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  <sheet name="O0" sheetId="4" r:id="rId4"/>
  </sheets>
  <calcPr calcId="124519" fullCalcOnLoad="1"/>
</workbook>
</file>

<file path=xl/sharedStrings.xml><?xml version="1.0" encoding="utf-8"?>
<sst xmlns="http://schemas.openxmlformats.org/spreadsheetml/2006/main" count="223" uniqueCount="60">
  <si>
    <t>Fine-Structure Energy Levels for S II</t>
  </si>
  <si>
    <t>S2</t>
  </si>
  <si>
    <t>S53</t>
  </si>
  <si>
    <t>S54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</si>
  <si>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</si>
  <si>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</si>
  <si>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</si>
  <si>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</si>
  <si>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</si>
  <si>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</si>
  <si>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</si>
  <si>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</si>
  <si>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</si>
  <si>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</si>
  <si>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3s2.3p3</t>
  </si>
  <si>
    <t>4S*</t>
  </si>
  <si>
    <t>2D*</t>
  </si>
  <si>
    <t>2P*</t>
  </si>
  <si>
    <t>3s.3p4</t>
  </si>
  <si>
    <t>4P</t>
  </si>
  <si>
    <t>2D</t>
  </si>
  <si>
    <t>3s2.3p2.(3P).3d</t>
  </si>
  <si>
    <t>2P</t>
  </si>
  <si>
    <t>3s2.3p2.(3P).4s</t>
  </si>
  <si>
    <t>4F</t>
  </si>
  <si>
    <t>4D</t>
  </si>
  <si>
    <t>2F</t>
  </si>
  <si>
    <t>2S</t>
  </si>
  <si>
    <t>3s2.3p2.(1D).4s</t>
  </si>
  <si>
    <t>3s2.3p2.(3P).4p</t>
  </si>
  <si>
    <t>2S*</t>
  </si>
  <si>
    <t>3s2.3p2.(1D).3d</t>
  </si>
  <si>
    <t>2G</t>
  </si>
  <si>
    <t>4D*</t>
  </si>
  <si>
    <t>4P*</t>
  </si>
  <si>
    <t>3s2.3p2.(1S).4s</t>
  </si>
  <si>
    <t>3s2.3p2.(1D).4p</t>
  </si>
  <si>
    <t>2F*</t>
  </si>
  <si>
    <t>3s2.3p2.(1S).3d</t>
  </si>
  <si>
    <t>3s2.3p2.(1S).4p</t>
  </si>
  <si>
    <t>A-values for fine-structure transitions  in S II</t>
  </si>
  <si>
    <t>S55</t>
  </si>
  <si>
    <t>S56</t>
  </si>
  <si>
    <t>S57</t>
  </si>
  <si>
    <t>S47</t>
  </si>
  <si>
    <t>k</t>
  </si>
  <si>
    <t>WL Vac (A)</t>
  </si>
  <si>
    <t>AE1 (s-1)</t>
  </si>
  <si>
    <t>AE2 (s-1)</t>
  </si>
  <si>
    <t>AM1 (s-1)</t>
  </si>
  <si>
    <t>Effective Collision Strengths for S II</t>
  </si>
  <si>
    <t>S51</t>
  </si>
  <si>
    <t>S58</t>
  </si>
  <si>
    <t>S59</t>
  </si>
  <si>
    <t>np</t>
  </si>
  <si>
    <t>Log_T(K)</t>
  </si>
  <si>
    <t>EColSt</t>
  </si>
  <si>
    <t>Collision Strengths for S II</t>
  </si>
  <si>
    <t>S60</t>
  </si>
  <si>
    <t>Link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</si>
</sst>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3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15.7109375" customWidth="1"/>
    <col min="4" max="4" width="1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0.7109375" customWidth="1"/>
    <col min="11" max="11" width="14.7109375" customWidth="1"/>
    <col min="12" max="12" width="9.71093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 t="s">
        <v>2</v>
      </c>
      <c r="L2" s="2" t="s">
        <v>3</v>
      </c>
    </row>
    <row r="3" spans="1:1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13</v>
      </c>
      <c r="L3" s="2" t="s">
        <v>13</v>
      </c>
    </row>
    <row r="4" spans="1:12">
      <c r="A4" s="3">
        <v>16</v>
      </c>
      <c r="B4" s="3">
        <v>15</v>
      </c>
      <c r="C4" s="3">
        <v>1</v>
      </c>
      <c r="D4" s="3" t="s">
        <v>14</v>
      </c>
      <c r="E4" s="3" t="s">
        <v>15</v>
      </c>
      <c r="F4" s="3">
        <v>4</v>
      </c>
      <c r="G4" s="3">
        <v>0</v>
      </c>
      <c r="H4" s="3">
        <v>1</v>
      </c>
      <c r="I4" s="3">
        <v>1.5</v>
      </c>
      <c r="J4" s="4" t="str">
        <f>HYPERLINK("http://141.218.60.56/~jnz1568/getInfo.php?workbook=16_15.xlsx&amp;sheet=E0&amp;row=4&amp;col=10&amp;number=0&amp;sourceID=2","0")</f>
        <v>0</v>
      </c>
      <c r="K4" s="4" t="str">
        <f>HYPERLINK("http://141.218.60.56/~jnz1568/getInfo.php?workbook=16_15.xlsx&amp;sheet=E0&amp;row=4&amp;col=11&amp;number=0&amp;sourceID=53","0")</f>
        <v>0</v>
      </c>
      <c r="L4" s="4" t="str">
        <f>HYPERLINK("http://141.218.60.56/~jnz1568/getInfo.php?workbook=16_15.xlsx&amp;sheet=E0&amp;row=4&amp;col=12&amp;number=0&amp;sourceID=54","0")</f>
        <v>0</v>
      </c>
    </row>
    <row r="5" spans="1:12">
      <c r="A5" s="3">
        <v>16</v>
      </c>
      <c r="B5" s="3">
        <v>15</v>
      </c>
      <c r="C5" s="3">
        <f>C4+1</f>
        <v>0</v>
      </c>
      <c r="D5" s="3" t="s">
        <v>14</v>
      </c>
      <c r="E5" s="3" t="s">
        <v>16</v>
      </c>
      <c r="F5" s="3">
        <v>2</v>
      </c>
      <c r="G5" s="3">
        <v>2</v>
      </c>
      <c r="H5" s="3">
        <v>1</v>
      </c>
      <c r="I5" s="3">
        <v>1.5</v>
      </c>
      <c r="J5" s="4" t="str">
        <f>HYPERLINK("http://141.218.60.56/~jnz1568/getInfo.php?workbook=16_15.xlsx&amp;sheet=E0&amp;row=5&amp;col=10&amp;number=14852.94&amp;sourceID=2","14852.94")</f>
        <v>14852.94</v>
      </c>
      <c r="K5" s="4" t="str">
        <f>HYPERLINK("http://141.218.60.56/~jnz1568/getInfo.php?workbook=16_15.xlsx&amp;sheet=E0&amp;row=5&amp;col=11&amp;number=14856.7325822&amp;sourceID=53","14856.7325822")</f>
        <v>14856.7325822</v>
      </c>
      <c r="L5" s="4" t="str">
        <f>HYPERLINK("http://141.218.60.56/~jnz1568/getInfo.php?workbook=16_15.xlsx&amp;sheet=E0&amp;row=5&amp;col=12&amp;number=15282.37&amp;sourceID=54","15282.37")</f>
        <v>15282.37</v>
      </c>
    </row>
    <row r="6" spans="1:12">
      <c r="A6" s="3">
        <v>16</v>
      </c>
      <c r="B6" s="3">
        <v>15</v>
      </c>
      <c r="C6" s="3">
        <f/>
        <v>0</v>
      </c>
      <c r="D6" s="3" t="s">
        <v>14</v>
      </c>
      <c r="E6" s="3" t="s">
        <v>16</v>
      </c>
      <c r="F6" s="3">
        <v>2</v>
      </c>
      <c r="G6" s="3">
        <v>2</v>
      </c>
      <c r="H6" s="3">
        <v>1</v>
      </c>
      <c r="I6" s="3">
        <v>2.5</v>
      </c>
      <c r="J6" s="4" t="str">
        <f>HYPERLINK("http://141.218.60.56/~jnz1568/getInfo.php?workbook=16_15.xlsx&amp;sheet=E0&amp;row=6&amp;col=10&amp;number=14884.73&amp;sourceID=2","14884.73")</f>
        <v>14884.73</v>
      </c>
      <c r="K6" s="4" t="str">
        <f>HYPERLINK("http://141.218.60.56/~jnz1568/getInfo.php?workbook=16_15.xlsx&amp;sheet=E0&amp;row=6&amp;col=11&amp;number=14880.9292151&amp;sourceID=53","14880.9292151")</f>
        <v>14880.9292151</v>
      </c>
      <c r="L6" s="4" t="str">
        <f>HYPERLINK("http://141.218.60.56/~jnz1568/getInfo.php?workbook=16_15.xlsx&amp;sheet=E0&amp;row=6&amp;col=12&amp;number=15310.64&amp;sourceID=54","15310.64")</f>
        <v>15310.64</v>
      </c>
    </row>
    <row r="7" spans="1:12">
      <c r="A7" s="3">
        <v>16</v>
      </c>
      <c r="B7" s="3">
        <v>15</v>
      </c>
      <c r="C7" s="3">
        <f/>
        <v>0</v>
      </c>
      <c r="D7" s="3" t="s">
        <v>14</v>
      </c>
      <c r="E7" s="3" t="s">
        <v>17</v>
      </c>
      <c r="F7" s="3">
        <v>2</v>
      </c>
      <c r="G7" s="3">
        <v>1</v>
      </c>
      <c r="H7" s="3">
        <v>1</v>
      </c>
      <c r="I7" s="3">
        <v>0.5</v>
      </c>
      <c r="J7" s="4" t="str">
        <f>HYPERLINK("http://141.218.60.56/~jnz1568/getInfo.php?workbook=16_15.xlsx&amp;sheet=E0&amp;row=7&amp;col=10&amp;number=24524.83&amp;sourceID=2","24524.83")</f>
        <v>24524.83</v>
      </c>
      <c r="K7" s="4" t="str">
        <f>HYPERLINK("http://141.218.60.56/~jnz1568/getInfo.php?workbook=16_15.xlsx&amp;sheet=E0&amp;row=7&amp;col=11&amp;number=24527.3201859&amp;sourceID=53","24527.3201859")</f>
        <v>24527.3201859</v>
      </c>
      <c r="L7" s="4" t="str">
        <f>HYPERLINK("http://141.218.60.56/~jnz1568/getInfo.php?workbook=16_15.xlsx&amp;sheet=E0&amp;row=7&amp;col=12&amp;number=24817.43&amp;sourceID=54","24817.43")</f>
        <v>24817.43</v>
      </c>
    </row>
    <row r="8" spans="1:12">
      <c r="A8" s="3">
        <v>16</v>
      </c>
      <c r="B8" s="3">
        <v>15</v>
      </c>
      <c r="C8" s="3">
        <f/>
        <v>0</v>
      </c>
      <c r="D8" s="3" t="s">
        <v>14</v>
      </c>
      <c r="E8" s="3" t="s">
        <v>17</v>
      </c>
      <c r="F8" s="3">
        <v>2</v>
      </c>
      <c r="G8" s="3">
        <v>1</v>
      </c>
      <c r="H8" s="3">
        <v>1</v>
      </c>
      <c r="I8" s="3">
        <v>1.5</v>
      </c>
      <c r="J8" s="4" t="str">
        <f>HYPERLINK("http://141.218.60.56/~jnz1568/getInfo.php?workbook=16_15.xlsx&amp;sheet=E0&amp;row=8&amp;col=10&amp;number=24571.54&amp;sourceID=2","24571.54")</f>
        <v>24571.54</v>
      </c>
      <c r="K8" s="4" t="str">
        <f>HYPERLINK("http://141.218.60.56/~jnz1568/getInfo.php?workbook=16_15.xlsx&amp;sheet=E0&amp;row=8&amp;col=11&amp;number=24567.6479073&amp;sourceID=53","24567.6479073")</f>
        <v>24567.6479073</v>
      </c>
      <c r="L8" s="4" t="str">
        <f>HYPERLINK("http://141.218.60.56/~jnz1568/getInfo.php?workbook=16_15.xlsx&amp;sheet=E0&amp;row=8&amp;col=12&amp;number=24848.06&amp;sourceID=54","24848.06")</f>
        <v>24848.06</v>
      </c>
    </row>
    <row r="9" spans="1:12">
      <c r="A9" s="3">
        <v>16</v>
      </c>
      <c r="B9" s="3">
        <v>15</v>
      </c>
      <c r="C9" s="3">
        <f/>
        <v>0</v>
      </c>
      <c r="D9" s="3" t="s">
        <v>18</v>
      </c>
      <c r="E9" s="3" t="s">
        <v>19</v>
      </c>
      <c r="F9" s="3">
        <v>4</v>
      </c>
      <c r="G9" s="3">
        <v>1</v>
      </c>
      <c r="H9" s="3">
        <v>0</v>
      </c>
      <c r="I9" s="3">
        <v>2.5</v>
      </c>
      <c r="J9" s="4" t="str">
        <f>HYPERLINK("http://141.218.60.56/~jnz1568/getInfo.php?workbook=16_15.xlsx&amp;sheet=E0&amp;row=9&amp;col=10&amp;number=79395.39&amp;sourceID=2","79395.39")</f>
        <v>79395.39</v>
      </c>
      <c r="K9" s="4" t="str">
        <f>HYPERLINK("http://141.218.60.56/~jnz1568/getInfo.php?workbook=16_15.xlsx&amp;sheet=E0&amp;row=9&amp;col=11&amp;number=79397.2179908&amp;sourceID=53","79397.2179908")</f>
        <v>79397.2179908</v>
      </c>
      <c r="L9" s="4" t="str">
        <f>HYPERLINK("http://141.218.60.56/~jnz1568/getInfo.php?workbook=16_15.xlsx&amp;sheet=E0&amp;row=9&amp;col=12&amp;number=78467.71&amp;sourceID=54","78467.71")</f>
        <v>78467.71</v>
      </c>
    </row>
    <row r="10" spans="1:12">
      <c r="A10" s="3">
        <v>16</v>
      </c>
      <c r="B10" s="3">
        <v>15</v>
      </c>
      <c r="C10" s="3">
        <f/>
        <v>0</v>
      </c>
      <c r="D10" s="3" t="s">
        <v>18</v>
      </c>
      <c r="E10" s="3" t="s">
        <v>19</v>
      </c>
      <c r="F10" s="3">
        <v>4</v>
      </c>
      <c r="G10" s="3">
        <v>1</v>
      </c>
      <c r="H10" s="3">
        <v>0</v>
      </c>
      <c r="I10" s="3">
        <v>1.5</v>
      </c>
      <c r="J10" s="4" t="str">
        <f>HYPERLINK("http://141.218.60.56/~jnz1568/getInfo.php?workbook=16_15.xlsx&amp;sheet=E0&amp;row=10&amp;col=10&amp;number=79756.83&amp;sourceID=2","79756.83")</f>
        <v>79756.83</v>
      </c>
      <c r="K10" s="4" t="str">
        <f>HYPERLINK("http://141.218.60.56/~jnz1568/getInfo.php?workbook=16_15.xlsx&amp;sheet=E0&amp;row=10&amp;col=11&amp;number=79760.1674838&amp;sourceID=53","79760.1674838")</f>
        <v>79760.1674838</v>
      </c>
      <c r="L10" s="4" t="str">
        <f>HYPERLINK("http://141.218.60.56/~jnz1568/getInfo.php?workbook=16_15.xlsx&amp;sheet=E0&amp;row=10&amp;col=12&amp;number=78762.77&amp;sourceID=54","78762.77")</f>
        <v>78762.77</v>
      </c>
    </row>
    <row r="11" spans="1:12">
      <c r="A11" s="3">
        <v>16</v>
      </c>
      <c r="B11" s="3">
        <v>15</v>
      </c>
      <c r="C11" s="3">
        <f/>
        <v>0</v>
      </c>
      <c r="D11" s="3" t="s">
        <v>18</v>
      </c>
      <c r="E11" s="3" t="s">
        <v>19</v>
      </c>
      <c r="F11" s="3">
        <v>4</v>
      </c>
      <c r="G11" s="3">
        <v>1</v>
      </c>
      <c r="H11" s="3">
        <v>0</v>
      </c>
      <c r="I11" s="3">
        <v>0.5</v>
      </c>
      <c r="J11" s="4" t="str">
        <f>HYPERLINK("http://141.218.60.56/~jnz1568/getInfo.php?workbook=16_15.xlsx&amp;sheet=E0&amp;row=11&amp;col=10&amp;number=79962.61&amp;sourceID=2","79962.61")</f>
        <v>79962.61</v>
      </c>
      <c r="K11" s="4" t="str">
        <f>HYPERLINK("http://141.218.60.56/~jnz1568/getInfo.php?workbook=16_15.xlsx&amp;sheet=E0&amp;row=11&amp;col=11&amp;number=79961.8060911&amp;sourceID=53","79961.8060911")</f>
        <v>79961.8060911</v>
      </c>
      <c r="L11" s="4" t="str">
        <f>HYPERLINK("http://141.218.60.56/~jnz1568/getInfo.php?workbook=16_15.xlsx&amp;sheet=E0&amp;row=11&amp;col=12&amp;number=78929.14&amp;sourceID=54","78929.14")</f>
        <v>78929.14</v>
      </c>
    </row>
    <row r="12" spans="1:12">
      <c r="A12" s="3">
        <v>16</v>
      </c>
      <c r="B12" s="3">
        <v>15</v>
      </c>
      <c r="C12" s="3">
        <f/>
        <v>0</v>
      </c>
      <c r="D12" s="3" t="s">
        <v>18</v>
      </c>
      <c r="E12" s="3" t="s">
        <v>20</v>
      </c>
      <c r="F12" s="3">
        <v>2</v>
      </c>
      <c r="G12" s="3">
        <v>2</v>
      </c>
      <c r="H12" s="3">
        <v>0</v>
      </c>
      <c r="I12" s="3">
        <v>1.5</v>
      </c>
      <c r="J12" s="4" t="str">
        <f>HYPERLINK("http://141.218.60.56/~jnz1568/getInfo.php?workbook=16_15.xlsx&amp;sheet=E0&amp;row=12&amp;col=10&amp;number=97890.74&amp;sourceID=2","97890.74")</f>
        <v>97890.74</v>
      </c>
      <c r="K12" s="4" t="str">
        <f>HYPERLINK("http://141.218.60.56/~jnz1568/getInfo.php?workbook=16_15.xlsx&amp;sheet=E0&amp;row=12&amp;col=11&amp;number=97891.5110477&amp;sourceID=53","97891.5110477")</f>
        <v>97891.5110477</v>
      </c>
      <c r="L12" s="4" t="str">
        <f>HYPERLINK("http://141.218.60.56/~jnz1568/getInfo.php?workbook=16_15.xlsx&amp;sheet=E0&amp;row=12&amp;col=12&amp;number=97480.62&amp;sourceID=54","97480.62")</f>
        <v>97480.62</v>
      </c>
    </row>
    <row r="13" spans="1:12">
      <c r="A13" s="3">
        <v>16</v>
      </c>
      <c r="B13" s="3">
        <v>15</v>
      </c>
      <c r="C13" s="3">
        <f/>
        <v>0</v>
      </c>
      <c r="D13" s="3" t="s">
        <v>18</v>
      </c>
      <c r="E13" s="3" t="s">
        <v>20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HYPERLINK("http://141.218.60.56/~jnz1568/getInfo.php?workbook=16_15.xlsx&amp;sheet=E0&amp;row=13&amp;col=10&amp;number=97918.86&amp;sourceID=2","97918.86")</f>
        <v>97918.86</v>
      </c>
      <c r="K13" s="4" t="str">
        <f>HYPERLINK("http://141.218.60.56/~jnz1568/getInfo.php?workbook=16_15.xlsx&amp;sheet=E0&amp;row=13&amp;col=11&amp;number=97915.7076806&amp;sourceID=53","97915.7076806")</f>
        <v>97915.7076806</v>
      </c>
      <c r="L13" s="4" t="str">
        <f>HYPERLINK("http://141.218.60.56/~jnz1568/getInfo.php?workbook=16_15.xlsx&amp;sheet=E0&amp;row=13&amp;col=12&amp;number=97500.92&amp;sourceID=54","97500.92")</f>
        <v>97500.92</v>
      </c>
    </row>
    <row r="14" spans="1:12">
      <c r="A14" s="3">
        <v>16</v>
      </c>
      <c r="B14" s="3">
        <v>15</v>
      </c>
      <c r="C14" s="3">
        <f/>
        <v>0</v>
      </c>
      <c r="D14" s="3" t="s">
        <v>21</v>
      </c>
      <c r="E14" s="3" t="s">
        <v>22</v>
      </c>
      <c r="F14" s="3">
        <v>2</v>
      </c>
      <c r="G14" s="3">
        <v>1</v>
      </c>
      <c r="H14" s="3">
        <v>0</v>
      </c>
      <c r="I14" s="3">
        <v>1.5</v>
      </c>
      <c r="J14" s="4" t="str">
        <f>HYPERLINK("http://141.218.60.56/~jnz1568/getInfo.php?workbook=16_15.xlsx&amp;sheet=E0&amp;row=14&amp;col=10&amp;number=105599.06&amp;sourceID=2","105599.06")</f>
        <v>105599.06</v>
      </c>
      <c r="K14" s="4" t="str">
        <f>HYPERLINK("http://141.218.60.56/~jnz1568/getInfo.php?workbook=16_15.xlsx&amp;sheet=E0&amp;row=14&amp;col=11&amp;number=105602.171389&amp;sourceID=53","105602.171389")</f>
        <v>105602.171389</v>
      </c>
      <c r="L14" s="4" t="str">
        <f>HYPERLINK("http://141.218.60.56/~jnz1568/getInfo.php?workbook=16_15.xlsx&amp;sheet=E0&amp;row=14&amp;col=12&amp;number=105444.2&amp;sourceID=54","105444.2")</f>
        <v>105444.2</v>
      </c>
    </row>
    <row r="15" spans="1:12">
      <c r="A15" s="3">
        <v>16</v>
      </c>
      <c r="B15" s="3">
        <v>15</v>
      </c>
      <c r="C15" s="3">
        <f/>
        <v>0</v>
      </c>
      <c r="D15" s="3" t="s">
        <v>21</v>
      </c>
      <c r="E15" s="3" t="s">
        <v>22</v>
      </c>
      <c r="F15" s="3">
        <v>2</v>
      </c>
      <c r="G15" s="3">
        <v>1</v>
      </c>
      <c r="H15" s="3">
        <v>0</v>
      </c>
      <c r="I15" s="3">
        <v>0.5</v>
      </c>
      <c r="J15" s="4" t="str">
        <f>HYPERLINK("http://141.218.60.56/~jnz1568/getInfo.php?workbook=16_15.xlsx&amp;sheet=E0&amp;row=15&amp;col=10&amp;number=106044.24&amp;sourceID=2","106044.24")</f>
        <v>106044.24</v>
      </c>
      <c r="K15" s="4" t="str">
        <f>HYPERLINK("http://141.218.60.56/~jnz1568/getInfo.php?workbook=16_15.xlsx&amp;sheet=E0&amp;row=15&amp;col=11&amp;number=106045.776325&amp;sourceID=53","106045.776325")</f>
        <v>106045.776325</v>
      </c>
      <c r="L15" s="4" t="str">
        <f>HYPERLINK("http://141.218.60.56/~jnz1568/getInfo.php?workbook=16_15.xlsx&amp;sheet=E0&amp;row=15&amp;col=12&amp;number=105845.7&amp;sourceID=54","105845.7")</f>
        <v>105845.7</v>
      </c>
    </row>
    <row r="16" spans="1:12">
      <c r="A16" s="3">
        <v>16</v>
      </c>
      <c r="B16" s="3">
        <v>15</v>
      </c>
      <c r="C16" s="3">
        <f/>
        <v>0</v>
      </c>
      <c r="D16" s="3" t="s">
        <v>23</v>
      </c>
      <c r="E16" s="3" t="s">
        <v>19</v>
      </c>
      <c r="F16" s="3">
        <v>4</v>
      </c>
      <c r="G16" s="3">
        <v>1</v>
      </c>
      <c r="H16" s="3">
        <v>0</v>
      </c>
      <c r="I16" s="3">
        <v>0.5</v>
      </c>
      <c r="J16" s="4" t="str">
        <f>HYPERLINK("http://141.218.60.56/~jnz1568/getInfo.php?workbook=16_15.xlsx&amp;sheet=E0&amp;row=16&amp;col=10&amp;number=109560.69&amp;sourceID=2","109560.69")</f>
        <v>109560.69</v>
      </c>
      <c r="K16" s="4" t="str">
        <f>HYPERLINK("http://141.218.60.56/~jnz1568/getInfo.php?workbook=16_15.xlsx&amp;sheet=E0&amp;row=16&amp;col=11&amp;number=109562.353635&amp;sourceID=53","109562.353635")</f>
        <v>109562.353635</v>
      </c>
      <c r="L16" s="4" t="str">
        <f>HYPERLINK("http://141.218.60.56/~jnz1568/getInfo.php?workbook=16_15.xlsx&amp;sheet=E0&amp;row=16&amp;col=12&amp;number=108938.7&amp;sourceID=54","108938.7")</f>
        <v>108938.7</v>
      </c>
    </row>
    <row r="17" spans="1:12">
      <c r="A17" s="3">
        <v>16</v>
      </c>
      <c r="B17" s="3">
        <v>15</v>
      </c>
      <c r="C17" s="3">
        <f/>
        <v>0</v>
      </c>
      <c r="D17" s="3" t="s">
        <v>23</v>
      </c>
      <c r="E17" s="3" t="s">
        <v>19</v>
      </c>
      <c r="F17" s="3">
        <v>4</v>
      </c>
      <c r="G17" s="3">
        <v>1</v>
      </c>
      <c r="H17" s="3">
        <v>0</v>
      </c>
      <c r="I17" s="3">
        <v>1.5</v>
      </c>
      <c r="J17" s="4" t="str">
        <f>HYPERLINK("http://141.218.60.56/~jnz1568/getInfo.php?workbook=16_15.xlsx&amp;sheet=E0&amp;row=17&amp;col=10&amp;number=109831.59&amp;sourceID=2","109831.59")</f>
        <v>109831.59</v>
      </c>
      <c r="K17" s="4" t="str">
        <f>HYPERLINK("http://141.218.60.56/~jnz1568/getInfo.php?workbook=16_15.xlsx&amp;sheet=E0&amp;row=17&amp;col=11&amp;number=109828.516597&amp;sourceID=53","109828.516597")</f>
        <v>109828.516597</v>
      </c>
      <c r="L17" s="4" t="str">
        <f>HYPERLINK("http://141.218.60.56/~jnz1568/getInfo.php?workbook=16_15.xlsx&amp;sheet=E0&amp;row=17&amp;col=12&amp;number=109182.2&amp;sourceID=54","109182.2")</f>
        <v>109182.2</v>
      </c>
    </row>
    <row r="18" spans="1:12">
      <c r="A18" s="3">
        <v>16</v>
      </c>
      <c r="B18" s="3">
        <v>15</v>
      </c>
      <c r="C18" s="3">
        <f/>
        <v>0</v>
      </c>
      <c r="D18" s="3" t="s">
        <v>21</v>
      </c>
      <c r="E18" s="3" t="s">
        <v>24</v>
      </c>
      <c r="F18" s="3">
        <v>4</v>
      </c>
      <c r="G18" s="3">
        <v>3</v>
      </c>
      <c r="H18" s="3">
        <v>0</v>
      </c>
      <c r="I18" s="3">
        <v>1.5</v>
      </c>
      <c r="J18" s="4" t="str">
        <f>HYPERLINK("http://141.218.60.56/~jnz1568/getInfo.php?workbook=16_15.xlsx&amp;sheet=E0&amp;row=18&amp;col=10&amp;number=110177.02&amp;sourceID=2","110177.02")</f>
        <v>110177.02</v>
      </c>
      <c r="K18" s="4" t="str">
        <f>HYPERLINK("http://141.218.60.56/~jnz1568/getInfo.php?workbook=16_15.xlsx&amp;sheet=E0&amp;row=18&amp;col=11&amp;number=110175.335001&amp;sourceID=53","110175.335001")</f>
        <v>110175.335001</v>
      </c>
      <c r="L18" s="4" t="str">
        <f>HYPERLINK("http://141.218.60.56/~jnz1568/getInfo.php?workbook=16_15.xlsx&amp;sheet=E0&amp;row=18&amp;col=12&amp;number=110174.2&amp;sourceID=54","110174.2")</f>
        <v>110174.2</v>
      </c>
    </row>
    <row r="19" spans="1:12">
      <c r="A19" s="3">
        <v>16</v>
      </c>
      <c r="B19" s="3">
        <v>15</v>
      </c>
      <c r="C19" s="3">
        <f/>
        <v>0</v>
      </c>
      <c r="D19" s="3" t="s">
        <v>23</v>
      </c>
      <c r="E19" s="3" t="s">
        <v>19</v>
      </c>
      <c r="F19" s="3">
        <v>4</v>
      </c>
      <c r="G19" s="3">
        <v>1</v>
      </c>
      <c r="H19" s="3">
        <v>0</v>
      </c>
      <c r="I19" s="3">
        <v>2.5</v>
      </c>
      <c r="J19" s="4" t="str">
        <f>HYPERLINK("http://141.218.60.56/~jnz1568/getInfo.php?workbook=16_15.xlsx&amp;sheet=E0&amp;row=19&amp;col=10&amp;number=110268.6&amp;sourceID=2","110268.6")</f>
        <v>110268.6</v>
      </c>
      <c r="K19" s="4" t="str">
        <f>HYPERLINK("http://141.218.60.56/~jnz1568/getInfo.php?workbook=16_15.xlsx&amp;sheet=E0&amp;row=19&amp;col=11&amp;number=110272.121533&amp;sourceID=53","110272.121533")</f>
        <v>110272.121533</v>
      </c>
      <c r="L19" s="4" t="str">
        <f>HYPERLINK("http://141.218.60.56/~jnz1568/getInfo.php?workbook=16_15.xlsx&amp;sheet=E0&amp;row=19&amp;col=12&amp;number=109570.4&amp;sourceID=54","109570.4")</f>
        <v>109570.4</v>
      </c>
    </row>
    <row r="20" spans="1:12">
      <c r="A20" s="3">
        <v>16</v>
      </c>
      <c r="B20" s="3">
        <v>15</v>
      </c>
      <c r="C20" s="3">
        <f/>
        <v>0</v>
      </c>
      <c r="D20" s="3" t="s">
        <v>21</v>
      </c>
      <c r="E20" s="3" t="s">
        <v>24</v>
      </c>
      <c r="F20" s="3">
        <v>4</v>
      </c>
      <c r="G20" s="3">
        <v>3</v>
      </c>
      <c r="H20" s="3">
        <v>0</v>
      </c>
      <c r="I20" s="3">
        <v>2.5</v>
      </c>
      <c r="J20" s="4" t="str">
        <f>HYPERLINK("http://141.218.60.56/~jnz1568/getInfo.php?workbook=16_15.xlsx&amp;sheet=E0&amp;row=20&amp;col=10&amp;number=110313.4&amp;sourceID=2","110313.4")</f>
        <v>110313.4</v>
      </c>
      <c r="K20" s="4" t="str">
        <f>HYPERLINK("http://141.218.60.56/~jnz1568/getInfo.php?workbook=16_15.xlsx&amp;sheet=E0&amp;row=20&amp;col=11&amp;number=110312.449254&amp;sourceID=53","110312.449254")</f>
        <v>110312.449254</v>
      </c>
      <c r="L20" s="4" t="str">
        <f>HYPERLINK("http://141.218.60.56/~jnz1568/getInfo.php?workbook=16_15.xlsx&amp;sheet=E0&amp;row=20&amp;col=12&amp;number=110297.2&amp;sourceID=54","110297.2")</f>
        <v>110297.2</v>
      </c>
    </row>
    <row r="21" spans="1:12">
      <c r="A21" s="3">
        <v>16</v>
      </c>
      <c r="B21" s="3">
        <v>15</v>
      </c>
      <c r="C21" s="3">
        <f/>
        <v>0</v>
      </c>
      <c r="D21" s="3" t="s">
        <v>21</v>
      </c>
      <c r="E21" s="3" t="s">
        <v>24</v>
      </c>
      <c r="F21" s="3">
        <v>4</v>
      </c>
      <c r="G21" s="3">
        <v>3</v>
      </c>
      <c r="H21" s="3">
        <v>0</v>
      </c>
      <c r="I21" s="3">
        <v>3.5</v>
      </c>
      <c r="J21" s="4" t="str">
        <f>HYPERLINK("http://141.218.60.56/~jnz1568/getInfo.php?workbook=16_15.xlsx&amp;sheet=E0&amp;row=21&amp;col=10&amp;number=110508.71&amp;sourceID=2","110508.71")</f>
        <v>110508.71</v>
      </c>
      <c r="K21" s="4" t="str">
        <f>HYPERLINK("http://141.218.60.56/~jnz1568/getInfo.php?workbook=16_15.xlsx&amp;sheet=E0&amp;row=21&amp;col=11&amp;number=110506.022317&amp;sourceID=53","110506.022317")</f>
        <v>110506.022317</v>
      </c>
      <c r="L21" s="4" t="str">
        <f>HYPERLINK("http://141.218.60.56/~jnz1568/getInfo.php?workbook=16_15.xlsx&amp;sheet=E0&amp;row=21&amp;col=12&amp;number=110473&amp;sourceID=54","110473")</f>
        <v>110473</v>
      </c>
    </row>
    <row r="22" spans="1:12">
      <c r="A22" s="3">
        <v>16</v>
      </c>
      <c r="B22" s="3">
        <v>15</v>
      </c>
      <c r="C22" s="3">
        <f/>
        <v>0</v>
      </c>
      <c r="D22" s="3" t="s">
        <v>21</v>
      </c>
      <c r="E22" s="3" t="s">
        <v>24</v>
      </c>
      <c r="F22" s="3">
        <v>4</v>
      </c>
      <c r="G22" s="3">
        <v>3</v>
      </c>
      <c r="H22" s="3">
        <v>0</v>
      </c>
      <c r="I22" s="3">
        <v>4.5</v>
      </c>
      <c r="J22" s="4" t="str">
        <f>HYPERLINK("http://141.218.60.56/~jnz1568/getInfo.php?workbook=16_15.xlsx&amp;sheet=E0&amp;row=22&amp;col=10&amp;number=110766.56&amp;sourceID=2","110766.56")</f>
        <v>110766.56</v>
      </c>
      <c r="K22" s="4" t="str">
        <f>HYPERLINK("http://141.218.60.56/~jnz1568/getInfo.php?workbook=16_15.xlsx&amp;sheet=E0&amp;row=22&amp;col=11&amp;number=110764.119735&amp;sourceID=53","110764.119735")</f>
        <v>110764.119735</v>
      </c>
      <c r="L22" s="4" t="str">
        <f>HYPERLINK("http://141.218.60.56/~jnz1568/getInfo.php?workbook=16_15.xlsx&amp;sheet=E0&amp;row=22&amp;col=12&amp;number=110704.6&amp;sourceID=54","110704.6")</f>
        <v>110704.6</v>
      </c>
    </row>
    <row r="23" spans="1:12">
      <c r="A23" s="3">
        <v>16</v>
      </c>
      <c r="B23" s="3">
        <v>15</v>
      </c>
      <c r="C23" s="3">
        <f/>
        <v>0</v>
      </c>
      <c r="D23" s="3" t="s">
        <v>23</v>
      </c>
      <c r="E23" s="3" t="s">
        <v>22</v>
      </c>
      <c r="F23" s="3">
        <v>2</v>
      </c>
      <c r="G23" s="3">
        <v>1</v>
      </c>
      <c r="H23" s="3">
        <v>0</v>
      </c>
      <c r="I23" s="3">
        <v>0.5</v>
      </c>
      <c r="J23" s="4" t="str">
        <f>HYPERLINK("http://141.218.60.56/~jnz1568/getInfo.php?workbook=16_15.xlsx&amp;sheet=E0&amp;row=23&amp;col=10&amp;number=112937.57&amp;sourceID=2","112937.57")</f>
        <v>112937.57</v>
      </c>
      <c r="K23" s="4" t="str">
        <f>HYPERLINK("http://141.218.60.56/~jnz1568/getInfo.php?workbook=16_15.xlsx&amp;sheet=E0&amp;row=23&amp;col=11&amp;number=112933.751149&amp;sourceID=53","112933.751149")</f>
        <v>112933.751149</v>
      </c>
      <c r="L23" s="4" t="str">
        <f>HYPERLINK("http://141.218.60.56/~jnz1568/getInfo.php?workbook=16_15.xlsx&amp;sheet=E0&amp;row=23&amp;col=12&amp;number=112486.9&amp;sourceID=54","112486.9")</f>
        <v>112486.9</v>
      </c>
    </row>
    <row r="24" spans="1:12">
      <c r="A24" s="3">
        <v>16</v>
      </c>
      <c r="B24" s="3">
        <v>15</v>
      </c>
      <c r="C24" s="3">
        <f/>
        <v>0</v>
      </c>
      <c r="D24" s="3" t="s">
        <v>23</v>
      </c>
      <c r="E24" s="3" t="s">
        <v>22</v>
      </c>
      <c r="F24" s="3">
        <v>2</v>
      </c>
      <c r="G24" s="3">
        <v>1</v>
      </c>
      <c r="H24" s="3">
        <v>0</v>
      </c>
      <c r="I24" s="3">
        <v>1.5</v>
      </c>
      <c r="J24" s="4" t="str">
        <f>HYPERLINK("http://141.218.60.56/~jnz1568/getInfo.php?workbook=16_15.xlsx&amp;sheet=E0&amp;row=24&amp;col=10&amp;number=113461.54&amp;sourceID=2","113461.54")</f>
        <v>113461.54</v>
      </c>
      <c r="K24" s="4" t="str">
        <f>HYPERLINK("http://141.218.60.56/~jnz1568/getInfo.php?workbook=16_15.xlsx&amp;sheet=E0&amp;row=24&amp;col=11&amp;number=113458.011527&amp;sourceID=53","113458.011527")</f>
        <v>113458.011527</v>
      </c>
      <c r="L24" s="4" t="str">
        <f>HYPERLINK("http://141.218.60.56/~jnz1568/getInfo.php?workbook=16_15.xlsx&amp;sheet=E0&amp;row=24&amp;col=12&amp;number=112952.7&amp;sourceID=54","112952.7")</f>
        <v>112952.7</v>
      </c>
    </row>
    <row r="25" spans="1:12">
      <c r="A25" s="3">
        <v>16</v>
      </c>
      <c r="B25" s="3">
        <v>15</v>
      </c>
      <c r="C25" s="3">
        <f/>
        <v>0</v>
      </c>
      <c r="D25" s="3" t="s">
        <v>21</v>
      </c>
      <c r="E25" s="3" t="s">
        <v>25</v>
      </c>
      <c r="F25" s="3">
        <v>4</v>
      </c>
      <c r="G25" s="3">
        <v>2</v>
      </c>
      <c r="H25" s="3">
        <v>0</v>
      </c>
      <c r="I25" s="3">
        <v>0.5</v>
      </c>
      <c r="J25" s="4" t="str">
        <f>HYPERLINK("http://141.218.60.56/~jnz1568/getInfo.php?workbook=16_15.xlsx&amp;sheet=E0&amp;row=25&amp;col=10&amp;number=114162.3&amp;sourceID=2","114162.3")</f>
        <v>114162.3</v>
      </c>
      <c r="K25" s="4" t="str">
        <f>HYPERLINK("http://141.218.60.56/~jnz1568/getInfo.php?workbook=16_15.xlsx&amp;sheet=E0&amp;row=25&amp;col=11&amp;number=114159.713881&amp;sourceID=53","114159.713881")</f>
        <v>114159.713881</v>
      </c>
      <c r="L25" s="4" t="str">
        <f>HYPERLINK("http://141.218.60.56/~jnz1568/getInfo.php?workbook=16_15.xlsx&amp;sheet=E0&amp;row=25&amp;col=12&amp;number=113986.3&amp;sourceID=54","113986.3")</f>
        <v>113986.3</v>
      </c>
    </row>
    <row r="26" spans="1:12">
      <c r="A26" s="3">
        <v>16</v>
      </c>
      <c r="B26" s="3">
        <v>15</v>
      </c>
      <c r="C26" s="3">
        <f/>
        <v>0</v>
      </c>
      <c r="D26" s="3" t="s">
        <v>21</v>
      </c>
      <c r="E26" s="3" t="s">
        <v>25</v>
      </c>
      <c r="F26" s="3">
        <v>4</v>
      </c>
      <c r="G26" s="3">
        <v>2</v>
      </c>
      <c r="H26" s="3">
        <v>0</v>
      </c>
      <c r="I26" s="3">
        <v>1.5</v>
      </c>
      <c r="J26" s="4" t="str">
        <f>HYPERLINK("http://141.218.60.56/~jnz1568/getInfo.php?workbook=16_15.xlsx&amp;sheet=E0&amp;row=26&amp;col=10&amp;number=114200.54&amp;sourceID=2","114200.54")</f>
        <v>114200.54</v>
      </c>
      <c r="K26" s="4" t="str">
        <f>HYPERLINK("http://141.218.60.56/~jnz1568/getInfo.php?workbook=16_15.xlsx&amp;sheet=E0&amp;row=26&amp;col=11&amp;number=114200.041602&amp;sourceID=53","114200.041602")</f>
        <v>114200.041602</v>
      </c>
      <c r="L26" s="4" t="str">
        <f>HYPERLINK("http://141.218.60.56/~jnz1568/getInfo.php?workbook=16_15.xlsx&amp;sheet=E0&amp;row=26&amp;col=12&amp;number=114020.4&amp;sourceID=54","114020.4")</f>
        <v>114020.4</v>
      </c>
    </row>
    <row r="27" spans="1:12">
      <c r="A27" s="3">
        <v>16</v>
      </c>
      <c r="B27" s="3">
        <v>15</v>
      </c>
      <c r="C27" s="3">
        <f/>
        <v>0</v>
      </c>
      <c r="D27" s="3" t="s">
        <v>21</v>
      </c>
      <c r="E27" s="3" t="s">
        <v>25</v>
      </c>
      <c r="F27" s="3">
        <v>4</v>
      </c>
      <c r="G27" s="3">
        <v>2</v>
      </c>
      <c r="H27" s="3">
        <v>0</v>
      </c>
      <c r="I27" s="3">
        <v>2.5</v>
      </c>
      <c r="J27" s="4" t="str">
        <f>HYPERLINK("http://141.218.60.56/~jnz1568/getInfo.php?workbook=16_15.xlsx&amp;sheet=E0&amp;row=27&amp;col=10&amp;number=114231.04&amp;sourceID=2","114231.04")</f>
        <v>114231.04</v>
      </c>
      <c r="K27" s="4" t="str">
        <f>HYPERLINK("http://141.218.60.56/~jnz1568/getInfo.php?workbook=16_15.xlsx&amp;sheet=E0&amp;row=27&amp;col=11&amp;number=114232.303779&amp;sourceID=53","114232.303779")</f>
        <v>114232.303779</v>
      </c>
      <c r="L27" s="4" t="str">
        <f>HYPERLINK("http://141.218.60.56/~jnz1568/getInfo.php?workbook=16_15.xlsx&amp;sheet=E0&amp;row=27&amp;col=12&amp;number=114064&amp;sourceID=54","114064")</f>
        <v>114064</v>
      </c>
    </row>
    <row r="28" spans="1:12">
      <c r="A28" s="3">
        <v>16</v>
      </c>
      <c r="B28" s="3">
        <v>15</v>
      </c>
      <c r="C28" s="3">
        <f/>
        <v>0</v>
      </c>
      <c r="D28" s="3" t="s">
        <v>21</v>
      </c>
      <c r="E28" s="3" t="s">
        <v>25</v>
      </c>
      <c r="F28" s="3">
        <v>4</v>
      </c>
      <c r="G28" s="3">
        <v>2</v>
      </c>
      <c r="H28" s="3">
        <v>0</v>
      </c>
      <c r="I28" s="3">
        <v>3.5</v>
      </c>
      <c r="J28" s="4" t="str">
        <f>HYPERLINK("http://141.218.60.56/~jnz1568/getInfo.php?workbook=16_15.xlsx&amp;sheet=E0&amp;row=28&amp;col=10&amp;number=114279.33&amp;sourceID=2","114279.33")</f>
        <v>114279.33</v>
      </c>
      <c r="K28" s="4" t="str">
        <f>HYPERLINK("http://141.218.60.56/~jnz1568/getInfo.php?workbook=16_15.xlsx&amp;sheet=E0&amp;row=28&amp;col=11&amp;number=114280.697045&amp;sourceID=53","114280.697045")</f>
        <v>114280.697045</v>
      </c>
      <c r="L28" s="4" t="str">
        <f>HYPERLINK("http://141.218.60.56/~jnz1568/getInfo.php?workbook=16_15.xlsx&amp;sheet=E0&amp;row=28&amp;col=12&amp;number=114119.9&amp;sourceID=54","114119.9")</f>
        <v>114119.9</v>
      </c>
    </row>
    <row r="29" spans="1:12">
      <c r="A29" s="3">
        <v>16</v>
      </c>
      <c r="B29" s="3">
        <v>15</v>
      </c>
      <c r="C29" s="3">
        <f/>
        <v>0</v>
      </c>
      <c r="D29" s="3" t="s">
        <v>21</v>
      </c>
      <c r="E29" s="3" t="s">
        <v>26</v>
      </c>
      <c r="F29" s="3">
        <v>2</v>
      </c>
      <c r="G29" s="3">
        <v>3</v>
      </c>
      <c r="H29" s="3">
        <v>0</v>
      </c>
      <c r="I29" s="3">
        <v>2.5</v>
      </c>
      <c r="J29" s="4" t="str">
        <f>HYPERLINK("http://141.218.60.56/~jnz1568/getInfo.php?workbook=16_15.xlsx&amp;sheet=E0&amp;row=29&amp;col=10&amp;number=114804.37&amp;sourceID=2","114804.37")</f>
        <v>114804.37</v>
      </c>
      <c r="K29" s="4" t="str">
        <f>HYPERLINK("http://141.218.60.56/~jnz1568/getInfo.php?workbook=16_15.xlsx&amp;sheet=E0&amp;row=29&amp;col=11&amp;number=114804.957424&amp;sourceID=53","114804.957424")</f>
        <v>114804.957424</v>
      </c>
      <c r="L29" s="4" t="str">
        <f>HYPERLINK("http://141.218.60.56/~jnz1568/getInfo.php?workbook=16_15.xlsx&amp;sheet=E0&amp;row=29&amp;col=12&amp;number=115017.6&amp;sourceID=54","115017.6")</f>
        <v>115017.6</v>
      </c>
    </row>
    <row r="30" spans="1:12">
      <c r="A30" s="3">
        <v>16</v>
      </c>
      <c r="B30" s="3">
        <v>15</v>
      </c>
      <c r="C30" s="3">
        <f/>
        <v>0</v>
      </c>
      <c r="D30" s="3" t="s">
        <v>21</v>
      </c>
      <c r="E30" s="3" t="s">
        <v>26</v>
      </c>
      <c r="F30" s="3">
        <v>2</v>
      </c>
      <c r="G30" s="3">
        <v>3</v>
      </c>
      <c r="H30" s="3">
        <v>0</v>
      </c>
      <c r="I30" s="3">
        <v>3.5</v>
      </c>
      <c r="J30" s="4" t="str">
        <f>HYPERLINK("http://141.218.60.56/~jnz1568/getInfo.php?workbook=16_15.xlsx&amp;sheet=E0&amp;row=30&amp;col=10&amp;number=115285.61&amp;sourceID=2","115285.61")</f>
        <v>115285.61</v>
      </c>
      <c r="K30" s="4" t="str">
        <f>HYPERLINK("http://141.218.60.56/~jnz1568/getInfo.php?workbook=16_15.xlsx&amp;sheet=E0&amp;row=30&amp;col=11&amp;number=115288.890081&amp;sourceID=53","115288.890081")</f>
        <v>115288.890081</v>
      </c>
      <c r="L30" s="4" t="str">
        <f>HYPERLINK("http://141.218.60.56/~jnz1568/getInfo.php?workbook=16_15.xlsx&amp;sheet=E0&amp;row=30&amp;col=12&amp;number=115436.7&amp;sourceID=54","115436.7")</f>
        <v>115436.7</v>
      </c>
    </row>
    <row r="31" spans="1:12">
      <c r="A31" s="3">
        <v>16</v>
      </c>
      <c r="B31" s="3">
        <v>15</v>
      </c>
      <c r="C31" s="3">
        <f/>
        <v>0</v>
      </c>
      <c r="D31" s="3" t="s">
        <v>18</v>
      </c>
      <c r="E31" s="3" t="s">
        <v>27</v>
      </c>
      <c r="F31" s="3">
        <v>2</v>
      </c>
      <c r="G31" s="3">
        <v>0</v>
      </c>
      <c r="H31" s="3">
        <v>0</v>
      </c>
      <c r="I31" s="3">
        <v>0.5</v>
      </c>
      <c r="J31" s="4" t="str">
        <f>HYPERLINK("http://141.218.60.56/~jnz1568/getInfo.php?workbook=16_15.xlsx&amp;sheet=E0&amp;row=31&amp;col=10&amp;number=119783.77&amp;sourceID=2","119783.77")</f>
        <v>119783.77</v>
      </c>
      <c r="K31" s="4" t="str">
        <f>HYPERLINK("http://141.218.60.56/~jnz1568/getInfo.php?workbook=16_15.xlsx&amp;sheet=E0&amp;row=31&amp;col=11&amp;number=119781.398251&amp;sourceID=53","119781.398251")</f>
        <v>119781.398251</v>
      </c>
      <c r="L31" s="4" t="str">
        <f>HYPERLINK("http://141.218.60.56/~jnz1568/getInfo.php?workbook=16_15.xlsx&amp;sheet=E0&amp;row=31&amp;col=12&amp;number=119887&amp;sourceID=54","119887")</f>
        <v>119887</v>
      </c>
    </row>
    <row r="32" spans="1:12">
      <c r="A32" s="3">
        <v>16</v>
      </c>
      <c r="B32" s="3">
        <v>15</v>
      </c>
      <c r="C32" s="3">
        <f/>
        <v>0</v>
      </c>
      <c r="D32" s="3" t="s">
        <v>28</v>
      </c>
      <c r="E32" s="3" t="s">
        <v>20</v>
      </c>
      <c r="F32" s="3">
        <v>2</v>
      </c>
      <c r="G32" s="3">
        <v>2</v>
      </c>
      <c r="H32" s="3">
        <v>0</v>
      </c>
      <c r="I32" s="3">
        <v>1.5</v>
      </c>
      <c r="J32" s="4" t="str">
        <f>HYPERLINK("http://141.218.60.56/~jnz1568/getInfo.php?workbook=16_15.xlsx&amp;sheet=E0&amp;row=32&amp;col=10&amp;number=121528.72&amp;sourceID=2","121528.72")</f>
        <v>121528.72</v>
      </c>
      <c r="K32" s="4" t="str">
        <f>HYPERLINK("http://141.218.60.56/~jnz1568/getInfo.php?workbook=16_15.xlsx&amp;sheet=E0&amp;row=32&amp;col=11&amp;number=121531.621362&amp;sourceID=53","121531.621362")</f>
        <v>121531.621362</v>
      </c>
      <c r="L32" s="4" t="str">
        <f>HYPERLINK("http://141.218.60.56/~jnz1568/getInfo.php?workbook=16_15.xlsx&amp;sheet=E0&amp;row=32&amp;col=12&amp;number=121299.7&amp;sourceID=54","121299.7")</f>
        <v>121299.7</v>
      </c>
    </row>
    <row r="33" spans="1:12">
      <c r="A33" s="3">
        <v>16</v>
      </c>
      <c r="B33" s="3">
        <v>15</v>
      </c>
      <c r="C33" s="3">
        <f/>
        <v>0</v>
      </c>
      <c r="D33" s="3" t="s">
        <v>28</v>
      </c>
      <c r="E33" s="3" t="s">
        <v>20</v>
      </c>
      <c r="F33" s="3">
        <v>2</v>
      </c>
      <c r="G33" s="3">
        <v>2</v>
      </c>
      <c r="H33" s="3">
        <v>0</v>
      </c>
      <c r="I33" s="3">
        <v>2.5</v>
      </c>
      <c r="J33" s="4" t="str">
        <f>HYPERLINK("http://141.218.60.56/~jnz1568/getInfo.php?workbook=16_15.xlsx&amp;sheet=E0&amp;row=33&amp;col=10&amp;number=121530.02&amp;sourceID=2","121530.02")</f>
        <v>121530.02</v>
      </c>
      <c r="K33" s="4" t="str">
        <f>HYPERLINK("http://141.218.60.56/~jnz1568/getInfo.php?workbook=16_15.xlsx&amp;sheet=E0&amp;row=33&amp;col=11&amp;number=121531.621362&amp;sourceID=53","121531.621362")</f>
        <v>121531.621362</v>
      </c>
      <c r="L33" s="4" t="str">
        <f>HYPERLINK("http://141.218.60.56/~jnz1568/getInfo.php?workbook=16_15.xlsx&amp;sheet=E0&amp;row=33&amp;col=12&amp;number=121299.8&amp;sourceID=54","121299.8")</f>
        <v>121299.8</v>
      </c>
    </row>
    <row r="34" spans="1:12">
      <c r="A34" s="3">
        <v>16</v>
      </c>
      <c r="B34" s="3">
        <v>15</v>
      </c>
      <c r="C34" s="3">
        <f/>
        <v>0</v>
      </c>
      <c r="D34" s="3" t="s">
        <v>29</v>
      </c>
      <c r="E34" s="3" t="s">
        <v>30</v>
      </c>
      <c r="F34" s="3">
        <v>2</v>
      </c>
      <c r="G34" s="3">
        <v>0</v>
      </c>
      <c r="H34" s="3">
        <v>1</v>
      </c>
      <c r="I34" s="3">
        <v>0.5</v>
      </c>
      <c r="J34" s="4" t="str">
        <f>HYPERLINK("http://141.218.60.56/~jnz1568/getInfo.php?workbook=16_15.xlsx&amp;sheet=E0&amp;row=34&amp;col=10&amp;number=125485.29&amp;sourceID=2","125485.29")</f>
        <v>125485.29</v>
      </c>
      <c r="K34" s="4" t="str">
        <f>HYPERLINK("http://141.218.60.56/~jnz1568/getInfo.php?workbook=16_15.xlsx&amp;sheet=E0&amp;row=34&amp;col=11&amp;number=125483.738064&amp;sourceID=53","125483.738064")</f>
        <v>125483.738064</v>
      </c>
      <c r="L34" s="4" t="str">
        <f>HYPERLINK("http://141.218.60.56/~jnz1568/getInfo.php?workbook=16_15.xlsx&amp;sheet=E0&amp;row=34&amp;col=12&amp;number=125055.9&amp;sourceID=54","125055.9")</f>
        <v>125055.9</v>
      </c>
    </row>
    <row r="35" spans="1:12">
      <c r="A35" s="3">
        <v>16</v>
      </c>
      <c r="B35" s="3">
        <v>15</v>
      </c>
      <c r="C35" s="3">
        <f/>
        <v>0</v>
      </c>
      <c r="D35" s="3" t="s">
        <v>31</v>
      </c>
      <c r="E35" s="3" t="s">
        <v>32</v>
      </c>
      <c r="F35" s="3">
        <v>2</v>
      </c>
      <c r="G35" s="3">
        <v>4</v>
      </c>
      <c r="H35" s="3">
        <v>0</v>
      </c>
      <c r="I35" s="3">
        <v>3.5</v>
      </c>
      <c r="J35" s="4" t="str">
        <f>HYPERLINK("http://141.218.60.56/~jnz1568/getInfo.php?workbook=16_15.xlsx&amp;sheet=E0&amp;row=35&amp;col=10&amp;number=127127.1&amp;sourceID=2","127127.1")</f>
        <v>127127.1</v>
      </c>
      <c r="K35" s="4" t="str">
        <f>HYPERLINK("http://141.218.60.56/~jnz1568/getInfo.php?workbook=16_15.xlsx&amp;sheet=E0&amp;row=35&amp;col=11&amp;number=127129.109099&amp;sourceID=53","127129.109099")</f>
        <v>127129.109099</v>
      </c>
      <c r="L35" s="4" t="str">
        <f>HYPERLINK("http://141.218.60.56/~jnz1568/getInfo.php?workbook=16_15.xlsx&amp;sheet=E0&amp;row=35&amp;col=12&amp;number=127770.6&amp;sourceID=54","127770.6")</f>
        <v>127770.6</v>
      </c>
    </row>
    <row r="36" spans="1:12">
      <c r="A36" s="3">
        <v>16</v>
      </c>
      <c r="B36" s="3">
        <v>15</v>
      </c>
      <c r="C36" s="3">
        <f/>
        <v>0</v>
      </c>
      <c r="D36" s="3" t="s">
        <v>31</v>
      </c>
      <c r="E36" s="3" t="s">
        <v>32</v>
      </c>
      <c r="F36" s="3">
        <v>2</v>
      </c>
      <c r="G36" s="3">
        <v>4</v>
      </c>
      <c r="H36" s="3">
        <v>0</v>
      </c>
      <c r="I36" s="3">
        <v>4.5</v>
      </c>
      <c r="J36" s="4" t="str">
        <f>HYPERLINK("http://141.218.60.56/~jnz1568/getInfo.php?workbook=16_15.xlsx&amp;sheet=E0&amp;row=36&amp;col=10&amp;number=127128.35&amp;sourceID=2","127128.35")</f>
        <v>127128.35</v>
      </c>
      <c r="K36" s="4" t="str">
        <f>HYPERLINK("http://141.218.60.56/~jnz1568/getInfo.php?workbook=16_15.xlsx&amp;sheet=E0&amp;row=36&amp;col=11&amp;number=127129.109099&amp;sourceID=53","127129.109099")</f>
        <v>127129.109099</v>
      </c>
      <c r="L36" s="4" t="str">
        <f>HYPERLINK("http://141.218.60.56/~jnz1568/getInfo.php?workbook=16_15.xlsx&amp;sheet=E0&amp;row=36&amp;col=12&amp;number=127773.5&amp;sourceID=54","127773.5")</f>
        <v>127773.5</v>
      </c>
    </row>
    <row r="37" spans="1:12">
      <c r="A37" s="3">
        <v>16</v>
      </c>
      <c r="B37" s="3">
        <v>15</v>
      </c>
      <c r="C37" s="3">
        <f>C36+1</f>
        <v>0</v>
      </c>
      <c r="D37" s="3" t="s">
        <v>29</v>
      </c>
      <c r="E37" s="3" t="s">
        <v>33</v>
      </c>
      <c r="F37" s="3">
        <v>4</v>
      </c>
      <c r="G37" s="3">
        <v>2</v>
      </c>
      <c r="H37" s="3">
        <v>1</v>
      </c>
      <c r="I37" s="3">
        <v>0.5</v>
      </c>
      <c r="J37" s="4" t="str">
        <f>HYPERLINK("http://141.218.60.56/~jnz1568/getInfo.php?workbook=16_15.xlsx&amp;sheet=E0&amp;row=37&amp;col=10&amp;number=127825.08&amp;sourceID=2","127825.08")</f>
        <v>127825.08</v>
      </c>
      <c r="K37" s="4" t="str">
        <f>HYPERLINK("http://141.218.60.56/~jnz1568/getInfo.php?workbook=16_15.xlsx&amp;sheet=E0&amp;row=37&amp;col=11&amp;number=127822.745908&amp;sourceID=53","127822.745908")</f>
        <v>127822.745908</v>
      </c>
      <c r="L37" s="4" t="str">
        <f>HYPERLINK("http://141.218.60.56/~jnz1568/getInfo.php?workbook=16_15.xlsx&amp;sheet=E0&amp;row=37&amp;col=12&amp;number=127515.4&amp;sourceID=54","127515.4")</f>
        <v>127515.4</v>
      </c>
    </row>
    <row r="38" spans="1:12">
      <c r="A38" s="3">
        <v>16</v>
      </c>
      <c r="B38" s="3">
        <v>15</v>
      </c>
      <c r="C38" s="3">
        <f/>
        <v>0</v>
      </c>
      <c r="D38" s="3" t="s">
        <v>29</v>
      </c>
      <c r="E38" s="3" t="s">
        <v>33</v>
      </c>
      <c r="F38" s="3">
        <v>4</v>
      </c>
      <c r="G38" s="3">
        <v>2</v>
      </c>
      <c r="H38" s="3">
        <v>1</v>
      </c>
      <c r="I38" s="3">
        <v>1.5</v>
      </c>
      <c r="J38" s="4" t="str">
        <f>HYPERLINK("http://141.218.60.56/~jnz1568/getInfo.php?workbook=16_15.xlsx&amp;sheet=E0&amp;row=38&amp;col=10&amp;number=127976.34&amp;sourceID=2","127976.34")</f>
        <v>127976.34</v>
      </c>
      <c r="K38" s="4" t="str">
        <f>HYPERLINK("http://141.218.60.56/~jnz1568/getInfo.php?workbook=16_15.xlsx&amp;sheet=E0&amp;row=38&amp;col=11&amp;number=127975.991249&amp;sourceID=53","127975.991249")</f>
        <v>127975.991249</v>
      </c>
      <c r="L38" s="4" t="str">
        <f>HYPERLINK("http://141.218.60.56/~jnz1568/getInfo.php?workbook=16_15.xlsx&amp;sheet=E0&amp;row=38&amp;col=12&amp;number=127650.3&amp;sourceID=54","127650.3")</f>
        <v>127650.3</v>
      </c>
    </row>
    <row r="39" spans="1:12">
      <c r="A39" s="3">
        <v>16</v>
      </c>
      <c r="B39" s="3">
        <v>15</v>
      </c>
      <c r="C39" s="3">
        <f/>
        <v>0</v>
      </c>
      <c r="D39" s="3" t="s">
        <v>29</v>
      </c>
      <c r="E39" s="3" t="s">
        <v>33</v>
      </c>
      <c r="F39" s="3">
        <v>4</v>
      </c>
      <c r="G39" s="3">
        <v>2</v>
      </c>
      <c r="H39" s="3">
        <v>1</v>
      </c>
      <c r="I39" s="3">
        <v>2.5</v>
      </c>
      <c r="J39" s="4" t="str">
        <f>HYPERLINK("http://141.218.60.56/~jnz1568/getInfo.php?workbook=16_15.xlsx&amp;sheet=E0&amp;row=39&amp;col=10&amp;number=128233.2&amp;sourceID=2","128233.2")</f>
        <v>128233.2</v>
      </c>
      <c r="K39" s="4" t="str">
        <f>HYPERLINK("http://141.218.60.56/~jnz1568/getInfo.php?workbook=16_15.xlsx&amp;sheet=E0&amp;row=39&amp;col=11&amp;number=128234.088667&amp;sourceID=53","128234.088667")</f>
        <v>128234.088667</v>
      </c>
      <c r="L39" s="4" t="str">
        <f>HYPERLINK("http://141.218.60.56/~jnz1568/getInfo.php?workbook=16_15.xlsx&amp;sheet=E0&amp;row=39&amp;col=12&amp;number=127879&amp;sourceID=54","127879")</f>
        <v>127879</v>
      </c>
    </row>
    <row r="40" spans="1:12">
      <c r="A40" s="3">
        <v>16</v>
      </c>
      <c r="B40" s="3">
        <v>15</v>
      </c>
      <c r="C40" s="3">
        <f/>
        <v>0</v>
      </c>
      <c r="D40" s="3" t="s">
        <v>29</v>
      </c>
      <c r="E40" s="3" t="s">
        <v>33</v>
      </c>
      <c r="F40" s="3">
        <v>4</v>
      </c>
      <c r="G40" s="3">
        <v>2</v>
      </c>
      <c r="H40" s="3">
        <v>1</v>
      </c>
      <c r="I40" s="3">
        <v>3.5</v>
      </c>
      <c r="J40" s="4" t="str">
        <f>HYPERLINK("http://141.218.60.56/~jnz1568/getInfo.php?workbook=16_15.xlsx&amp;sheet=E0&amp;row=40&amp;col=10&amp;number=128599.16&amp;sourceID=2","128599.16")</f>
        <v>128599.16</v>
      </c>
      <c r="K40" s="4" t="str">
        <f>HYPERLINK("http://141.218.60.56/~jnz1568/getInfo.php?workbook=16_15.xlsx&amp;sheet=E0&amp;row=40&amp;col=11&amp;number=128597.03816&amp;sourceID=53","128597.03816")</f>
        <v>128597.03816</v>
      </c>
      <c r="L40" s="4" t="str">
        <f>HYPERLINK("http://141.218.60.56/~jnz1568/getInfo.php?workbook=16_15.xlsx&amp;sheet=E0&amp;row=40&amp;col=12&amp;number=128205&amp;sourceID=54","128205")</f>
        <v>128205</v>
      </c>
    </row>
    <row r="41" spans="1:12">
      <c r="A41" s="3">
        <v>16</v>
      </c>
      <c r="B41" s="3">
        <v>15</v>
      </c>
      <c r="C41" s="3">
        <f/>
        <v>0</v>
      </c>
      <c r="D41" s="3" t="s">
        <v>29</v>
      </c>
      <c r="E41" s="3" t="s">
        <v>34</v>
      </c>
      <c r="F41" s="3">
        <v>4</v>
      </c>
      <c r="G41" s="3">
        <v>1</v>
      </c>
      <c r="H41" s="3">
        <v>1</v>
      </c>
      <c r="I41" s="3">
        <v>0.5</v>
      </c>
      <c r="J41" s="4" t="str">
        <f>HYPERLINK("http://141.218.60.56/~jnz1568/getInfo.php?workbook=16_15.xlsx&amp;sheet=E0&amp;row=41&amp;col=10&amp;number=129787.83&amp;sourceID=2","129787.83")</f>
        <v>129787.83</v>
      </c>
      <c r="K41" s="4" t="str">
        <f>HYPERLINK("http://141.218.60.56/~jnz1568/getInfo.php?workbook=16_15.xlsx&amp;sheet=E0&amp;row=41&amp;col=11&amp;number=129790.738715&amp;sourceID=53","129790.738715")</f>
        <v>129790.738715</v>
      </c>
      <c r="L41" s="4" t="str">
        <f>HYPERLINK("http://141.218.60.56/~jnz1568/getInfo.php?workbook=16_15.xlsx&amp;sheet=E0&amp;row=41&amp;col=12&amp;number=129382.9&amp;sourceID=54","129382.9")</f>
        <v>129382.9</v>
      </c>
    </row>
    <row r="42" spans="1:12">
      <c r="A42" s="3">
        <v>16</v>
      </c>
      <c r="B42" s="3">
        <v>15</v>
      </c>
      <c r="C42" s="3">
        <f/>
        <v>0</v>
      </c>
      <c r="D42" s="3" t="s">
        <v>29</v>
      </c>
      <c r="E42" s="3" t="s">
        <v>34</v>
      </c>
      <c r="F42" s="3">
        <v>4</v>
      </c>
      <c r="G42" s="3">
        <v>1</v>
      </c>
      <c r="H42" s="3">
        <v>1</v>
      </c>
      <c r="I42" s="3">
        <v>1.5</v>
      </c>
      <c r="J42" s="4" t="str">
        <f>HYPERLINK("http://141.218.60.56/~jnz1568/getInfo.php?workbook=16_15.xlsx&amp;sheet=E0&amp;row=42&amp;col=10&amp;number=129858.18&amp;sourceID=2","129858.18")</f>
        <v>129858.18</v>
      </c>
      <c r="K42" s="4" t="str">
        <f>HYPERLINK("http://141.218.60.56/~jnz1568/getInfo.php?workbook=16_15.xlsx&amp;sheet=E0&amp;row=42&amp;col=11&amp;number=129855.263069&amp;sourceID=53","129855.263069")</f>
        <v>129855.263069</v>
      </c>
      <c r="L42" s="4" t="str">
        <f>HYPERLINK("http://141.218.60.56/~jnz1568/getInfo.php?workbook=16_15.xlsx&amp;sheet=E0&amp;row=42&amp;col=12&amp;number=129452.4&amp;sourceID=54","129452.4")</f>
        <v>129452.4</v>
      </c>
    </row>
    <row r="43" spans="1:12">
      <c r="A43" s="3">
        <v>16</v>
      </c>
      <c r="B43" s="3">
        <v>15</v>
      </c>
      <c r="C43" s="3">
        <f/>
        <v>0</v>
      </c>
      <c r="D43" s="3" t="s">
        <v>29</v>
      </c>
      <c r="E43" s="3" t="s">
        <v>34</v>
      </c>
      <c r="F43" s="3">
        <v>4</v>
      </c>
      <c r="G43" s="3">
        <v>1</v>
      </c>
      <c r="H43" s="3">
        <v>1</v>
      </c>
      <c r="I43" s="3">
        <v>2.5</v>
      </c>
      <c r="J43" s="4" t="str">
        <f>HYPERLINK("http://141.218.60.56/~jnz1568/getInfo.php?workbook=16_15.xlsx&amp;sheet=E0&amp;row=43&amp;col=10&amp;number=130134.16&amp;sourceID=2","130134.16")</f>
        <v>130134.16</v>
      </c>
      <c r="K43" s="4" t="str">
        <f>HYPERLINK("http://141.218.60.56/~jnz1568/getInfo.php?workbook=16_15.xlsx&amp;sheet=E0&amp;row=43&amp;col=11&amp;number=130137.557119&amp;sourceID=53","130137.557119")</f>
        <v>130137.557119</v>
      </c>
      <c r="L43" s="4" t="str">
        <f>HYPERLINK("http://141.218.60.56/~jnz1568/getInfo.php?workbook=16_15.xlsx&amp;sheet=E0&amp;row=43&amp;col=12&amp;number=129703&amp;sourceID=54","129703")</f>
        <v>129703</v>
      </c>
    </row>
    <row r="44" spans="1:12">
      <c r="A44" s="3">
        <v>16</v>
      </c>
      <c r="B44" s="3">
        <v>15</v>
      </c>
      <c r="C44" s="3">
        <f/>
        <v>0</v>
      </c>
      <c r="D44" s="3" t="s">
        <v>21</v>
      </c>
      <c r="E44" s="3" t="s">
        <v>19</v>
      </c>
      <c r="F44" s="3">
        <v>4</v>
      </c>
      <c r="G44" s="3">
        <v>1</v>
      </c>
      <c r="H44" s="3">
        <v>0</v>
      </c>
      <c r="I44" s="3">
        <v>2.5</v>
      </c>
      <c r="J44" s="4" t="str">
        <f>HYPERLINK("http://141.218.60.56/~jnz1568/getInfo.php?workbook=16_15.xlsx&amp;sheet=E0&amp;row=44&amp;col=10&amp;number=130602.21&amp;sourceID=2","130602.21")</f>
        <v>130602.21</v>
      </c>
      <c r="K44" s="4" t="str">
        <f>HYPERLINK("http://141.218.60.56/~jnz1568/getInfo.php?workbook=16_15.xlsx&amp;sheet=E0&amp;row=44&amp;col=11&amp;number=130605.358688&amp;sourceID=53","130605.358688")</f>
        <v>130605.358688</v>
      </c>
      <c r="L44" s="4" t="str">
        <f>HYPERLINK("http://141.218.60.56/~jnz1568/getInfo.php?workbook=16_15.xlsx&amp;sheet=E0&amp;row=44&amp;col=12&amp;number=131099.9&amp;sourceID=54","131099.9")</f>
        <v>131099.9</v>
      </c>
    </row>
    <row r="45" spans="1:12">
      <c r="A45" s="3">
        <v>16</v>
      </c>
      <c r="B45" s="3">
        <v>15</v>
      </c>
      <c r="C45" s="3">
        <f/>
        <v>0</v>
      </c>
      <c r="D45" s="3" t="s">
        <v>29</v>
      </c>
      <c r="E45" s="3" t="s">
        <v>16</v>
      </c>
      <c r="F45" s="3">
        <v>2</v>
      </c>
      <c r="G45" s="3">
        <v>2</v>
      </c>
      <c r="H45" s="3">
        <v>1</v>
      </c>
      <c r="I45" s="3">
        <v>1.5</v>
      </c>
      <c r="J45" s="4" t="str">
        <f>HYPERLINK("http://141.218.60.56/~jnz1568/getInfo.php?workbook=16_15.xlsx&amp;sheet=E0&amp;row=45&amp;col=10&amp;number=130641.11&amp;sourceID=2","130641.11")</f>
        <v>130641.11</v>
      </c>
      <c r="K45" s="4" t="str">
        <f>HYPERLINK("http://141.218.60.56/~jnz1568/getInfo.php?workbook=16_15.xlsx&amp;sheet=E0&amp;row=45&amp;col=11&amp;number=130637.620865&amp;sourceID=53","130637.620865")</f>
        <v>130637.620865</v>
      </c>
      <c r="L45" s="4" t="str">
        <f>HYPERLINK("http://141.218.60.56/~jnz1568/getInfo.php?workbook=16_15.xlsx&amp;sheet=E0&amp;row=45&amp;col=12&amp;number=130362.7&amp;sourceID=54","130362.7")</f>
        <v>130362.7</v>
      </c>
    </row>
    <row r="46" spans="1:12">
      <c r="A46" s="3">
        <v>16</v>
      </c>
      <c r="B46" s="3">
        <v>15</v>
      </c>
      <c r="C46" s="3">
        <f/>
        <v>0</v>
      </c>
      <c r="D46" s="3" t="s">
        <v>21</v>
      </c>
      <c r="E46" s="3" t="s">
        <v>19</v>
      </c>
      <c r="F46" s="3">
        <v>4</v>
      </c>
      <c r="G46" s="3">
        <v>1</v>
      </c>
      <c r="H46" s="3">
        <v>0</v>
      </c>
      <c r="I46" s="3">
        <v>1.5</v>
      </c>
      <c r="J46" s="4" t="str">
        <f>HYPERLINK("http://141.218.60.56/~jnz1568/getInfo.php?workbook=16_15.xlsx&amp;sheet=E0&amp;row=46&amp;col=10&amp;number=130818.85&amp;sourceID=2","130818.85")</f>
        <v>130818.85</v>
      </c>
      <c r="K46" s="4" t="str">
        <f>HYPERLINK("http://141.218.60.56/~jnz1568/getInfo.php?workbook=16_15.xlsx&amp;sheet=E0&amp;row=46&amp;col=11&amp;number=130815.06284&amp;sourceID=53","130815.06284")</f>
        <v>130815.06284</v>
      </c>
      <c r="L46" s="4" t="str">
        <f>HYPERLINK("http://141.218.60.56/~jnz1568/getInfo.php?workbook=16_15.xlsx&amp;sheet=E0&amp;row=46&amp;col=12&amp;number=131292.2&amp;sourceID=54","131292.2")</f>
        <v>131292.2</v>
      </c>
    </row>
    <row r="47" spans="1:12">
      <c r="A47" s="3">
        <v>16</v>
      </c>
      <c r="B47" s="3">
        <v>15</v>
      </c>
      <c r="C47" s="3">
        <f/>
        <v>0</v>
      </c>
      <c r="D47" s="3" t="s">
        <v>21</v>
      </c>
      <c r="E47" s="3" t="s">
        <v>19</v>
      </c>
      <c r="F47" s="3">
        <v>4</v>
      </c>
      <c r="G47" s="3">
        <v>1</v>
      </c>
      <c r="H47" s="3">
        <v>0</v>
      </c>
      <c r="I47" s="3">
        <v>0.5</v>
      </c>
      <c r="J47" s="4" t="str">
        <f>HYPERLINK("http://141.218.60.56/~jnz1568/getInfo.php?workbook=16_15.xlsx&amp;sheet=E0&amp;row=47&amp;col=10&amp;number=130948.94&amp;sourceID=2","130948.94")</f>
        <v>130948.94</v>
      </c>
      <c r="K47" s="4" t="str">
        <f>HYPERLINK("http://141.218.60.56/~jnz1568/getInfo.php?workbook=16_15.xlsx&amp;sheet=E0&amp;row=47&amp;col=11&amp;number=130952.177092&amp;sourceID=53","130952.177092")</f>
        <v>130952.177092</v>
      </c>
      <c r="L47" s="4" t="str">
        <f>HYPERLINK("http://141.218.60.56/~jnz1568/getInfo.php?workbook=16_15.xlsx&amp;sheet=E0&amp;row=47&amp;col=12&amp;number=131406.4&amp;sourceID=54","131406.4")</f>
        <v>131406.4</v>
      </c>
    </row>
    <row r="48" spans="1:12">
      <c r="A48" s="3">
        <v>16</v>
      </c>
      <c r="B48" s="3">
        <v>15</v>
      </c>
      <c r="C48" s="3">
        <f/>
        <v>0</v>
      </c>
      <c r="D48" s="3" t="s">
        <v>29</v>
      </c>
      <c r="E48" s="3" t="s">
        <v>15</v>
      </c>
      <c r="F48" s="3">
        <v>4</v>
      </c>
      <c r="G48" s="3">
        <v>0</v>
      </c>
      <c r="H48" s="3">
        <v>1</v>
      </c>
      <c r="I48" s="3">
        <v>1.5</v>
      </c>
      <c r="J48" s="4" t="str">
        <f>HYPERLINK("http://141.218.60.56/~jnz1568/getInfo.php?workbook=16_15.xlsx&amp;sheet=E0&amp;row=48&amp;col=10&amp;number=131028.85&amp;sourceID=2","131028.85")</f>
        <v>131028.85</v>
      </c>
      <c r="K48" s="4" t="str">
        <f>HYPERLINK("http://141.218.60.56/~jnz1568/getInfo.php?workbook=16_15.xlsx&amp;sheet=E0&amp;row=48&amp;col=11&amp;number=131032.832535&amp;sourceID=53","131032.832535")</f>
        <v>131032.832535</v>
      </c>
      <c r="L48" s="4" t="str">
        <f>HYPERLINK("http://141.218.60.56/~jnz1568/getInfo.php?workbook=16_15.xlsx&amp;sheet=E0&amp;row=48&amp;col=12&amp;number=130537.8&amp;sourceID=54","130537.8")</f>
        <v>130537.8</v>
      </c>
    </row>
    <row r="49" spans="1:12">
      <c r="A49" s="3">
        <v>16</v>
      </c>
      <c r="B49" s="3">
        <v>15</v>
      </c>
      <c r="C49" s="3">
        <f/>
        <v>0</v>
      </c>
      <c r="D49" s="3" t="s">
        <v>29</v>
      </c>
      <c r="E49" s="3" t="s">
        <v>16</v>
      </c>
      <c r="F49" s="3">
        <v>2</v>
      </c>
      <c r="G49" s="3">
        <v>2</v>
      </c>
      <c r="H49" s="3">
        <v>1</v>
      </c>
      <c r="I49" s="3">
        <v>2.5</v>
      </c>
      <c r="J49" s="4" t="str">
        <f>HYPERLINK("http://141.218.60.56/~jnz1568/getInfo.php?workbook=16_15.xlsx&amp;sheet=E0&amp;row=49&amp;col=10&amp;number=131187.19&amp;sourceID=2","131187.19")</f>
        <v>131187.19</v>
      </c>
      <c r="K49" s="4" t="str">
        <f>HYPERLINK("http://141.218.60.56/~jnz1568/getInfo.php?workbook=16_15.xlsx&amp;sheet=E0&amp;row=49&amp;col=11&amp;number=131186.077877&amp;sourceID=53","131186.077877")</f>
        <v>131186.077877</v>
      </c>
      <c r="L49" s="4" t="str">
        <f>HYPERLINK("http://141.218.60.56/~jnz1568/getInfo.php?workbook=16_15.xlsx&amp;sheet=E0&amp;row=49&amp;col=12&amp;number=130844.5&amp;sourceID=54","130844.5")</f>
        <v>130844.5</v>
      </c>
    </row>
    <row r="50" spans="1:12">
      <c r="A50" s="3">
        <v>16</v>
      </c>
      <c r="B50" s="3">
        <v>15</v>
      </c>
      <c r="C50" s="3">
        <f/>
        <v>0</v>
      </c>
      <c r="D50" s="3" t="s">
        <v>29</v>
      </c>
      <c r="E50" s="3" t="s">
        <v>17</v>
      </c>
      <c r="F50" s="3">
        <v>2</v>
      </c>
      <c r="G50" s="3">
        <v>1</v>
      </c>
      <c r="H50" s="3">
        <v>1</v>
      </c>
      <c r="I50" s="3">
        <v>0.5</v>
      </c>
      <c r="J50" s="4" t="str">
        <f>HYPERLINK("http://141.218.60.56/~jnz1568/getInfo.php?workbook=16_15.xlsx&amp;sheet=E0&amp;row=50&amp;col=10&amp;number=133268.68&amp;sourceID=2","133268.68")</f>
        <v>133268.68</v>
      </c>
      <c r="K50" s="4" t="str">
        <f>HYPERLINK("http://141.218.60.56/~jnz1568/getInfo.php?workbook=16_15.xlsx&amp;sheet=E0&amp;row=50&amp;col=11&amp;number=133266.988304&amp;sourceID=53","133266.988304")</f>
        <v>133266.988304</v>
      </c>
      <c r="L50" s="4" t="str">
        <f>HYPERLINK("http://141.218.60.56/~jnz1568/getInfo.php?workbook=16_15.xlsx&amp;sheet=E0&amp;row=50&amp;col=12&amp;number=132986.5&amp;sourceID=54","132986.5")</f>
        <v>132986.5</v>
      </c>
    </row>
    <row r="51" spans="1:12">
      <c r="A51" s="3">
        <v>16</v>
      </c>
      <c r="B51" s="3">
        <v>15</v>
      </c>
      <c r="C51" s="3">
        <f/>
        <v>0</v>
      </c>
      <c r="D51" s="3" t="s">
        <v>21</v>
      </c>
      <c r="E51" s="3" t="s">
        <v>20</v>
      </c>
      <c r="F51" s="3">
        <v>2</v>
      </c>
      <c r="G51" s="3">
        <v>2</v>
      </c>
      <c r="H51" s="3">
        <v>0</v>
      </c>
      <c r="I51" s="3">
        <v>1.5</v>
      </c>
      <c r="J51" s="4" t="str">
        <f>HYPERLINK("http://141.218.60.56/~jnz1568/getInfo.php?workbook=16_15.xlsx&amp;sheet=E0&amp;row=51&amp;col=10&amp;number=133360.86&amp;sourceID=2","133360.86")</f>
        <v>133360.86</v>
      </c>
      <c r="K51" s="4" t="str">
        <f>HYPERLINK("http://141.218.60.56/~jnz1568/getInfo.php?workbook=16_15.xlsx&amp;sheet=E0&amp;row=51&amp;col=11&amp;number=133363.774835&amp;sourceID=53","133363.774835")</f>
        <v>133363.774835</v>
      </c>
      <c r="L51" s="4" t="str">
        <f>HYPERLINK("http://141.218.60.56/~jnz1568/getInfo.php?workbook=16_15.xlsx&amp;sheet=E0&amp;row=51&amp;col=12&amp;number=133914.9&amp;sourceID=54","133914.9")</f>
        <v>133914.9</v>
      </c>
    </row>
    <row r="52" spans="1:12">
      <c r="A52" s="3">
        <v>16</v>
      </c>
      <c r="B52" s="3">
        <v>15</v>
      </c>
      <c r="C52" s="3">
        <f/>
        <v>0</v>
      </c>
      <c r="D52" s="3" t="s">
        <v>29</v>
      </c>
      <c r="E52" s="3" t="s">
        <v>17</v>
      </c>
      <c r="F52" s="3">
        <v>2</v>
      </c>
      <c r="G52" s="3">
        <v>1</v>
      </c>
      <c r="H52" s="3">
        <v>1</v>
      </c>
      <c r="I52" s="3">
        <v>1.5</v>
      </c>
      <c r="J52" s="4" t="str">
        <f>HYPERLINK("http://141.218.60.56/~jnz1568/getInfo.php?workbook=16_15.xlsx&amp;sheet=E0&amp;row=52&amp;col=10&amp;number=133399.97&amp;sourceID=2","133399.97")</f>
        <v>133399.97</v>
      </c>
      <c r="K52" s="4" t="str">
        <f>HYPERLINK("http://141.218.60.56/~jnz1568/getInfo.php?workbook=16_15.xlsx&amp;sheet=E0&amp;row=52&amp;col=11&amp;number=133396.037012&amp;sourceID=53","133396.037012")</f>
        <v>133396.037012</v>
      </c>
      <c r="L52" s="4" t="str">
        <f>HYPERLINK("http://141.218.60.56/~jnz1568/getInfo.php?workbook=16_15.xlsx&amp;sheet=E0&amp;row=52&amp;col=12&amp;number=133105&amp;sourceID=54","133105")</f>
        <v>133105</v>
      </c>
    </row>
    <row r="53" spans="1:12">
      <c r="A53" s="3">
        <v>16</v>
      </c>
      <c r="B53" s="3">
        <v>15</v>
      </c>
      <c r="C53" s="3">
        <f/>
        <v>0</v>
      </c>
      <c r="D53" s="3" t="s">
        <v>21</v>
      </c>
      <c r="E53" s="3" t="s">
        <v>20</v>
      </c>
      <c r="F53" s="3">
        <v>2</v>
      </c>
      <c r="G53" s="3">
        <v>2</v>
      </c>
      <c r="H53" s="3">
        <v>0</v>
      </c>
      <c r="I53" s="3">
        <v>2.5</v>
      </c>
      <c r="J53" s="4" t="str">
        <f>HYPERLINK("http://141.218.60.56/~jnz1568/getInfo.php?workbook=16_15.xlsx&amp;sheet=E0&amp;row=53&amp;col=10&amp;number=133814.84&amp;sourceID=2","133814.84")</f>
        <v>133814.84</v>
      </c>
      <c r="K53" s="4" t="str">
        <f>HYPERLINK("http://141.218.60.56/~jnz1568/getInfo.php?workbook=16_15.xlsx&amp;sheet=E0&amp;row=53&amp;col=11&amp;number=133815.445315&amp;sourceID=53","133815.445315")</f>
        <v>133815.445315</v>
      </c>
      <c r="L53" s="4" t="str">
        <f>HYPERLINK("http://141.218.60.56/~jnz1568/getInfo.php?workbook=16_15.xlsx&amp;sheet=E0&amp;row=53&amp;col=12&amp;number=134346.2&amp;sourceID=54","134346.2")</f>
        <v>134346.2</v>
      </c>
    </row>
    <row r="54" spans="1:12">
      <c r="A54" s="3">
        <v>16</v>
      </c>
      <c r="B54" s="3">
        <v>15</v>
      </c>
      <c r="C54" s="3">
        <f/>
        <v>0</v>
      </c>
      <c r="D54" s="3" t="s">
        <v>35</v>
      </c>
      <c r="E54" s="3" t="s">
        <v>27</v>
      </c>
      <c r="F54" s="3">
        <v>2</v>
      </c>
      <c r="G54" s="3">
        <v>0</v>
      </c>
      <c r="H54" s="3">
        <v>0</v>
      </c>
      <c r="I54" s="3">
        <v>0.5</v>
      </c>
      <c r="J54" s="4" t="str">
        <f>HYPERLINK("http://141.218.60.56/~jnz1568/getInfo.php?workbook=16_15.xlsx&amp;sheet=E0&amp;row=54&amp;col=10&amp;number=136328.79&amp;sourceID=2","136328.79")</f>
        <v>136328.79</v>
      </c>
      <c r="K54" s="4" t="str">
        <f>HYPERLINK("http://141.218.60.56/~jnz1568/getInfo.php?workbook=16_15.xlsx&amp;sheet=E0&amp;row=54&amp;col=11&amp;number=136331.895134&amp;sourceID=53","136331.895134")</f>
        <v>136331.895134</v>
      </c>
      <c r="L54" s="4" t="str">
        <f>HYPERLINK("http://141.218.60.56/~jnz1568/getInfo.php?workbook=16_15.xlsx&amp;sheet=E0&amp;row=54&amp;col=12&amp;number=136025.7&amp;sourceID=54","136025.7")</f>
        <v>136025.7</v>
      </c>
    </row>
    <row r="55" spans="1:12">
      <c r="A55" s="3">
        <v>16</v>
      </c>
      <c r="B55" s="3">
        <v>15</v>
      </c>
      <c r="C55" s="3">
        <f/>
        <v>0</v>
      </c>
      <c r="D55" s="3" t="s">
        <v>31</v>
      </c>
      <c r="E55" s="3" t="s">
        <v>26</v>
      </c>
      <c r="F55" s="3">
        <v>2</v>
      </c>
      <c r="G55" s="3">
        <v>3</v>
      </c>
      <c r="H55" s="3">
        <v>0</v>
      </c>
      <c r="I55" s="3">
        <v>2.5</v>
      </c>
      <c r="J55" s="4" t="str">
        <f>HYPERLINK("http://141.218.60.56/~jnz1568/getInfo.php?workbook=16_15.xlsx&amp;sheet=E0&amp;row=55&amp;col=10&amp;number=138509.17&amp;sourceID=2","138509.17")</f>
        <v>138509.17</v>
      </c>
      <c r="K55" s="4" t="str">
        <f>HYPERLINK("http://141.218.60.56/~jnz1568/getInfo.php?workbook=16_15.xlsx&amp;sheet=E0&amp;row=55&amp;col=11&amp;number=138509.592092&amp;sourceID=53","138509.592092")</f>
        <v>138509.592092</v>
      </c>
      <c r="L55" s="4" t="str">
        <f>HYPERLINK("http://141.218.60.56/~jnz1568/getInfo.php?workbook=16_15.xlsx&amp;sheet=E0&amp;row=55&amp;col=12&amp;number=139950.3&amp;sourceID=54","139950.3")</f>
        <v>139950.3</v>
      </c>
    </row>
    <row r="56" spans="1:12">
      <c r="A56" s="3">
        <v>16</v>
      </c>
      <c r="B56" s="3">
        <v>15</v>
      </c>
      <c r="C56" s="3">
        <f/>
        <v>0</v>
      </c>
      <c r="D56" s="3" t="s">
        <v>31</v>
      </c>
      <c r="E56" s="3" t="s">
        <v>26</v>
      </c>
      <c r="F56" s="3">
        <v>2</v>
      </c>
      <c r="G56" s="3">
        <v>3</v>
      </c>
      <c r="H56" s="3">
        <v>0</v>
      </c>
      <c r="I56" s="3">
        <v>3.5</v>
      </c>
      <c r="J56" s="4" t="str">
        <f>HYPERLINK("http://141.218.60.56/~jnz1568/getInfo.php?workbook=16_15.xlsx&amp;sheet=E0&amp;row=56&amp;col=10&amp;number=138527.98&amp;sourceID=2","138527.98")</f>
        <v>138527.98</v>
      </c>
      <c r="K56" s="4" t="str">
        <f>HYPERLINK("http://141.218.60.56/~jnz1568/getInfo.php?workbook=16_15.xlsx&amp;sheet=E0&amp;row=56&amp;col=11&amp;number=138525.723181&amp;sourceID=53","138525.723181")</f>
        <v>138525.723181</v>
      </c>
      <c r="L56" s="4" t="str">
        <f>HYPERLINK("http://141.218.60.56/~jnz1568/getInfo.php?workbook=16_15.xlsx&amp;sheet=E0&amp;row=56&amp;col=12&amp;number=139956.3&amp;sourceID=54","139956.3")</f>
        <v>139956.3</v>
      </c>
    </row>
    <row r="57" spans="1:12">
      <c r="A57" s="3">
        <v>16</v>
      </c>
      <c r="B57" s="3">
        <v>15</v>
      </c>
      <c r="C57" s="3">
        <f/>
        <v>0</v>
      </c>
      <c r="D57" s="3" t="s">
        <v>31</v>
      </c>
      <c r="E57" s="3" t="s">
        <v>22</v>
      </c>
      <c r="F57" s="3">
        <v>2</v>
      </c>
      <c r="G57" s="3">
        <v>1</v>
      </c>
      <c r="H57" s="3">
        <v>0</v>
      </c>
      <c r="I57" s="3">
        <v>0.5</v>
      </c>
      <c r="J57" s="4" t="str">
        <f>HYPERLINK("http://141.218.60.56/~jnz1568/getInfo.php?workbook=16_15.xlsx&amp;sheet=E0&amp;row=57&amp;col=10&amp;number=139844.99&amp;sourceID=2","139844.99")</f>
        <v>139844.99</v>
      </c>
      <c r="K57" s="4" t="str">
        <f>HYPERLINK("http://141.218.60.56/~jnz1568/getInfo.php?workbook=16_15.xlsx&amp;sheet=E0&amp;row=57&amp;col=11&amp;number=139848.472444&amp;sourceID=53","139848.472444")</f>
        <v>139848.472444</v>
      </c>
      <c r="L57" s="4" t="str">
        <f>HYPERLINK("http://141.218.60.56/~jnz1568/getInfo.php?workbook=16_15.xlsx&amp;sheet=E0&amp;row=57&amp;col=12&amp;number=140484.9&amp;sourceID=54","140484.9")</f>
        <v>140484.9</v>
      </c>
    </row>
    <row r="58" spans="1:12">
      <c r="A58" s="3">
        <v>16</v>
      </c>
      <c r="B58" s="3">
        <v>15</v>
      </c>
      <c r="C58" s="3">
        <f/>
        <v>0</v>
      </c>
      <c r="D58" s="3" t="s">
        <v>31</v>
      </c>
      <c r="E58" s="3" t="s">
        <v>22</v>
      </c>
      <c r="F58" s="3">
        <v>2</v>
      </c>
      <c r="G58" s="3">
        <v>1</v>
      </c>
      <c r="H58" s="3">
        <v>0</v>
      </c>
      <c r="I58" s="3">
        <v>1.5</v>
      </c>
      <c r="J58" s="4" t="str">
        <f>HYPERLINK("http://141.218.60.56/~jnz1568/getInfo.php?workbook=16_15.xlsx&amp;sheet=E0&amp;row=58&amp;col=10&amp;number=140016.77&amp;sourceID=2","140016.77")</f>
        <v>140016.77</v>
      </c>
      <c r="K58" s="4" t="str">
        <f>HYPERLINK("http://141.218.60.56/~jnz1568/getInfo.php?workbook=16_15.xlsx&amp;sheet=E0&amp;row=58&amp;col=11&amp;number=140017.848874&amp;sourceID=53","140017.848874")</f>
        <v>140017.848874</v>
      </c>
      <c r="L58" s="4" t="str">
        <f>HYPERLINK("http://141.218.60.56/~jnz1568/getInfo.php?workbook=16_15.xlsx&amp;sheet=E0&amp;row=58&amp;col=12&amp;number=140666.9&amp;sourceID=54","140666.9")</f>
        <v>140666.9</v>
      </c>
    </row>
    <row r="59" spans="1:12">
      <c r="A59" s="3">
        <v>16</v>
      </c>
      <c r="B59" s="3">
        <v>15</v>
      </c>
      <c r="C59" s="3">
        <f/>
        <v>0</v>
      </c>
      <c r="D59" s="3" t="s">
        <v>36</v>
      </c>
      <c r="E59" s="3" t="s">
        <v>37</v>
      </c>
      <c r="F59" s="3">
        <v>2</v>
      </c>
      <c r="G59" s="3">
        <v>3</v>
      </c>
      <c r="H59" s="3">
        <v>1</v>
      </c>
      <c r="I59" s="3">
        <v>2.5</v>
      </c>
      <c r="J59" s="4" t="str">
        <f>HYPERLINK("http://141.218.60.56/~jnz1568/getInfo.php?workbook=16_15.xlsx&amp;sheet=E0&amp;row=59&amp;col=10&amp;number=140230.1&amp;sourceID=2","140230.1")</f>
        <v>140230.1</v>
      </c>
      <c r="K59" s="4" t="str">
        <f>HYPERLINK("http://141.218.60.56/~jnz1568/getInfo.php?workbook=16_15.xlsx&amp;sheet=E0&amp;row=59&amp;col=11&amp;number=140227.553026&amp;sourceID=53","140227.553026")</f>
        <v>140227.553026</v>
      </c>
      <c r="L59" s="4" t="str">
        <f>HYPERLINK("http://141.218.60.56/~jnz1568/getInfo.php?workbook=16_15.xlsx&amp;sheet=E0&amp;row=59&amp;col=12&amp;number=140358.4&amp;sourceID=54","140358.4")</f>
        <v>140358.4</v>
      </c>
    </row>
    <row r="60" spans="1:12">
      <c r="A60" s="3">
        <v>16</v>
      </c>
      <c r="B60" s="3">
        <v>15</v>
      </c>
      <c r="C60" s="3">
        <f/>
        <v>0</v>
      </c>
      <c r="D60" s="3" t="s">
        <v>36</v>
      </c>
      <c r="E60" s="3" t="s">
        <v>37</v>
      </c>
      <c r="F60" s="3">
        <v>2</v>
      </c>
      <c r="G60" s="3">
        <v>3</v>
      </c>
      <c r="H60" s="3">
        <v>1</v>
      </c>
      <c r="I60" s="3">
        <v>3.5</v>
      </c>
      <c r="J60" s="4" t="str">
        <f>HYPERLINK("http://141.218.60.56/~jnz1568/getInfo.php?workbook=16_15.xlsx&amp;sheet=E0&amp;row=60&amp;col=10&amp;number=140319.23&amp;sourceID=2","140319.23")</f>
        <v>140319.23</v>
      </c>
      <c r="K60" s="4" t="str">
        <f>HYPERLINK("http://141.218.60.56/~jnz1568/getInfo.php?workbook=16_15.xlsx&amp;sheet=E0&amp;row=60&amp;col=11&amp;number=140316.274013&amp;sourceID=53","140316.274013")</f>
        <v>140316.274013</v>
      </c>
      <c r="L60" s="4" t="str">
        <f>HYPERLINK("http://141.218.60.56/~jnz1568/getInfo.php?workbook=16_15.xlsx&amp;sheet=E0&amp;row=60&amp;col=12&amp;number=140436.2&amp;sourceID=54","140436.2")</f>
        <v>140436.2</v>
      </c>
    </row>
    <row r="61" spans="1:12">
      <c r="A61" s="3">
        <v>16</v>
      </c>
      <c r="B61" s="3">
        <v>15</v>
      </c>
      <c r="C61" s="3">
        <f/>
        <v>0</v>
      </c>
      <c r="D61" s="3" t="s">
        <v>36</v>
      </c>
      <c r="E61" s="3" t="s">
        <v>16</v>
      </c>
      <c r="F61" s="3">
        <v>2</v>
      </c>
      <c r="G61" s="3">
        <v>2</v>
      </c>
      <c r="H61" s="3">
        <v>1</v>
      </c>
      <c r="I61" s="3">
        <v>2.5</v>
      </c>
      <c r="J61" s="4" t="str">
        <f>HYPERLINK("http://141.218.60.56/~jnz1568/getInfo.php?workbook=16_15.xlsx&amp;sheet=E0&amp;row=61&amp;col=10&amp;number=140708.89&amp;sourceID=2","140708.89")</f>
        <v>140708.89</v>
      </c>
      <c r="K61" s="4" t="str">
        <f>HYPERLINK("http://141.218.60.56/~jnz1568/getInfo.php?workbook=16_15.xlsx&amp;sheet=E0&amp;row=61&amp;col=11&amp;number=140711.485683&amp;sourceID=53","140711.485683")</f>
        <v>140711.485683</v>
      </c>
      <c r="L61" s="4" t="str">
        <f>HYPERLINK("http://141.218.60.56/~jnz1568/getInfo.php?workbook=16_15.xlsx&amp;sheet=E0&amp;row=61&amp;col=12&amp;number=140806.4&amp;sourceID=54","140806.4")</f>
        <v>140806.4</v>
      </c>
    </row>
    <row r="62" spans="1:12">
      <c r="A62" s="3">
        <v>16</v>
      </c>
      <c r="B62" s="3">
        <v>15</v>
      </c>
      <c r="C62" s="3">
        <f/>
        <v>0</v>
      </c>
      <c r="D62" s="3" t="s">
        <v>36</v>
      </c>
      <c r="E62" s="3" t="s">
        <v>16</v>
      </c>
      <c r="F62" s="3">
        <v>2</v>
      </c>
      <c r="G62" s="3">
        <v>2</v>
      </c>
      <c r="H62" s="3">
        <v>1</v>
      </c>
      <c r="I62" s="3">
        <v>1.5</v>
      </c>
      <c r="J62" s="4" t="str">
        <f>HYPERLINK("http://141.218.60.56/~jnz1568/getInfo.php?workbook=16_15.xlsx&amp;sheet=E0&amp;row=62&amp;col=10&amp;number=140750.34&amp;sourceID=2","140750.34")</f>
        <v>140750.34</v>
      </c>
      <c r="K62" s="4" t="str">
        <f>HYPERLINK("http://141.218.60.56/~jnz1568/getInfo.php?workbook=16_15.xlsx&amp;sheet=E0&amp;row=62&amp;col=11&amp;number=140751.813405&amp;sourceID=53","140751.813405")</f>
        <v>140751.813405</v>
      </c>
      <c r="L62" s="4" t="str">
        <f>HYPERLINK("http://141.218.60.56/~jnz1568/getInfo.php?workbook=16_15.xlsx&amp;sheet=E0&amp;row=62&amp;col=12&amp;number=140849.2&amp;sourceID=54","140849.2")</f>
        <v>140849.2</v>
      </c>
    </row>
    <row r="63" spans="1:12">
      <c r="A63" s="3">
        <v>16</v>
      </c>
      <c r="B63" s="3">
        <v>15</v>
      </c>
      <c r="C63" s="3">
        <f/>
        <v>0</v>
      </c>
      <c r="D63" s="3" t="s">
        <v>36</v>
      </c>
      <c r="E63" s="3" t="s">
        <v>17</v>
      </c>
      <c r="F63" s="3">
        <v>2</v>
      </c>
      <c r="G63" s="3">
        <v>1</v>
      </c>
      <c r="H63" s="3">
        <v>1</v>
      </c>
      <c r="I63" s="3">
        <v>0.5</v>
      </c>
      <c r="J63" s="4" t="str">
        <f>HYPERLINK("http://141.218.60.56/~jnz1568/getInfo.php?workbook=16_15.xlsx&amp;sheet=E0&amp;row=63&amp;col=10&amp;number=143488.95&amp;sourceID=2","143488.95")</f>
        <v>143488.95</v>
      </c>
      <c r="K63" s="4" t="str">
        <f>HYPERLINK("http://141.218.60.56/~jnz1568/getInfo.php?workbook=16_15.xlsx&amp;sheet=E0&amp;row=63&amp;col=11&amp;number=143486.032919&amp;sourceID=53","143486.032919")</f>
        <v>143486.032919</v>
      </c>
      <c r="L63" s="4" t="str">
        <f>HYPERLINK("http://141.218.60.56/~jnz1568/getInfo.php?workbook=16_15.xlsx&amp;sheet=E0&amp;row=63&amp;col=12&amp;number=143670&amp;sourceID=54","143670")</f>
        <v>143670</v>
      </c>
    </row>
    <row r="64" spans="1:12">
      <c r="A64" s="3">
        <v>16</v>
      </c>
      <c r="B64" s="3">
        <v>15</v>
      </c>
      <c r="C64" s="3">
        <f/>
        <v>0</v>
      </c>
      <c r="D64" s="3" t="s">
        <v>36</v>
      </c>
      <c r="E64" s="3" t="s">
        <v>17</v>
      </c>
      <c r="F64" s="3">
        <v>2</v>
      </c>
      <c r="G64" s="3">
        <v>1</v>
      </c>
      <c r="H64" s="3">
        <v>1</v>
      </c>
      <c r="I64" s="3">
        <v>1.5</v>
      </c>
      <c r="J64" s="4" t="str">
        <f>HYPERLINK("http://141.218.60.56/~jnz1568/getInfo.php?workbook=16_15.xlsx&amp;sheet=E0&amp;row=64&amp;col=10&amp;number=143623.56&amp;sourceID=2","143623.56")</f>
        <v>143623.56</v>
      </c>
      <c r="K64" s="4" t="str">
        <f>HYPERLINK("http://141.218.60.56/~jnz1568/getInfo.php?workbook=16_15.xlsx&amp;sheet=E0&amp;row=64&amp;col=11&amp;number=143623.147172&amp;sourceID=53","143623.147172")</f>
        <v>143623.147172</v>
      </c>
      <c r="L64" s="4" t="str">
        <f>HYPERLINK("http://141.218.60.56/~jnz1568/getInfo.php?workbook=16_15.xlsx&amp;sheet=E0&amp;row=64&amp;col=12&amp;number=143786.7&amp;sourceID=54","143786.7")</f>
        <v>143786.7</v>
      </c>
    </row>
    <row r="65" spans="1:12">
      <c r="A65" s="3">
        <v>16</v>
      </c>
      <c r="B65" s="3">
        <v>15</v>
      </c>
      <c r="C65" s="3">
        <f/>
        <v>0</v>
      </c>
      <c r="D65" s="3" t="s">
        <v>31</v>
      </c>
      <c r="E65" s="3" t="s">
        <v>20</v>
      </c>
      <c r="F65" s="3">
        <v>2</v>
      </c>
      <c r="G65" s="3">
        <v>2</v>
      </c>
      <c r="H65" s="3">
        <v>0</v>
      </c>
      <c r="I65" s="3">
        <v>2.5</v>
      </c>
      <c r="J65" s="4" t="str">
        <f>HYPERLINK("http://141.218.60.56/~jnz1568/getInfo.php?workbook=16_15.xlsx&amp;sheet=E0&amp;row=65&amp;col=10&amp;number=144009.42&amp;sourceID=2","144009.42")</f>
        <v>144009.42</v>
      </c>
      <c r="K65" s="4" t="str">
        <f>HYPERLINK("http://141.218.60.56/~jnz1568/getInfo.php?workbook=16_15.xlsx&amp;sheet=E0&amp;row=65&amp;col=11&amp;number=144010.293298&amp;sourceID=53","144010.293298")</f>
        <v>144010.293298</v>
      </c>
      <c r="L65" s="4" t="str">
        <f>HYPERLINK("http://141.218.60.56/~jnz1568/getInfo.php?workbook=16_15.xlsx&amp;sheet=E0&amp;row=65&amp;col=12&amp;number=144982&amp;sourceID=54","144982")</f>
        <v>144982</v>
      </c>
    </row>
    <row r="66" spans="1:12">
      <c r="A66" s="3">
        <v>16</v>
      </c>
      <c r="B66" s="3">
        <v>15</v>
      </c>
      <c r="C66" s="3">
        <f/>
        <v>0</v>
      </c>
      <c r="D66" s="3" t="s">
        <v>31</v>
      </c>
      <c r="E66" s="3" t="s">
        <v>20</v>
      </c>
      <c r="F66" s="3">
        <v>2</v>
      </c>
      <c r="G66" s="3">
        <v>2</v>
      </c>
      <c r="H66" s="3">
        <v>0</v>
      </c>
      <c r="I66" s="3">
        <v>1.5</v>
      </c>
      <c r="J66" s="4" t="str">
        <f>HYPERLINK("http://141.218.60.56/~jnz1568/getInfo.php?workbook=16_15.xlsx&amp;sheet=E0&amp;row=66&amp;col=10&amp;number=144142.16&amp;sourceID=2","144142.16")</f>
        <v>144142.16</v>
      </c>
      <c r="K66" s="4" t="str">
        <f>HYPERLINK("http://141.218.60.56/~jnz1568/getInfo.php?workbook=16_15.xlsx&amp;sheet=E0&amp;row=66&amp;col=11&amp;number=144139.342007&amp;sourceID=53","144139.342007")</f>
        <v>144139.342007</v>
      </c>
      <c r="L66" s="4" t="str">
        <f>HYPERLINK("http://141.218.60.56/~jnz1568/getInfo.php?workbook=16_15.xlsx&amp;sheet=E0&amp;row=66&amp;col=12&amp;number=145137.9&amp;sourceID=54","145137.9")</f>
        <v>145137.9</v>
      </c>
    </row>
    <row r="67" spans="1:12">
      <c r="A67" s="3">
        <v>16</v>
      </c>
      <c r="B67" s="3">
        <v>15</v>
      </c>
      <c r="C67" s="3">
        <f/>
        <v>0</v>
      </c>
      <c r="D67" s="3" t="s">
        <v>18</v>
      </c>
      <c r="E67" s="3" t="s">
        <v>22</v>
      </c>
      <c r="F67" s="3">
        <v>2</v>
      </c>
      <c r="G67" s="3">
        <v>1</v>
      </c>
      <c r="H67" s="3">
        <v>0</v>
      </c>
      <c r="I67" s="3">
        <v>1.5</v>
      </c>
      <c r="J67" s="4" t="str">
        <f>HYPERLINK("http://141.218.60.56/~jnz1568/getInfo.php?workbook=16_15.xlsx&amp;sheet=E0&amp;row=67&amp;col=10&amp;number=145505.74&amp;sourceID=2","145505.74")</f>
        <v>145505.74</v>
      </c>
      <c r="K67" s="4" t="str">
        <f>HYPERLINK("http://141.218.60.56/~jnz1568/getInfo.php?workbook=16_15.xlsx&amp;sheet=E0&amp;row=67&amp;col=11&amp;number=145502.418992&amp;sourceID=53","145502.418992")</f>
        <v>145502.418992</v>
      </c>
      <c r="L67" s="4" t="str">
        <f>HYPERLINK("http://141.218.60.56/~jnz1568/getInfo.php?workbook=16_15.xlsx&amp;sheet=E0&amp;row=67&amp;col=12&amp;number=145933.5&amp;sourceID=54","145933.5")</f>
        <v>145933.5</v>
      </c>
    </row>
    <row r="68" spans="1:12">
      <c r="A68" s="3">
        <v>16</v>
      </c>
      <c r="B68" s="3">
        <v>15</v>
      </c>
      <c r="C68" s="3">
        <f/>
        <v>0</v>
      </c>
      <c r="D68" s="3" t="s">
        <v>18</v>
      </c>
      <c r="E68" s="3" t="s">
        <v>22</v>
      </c>
      <c r="F68" s="3">
        <v>2</v>
      </c>
      <c r="G68" s="3">
        <v>1</v>
      </c>
      <c r="H68" s="3">
        <v>0</v>
      </c>
      <c r="I68" s="3">
        <v>0.5</v>
      </c>
      <c r="J68" s="4" t="str">
        <f>HYPERLINK("http://141.218.60.56/~jnz1568/getInfo.php?workbook=16_15.xlsx&amp;sheet=E0&amp;row=68&amp;col=10&amp;number=145877.66&amp;sourceID=2","145877.66")</f>
        <v>145877.66</v>
      </c>
      <c r="K68" s="4" t="str">
        <f>HYPERLINK("http://141.218.60.56/~jnz1568/getInfo.php?workbook=16_15.xlsx&amp;sheet=E0&amp;row=68&amp;col=11&amp;number=145881.499573&amp;sourceID=53","145881.499573")</f>
        <v>145881.499573</v>
      </c>
      <c r="L68" s="4" t="str">
        <f>HYPERLINK("http://141.218.60.56/~jnz1568/getInfo.php?workbook=16_15.xlsx&amp;sheet=E0&amp;row=68&amp;col=12&amp;number=146418.3&amp;sourceID=54","146418.3")</f>
        <v>146418.3</v>
      </c>
    </row>
    <row r="69" spans="1:12">
      <c r="A69" s="3">
        <v>16</v>
      </c>
      <c r="B69" s="3">
        <v>15</v>
      </c>
      <c r="C69" s="3">
        <f/>
        <v>0</v>
      </c>
      <c r="D69" s="3" t="s">
        <v>38</v>
      </c>
      <c r="E69" s="3" t="s">
        <v>20</v>
      </c>
      <c r="F69" s="3">
        <v>2</v>
      </c>
      <c r="G69" s="3">
        <v>2</v>
      </c>
      <c r="H69" s="3">
        <v>0</v>
      </c>
      <c r="I69" s="3">
        <v>2.5</v>
      </c>
      <c r="J69" s="4" t="str">
        <f>HYPERLINK("http://141.218.60.56/~jnz1568/getInfo.php?workbook=16_15.xlsx&amp;sheet=E0&amp;row=69&amp;col=10&amp;number=148886.57&amp;sourceID=2","148886.57")</f>
        <v>148886.57</v>
      </c>
      <c r="K69" s="4" t="str">
        <f>HYPERLINK("http://141.218.60.56/~jnz1568/getInfo.php?workbook=16_15.xlsx&amp;sheet=E0&amp;row=69&amp;col=11&amp;number=148889.947593&amp;sourceID=53","148889.947593")</f>
        <v>148889.947593</v>
      </c>
      <c r="L69" s="4" t="str">
        <f>HYPERLINK("http://141.218.60.56/~jnz1568/getInfo.php?workbook=16_15.xlsx&amp;sheet=E0&amp;row=69&amp;col=12&amp;number=150449.5&amp;sourceID=54","150449.5")</f>
        <v>150449.5</v>
      </c>
    </row>
    <row r="70" spans="1:12">
      <c r="A70" s="3">
        <v>16</v>
      </c>
      <c r="B70" s="3">
        <v>15</v>
      </c>
      <c r="C70" s="3">
        <f/>
        <v>0</v>
      </c>
      <c r="D70" s="3" t="s">
        <v>38</v>
      </c>
      <c r="E70" s="3" t="s">
        <v>20</v>
      </c>
      <c r="F70" s="3">
        <v>2</v>
      </c>
      <c r="G70" s="3">
        <v>2</v>
      </c>
      <c r="H70" s="3">
        <v>0</v>
      </c>
      <c r="I70" s="3">
        <v>1.5</v>
      </c>
      <c r="J70" s="4" t="str">
        <f>HYPERLINK("http://141.218.60.56/~jnz1568/getInfo.php?workbook=16_15.xlsx&amp;sheet=E0&amp;row=70&amp;col=10&amp;number=148900.91&amp;sourceID=2","148900.91")</f>
        <v>148900.91</v>
      </c>
      <c r="K70" s="4" t="str">
        <f>HYPERLINK("http://141.218.60.56/~jnz1568/getInfo.php?workbook=16_15.xlsx&amp;sheet=E0&amp;row=70&amp;col=11&amp;number=148898.013138&amp;sourceID=53","148898.013138")</f>
        <v>148898.013138</v>
      </c>
      <c r="L70" s="4" t="str">
        <f>HYPERLINK("http://141.218.60.56/~jnz1568/getInfo.php?workbook=16_15.xlsx&amp;sheet=E0&amp;row=70&amp;col=12&amp;number=150613.6&amp;sourceID=54","150613.6")</f>
        <v>150613.6</v>
      </c>
    </row>
    <row r="71" spans="1:12">
      <c r="A71" s="3">
        <v>16</v>
      </c>
      <c r="B71" s="3">
        <v>15</v>
      </c>
      <c r="C71" s="3">
        <f/>
        <v>0</v>
      </c>
      <c r="D71" s="3" t="s">
        <v>31</v>
      </c>
      <c r="E71" s="3" t="s">
        <v>27</v>
      </c>
      <c r="F71" s="3">
        <v>2</v>
      </c>
      <c r="G71" s="3">
        <v>0</v>
      </c>
      <c r="H71" s="3">
        <v>0</v>
      </c>
      <c r="I71" s="3">
        <v>0.5</v>
      </c>
      <c r="J71" s="4" t="str">
        <f>HYPERLINK("http://141.218.60.56/~jnz1568/getInfo.php?workbook=16_15.xlsx&amp;sheet=E0&amp;row=71&amp;col=10&amp;number=151651.72&amp;sourceID=2","151651.72")</f>
        <v>151651.72</v>
      </c>
      <c r="K71" s="4" t="str">
        <f>HYPERLINK("http://141.218.60.56/~jnz1568/getInfo.php?workbook=16_15.xlsx&amp;sheet=E0&amp;row=71&amp;col=11&amp;number=151648.363741&amp;sourceID=53","151648.363741")</f>
        <v>151648.363741</v>
      </c>
      <c r="L71" s="4" t="str">
        <f>HYPERLINK("http://141.218.60.56/~jnz1568/getInfo.php?workbook=16_15.xlsx&amp;sheet=E0&amp;row=71&amp;col=12&amp;number=&amp;sourceID=54","")</f>
        <v/>
      </c>
    </row>
    <row r="72" spans="1:12">
      <c r="A72" s="3">
        <v>16</v>
      </c>
      <c r="B72" s="3">
        <v>15</v>
      </c>
      <c r="C72" s="3">
        <f/>
        <v>0</v>
      </c>
      <c r="D72" s="3" t="s">
        <v>39</v>
      </c>
      <c r="E72" s="3" t="s">
        <v>17</v>
      </c>
      <c r="F72" s="3">
        <v>2</v>
      </c>
      <c r="G72" s="3">
        <v>1</v>
      </c>
      <c r="H72" s="3">
        <v>1</v>
      </c>
      <c r="I72" s="3">
        <v>0.5</v>
      </c>
      <c r="J72" s="4" t="str">
        <f>HYPERLINK("http://141.218.60.56/~jnz1568/getInfo.php?workbook=16_15.xlsx&amp;sheet=E0&amp;row=72&amp;col=10&amp;number=156167.04&amp;sourceID=2","156167.04")</f>
        <v>156167.04</v>
      </c>
      <c r="K72" s="4" t="str">
        <f>HYPERLINK("http://141.218.60.56/~jnz1568/getInfo.php?workbook=16_15.xlsx&amp;sheet=E0&amp;row=72&amp;col=11&amp;number=156165.068543&amp;sourceID=53","156165.068543")</f>
        <v>156165.068543</v>
      </c>
      <c r="L72" s="4" t="str">
        <f>HYPERLINK("http://141.218.60.56/~jnz1568/getInfo.php?workbook=16_15.xlsx&amp;sheet=E0&amp;row=72&amp;col=12&amp;number=&amp;sourceID=54","")</f>
        <v/>
      </c>
    </row>
    <row r="73" spans="1:12">
      <c r="A73" s="3">
        <v>16</v>
      </c>
      <c r="B73" s="3">
        <v>15</v>
      </c>
      <c r="C73" s="3">
        <f/>
        <v>0</v>
      </c>
      <c r="D73" s="3" t="s">
        <v>39</v>
      </c>
      <c r="E73" s="3" t="s">
        <v>17</v>
      </c>
      <c r="F73" s="3">
        <v>2</v>
      </c>
      <c r="G73" s="3">
        <v>1</v>
      </c>
      <c r="H73" s="3">
        <v>1</v>
      </c>
      <c r="I73" s="3">
        <v>1.5</v>
      </c>
      <c r="J73" s="4" t="str">
        <f>HYPERLINK("http://141.218.60.56/~jnz1568/getInfo.php?workbook=16_15.xlsx&amp;sheet=E0&amp;row=73&amp;col=10&amp;number=156276.83&amp;sourceID=2","156276.83")</f>
        <v>156276.83</v>
      </c>
      <c r="K73" s="4" t="str">
        <f>HYPERLINK("http://141.218.60.56/~jnz1568/getInfo.php?workbook=16_15.xlsx&amp;sheet=E0&amp;row=73&amp;col=11&amp;number=156277.986163&amp;sourceID=53","156277.986163")</f>
        <v>156277.986163</v>
      </c>
      <c r="L73" s="4" t="str">
        <f>HYPERLINK("http://141.218.60.56/~jnz1568/getInfo.php?workbook=16_15.xlsx&amp;sheet=E0&amp;row=73&amp;col=12&amp;number=&amp;sourceID=54","")</f>
        <v/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879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15.7109375" customWidth="1"/>
    <col min="6" max="6" width="11.7109375" customWidth="1"/>
    <col min="7" max="7" width="11.7109375" customWidth="1"/>
    <col min="8" max="8" width="11.7109375" customWidth="1"/>
    <col min="9" max="9" width="11.7109375" customWidth="1"/>
    <col min="10" max="10" width="11.7109375" customWidth="1"/>
    <col min="11" max="11" width="11.7109375" customWidth="1"/>
    <col min="12" max="12" width="18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  <col min="19" max="19" width="10.7109375" customWidth="1"/>
    <col min="20" max="20" width="15.7109375" customWidth="1"/>
    <col min="21" max="21" width="15.7109375" customWidth="1"/>
    <col min="22" max="22" width="10.7109375" customWidth="1"/>
  </cols>
  <sheetData>
    <row r="1" spans="1:22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2"/>
      <c r="B2" s="2"/>
      <c r="C2" s="2"/>
      <c r="D2" s="2"/>
      <c r="E2" s="2"/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2</v>
      </c>
      <c r="M2" s="2" t="s">
        <v>2</v>
      </c>
      <c r="N2" s="2" t="s">
        <v>2</v>
      </c>
      <c r="O2" s="2" t="s">
        <v>41</v>
      </c>
      <c r="P2" s="2" t="s">
        <v>41</v>
      </c>
      <c r="Q2" s="2" t="s">
        <v>42</v>
      </c>
      <c r="R2" s="2" t="s">
        <v>42</v>
      </c>
      <c r="S2" s="2" t="s">
        <v>43</v>
      </c>
      <c r="T2" s="2" t="s">
        <v>43</v>
      </c>
      <c r="U2" s="2" t="s">
        <v>44</v>
      </c>
      <c r="V2" s="2" t="s">
        <v>44</v>
      </c>
    </row>
    <row r="3" spans="1:22">
      <c r="A3" s="2" t="s">
        <v>4</v>
      </c>
      <c r="B3" s="2" t="s">
        <v>5</v>
      </c>
      <c r="C3" s="2" t="s">
        <v>45</v>
      </c>
      <c r="D3" s="2" t="s">
        <v>6</v>
      </c>
      <c r="E3" s="2" t="s">
        <v>46</v>
      </c>
      <c r="F3" s="2" t="s">
        <v>47</v>
      </c>
      <c r="G3" s="2" t="s">
        <v>48</v>
      </c>
      <c r="H3" s="2" t="s">
        <v>49</v>
      </c>
      <c r="I3" s="2" t="s">
        <v>47</v>
      </c>
      <c r="J3" s="2" t="s">
        <v>48</v>
      </c>
      <c r="K3" s="2" t="s">
        <v>49</v>
      </c>
      <c r="L3" s="2" t="s">
        <v>47</v>
      </c>
      <c r="M3" s="2" t="s">
        <v>48</v>
      </c>
      <c r="N3" s="2" t="s">
        <v>49</v>
      </c>
      <c r="O3" s="2" t="s">
        <v>48</v>
      </c>
      <c r="P3" s="2" t="s">
        <v>49</v>
      </c>
      <c r="Q3" s="2" t="s">
        <v>48</v>
      </c>
      <c r="R3" s="2" t="s">
        <v>49</v>
      </c>
      <c r="S3" s="2" t="s">
        <v>48</v>
      </c>
      <c r="T3" s="2" t="s">
        <v>49</v>
      </c>
      <c r="U3" s="2" t="s">
        <v>48</v>
      </c>
      <c r="V3" s="2" t="s">
        <v>49</v>
      </c>
    </row>
    <row r="4" spans="1:22">
      <c r="A4" s="3">
        <v>16</v>
      </c>
      <c r="B4" s="3">
        <v>15</v>
      </c>
      <c r="C4" s="3">
        <v>2</v>
      </c>
      <c r="D4" s="3">
        <v>1</v>
      </c>
      <c r="E4" s="3">
        <f>((1/(INDEX(E0!J$4:J$73,C4,1)-INDEX(E0!J$4:J$73,D4,1))))*100000000</f>
        <v>0</v>
      </c>
      <c r="F4" s="4" t="str">
        <f>HYPERLINK("http://141.218.60.56/~jnz1568/getInfo.php?workbook=16_15.xlsx&amp;sheet=A0&amp;row=4&amp;col=6&amp;number=&amp;sourceID=54","")</f>
        <v/>
      </c>
      <c r="G4" s="4" t="str">
        <f>HYPERLINK("http://141.218.60.56/~jnz1568/getInfo.php?workbook=16_15.xlsx&amp;sheet=A0&amp;row=4&amp;col=7&amp;number=0.00013607&amp;sourceID=54","0.00013607")</f>
        <v>0.00013607</v>
      </c>
      <c r="H4" s="4" t="str">
        <f>HYPERLINK("http://141.218.60.56/~jnz1568/getInfo.php?workbook=16_15.xlsx&amp;sheet=A0&amp;row=4&amp;col=8&amp;number=0.0005895&amp;sourceID=54","0.0005895")</f>
        <v>0.0005895</v>
      </c>
      <c r="I4" s="4" t="str">
        <f>HYPERLINK("http://141.218.60.56/~jnz1568/getInfo.php?workbook=16_15.xlsx&amp;sheet=A0&amp;row=4&amp;col=9&amp;number=&amp;sourceID=54","")</f>
        <v/>
      </c>
      <c r="J4" s="4" t="str">
        <f>HYPERLINK("http://141.218.60.56/~jnz1568/getInfo.php?workbook=16_15.xlsx&amp;sheet=A0&amp;row=4&amp;col=10&amp;number=0.00012094&amp;sourceID=54","0.00012094")</f>
        <v>0.00012094</v>
      </c>
      <c r="K4" s="4" t="str">
        <f>HYPERLINK("http://141.218.60.56/~jnz1568/getInfo.php?workbook=16_15.xlsx&amp;sheet=A0&amp;row=4&amp;col=11&amp;number=0.00056353&amp;sourceID=54","0.00056353")</f>
        <v>0.00056353</v>
      </c>
      <c r="L4" s="4" t="str">
        <f>HYPERLINK("http://141.218.60.56/~jnz1568/getInfo.php?workbook=16_15.xlsx&amp;sheet=A0&amp;row=4&amp;col=12&amp;number=&amp;sourceID=53","")</f>
        <v/>
      </c>
      <c r="M4" s="4" t="str">
        <f>HYPERLINK("http://141.218.60.56/~jnz1568/getInfo.php?workbook=16_15.xlsx&amp;sheet=A0&amp;row=4&amp;col=13&amp;number=0.000134&amp;sourceID=53","0.000134")</f>
        <v>0.000134</v>
      </c>
      <c r="N4" s="4" t="str">
        <f>HYPERLINK("http://141.218.60.56/~jnz1568/getInfo.php?workbook=16_15.xlsx&amp;sheet=A0&amp;row=4&amp;col=14&amp;number=0.000498&amp;sourceID=53","0.000498")</f>
        <v>0.000498</v>
      </c>
      <c r="O4" s="4" t="str">
        <f>HYPERLINK("http://141.218.60.56/~jnz1568/getInfo.php?workbook=16_15.xlsx&amp;sheet=A0&amp;row=4&amp;col=15&amp;number=0.000157&amp;sourceID=55","0.000157")</f>
        <v>0.000157</v>
      </c>
      <c r="P4" s="4" t="str">
        <f>HYPERLINK("http://141.218.60.56/~jnz1568/getInfo.php?workbook=16_15.xlsx&amp;sheet=A0&amp;row=4&amp;col=16&amp;number=0.000755&amp;sourceID=55","0.000755")</f>
        <v>0.000755</v>
      </c>
      <c r="Q4" s="4" t="str">
        <f>HYPERLINK("http://141.218.60.56/~jnz1568/getInfo.php?workbook=16_15.xlsx&amp;sheet=A0&amp;row=4&amp;col=17&amp;number=0.000167&amp;sourceID=56","0.000167")</f>
        <v>0.000167</v>
      </c>
      <c r="R4" s="4" t="str">
        <f>HYPERLINK("http://141.218.60.56/~jnz1568/getInfo.php?workbook=16_15.xlsx&amp;sheet=A0&amp;row=4&amp;col=18&amp;number=0.00107&amp;sourceID=56","0.00107")</f>
        <v>0.00107</v>
      </c>
      <c r="S4" s="4" t="str">
        <f>HYPERLINK("http://141.218.60.56/~jnz1568/getInfo.php?workbook=16_15.xlsx&amp;sheet=A0&amp;row=4&amp;col=19&amp;number=0.000159&amp;sourceID=57","0.000159")</f>
        <v>0.000159</v>
      </c>
      <c r="T4" s="4" t="str">
        <f>HYPERLINK("http://141.218.60.56/~jnz1568/getInfo.php?workbook=16_15.xlsx&amp;sheet=A0&amp;row=4&amp;col=20&amp;number=0.000723&amp;sourceID=57","0.000723")</f>
        <v>0.000723</v>
      </c>
      <c r="U4" s="4" t="str">
        <f>HYPERLINK("http://141.218.60.56/~jnz1568/getInfo.php?workbook=16_15.xlsx&amp;sheet=A0&amp;row=4&amp;col=21&amp;number==0.00016&amp;sourceID=47","=0.00016")</f>
        <v>=0.00016</v>
      </c>
      <c r="V4" s="4" t="str">
        <f>HYPERLINK("http://141.218.60.56/~jnz1568/getInfo.php?workbook=16_15.xlsx&amp;sheet=A0&amp;row=4&amp;col=22&amp;number=0.000735&amp;sourceID=47","0.000735")</f>
        <v>0.000735</v>
      </c>
    </row>
    <row r="5" spans="1:22">
      <c r="A5" s="3">
        <v>16</v>
      </c>
      <c r="B5" s="3">
        <v>15</v>
      </c>
      <c r="C5" s="3">
        <v>3</v>
      </c>
      <c r="D5" s="3">
        <v>1</v>
      </c>
      <c r="E5" s="3">
        <f>((1/(INDEX(E0!J$4:J$73,C5,1)-INDEX(E0!J$4:J$73,D5,1))))*100000000</f>
        <v>0</v>
      </c>
      <c r="F5" s="4" t="str">
        <f>HYPERLINK("http://141.218.60.56/~jnz1568/getInfo.php?workbook=16_15.xlsx&amp;sheet=A0&amp;row=5&amp;col=6&amp;number=&amp;sourceID=54","")</f>
        <v/>
      </c>
      <c r="G5" s="4" t="str">
        <f>HYPERLINK("http://141.218.60.56/~jnz1568/getInfo.php?workbook=16_15.xlsx&amp;sheet=A0&amp;row=5&amp;col=7&amp;number=0.00021199&amp;sourceID=54","0.00021199")</f>
        <v>0.00021199</v>
      </c>
      <c r="H5" s="4" t="str">
        <f>HYPERLINK("http://141.218.60.56/~jnz1568/getInfo.php?workbook=16_15.xlsx&amp;sheet=A0&amp;row=5&amp;col=8&amp;number=1.4064e-05&amp;sourceID=54","1.4064e-05")</f>
        <v>1.4064e-05</v>
      </c>
      <c r="I5" s="4" t="str">
        <f>HYPERLINK("http://141.218.60.56/~jnz1568/getInfo.php?workbook=16_15.xlsx&amp;sheet=A0&amp;row=5&amp;col=9&amp;number=&amp;sourceID=54","")</f>
        <v/>
      </c>
      <c r="J5" s="4" t="str">
        <f>HYPERLINK("http://141.218.60.56/~jnz1568/getInfo.php?workbook=16_15.xlsx&amp;sheet=A0&amp;row=5&amp;col=10&amp;number=0.00018842&amp;sourceID=54","0.00018842")</f>
        <v>0.00018842</v>
      </c>
      <c r="K5" s="4" t="str">
        <f>HYPERLINK("http://141.218.60.56/~jnz1568/getInfo.php?workbook=16_15.xlsx&amp;sheet=A0&amp;row=5&amp;col=11&amp;number=1.3942e-05&amp;sourceID=54","1.3942e-05")</f>
        <v>1.3942e-05</v>
      </c>
      <c r="L5" s="4" t="str">
        <f>HYPERLINK("http://141.218.60.56/~jnz1568/getInfo.php?workbook=16_15.xlsx&amp;sheet=A0&amp;row=5&amp;col=12&amp;number=&amp;sourceID=53","")</f>
        <v/>
      </c>
      <c r="M5" s="4" t="str">
        <f>HYPERLINK("http://141.218.60.56/~jnz1568/getInfo.php?workbook=16_15.xlsx&amp;sheet=A0&amp;row=5&amp;col=13&amp;number=0.000208&amp;sourceID=53","0.000208")</f>
        <v>0.000208</v>
      </c>
      <c r="N5" s="4" t="str">
        <f>HYPERLINK("http://141.218.60.56/~jnz1568/getInfo.php?workbook=16_15.xlsx&amp;sheet=A0&amp;row=5&amp;col=14&amp;number=1.15e-05&amp;sourceID=53","1.15e-05")</f>
        <v>1.15e-05</v>
      </c>
      <c r="O5" s="4" t="str">
        <f>HYPERLINK("http://141.218.60.56/~jnz1568/getInfo.php?workbook=16_15.xlsx&amp;sheet=A0&amp;row=5&amp;col=15&amp;number=0.000231&amp;sourceID=55","0.000231")</f>
        <v>0.000231</v>
      </c>
      <c r="P5" s="4" t="str">
        <f>HYPERLINK("http://141.218.60.56/~jnz1568/getInfo.php?workbook=16_15.xlsx&amp;sheet=A0&amp;row=5&amp;col=16&amp;number=2.01e-05&amp;sourceID=55","2.01e-05")</f>
        <v>2.01e-05</v>
      </c>
      <c r="Q5" s="4" t="str">
        <f>HYPERLINK("http://141.218.60.56/~jnz1568/getInfo.php?workbook=16_15.xlsx&amp;sheet=A0&amp;row=5&amp;col=17&amp;number=0.000261&amp;sourceID=56","0.000261")</f>
        <v>0.000261</v>
      </c>
      <c r="R5" s="4" t="str">
        <f>HYPERLINK("http://141.218.60.56/~jnz1568/getInfo.php?workbook=16_15.xlsx&amp;sheet=A0&amp;row=5&amp;col=18&amp;number=2.41e-05&amp;sourceID=56","2.41e-05")</f>
        <v>2.41e-05</v>
      </c>
      <c r="S5" s="4" t="str">
        <f>HYPERLINK("http://141.218.60.56/~jnz1568/getInfo.php?workbook=16_15.xlsx&amp;sheet=A0&amp;row=5&amp;col=19&amp;number=0.000248&amp;sourceID=57","0.000248")</f>
        <v>0.000248</v>
      </c>
      <c r="T5" s="4" t="str">
        <f>HYPERLINK("http://141.218.60.56/~jnz1568/getInfo.php?workbook=16_15.xlsx&amp;sheet=A0&amp;row=5&amp;col=20&amp;number=1.21e-05&amp;sourceID=57","1.21e-05")</f>
        <v>1.21e-05</v>
      </c>
      <c r="U5" s="4" t="str">
        <f>HYPERLINK("http://141.218.60.56/~jnz1568/getInfo.php?workbook=16_15.xlsx&amp;sheet=A0&amp;row=5&amp;col=21&amp;number==0.000252&amp;sourceID=47","=0.000252")</f>
        <v>=0.000252</v>
      </c>
      <c r="V5" s="4" t="str">
        <f>HYPERLINK("http://141.218.60.56/~jnz1568/getInfo.php?workbook=16_15.xlsx&amp;sheet=A0&amp;row=5&amp;col=22&amp;number=1.41e-05&amp;sourceID=47","1.41e-05")</f>
        <v>1.41e-05</v>
      </c>
    </row>
    <row r="6" spans="1:22">
      <c r="A6" s="3">
        <v>16</v>
      </c>
      <c r="B6" s="3">
        <v>15</v>
      </c>
      <c r="C6" s="3">
        <v>3</v>
      </c>
      <c r="D6" s="3">
        <v>2</v>
      </c>
      <c r="E6" s="3">
        <f>((1/(INDEX(E0!J$4:J$73,C6,1)-INDEX(E0!J$4:J$73,D6,1))))*100000000</f>
        <v>0</v>
      </c>
      <c r="F6" s="4" t="str">
        <f>HYPERLINK("http://141.218.60.56/~jnz1568/getInfo.php?workbook=16_15.xlsx&amp;sheet=A0&amp;row=6&amp;col=6&amp;number=&amp;sourceID=54","")</f>
        <v/>
      </c>
      <c r="G6" s="4" t="str">
        <f>HYPERLINK("http://141.218.60.56/~jnz1568/getInfo.php?workbook=16_15.xlsx&amp;sheet=A0&amp;row=6&amp;col=7&amp;number=0&amp;sourceID=54","0")</f>
        <v>0</v>
      </c>
      <c r="H6" s="4" t="str">
        <f>HYPERLINK("http://141.218.60.56/~jnz1568/getInfo.php?workbook=16_15.xlsx&amp;sheet=A0&amp;row=6&amp;col=8&amp;number=2.4319e-07&amp;sourceID=54","2.4319e-07")</f>
        <v>2.4319e-07</v>
      </c>
      <c r="I6" s="4" t="str">
        <f>HYPERLINK("http://141.218.60.56/~jnz1568/getInfo.php?workbook=16_15.xlsx&amp;sheet=A0&amp;row=6&amp;col=9&amp;number=&amp;sourceID=54","")</f>
        <v/>
      </c>
      <c r="J6" s="4" t="str">
        <f>HYPERLINK("http://141.218.60.56/~jnz1568/getInfo.php?workbook=16_15.xlsx&amp;sheet=A0&amp;row=6&amp;col=10&amp;number=0&amp;sourceID=54","0")</f>
        <v>0</v>
      </c>
      <c r="K6" s="4" t="str">
        <f>HYPERLINK("http://141.218.60.56/~jnz1568/getInfo.php?workbook=16_15.xlsx&amp;sheet=A0&amp;row=6&amp;col=11&amp;number=2.3404e-07&amp;sourceID=54","2.3404e-07")</f>
        <v>2.3404e-07</v>
      </c>
      <c r="L6" s="4" t="str">
        <f>HYPERLINK("http://141.218.60.56/~jnz1568/getInfo.php?workbook=16_15.xlsx&amp;sheet=A0&amp;row=6&amp;col=12&amp;number=&amp;sourceID=53","")</f>
        <v/>
      </c>
      <c r="M6" s="4" t="str">
        <f>HYPERLINK("http://141.218.60.56/~jnz1568/getInfo.php?workbook=16_15.xlsx&amp;sheet=A0&amp;row=6&amp;col=13&amp;number=&amp;sourceID=53","")</f>
        <v/>
      </c>
      <c r="N6" s="4" t="str">
        <f>HYPERLINK("http://141.218.60.56/~jnz1568/getInfo.php?workbook=16_15.xlsx&amp;sheet=A0&amp;row=6&amp;col=14&amp;number=1.71e-07&amp;sourceID=53","1.71e-07")</f>
        <v>1.71e-07</v>
      </c>
      <c r="O6" s="4" t="str">
        <f>HYPERLINK("http://141.218.60.56/~jnz1568/getInfo.php?workbook=16_15.xlsx&amp;sheet=A0&amp;row=6&amp;col=15&amp;number=&amp;sourceID=55","")</f>
        <v/>
      </c>
      <c r="P6" s="4" t="str">
        <f>HYPERLINK("http://141.218.60.56/~jnz1568/getInfo.php?workbook=16_15.xlsx&amp;sheet=A0&amp;row=6&amp;col=16&amp;number=4.1e-07&amp;sourceID=55","4.1e-07")</f>
        <v>4.1e-07</v>
      </c>
      <c r="Q6" s="4" t="str">
        <f>HYPERLINK("http://141.218.60.56/~jnz1568/getInfo.php?workbook=16_15.xlsx&amp;sheet=A0&amp;row=6&amp;col=17&amp;number=&amp;sourceID=56","")</f>
        <v/>
      </c>
      <c r="R6" s="4" t="str">
        <f>HYPERLINK("http://141.218.60.56/~jnz1568/getInfo.php?workbook=16_15.xlsx&amp;sheet=A0&amp;row=6&amp;col=18&amp;number=9.35e-07&amp;sourceID=56","9.35e-07")</f>
        <v>9.35e-07</v>
      </c>
      <c r="S6" s="4" t="str">
        <f>HYPERLINK("http://141.218.60.56/~jnz1568/getInfo.php?workbook=16_15.xlsx&amp;sheet=A0&amp;row=6&amp;col=19&amp;number=0&amp;sourceID=57","0")</f>
        <v>0</v>
      </c>
      <c r="T6" s="4" t="str">
        <f>HYPERLINK("http://141.218.60.56/~jnz1568/getInfo.php?workbook=16_15.xlsx&amp;sheet=A0&amp;row=6&amp;col=20&amp;number=3.35e-07&amp;sourceID=57","3.35e-07")</f>
        <v>3.35e-07</v>
      </c>
      <c r="U6" s="4" t="str">
        <f>HYPERLINK("http://141.218.60.56/~jnz1568/getInfo.php?workbook=16_15.xlsx&amp;sheet=A0&amp;row=6&amp;col=21&amp;number=&amp;sourceID=47","")</f>
        <v/>
      </c>
      <c r="V6" s="4" t="str">
        <f>HYPERLINK("http://141.218.60.56/~jnz1568/getInfo.php?workbook=16_15.xlsx&amp;sheet=A0&amp;row=6&amp;col=22&amp;number=3.46e-07&amp;sourceID=47","3.46e-07")</f>
        <v>3.46e-07</v>
      </c>
    </row>
    <row r="7" spans="1:22">
      <c r="A7" s="3">
        <v>16</v>
      </c>
      <c r="B7" s="3">
        <v>15</v>
      </c>
      <c r="C7" s="3">
        <v>4</v>
      </c>
      <c r="D7" s="3">
        <v>1</v>
      </c>
      <c r="E7" s="3">
        <f>((1/(INDEX(E0!J$4:J$73,C7,1)-INDEX(E0!J$4:J$73,D7,1))))*100000000</f>
        <v>0</v>
      </c>
      <c r="F7" s="4" t="str">
        <f>HYPERLINK("http://141.218.60.56/~jnz1568/getInfo.php?workbook=16_15.xlsx&amp;sheet=A0&amp;row=7&amp;col=6&amp;number=&amp;sourceID=54","")</f>
        <v/>
      </c>
      <c r="G7" s="4" t="str">
        <f>HYPERLINK("http://141.218.60.56/~jnz1568/getInfo.php?workbook=16_15.xlsx&amp;sheet=A0&amp;row=7&amp;col=7&amp;number=1.0342e-06&amp;sourceID=54","1.0342e-06")</f>
        <v>1.0342e-06</v>
      </c>
      <c r="H7" s="4" t="str">
        <f>HYPERLINK("http://141.218.60.56/~jnz1568/getInfo.php?workbook=16_15.xlsx&amp;sheet=A0&amp;row=7&amp;col=8&amp;number=0.078253&amp;sourceID=54","0.078253")</f>
        <v>0.078253</v>
      </c>
      <c r="I7" s="4" t="str">
        <f>HYPERLINK("http://141.218.60.56/~jnz1568/getInfo.php?workbook=16_15.xlsx&amp;sheet=A0&amp;row=7&amp;col=9&amp;number=&amp;sourceID=54","")</f>
        <v/>
      </c>
      <c r="J7" s="4" t="str">
        <f>HYPERLINK("http://141.218.60.56/~jnz1568/getInfo.php?workbook=16_15.xlsx&amp;sheet=A0&amp;row=7&amp;col=10&amp;number=1.1649e-06&amp;sourceID=54","1.1649e-06")</f>
        <v>1.1649e-06</v>
      </c>
      <c r="K7" s="4" t="str">
        <f>HYPERLINK("http://141.218.60.56/~jnz1568/getInfo.php?workbook=16_15.xlsx&amp;sheet=A0&amp;row=7&amp;col=11&amp;number=0.077385&amp;sourceID=54","0.077385")</f>
        <v>0.077385</v>
      </c>
      <c r="L7" s="4" t="str">
        <f>HYPERLINK("http://141.218.60.56/~jnz1568/getInfo.php?workbook=16_15.xlsx&amp;sheet=A0&amp;row=7&amp;col=12&amp;number=&amp;sourceID=53","")</f>
        <v/>
      </c>
      <c r="M7" s="4" t="str">
        <f>HYPERLINK("http://141.218.60.56/~jnz1568/getInfo.php?workbook=16_15.xlsx&amp;sheet=A0&amp;row=7&amp;col=13&amp;number=1.67e-06&amp;sourceID=53","1.67e-06")</f>
        <v>1.67e-06</v>
      </c>
      <c r="N7" s="4" t="str">
        <f>HYPERLINK("http://141.218.60.56/~jnz1568/getInfo.php?workbook=16_15.xlsx&amp;sheet=A0&amp;row=7&amp;col=14&amp;number=0.0764&amp;sourceID=53","0.0764")</f>
        <v>0.0764</v>
      </c>
      <c r="O7" s="4" t="str">
        <f>HYPERLINK("http://141.218.60.56/~jnz1568/getInfo.php?workbook=16_15.xlsx&amp;sheet=A0&amp;row=7&amp;col=15&amp;number=2e-06&amp;sourceID=55","2e-06")</f>
        <v>2e-06</v>
      </c>
      <c r="P7" s="4" t="str">
        <f>HYPERLINK("http://141.218.60.56/~jnz1568/getInfo.php?workbook=16_15.xlsx&amp;sheet=A0&amp;row=7&amp;col=16&amp;number=0.0896&amp;sourceID=55","0.0896")</f>
        <v>0.0896</v>
      </c>
      <c r="Q7" s="4" t="str">
        <f>HYPERLINK("http://141.218.60.56/~jnz1568/getInfo.php?workbook=16_15.xlsx&amp;sheet=A0&amp;row=7&amp;col=17&amp;number=1.8e-06&amp;sourceID=56","1.8e-06")</f>
        <v>1.8e-06</v>
      </c>
      <c r="R7" s="4" t="str">
        <f>HYPERLINK("http://141.218.60.56/~jnz1568/getInfo.php?workbook=16_15.xlsx&amp;sheet=A0&amp;row=7&amp;col=18&amp;number=0.114&amp;sourceID=56","0.114")</f>
        <v>0.114</v>
      </c>
      <c r="S7" s="4" t="str">
        <f>HYPERLINK("http://141.218.60.56/~jnz1568/getInfo.php?workbook=16_15.xlsx&amp;sheet=A0&amp;row=7&amp;col=19&amp;number=1.39e-06&amp;sourceID=57","1.39e-06")</f>
        <v>1.39e-06</v>
      </c>
      <c r="T7" s="4" t="str">
        <f>HYPERLINK("http://141.218.60.56/~jnz1568/getInfo.php?workbook=16_15.xlsx&amp;sheet=A0&amp;row=7&amp;col=20&amp;number=0.0902&amp;sourceID=57","0.0902")</f>
        <v>0.0902</v>
      </c>
      <c r="U7" s="4" t="str">
        <f>HYPERLINK("http://141.218.60.56/~jnz1568/getInfo.php?workbook=16_15.xlsx&amp;sheet=A0&amp;row=7&amp;col=21&amp;number==0.000018&amp;sourceID=47","=0.000018")</f>
        <v>=0.000018</v>
      </c>
      <c r="V7" s="4" t="str">
        <f>HYPERLINK("http://141.218.60.56/~jnz1568/getInfo.php?workbook=16_15.xlsx&amp;sheet=A0&amp;row=7&amp;col=22&amp;number=0.0924&amp;sourceID=47","0.0924")</f>
        <v>0.0924</v>
      </c>
    </row>
    <row r="8" spans="1:22">
      <c r="A8" s="3">
        <v>16</v>
      </c>
      <c r="B8" s="3">
        <v>15</v>
      </c>
      <c r="C8" s="3">
        <v>4</v>
      </c>
      <c r="D8" s="3">
        <v>2</v>
      </c>
      <c r="E8" s="3">
        <f>((1/(INDEX(E0!J$4:J$73,C8,1)-INDEX(E0!J$4:J$73,D8,1))))*100000000</f>
        <v>0</v>
      </c>
      <c r="F8" s="4" t="str">
        <f>HYPERLINK("http://141.218.60.56/~jnz1568/getInfo.php?workbook=16_15.xlsx&amp;sheet=A0&amp;row=8&amp;col=6&amp;number=&amp;sourceID=54","")</f>
        <v/>
      </c>
      <c r="G8" s="4" t="str">
        <f>HYPERLINK("http://141.218.60.56/~jnz1568/getInfo.php?workbook=16_15.xlsx&amp;sheet=A0&amp;row=8&amp;col=7&amp;number=0.096802&amp;sourceID=54","0.096802")</f>
        <v>0.096802</v>
      </c>
      <c r="H8" s="4" t="str">
        <f>HYPERLINK("http://141.218.60.56/~jnz1568/getInfo.php?workbook=16_15.xlsx&amp;sheet=A0&amp;row=8&amp;col=8&amp;number=0.037943&amp;sourceID=54","0.037943")</f>
        <v>0.037943</v>
      </c>
      <c r="I8" s="4" t="str">
        <f>HYPERLINK("http://141.218.60.56/~jnz1568/getInfo.php?workbook=16_15.xlsx&amp;sheet=A0&amp;row=8&amp;col=9&amp;number=&amp;sourceID=54","")</f>
        <v/>
      </c>
      <c r="J8" s="4" t="str">
        <f>HYPERLINK("http://141.218.60.56/~jnz1568/getInfo.php?workbook=16_15.xlsx&amp;sheet=A0&amp;row=8&amp;col=10&amp;number=0.10461&amp;sourceID=54","0.10461")</f>
        <v>0.10461</v>
      </c>
      <c r="K8" s="4" t="str">
        <f>HYPERLINK("http://141.218.60.56/~jnz1568/getInfo.php?workbook=16_15.xlsx&amp;sheet=A0&amp;row=8&amp;col=11&amp;number=0.038538&amp;sourceID=54","0.038538")</f>
        <v>0.038538</v>
      </c>
      <c r="L8" s="4" t="str">
        <f>HYPERLINK("http://141.218.60.56/~jnz1568/getInfo.php?workbook=16_15.xlsx&amp;sheet=A0&amp;row=8&amp;col=12&amp;number=&amp;sourceID=53","")</f>
        <v/>
      </c>
      <c r="M8" s="4" t="str">
        <f>HYPERLINK("http://141.218.60.56/~jnz1568/getInfo.php?workbook=16_15.xlsx&amp;sheet=A0&amp;row=8&amp;col=13&amp;number=0.109&amp;sourceID=53","0.109")</f>
        <v>0.109</v>
      </c>
      <c r="N8" s="4" t="str">
        <f>HYPERLINK("http://141.218.60.56/~jnz1568/getInfo.php?workbook=16_15.xlsx&amp;sheet=A0&amp;row=8&amp;col=14&amp;number=0.0384&amp;sourceID=53","0.0384")</f>
        <v>0.0384</v>
      </c>
      <c r="O8" s="4" t="str">
        <f>HYPERLINK("http://141.218.60.56/~jnz1568/getInfo.php?workbook=16_15.xlsx&amp;sheet=A0&amp;row=8&amp;col=15&amp;number=0.112&amp;sourceID=55","0.112")</f>
        <v>0.112</v>
      </c>
      <c r="P8" s="4" t="str">
        <f>HYPERLINK("http://141.218.60.56/~jnz1568/getInfo.php?workbook=16_15.xlsx&amp;sheet=A0&amp;row=8&amp;col=16&amp;number=0.0461&amp;sourceID=55","0.0461")</f>
        <v>0.0461</v>
      </c>
      <c r="Q8" s="4" t="str">
        <f>HYPERLINK("http://141.218.60.56/~jnz1568/getInfo.php?workbook=16_15.xlsx&amp;sheet=A0&amp;row=8&amp;col=17&amp;number=0.0964&amp;sourceID=56","0.0964")</f>
        <v>0.0964</v>
      </c>
      <c r="R8" s="4" t="str">
        <f>HYPERLINK("http://141.218.60.56/~jnz1568/getInfo.php?workbook=16_15.xlsx&amp;sheet=A0&amp;row=8&amp;col=18&amp;number=0.0564&amp;sourceID=56","0.0564")</f>
        <v>0.0564</v>
      </c>
      <c r="S8" s="4" t="str">
        <f>HYPERLINK("http://141.218.60.56/~jnz1568/getInfo.php?workbook=16_15.xlsx&amp;sheet=A0&amp;row=8&amp;col=19&amp;number=0.118&amp;sourceID=57","0.118")</f>
        <v>0.118</v>
      </c>
      <c r="T8" s="4" t="str">
        <f>HYPERLINK("http://141.218.60.56/~jnz1568/getInfo.php?workbook=16_15.xlsx&amp;sheet=A0&amp;row=8&amp;col=20&amp;number=0.0446&amp;sourceID=57","0.0446")</f>
        <v>0.0446</v>
      </c>
      <c r="U8" s="4" t="str">
        <f>HYPERLINK("http://141.218.60.56/~jnz1568/getInfo.php?workbook=16_15.xlsx&amp;sheet=A0&amp;row=8&amp;col=21&amp;number==0.108&amp;sourceID=47","=0.108")</f>
        <v>=0.108</v>
      </c>
      <c r="V8" s="4" t="str">
        <f>HYPERLINK("http://141.218.60.56/~jnz1568/getInfo.php?workbook=16_15.xlsx&amp;sheet=A0&amp;row=8&amp;col=22&amp;number=0.0449&amp;sourceID=47","0.0449")</f>
        <v>0.0449</v>
      </c>
    </row>
    <row r="9" spans="1:22">
      <c r="A9" s="3">
        <v>16</v>
      </c>
      <c r="B9" s="3">
        <v>15</v>
      </c>
      <c r="C9" s="3">
        <v>4</v>
      </c>
      <c r="D9" s="3">
        <v>3</v>
      </c>
      <c r="E9" s="3">
        <f>((1/(INDEX(E0!J$4:J$73,C9,1)-INDEX(E0!J$4:J$73,D9,1))))*100000000</f>
        <v>0</v>
      </c>
      <c r="F9" s="4" t="str">
        <f>HYPERLINK("http://141.218.60.56/~jnz1568/getInfo.php?workbook=16_15.xlsx&amp;sheet=A0&amp;row=9&amp;col=6&amp;number=&amp;sourceID=54","")</f>
        <v/>
      </c>
      <c r="G9" s="4" t="str">
        <f>HYPERLINK("http://141.218.60.56/~jnz1568/getInfo.php?workbook=16_15.xlsx&amp;sheet=A0&amp;row=9&amp;col=7&amp;number=0.06351&amp;sourceID=54","0.06351")</f>
        <v>0.06351</v>
      </c>
      <c r="H9" s="4" t="str">
        <f>HYPERLINK("http://141.218.60.56/~jnz1568/getInfo.php?workbook=16_15.xlsx&amp;sheet=A0&amp;row=9&amp;col=8&amp;number=&amp;sourceID=54","")</f>
        <v/>
      </c>
      <c r="I9" s="4" t="str">
        <f>HYPERLINK("http://141.218.60.56/~jnz1568/getInfo.php?workbook=16_15.xlsx&amp;sheet=A0&amp;row=9&amp;col=9&amp;number=&amp;sourceID=54","")</f>
        <v/>
      </c>
      <c r="J9" s="4" t="str">
        <f>HYPERLINK("http://141.218.60.56/~jnz1568/getInfo.php?workbook=16_15.xlsx&amp;sheet=A0&amp;row=9&amp;col=10&amp;number=0.068659&amp;sourceID=54","0.068659")</f>
        <v>0.068659</v>
      </c>
      <c r="K9" s="4" t="str">
        <f>HYPERLINK("http://141.218.60.56/~jnz1568/getInfo.php?workbook=16_15.xlsx&amp;sheet=A0&amp;row=9&amp;col=11&amp;number=&amp;sourceID=54","")</f>
        <v/>
      </c>
      <c r="L9" s="4" t="str">
        <f>HYPERLINK("http://141.218.60.56/~jnz1568/getInfo.php?workbook=16_15.xlsx&amp;sheet=A0&amp;row=9&amp;col=12&amp;number=&amp;sourceID=53","")</f>
        <v/>
      </c>
      <c r="M9" s="4" t="str">
        <f>HYPERLINK("http://141.218.60.56/~jnz1568/getInfo.php?workbook=16_15.xlsx&amp;sheet=A0&amp;row=9&amp;col=13&amp;number=0.0716&amp;sourceID=53","0.0716")</f>
        <v>0.0716</v>
      </c>
      <c r="N9" s="4" t="str">
        <f>HYPERLINK("http://141.218.60.56/~jnz1568/getInfo.php?workbook=16_15.xlsx&amp;sheet=A0&amp;row=9&amp;col=14&amp;number=&amp;sourceID=53","")</f>
        <v/>
      </c>
      <c r="O9" s="4" t="str">
        <f>HYPERLINK("http://141.218.60.56/~jnz1568/getInfo.php?workbook=16_15.xlsx&amp;sheet=A0&amp;row=9&amp;col=15&amp;number=0.0718&amp;sourceID=55","0.0718")</f>
        <v>0.0718</v>
      </c>
      <c r="P9" s="4" t="str">
        <f>HYPERLINK("http://141.218.60.56/~jnz1568/getInfo.php?workbook=16_15.xlsx&amp;sheet=A0&amp;row=9&amp;col=16&amp;number=&amp;sourceID=55","")</f>
        <v/>
      </c>
      <c r="Q9" s="4" t="str">
        <f>HYPERLINK("http://141.218.60.56/~jnz1568/getInfo.php?workbook=16_15.xlsx&amp;sheet=A0&amp;row=9&amp;col=17&amp;number=0.0627&amp;sourceID=56","0.0627")</f>
        <v>0.0627</v>
      </c>
      <c r="R9" s="4" t="str">
        <f>HYPERLINK("http://141.218.60.56/~jnz1568/getInfo.php?workbook=16_15.xlsx&amp;sheet=A0&amp;row=9&amp;col=18&amp;number=&amp;sourceID=56","")</f>
        <v/>
      </c>
      <c r="S9" s="4" t="str">
        <f>HYPERLINK("http://141.218.60.56/~jnz1568/getInfo.php?workbook=16_15.xlsx&amp;sheet=A0&amp;row=9&amp;col=19&amp;number=0.0779&amp;sourceID=57","0.0779")</f>
        <v>0.0779</v>
      </c>
      <c r="T9" s="4" t="str">
        <f>HYPERLINK("http://141.218.60.56/~jnz1568/getInfo.php?workbook=16_15.xlsx&amp;sheet=A0&amp;row=9&amp;col=20&amp;number=&amp;sourceID=57","")</f>
        <v/>
      </c>
      <c r="U9" s="4" t="str">
        <f>HYPERLINK("http://141.218.60.56/~jnz1568/getInfo.php?workbook=16_15.xlsx&amp;sheet=A0&amp;row=9&amp;col=21&amp;number=0.0709&amp;sourceID=47","0.0709")</f>
        <v>0.0709</v>
      </c>
      <c r="V9" s="4" t="str">
        <f>HYPERLINK("http://141.218.60.56/~jnz1568/getInfo.php?workbook=16_15.xlsx&amp;sheet=A0&amp;row=9&amp;col=22&amp;number=&amp;sourceID=47","")</f>
        <v/>
      </c>
    </row>
    <row r="10" spans="1:22">
      <c r="A10" s="3">
        <v>16</v>
      </c>
      <c r="B10" s="3">
        <v>15</v>
      </c>
      <c r="C10" s="3">
        <v>5</v>
      </c>
      <c r="D10" s="3">
        <v>1</v>
      </c>
      <c r="E10" s="3">
        <f>((1/(INDEX(E0!J$4:J$73,C10,1)-INDEX(E0!J$4:J$73,D10,1))))*100000000</f>
        <v>0</v>
      </c>
      <c r="F10" s="4" t="str">
        <f>HYPERLINK("http://141.218.60.56/~jnz1568/getInfo.php?workbook=16_15.xlsx&amp;sheet=A0&amp;row=10&amp;col=6&amp;number=&amp;sourceID=54","")</f>
        <v/>
      </c>
      <c r="G10" s="4" t="str">
        <f>HYPERLINK("http://141.218.60.56/~jnz1568/getInfo.php?workbook=16_15.xlsx&amp;sheet=A0&amp;row=10&amp;col=7&amp;number=6.9328e-08&amp;sourceID=54","6.9328e-08")</f>
        <v>6.9328e-08</v>
      </c>
      <c r="H10" s="4" t="str">
        <f>HYPERLINK("http://141.218.60.56/~jnz1568/getInfo.php?workbook=16_15.xlsx&amp;sheet=A0&amp;row=10&amp;col=8&amp;number=0.19462&amp;sourceID=54","0.19462")</f>
        <v>0.19462</v>
      </c>
      <c r="I10" s="4" t="str">
        <f>HYPERLINK("http://141.218.60.56/~jnz1568/getInfo.php?workbook=16_15.xlsx&amp;sheet=A0&amp;row=10&amp;col=9&amp;number=&amp;sourceID=54","")</f>
        <v/>
      </c>
      <c r="J10" s="4" t="str">
        <f>HYPERLINK("http://141.218.60.56/~jnz1568/getInfo.php?workbook=16_15.xlsx&amp;sheet=A0&amp;row=10&amp;col=10&amp;number=9.5272e-08&amp;sourceID=54","9.5272e-08")</f>
        <v>9.5272e-08</v>
      </c>
      <c r="K10" s="4" t="str">
        <f>HYPERLINK("http://141.218.60.56/~jnz1568/getInfo.php?workbook=16_15.xlsx&amp;sheet=A0&amp;row=10&amp;col=11&amp;number=0.19246&amp;sourceID=54","0.19246")</f>
        <v>0.19246</v>
      </c>
      <c r="L10" s="4" t="str">
        <f>HYPERLINK("http://141.218.60.56/~jnz1568/getInfo.php?workbook=16_15.xlsx&amp;sheet=A0&amp;row=10&amp;col=12&amp;number=&amp;sourceID=53","")</f>
        <v/>
      </c>
      <c r="M10" s="4" t="str">
        <f>HYPERLINK("http://141.218.60.56/~jnz1568/getInfo.php?workbook=16_15.xlsx&amp;sheet=A0&amp;row=10&amp;col=13&amp;number=2.81e-06&amp;sourceID=53","2.81e-06")</f>
        <v>2.81e-06</v>
      </c>
      <c r="N10" s="4" t="str">
        <f>HYPERLINK("http://141.218.60.56/~jnz1568/getInfo.php?workbook=16_15.xlsx&amp;sheet=A0&amp;row=10&amp;col=14&amp;number=0.19&amp;sourceID=53","0.19")</f>
        <v>0.19</v>
      </c>
      <c r="O10" s="4" t="str">
        <f>HYPERLINK("http://141.218.60.56/~jnz1568/getInfo.php?workbook=16_15.xlsx&amp;sheet=A0&amp;row=10&amp;col=15&amp;number=5e-06&amp;sourceID=55","5e-06")</f>
        <v>5e-06</v>
      </c>
      <c r="P10" s="4" t="str">
        <f>HYPERLINK("http://141.218.60.56/~jnz1568/getInfo.php?workbook=16_15.xlsx&amp;sheet=A0&amp;row=10&amp;col=16&amp;number=0.228&amp;sourceID=55","0.228")</f>
        <v>0.228</v>
      </c>
      <c r="Q10" s="4" t="str">
        <f>HYPERLINK("http://141.218.60.56/~jnz1568/getInfo.php?workbook=16_15.xlsx&amp;sheet=A0&amp;row=10&amp;col=17&amp;number=1.38e-08&amp;sourceID=56","1.38e-08")</f>
        <v>1.38e-08</v>
      </c>
      <c r="R10" s="4" t="str">
        <f>HYPERLINK("http://141.218.60.56/~jnz1568/getInfo.php?workbook=16_15.xlsx&amp;sheet=A0&amp;row=10&amp;col=18&amp;number=0.284&amp;sourceID=56","0.284")</f>
        <v>0.284</v>
      </c>
      <c r="S10" s="4" t="str">
        <f>HYPERLINK("http://141.218.60.56/~jnz1568/getInfo.php?workbook=16_15.xlsx&amp;sheet=A0&amp;row=10&amp;col=19&amp;number=3.89e-06&amp;sourceID=57","3.89e-06")</f>
        <v>3.89e-06</v>
      </c>
      <c r="T10" s="4" t="str">
        <f>HYPERLINK("http://141.218.60.56/~jnz1568/getInfo.php?workbook=16_15.xlsx&amp;sheet=A0&amp;row=10&amp;col=20&amp;number=0.225&amp;sourceID=57","0.225")</f>
        <v>0.225</v>
      </c>
      <c r="U10" s="4" t="str">
        <f>HYPERLINK("http://141.218.60.56/~jnz1568/getInfo.php?workbook=16_15.xlsx&amp;sheet=A0&amp;row=10&amp;col=21&amp;number==0.00000413&amp;sourceID=47","=0.00000413")</f>
        <v>=0.00000413</v>
      </c>
      <c r="V10" s="4" t="str">
        <f>HYPERLINK("http://141.218.60.56/~jnz1568/getInfo.php?workbook=16_15.xlsx&amp;sheet=A0&amp;row=10&amp;col=22&amp;number=0.229&amp;sourceID=47","0.229")</f>
        <v>0.229</v>
      </c>
    </row>
    <row r="11" spans="1:22">
      <c r="A11" s="3">
        <v>16</v>
      </c>
      <c r="B11" s="3">
        <v>15</v>
      </c>
      <c r="C11" s="3">
        <v>5</v>
      </c>
      <c r="D11" s="3">
        <v>2</v>
      </c>
      <c r="E11" s="3">
        <f>((1/(INDEX(E0!J$4:J$73,C11,1)-INDEX(E0!J$4:J$73,D11,1))))*100000000</f>
        <v>0</v>
      </c>
      <c r="F11" s="4" t="str">
        <f>HYPERLINK("http://141.218.60.56/~jnz1568/getInfo.php?workbook=16_15.xlsx&amp;sheet=A0&amp;row=11&amp;col=6&amp;number=&amp;sourceID=54","")</f>
        <v/>
      </c>
      <c r="G11" s="4" t="str">
        <f>HYPERLINK("http://141.218.60.56/~jnz1568/getInfo.php?workbook=16_15.xlsx&amp;sheet=A0&amp;row=11&amp;col=7&amp;number=0.048438&amp;sourceID=54","0.048438")</f>
        <v>0.048438</v>
      </c>
      <c r="H11" s="4" t="str">
        <f>HYPERLINK("http://141.218.60.56/~jnz1568/getInfo.php?workbook=16_15.xlsx&amp;sheet=A0&amp;row=11&amp;col=8&amp;number=0.061275&amp;sourceID=54","0.061275")</f>
        <v>0.061275</v>
      </c>
      <c r="I11" s="4" t="str">
        <f>HYPERLINK("http://141.218.60.56/~jnz1568/getInfo.php?workbook=16_15.xlsx&amp;sheet=A0&amp;row=11&amp;col=9&amp;number=&amp;sourceID=54","")</f>
        <v/>
      </c>
      <c r="J11" s="4" t="str">
        <f>HYPERLINK("http://141.218.60.56/~jnz1568/getInfo.php?workbook=16_15.xlsx&amp;sheet=A0&amp;row=11&amp;col=10&amp;number=0.052342&amp;sourceID=54","0.052342")</f>
        <v>0.052342</v>
      </c>
      <c r="K11" s="4" t="str">
        <f>HYPERLINK("http://141.218.60.56/~jnz1568/getInfo.php?workbook=16_15.xlsx&amp;sheet=A0&amp;row=11&amp;col=11&amp;number=0.06223&amp;sourceID=54","0.06223")</f>
        <v>0.06223</v>
      </c>
      <c r="L11" s="4" t="str">
        <f>HYPERLINK("http://141.218.60.56/~jnz1568/getInfo.php?workbook=16_15.xlsx&amp;sheet=A0&amp;row=11&amp;col=12&amp;number=&amp;sourceID=53","")</f>
        <v/>
      </c>
      <c r="M11" s="4" t="str">
        <f>HYPERLINK("http://141.218.60.56/~jnz1568/getInfo.php?workbook=16_15.xlsx&amp;sheet=A0&amp;row=11&amp;col=13&amp;number=0.0543&amp;sourceID=53","0.0543")</f>
        <v>0.0543</v>
      </c>
      <c r="N11" s="4" t="str">
        <f>HYPERLINK("http://141.218.60.56/~jnz1568/getInfo.php?workbook=16_15.xlsx&amp;sheet=A0&amp;row=11&amp;col=14&amp;number=0.0622&amp;sourceID=53","0.0622")</f>
        <v>0.0622</v>
      </c>
      <c r="O11" s="4" t="str">
        <f>HYPERLINK("http://141.218.60.56/~jnz1568/getInfo.php?workbook=16_15.xlsx&amp;sheet=A0&amp;row=11&amp;col=15&amp;number=0.056&amp;sourceID=55","0.056")</f>
        <v>0.056</v>
      </c>
      <c r="P11" s="4" t="str">
        <f>HYPERLINK("http://141.218.60.56/~jnz1568/getInfo.php?workbook=16_15.xlsx&amp;sheet=A0&amp;row=11&amp;col=16&amp;number=0.0763&amp;sourceID=55","0.0763")</f>
        <v>0.0763</v>
      </c>
      <c r="Q11" s="4" t="str">
        <f>HYPERLINK("http://141.218.60.56/~jnz1568/getInfo.php?workbook=16_15.xlsx&amp;sheet=A0&amp;row=11&amp;col=17&amp;number=0.0484&amp;sourceID=56","0.0484")</f>
        <v>0.0484</v>
      </c>
      <c r="R11" s="4" t="str">
        <f>HYPERLINK("http://141.218.60.56/~jnz1568/getInfo.php?workbook=16_15.xlsx&amp;sheet=A0&amp;row=11&amp;col=18&amp;number=0.0917&amp;sourceID=56","0.0917")</f>
        <v>0.0917</v>
      </c>
      <c r="S11" s="4" t="str">
        <f>HYPERLINK("http://141.218.60.56/~jnz1568/getInfo.php?workbook=16_15.xlsx&amp;sheet=A0&amp;row=11&amp;col=19&amp;number=0.0603&amp;sourceID=57","0.0603")</f>
        <v>0.0603</v>
      </c>
      <c r="T11" s="4" t="str">
        <f>HYPERLINK("http://141.218.60.56/~jnz1568/getInfo.php?workbook=16_15.xlsx&amp;sheet=A0&amp;row=11&amp;col=20&amp;number=0.0723&amp;sourceID=57","0.0723")</f>
        <v>0.0723</v>
      </c>
      <c r="U11" s="4" t="str">
        <f>HYPERLINK("http://141.218.60.56/~jnz1568/getInfo.php?workbook=16_15.xlsx&amp;sheet=A0&amp;row=11&amp;col=21&amp;number==0.0545&amp;sourceID=47","=0.0545")</f>
        <v>=0.0545</v>
      </c>
      <c r="V11" s="4" t="str">
        <f>HYPERLINK("http://141.218.60.56/~jnz1568/getInfo.php?workbook=16_15.xlsx&amp;sheet=A0&amp;row=11&amp;col=22&amp;number=0.0728&amp;sourceID=47","0.0728")</f>
        <v>0.0728</v>
      </c>
    </row>
    <row r="12" spans="1:22">
      <c r="A12" s="3">
        <v>16</v>
      </c>
      <c r="B12" s="3">
        <v>15</v>
      </c>
      <c r="C12" s="3">
        <v>5</v>
      </c>
      <c r="D12" s="3">
        <v>3</v>
      </c>
      <c r="E12" s="3">
        <f>((1/(INDEX(E0!J$4:J$73,C12,1)-INDEX(E0!J$4:J$73,D12,1))))*100000000</f>
        <v>0</v>
      </c>
      <c r="F12" s="4" t="str">
        <f>HYPERLINK("http://141.218.60.56/~jnz1568/getInfo.php?workbook=16_15.xlsx&amp;sheet=A0&amp;row=12&amp;col=6&amp;number=&amp;sourceID=54","")</f>
        <v/>
      </c>
      <c r="G12" s="4" t="str">
        <f>HYPERLINK("http://141.218.60.56/~jnz1568/getInfo.php?workbook=16_15.xlsx&amp;sheet=A0&amp;row=12&amp;col=7&amp;number=0.1125&amp;sourceID=54","0.1125")</f>
        <v>0.1125</v>
      </c>
      <c r="H12" s="4" t="str">
        <f>HYPERLINK("http://141.218.60.56/~jnz1568/getInfo.php?workbook=16_15.xlsx&amp;sheet=A0&amp;row=12&amp;col=8&amp;number=0.034206&amp;sourceID=54","0.034206")</f>
        <v>0.034206</v>
      </c>
      <c r="I12" s="4" t="str">
        <f>HYPERLINK("http://141.218.60.56/~jnz1568/getInfo.php?workbook=16_15.xlsx&amp;sheet=A0&amp;row=12&amp;col=9&amp;number=&amp;sourceID=54","")</f>
        <v/>
      </c>
      <c r="J12" s="4" t="str">
        <f>HYPERLINK("http://141.218.60.56/~jnz1568/getInfo.php?workbook=16_15.xlsx&amp;sheet=A0&amp;row=12&amp;col=10&amp;number=0.12158&amp;sourceID=54","0.12158")</f>
        <v>0.12158</v>
      </c>
      <c r="K12" s="4" t="str">
        <f>HYPERLINK("http://141.218.60.56/~jnz1568/getInfo.php?workbook=16_15.xlsx&amp;sheet=A0&amp;row=12&amp;col=11&amp;number=0.034744&amp;sourceID=54","0.034744")</f>
        <v>0.034744</v>
      </c>
      <c r="L12" s="4" t="str">
        <f>HYPERLINK("http://141.218.60.56/~jnz1568/getInfo.php?workbook=16_15.xlsx&amp;sheet=A0&amp;row=12&amp;col=12&amp;number=&amp;sourceID=53","")</f>
        <v/>
      </c>
      <c r="M12" s="4" t="str">
        <f>HYPERLINK("http://141.218.60.56/~jnz1568/getInfo.php?workbook=16_15.xlsx&amp;sheet=A0&amp;row=12&amp;col=13&amp;number=0.126&amp;sourceID=53","0.126")</f>
        <v>0.126</v>
      </c>
      <c r="N12" s="4" t="str">
        <f>HYPERLINK("http://141.218.60.56/~jnz1568/getInfo.php?workbook=16_15.xlsx&amp;sheet=A0&amp;row=12&amp;col=14&amp;number=0.0345&amp;sourceID=53","0.0345")</f>
        <v>0.0345</v>
      </c>
      <c r="O12" s="4" t="str">
        <f>HYPERLINK("http://141.218.60.56/~jnz1568/getInfo.php?workbook=16_15.xlsx&amp;sheet=A0&amp;row=12&amp;col=15&amp;number=0.129&amp;sourceID=55","0.129")</f>
        <v>0.129</v>
      </c>
      <c r="P12" s="4" t="str">
        <f>HYPERLINK("http://141.218.60.56/~jnz1568/getInfo.php?workbook=16_15.xlsx&amp;sheet=A0&amp;row=12&amp;col=16&amp;number=0.0418&amp;sourceID=55","0.0418")</f>
        <v>0.0418</v>
      </c>
      <c r="Q12" s="4" t="str">
        <f>HYPERLINK("http://141.218.60.56/~jnz1568/getInfo.php?workbook=16_15.xlsx&amp;sheet=A0&amp;row=12&amp;col=17&amp;number=0.112&amp;sourceID=56","0.112")</f>
        <v>0.112</v>
      </c>
      <c r="R12" s="4" t="str">
        <f>HYPERLINK("http://141.218.60.56/~jnz1568/getInfo.php?workbook=16_15.xlsx&amp;sheet=A0&amp;row=12&amp;col=18&amp;number=0.0509&amp;sourceID=56","0.0509")</f>
        <v>0.0509</v>
      </c>
      <c r="S12" s="4" t="str">
        <f>HYPERLINK("http://141.218.60.56/~jnz1568/getInfo.php?workbook=16_15.xlsx&amp;sheet=A0&amp;row=12&amp;col=19&amp;number=0.139&amp;sourceID=57","0.139")</f>
        <v>0.139</v>
      </c>
      <c r="T12" s="4" t="str">
        <f>HYPERLINK("http://141.218.60.56/~jnz1568/getInfo.php?workbook=16_15.xlsx&amp;sheet=A0&amp;row=12&amp;col=20&amp;number=0.0401&amp;sourceID=57","0.0401")</f>
        <v>0.0401</v>
      </c>
      <c r="U12" s="4" t="str">
        <f>HYPERLINK("http://141.218.60.56/~jnz1568/getInfo.php?workbook=16_15.xlsx&amp;sheet=A0&amp;row=12&amp;col=21&amp;number==0.127&amp;sourceID=47","=0.127")</f>
        <v>=0.127</v>
      </c>
      <c r="V12" s="4" t="str">
        <f>HYPERLINK("http://141.218.60.56/~jnz1568/getInfo.php?workbook=16_15.xlsx&amp;sheet=A0&amp;row=12&amp;col=22&amp;number=0.0406&amp;sourceID=47","0.0406")</f>
        <v>0.0406</v>
      </c>
    </row>
    <row r="13" spans="1:22">
      <c r="A13" s="3">
        <v>16</v>
      </c>
      <c r="B13" s="3">
        <v>15</v>
      </c>
      <c r="C13" s="3">
        <v>5</v>
      </c>
      <c r="D13" s="3">
        <v>4</v>
      </c>
      <c r="E13" s="3">
        <f>((1/(INDEX(E0!J$4:J$73,C13,1)-INDEX(E0!J$4:J$73,D13,1))))*100000000</f>
        <v>0</v>
      </c>
      <c r="F13" s="4" t="str">
        <f>HYPERLINK("http://141.218.60.56/~jnz1568/getInfo.php?workbook=16_15.xlsx&amp;sheet=A0&amp;row=13&amp;col=6&amp;number=&amp;sourceID=54","")</f>
        <v/>
      </c>
      <c r="G13" s="4" t="str">
        <f>HYPERLINK("http://141.218.60.56/~jnz1568/getInfo.php?workbook=16_15.xlsx&amp;sheet=A0&amp;row=13&amp;col=7&amp;number=0&amp;sourceID=54","0")</f>
        <v>0</v>
      </c>
      <c r="H13" s="4" t="str">
        <f>HYPERLINK("http://141.218.60.56/~jnz1568/getInfo.php?workbook=16_15.xlsx&amp;sheet=A0&amp;row=13&amp;col=8&amp;number=2.5778e-07&amp;sourceID=54","2.5778e-07")</f>
        <v>2.5778e-07</v>
      </c>
      <c r="I13" s="4" t="str">
        <f>HYPERLINK("http://141.218.60.56/~jnz1568/getInfo.php?workbook=16_15.xlsx&amp;sheet=A0&amp;row=13&amp;col=9&amp;number=&amp;sourceID=54","")</f>
        <v/>
      </c>
      <c r="J13" s="4" t="str">
        <f>HYPERLINK("http://141.218.60.56/~jnz1568/getInfo.php?workbook=16_15.xlsx&amp;sheet=A0&amp;row=13&amp;col=10&amp;number=0&amp;sourceID=54","0")</f>
        <v>0</v>
      </c>
      <c r="K13" s="4" t="str">
        <f>HYPERLINK("http://141.218.60.56/~jnz1568/getInfo.php?workbook=16_15.xlsx&amp;sheet=A0&amp;row=13&amp;col=11&amp;number=2.5082e-07&amp;sourceID=54","2.5082e-07")</f>
        <v>2.5082e-07</v>
      </c>
      <c r="L13" s="4" t="str">
        <f>HYPERLINK("http://141.218.60.56/~jnz1568/getInfo.php?workbook=16_15.xlsx&amp;sheet=A0&amp;row=13&amp;col=12&amp;number=&amp;sourceID=53","")</f>
        <v/>
      </c>
      <c r="M13" s="4" t="str">
        <f>HYPERLINK("http://141.218.60.56/~jnz1568/getInfo.php?workbook=16_15.xlsx&amp;sheet=A0&amp;row=13&amp;col=13&amp;number=0&amp;sourceID=53","0")</f>
        <v>0</v>
      </c>
      <c r="N13" s="4" t="str">
        <f>HYPERLINK("http://141.218.60.56/~jnz1568/getInfo.php?workbook=16_15.xlsx&amp;sheet=A0&amp;row=13&amp;col=14&amp;number=2.43e-07&amp;sourceID=53","2.43e-07")</f>
        <v>2.43e-07</v>
      </c>
      <c r="O13" s="4" t="str">
        <f>HYPERLINK("http://141.218.60.56/~jnz1568/getInfo.php?workbook=16_15.xlsx&amp;sheet=A0&amp;row=13&amp;col=15&amp;number=&amp;sourceID=55","")</f>
        <v/>
      </c>
      <c r="P13" s="4" t="str">
        <f>HYPERLINK("http://141.218.60.56/~jnz1568/getInfo.php?workbook=16_15.xlsx&amp;sheet=A0&amp;row=13&amp;col=16&amp;number=1.63e-06&amp;sourceID=55","1.63e-06")</f>
        <v>1.63e-06</v>
      </c>
      <c r="Q13" s="4" t="str">
        <f>HYPERLINK("http://141.218.60.56/~jnz1568/getInfo.php?workbook=16_15.xlsx&amp;sheet=A0&amp;row=13&amp;col=17&amp;number=&amp;sourceID=56","")</f>
        <v/>
      </c>
      <c r="R13" s="4" t="str">
        <f>HYPERLINK("http://141.218.60.56/~jnz1568/getInfo.php?workbook=16_15.xlsx&amp;sheet=A0&amp;row=13&amp;col=18&amp;number=1.17e-06&amp;sourceID=56","1.17e-06")</f>
        <v>1.17e-06</v>
      </c>
      <c r="S13" s="4" t="str">
        <f>HYPERLINK("http://141.218.60.56/~jnz1568/getInfo.php?workbook=16_15.xlsx&amp;sheet=A0&amp;row=13&amp;col=19&amp;number=1e-15&amp;sourceID=57","1e-15")</f>
        <v>1e-15</v>
      </c>
      <c r="T13" s="4" t="str">
        <f>HYPERLINK("http://141.218.60.56/~jnz1568/getInfo.php?workbook=16_15.xlsx&amp;sheet=A0&amp;row=13&amp;col=20&amp;number=1.03e-06&amp;sourceID=57","1.03e-06")</f>
        <v>1.03e-06</v>
      </c>
      <c r="U13" s="4" t="str">
        <f>HYPERLINK("http://141.218.60.56/~jnz1568/getInfo.php?workbook=16_15.xlsx&amp;sheet=A0&amp;row=13&amp;col=21&amp;number=&amp;sourceID=47","")</f>
        <v/>
      </c>
      <c r="V13" s="4" t="str">
        <f>HYPERLINK("http://141.218.60.56/~jnz1568/getInfo.php?workbook=16_15.xlsx&amp;sheet=A0&amp;row=13&amp;col=22&amp;number=9.13e-07&amp;sourceID=47","9.13e-07")</f>
        <v>9.13e-07</v>
      </c>
    </row>
    <row r="14" spans="1:22">
      <c r="A14" s="3">
        <v>16</v>
      </c>
      <c r="B14" s="3">
        <v>15</v>
      </c>
      <c r="C14" s="3">
        <v>6</v>
      </c>
      <c r="D14" s="3">
        <v>1</v>
      </c>
      <c r="E14" s="3">
        <f>((1/(INDEX(E0!J$4:J$73,C14,1)-INDEX(E0!J$4:J$73,D14,1))))*100000000</f>
        <v>0</v>
      </c>
      <c r="F14" s="4" t="str">
        <f>HYPERLINK("http://141.218.60.56/~jnz1568/getInfo.php?workbook=16_15.xlsx&amp;sheet=A0&amp;row=14&amp;col=6&amp;number=49236000&amp;sourceID=54","49236000")</f>
        <v>49236000</v>
      </c>
      <c r="G14" s="4" t="str">
        <f>HYPERLINK("http://141.218.60.56/~jnz1568/getInfo.php?workbook=16_15.xlsx&amp;sheet=A0&amp;row=14&amp;col=7&amp;number=&amp;sourceID=54","")</f>
        <v/>
      </c>
      <c r="H14" s="4" t="str">
        <f>HYPERLINK("http://141.218.60.56/~jnz1568/getInfo.php?workbook=16_15.xlsx&amp;sheet=A0&amp;row=14&amp;col=8&amp;number=&amp;sourceID=54","")</f>
        <v/>
      </c>
      <c r="I14" s="4" t="str">
        <f>HYPERLINK("http://141.218.60.56/~jnz1568/getInfo.php?workbook=16_15.xlsx&amp;sheet=A0&amp;row=14&amp;col=9&amp;number=51002000&amp;sourceID=54","51002000")</f>
        <v>51002000</v>
      </c>
      <c r="J14" s="4" t="str">
        <f>HYPERLINK("http://141.218.60.56/~jnz1568/getInfo.php?workbook=16_15.xlsx&amp;sheet=A0&amp;row=14&amp;col=10&amp;number=&amp;sourceID=54","")</f>
        <v/>
      </c>
      <c r="K14" s="4" t="str">
        <f>HYPERLINK("http://141.218.60.56/~jnz1568/getInfo.php?workbook=16_15.xlsx&amp;sheet=A0&amp;row=14&amp;col=11&amp;number=&amp;sourceID=54","")</f>
        <v/>
      </c>
      <c r="L14" s="4" t="str">
        <f>HYPERLINK("http://141.218.60.56/~jnz1568/getInfo.php?workbook=16_15.xlsx&amp;sheet=A0&amp;row=14&amp;col=12&amp;number=42758432.1616&amp;sourceID=53","42758432.1616")</f>
        <v>42758432.1616</v>
      </c>
      <c r="M14" s="4" t="str">
        <f>HYPERLINK("http://141.218.60.56/~jnz1568/getInfo.php?workbook=16_15.xlsx&amp;sheet=A0&amp;row=14&amp;col=13&amp;number=&amp;sourceID=53","")</f>
        <v/>
      </c>
      <c r="N14" s="4" t="str">
        <f>HYPERLINK("http://141.218.60.56/~jnz1568/getInfo.php?workbook=16_15.xlsx&amp;sheet=A0&amp;row=14&amp;col=14&amp;number=&amp;sourceID=53","")</f>
        <v/>
      </c>
      <c r="O14" s="4" t="str">
        <f>HYPERLINK("http://141.218.60.56/~jnz1568/getInfo.php?workbook=16_15.xlsx&amp;sheet=A0&amp;row=14&amp;col=15&amp;number=&amp;sourceID=55","")</f>
        <v/>
      </c>
      <c r="P14" s="4" t="str">
        <f>HYPERLINK("http://141.218.60.56/~jnz1568/getInfo.php?workbook=16_15.xlsx&amp;sheet=A0&amp;row=14&amp;col=16&amp;number=&amp;sourceID=55","")</f>
        <v/>
      </c>
      <c r="Q14" s="4" t="str">
        <f>HYPERLINK("http://141.218.60.56/~jnz1568/getInfo.php?workbook=16_15.xlsx&amp;sheet=A0&amp;row=14&amp;col=17&amp;number=&amp;sourceID=56","")</f>
        <v/>
      </c>
      <c r="R14" s="4" t="str">
        <f>HYPERLINK("http://141.218.60.56/~jnz1568/getInfo.php?workbook=16_15.xlsx&amp;sheet=A0&amp;row=14&amp;col=18&amp;number=&amp;sourceID=56","")</f>
        <v/>
      </c>
      <c r="S14" s="4" t="str">
        <f>HYPERLINK("http://141.218.60.56/~jnz1568/getInfo.php?workbook=16_15.xlsx&amp;sheet=A0&amp;row=14&amp;col=19&amp;number=&amp;sourceID=57","")</f>
        <v/>
      </c>
      <c r="T14" s="4" t="str">
        <f>HYPERLINK("http://141.218.60.56/~jnz1568/getInfo.php?workbook=16_15.xlsx&amp;sheet=A0&amp;row=14&amp;col=20&amp;number=&amp;sourceID=57","")</f>
        <v/>
      </c>
      <c r="U14" s="4" t="str">
        <f>HYPERLINK("http://141.218.60.56/~jnz1568/getInfo.php?workbook=16_15.xlsx&amp;sheet=A0&amp;row=14&amp;col=21&amp;number=&amp;sourceID=47","")</f>
        <v/>
      </c>
      <c r="V14" s="4" t="str">
        <f>HYPERLINK("http://141.218.60.56/~jnz1568/getInfo.php?workbook=16_15.xlsx&amp;sheet=A0&amp;row=14&amp;col=22&amp;number=&amp;sourceID=47","")</f>
        <v/>
      </c>
    </row>
    <row r="15" spans="1:22">
      <c r="A15" s="3">
        <v>16</v>
      </c>
      <c r="B15" s="3">
        <v>15</v>
      </c>
      <c r="C15" s="3">
        <v>6</v>
      </c>
      <c r="D15" s="3">
        <v>2</v>
      </c>
      <c r="E15" s="3">
        <f>((1/(INDEX(E0!J$4:J$73,C15,1)-INDEX(E0!J$4:J$73,D15,1))))*100000000</f>
        <v>0</v>
      </c>
      <c r="F15" s="4" t="str">
        <f>HYPERLINK("http://141.218.60.56/~jnz1568/getInfo.php?workbook=16_15.xlsx&amp;sheet=A0&amp;row=15&amp;col=6&amp;number=1323.5&amp;sourceID=54","1323.5")</f>
        <v>1323.5</v>
      </c>
      <c r="G15" s="4" t="str">
        <f>HYPERLINK("http://141.218.60.56/~jnz1568/getInfo.php?workbook=16_15.xlsx&amp;sheet=A0&amp;row=15&amp;col=7&amp;number=&amp;sourceID=54","")</f>
        <v/>
      </c>
      <c r="H15" s="4" t="str">
        <f>HYPERLINK("http://141.218.60.56/~jnz1568/getInfo.php?workbook=16_15.xlsx&amp;sheet=A0&amp;row=15&amp;col=8&amp;number=&amp;sourceID=54","")</f>
        <v/>
      </c>
      <c r="I15" s="4" t="str">
        <f>HYPERLINK("http://141.218.60.56/~jnz1568/getInfo.php?workbook=16_15.xlsx&amp;sheet=A0&amp;row=15&amp;col=9&amp;number=1463.9&amp;sourceID=54","1463.9")</f>
        <v>1463.9</v>
      </c>
      <c r="J15" s="4" t="str">
        <f>HYPERLINK("http://141.218.60.56/~jnz1568/getInfo.php?workbook=16_15.xlsx&amp;sheet=A0&amp;row=15&amp;col=10&amp;number=&amp;sourceID=54","")</f>
        <v/>
      </c>
      <c r="K15" s="4" t="str">
        <f>HYPERLINK("http://141.218.60.56/~jnz1568/getInfo.php?workbook=16_15.xlsx&amp;sheet=A0&amp;row=15&amp;col=11&amp;number=&amp;sourceID=54","")</f>
        <v/>
      </c>
      <c r="L15" s="4" t="str">
        <f>HYPERLINK("http://141.218.60.56/~jnz1568/getInfo.php?workbook=16_15.xlsx&amp;sheet=A0&amp;row=15&amp;col=12&amp;number=1579.7958964&amp;sourceID=53","1579.7958964")</f>
        <v>1579.7958964</v>
      </c>
      <c r="M15" s="4" t="str">
        <f>HYPERLINK("http://141.218.60.56/~jnz1568/getInfo.php?workbook=16_15.xlsx&amp;sheet=A0&amp;row=15&amp;col=13&amp;number=&amp;sourceID=53","")</f>
        <v/>
      </c>
      <c r="N15" s="4" t="str">
        <f>HYPERLINK("http://141.218.60.56/~jnz1568/getInfo.php?workbook=16_15.xlsx&amp;sheet=A0&amp;row=15&amp;col=14&amp;number=&amp;sourceID=53","")</f>
        <v/>
      </c>
      <c r="O15" s="4" t="str">
        <f>HYPERLINK("http://141.218.60.56/~jnz1568/getInfo.php?workbook=16_15.xlsx&amp;sheet=A0&amp;row=15&amp;col=15&amp;number=&amp;sourceID=55","")</f>
        <v/>
      </c>
      <c r="P15" s="4" t="str">
        <f>HYPERLINK("http://141.218.60.56/~jnz1568/getInfo.php?workbook=16_15.xlsx&amp;sheet=A0&amp;row=15&amp;col=16&amp;number=&amp;sourceID=55","")</f>
        <v/>
      </c>
      <c r="Q15" s="4" t="str">
        <f>HYPERLINK("http://141.218.60.56/~jnz1568/getInfo.php?workbook=16_15.xlsx&amp;sheet=A0&amp;row=15&amp;col=17&amp;number=&amp;sourceID=56","")</f>
        <v/>
      </c>
      <c r="R15" s="4" t="str">
        <f>HYPERLINK("http://141.218.60.56/~jnz1568/getInfo.php?workbook=16_15.xlsx&amp;sheet=A0&amp;row=15&amp;col=18&amp;number=&amp;sourceID=56","")</f>
        <v/>
      </c>
      <c r="S15" s="4" t="str">
        <f>HYPERLINK("http://141.218.60.56/~jnz1568/getInfo.php?workbook=16_15.xlsx&amp;sheet=A0&amp;row=15&amp;col=19&amp;number=&amp;sourceID=57","")</f>
        <v/>
      </c>
      <c r="T15" s="4" t="str">
        <f>HYPERLINK("http://141.218.60.56/~jnz1568/getInfo.php?workbook=16_15.xlsx&amp;sheet=A0&amp;row=15&amp;col=20&amp;number=&amp;sourceID=57","")</f>
        <v/>
      </c>
      <c r="U15" s="4" t="str">
        <f>HYPERLINK("http://141.218.60.56/~jnz1568/getInfo.php?workbook=16_15.xlsx&amp;sheet=A0&amp;row=15&amp;col=21&amp;number=&amp;sourceID=47","")</f>
        <v/>
      </c>
      <c r="V15" s="4" t="str">
        <f>HYPERLINK("http://141.218.60.56/~jnz1568/getInfo.php?workbook=16_15.xlsx&amp;sheet=A0&amp;row=15&amp;col=22&amp;number=&amp;sourceID=47","")</f>
        <v/>
      </c>
    </row>
    <row r="16" spans="1:22">
      <c r="A16" s="3">
        <v>16</v>
      </c>
      <c r="B16" s="3">
        <v>15</v>
      </c>
      <c r="C16" s="3">
        <v>6</v>
      </c>
      <c r="D16" s="3">
        <v>3</v>
      </c>
      <c r="E16" s="3">
        <f>((1/(INDEX(E0!J$4:J$73,C16,1)-INDEX(E0!J$4:J$73,D16,1))))*100000000</f>
        <v>0</v>
      </c>
      <c r="F16" s="4" t="str">
        <f>HYPERLINK("http://141.218.60.56/~jnz1568/getInfo.php?workbook=16_15.xlsx&amp;sheet=A0&amp;row=16&amp;col=6&amp;number=12568&amp;sourceID=54","12568")</f>
        <v>12568</v>
      </c>
      <c r="G16" s="4" t="str">
        <f>HYPERLINK("http://141.218.60.56/~jnz1568/getInfo.php?workbook=16_15.xlsx&amp;sheet=A0&amp;row=16&amp;col=7&amp;number=&amp;sourceID=54","")</f>
        <v/>
      </c>
      <c r="H16" s="4" t="str">
        <f>HYPERLINK("http://141.218.60.56/~jnz1568/getInfo.php?workbook=16_15.xlsx&amp;sheet=A0&amp;row=16&amp;col=8&amp;number=&amp;sourceID=54","")</f>
        <v/>
      </c>
      <c r="I16" s="4" t="str">
        <f>HYPERLINK("http://141.218.60.56/~jnz1568/getInfo.php?workbook=16_15.xlsx&amp;sheet=A0&amp;row=16&amp;col=9&amp;number=13931&amp;sourceID=54","13931")</f>
        <v>13931</v>
      </c>
      <c r="J16" s="4" t="str">
        <f>HYPERLINK("http://141.218.60.56/~jnz1568/getInfo.php?workbook=16_15.xlsx&amp;sheet=A0&amp;row=16&amp;col=10&amp;number=&amp;sourceID=54","")</f>
        <v/>
      </c>
      <c r="K16" s="4" t="str">
        <f>HYPERLINK("http://141.218.60.56/~jnz1568/getInfo.php?workbook=16_15.xlsx&amp;sheet=A0&amp;row=16&amp;col=11&amp;number=&amp;sourceID=54","")</f>
        <v/>
      </c>
      <c r="L16" s="4" t="str">
        <f>HYPERLINK("http://141.218.60.56/~jnz1568/getInfo.php?workbook=16_15.xlsx&amp;sheet=A0&amp;row=16&amp;col=12&amp;number=15230.6742363&amp;sourceID=53","15230.6742363")</f>
        <v>15230.6742363</v>
      </c>
      <c r="M16" s="4" t="str">
        <f>HYPERLINK("http://141.218.60.56/~jnz1568/getInfo.php?workbook=16_15.xlsx&amp;sheet=A0&amp;row=16&amp;col=13&amp;number=&amp;sourceID=53","")</f>
        <v/>
      </c>
      <c r="N16" s="4" t="str">
        <f>HYPERLINK("http://141.218.60.56/~jnz1568/getInfo.php?workbook=16_15.xlsx&amp;sheet=A0&amp;row=16&amp;col=14&amp;number=&amp;sourceID=53","")</f>
        <v/>
      </c>
      <c r="O16" s="4" t="str">
        <f>HYPERLINK("http://141.218.60.56/~jnz1568/getInfo.php?workbook=16_15.xlsx&amp;sheet=A0&amp;row=16&amp;col=15&amp;number=&amp;sourceID=55","")</f>
        <v/>
      </c>
      <c r="P16" s="4" t="str">
        <f>HYPERLINK("http://141.218.60.56/~jnz1568/getInfo.php?workbook=16_15.xlsx&amp;sheet=A0&amp;row=16&amp;col=16&amp;number=&amp;sourceID=55","")</f>
        <v/>
      </c>
      <c r="Q16" s="4" t="str">
        <f>HYPERLINK("http://141.218.60.56/~jnz1568/getInfo.php?workbook=16_15.xlsx&amp;sheet=A0&amp;row=16&amp;col=17&amp;number=&amp;sourceID=56","")</f>
        <v/>
      </c>
      <c r="R16" s="4" t="str">
        <f>HYPERLINK("http://141.218.60.56/~jnz1568/getInfo.php?workbook=16_15.xlsx&amp;sheet=A0&amp;row=16&amp;col=18&amp;number=&amp;sourceID=56","")</f>
        <v/>
      </c>
      <c r="S16" s="4" t="str">
        <f>HYPERLINK("http://141.218.60.56/~jnz1568/getInfo.php?workbook=16_15.xlsx&amp;sheet=A0&amp;row=16&amp;col=19&amp;number=&amp;sourceID=57","")</f>
        <v/>
      </c>
      <c r="T16" s="4" t="str">
        <f>HYPERLINK("http://141.218.60.56/~jnz1568/getInfo.php?workbook=16_15.xlsx&amp;sheet=A0&amp;row=16&amp;col=20&amp;number=&amp;sourceID=57","")</f>
        <v/>
      </c>
      <c r="U16" s="4" t="str">
        <f>HYPERLINK("http://141.218.60.56/~jnz1568/getInfo.php?workbook=16_15.xlsx&amp;sheet=A0&amp;row=16&amp;col=21&amp;number=&amp;sourceID=47","")</f>
        <v/>
      </c>
      <c r="V16" s="4" t="str">
        <f>HYPERLINK("http://141.218.60.56/~jnz1568/getInfo.php?workbook=16_15.xlsx&amp;sheet=A0&amp;row=16&amp;col=22&amp;number=&amp;sourceID=47","")</f>
        <v/>
      </c>
    </row>
    <row r="17" spans="1:22">
      <c r="A17" s="3">
        <v>16</v>
      </c>
      <c r="B17" s="3">
        <v>15</v>
      </c>
      <c r="C17" s="3">
        <v>6</v>
      </c>
      <c r="D17" s="3">
        <v>5</v>
      </c>
      <c r="E17" s="3">
        <f>((1/(INDEX(E0!J$4:J$73,C17,1)-INDEX(E0!J$4:J$73,D17,1))))*100000000</f>
        <v>0</v>
      </c>
      <c r="F17" s="4" t="str">
        <f>HYPERLINK("http://141.218.60.56/~jnz1568/getInfo.php?workbook=16_15.xlsx&amp;sheet=A0&amp;row=17&amp;col=6&amp;number=3125.5&amp;sourceID=54","3125.5")</f>
        <v>3125.5</v>
      </c>
      <c r="G17" s="4" t="str">
        <f>HYPERLINK("http://141.218.60.56/~jnz1568/getInfo.php?workbook=16_15.xlsx&amp;sheet=A0&amp;row=17&amp;col=7&amp;number=&amp;sourceID=54","")</f>
        <v/>
      </c>
      <c r="H17" s="4" t="str">
        <f>HYPERLINK("http://141.218.60.56/~jnz1568/getInfo.php?workbook=16_15.xlsx&amp;sheet=A0&amp;row=17&amp;col=8&amp;number=&amp;sourceID=54","")</f>
        <v/>
      </c>
      <c r="I17" s="4" t="str">
        <f>HYPERLINK("http://141.218.60.56/~jnz1568/getInfo.php?workbook=16_15.xlsx&amp;sheet=A0&amp;row=17&amp;col=9&amp;number=3400.3&amp;sourceID=54","3400.3")</f>
        <v>3400.3</v>
      </c>
      <c r="J17" s="4" t="str">
        <f>HYPERLINK("http://141.218.60.56/~jnz1568/getInfo.php?workbook=16_15.xlsx&amp;sheet=A0&amp;row=17&amp;col=10&amp;number=&amp;sourceID=54","")</f>
        <v/>
      </c>
      <c r="K17" s="4" t="str">
        <f>HYPERLINK("http://141.218.60.56/~jnz1568/getInfo.php?workbook=16_15.xlsx&amp;sheet=A0&amp;row=17&amp;col=11&amp;number=&amp;sourceID=54","")</f>
        <v/>
      </c>
      <c r="L17" s="4" t="str">
        <f>HYPERLINK("http://141.218.60.56/~jnz1568/getInfo.php?workbook=16_15.xlsx&amp;sheet=A0&amp;row=17&amp;col=12&amp;number=4351.41732867&amp;sourceID=53","4351.41732867")</f>
        <v>4351.41732867</v>
      </c>
      <c r="M17" s="4" t="str">
        <f>HYPERLINK("http://141.218.60.56/~jnz1568/getInfo.php?workbook=16_15.xlsx&amp;sheet=A0&amp;row=17&amp;col=13&amp;number=&amp;sourceID=53","")</f>
        <v/>
      </c>
      <c r="N17" s="4" t="str">
        <f>HYPERLINK("http://141.218.60.56/~jnz1568/getInfo.php?workbook=16_15.xlsx&amp;sheet=A0&amp;row=17&amp;col=14&amp;number=&amp;sourceID=53","")</f>
        <v/>
      </c>
      <c r="O17" s="4" t="str">
        <f>HYPERLINK("http://141.218.60.56/~jnz1568/getInfo.php?workbook=16_15.xlsx&amp;sheet=A0&amp;row=17&amp;col=15&amp;number=&amp;sourceID=55","")</f>
        <v/>
      </c>
      <c r="P17" s="4" t="str">
        <f>HYPERLINK("http://141.218.60.56/~jnz1568/getInfo.php?workbook=16_15.xlsx&amp;sheet=A0&amp;row=17&amp;col=16&amp;number=&amp;sourceID=55","")</f>
        <v/>
      </c>
      <c r="Q17" s="4" t="str">
        <f>HYPERLINK("http://141.218.60.56/~jnz1568/getInfo.php?workbook=16_15.xlsx&amp;sheet=A0&amp;row=17&amp;col=17&amp;number=&amp;sourceID=56","")</f>
        <v/>
      </c>
      <c r="R17" s="4" t="str">
        <f>HYPERLINK("http://141.218.60.56/~jnz1568/getInfo.php?workbook=16_15.xlsx&amp;sheet=A0&amp;row=17&amp;col=18&amp;number=&amp;sourceID=56","")</f>
        <v/>
      </c>
      <c r="S17" s="4" t="str">
        <f>HYPERLINK("http://141.218.60.56/~jnz1568/getInfo.php?workbook=16_15.xlsx&amp;sheet=A0&amp;row=17&amp;col=19&amp;number=&amp;sourceID=57","")</f>
        <v/>
      </c>
      <c r="T17" s="4" t="str">
        <f>HYPERLINK("http://141.218.60.56/~jnz1568/getInfo.php?workbook=16_15.xlsx&amp;sheet=A0&amp;row=17&amp;col=20&amp;number=&amp;sourceID=57","")</f>
        <v/>
      </c>
      <c r="U17" s="4" t="str">
        <f>HYPERLINK("http://141.218.60.56/~jnz1568/getInfo.php?workbook=16_15.xlsx&amp;sheet=A0&amp;row=17&amp;col=21&amp;number=&amp;sourceID=47","")</f>
        <v/>
      </c>
      <c r="V17" s="4" t="str">
        <f>HYPERLINK("http://141.218.60.56/~jnz1568/getInfo.php?workbook=16_15.xlsx&amp;sheet=A0&amp;row=17&amp;col=22&amp;number=&amp;sourceID=47","")</f>
        <v/>
      </c>
    </row>
    <row r="18" spans="1:22">
      <c r="A18" s="3">
        <v>16</v>
      </c>
      <c r="B18" s="3">
        <v>15</v>
      </c>
      <c r="C18" s="3">
        <v>7</v>
      </c>
      <c r="D18" s="3">
        <v>1</v>
      </c>
      <c r="E18" s="3">
        <f>((1/(INDEX(E0!J$4:J$73,C18,1)-INDEX(E0!J$4:J$73,D18,1))))*100000000</f>
        <v>0</v>
      </c>
      <c r="F18" s="4" t="str">
        <f>HYPERLINK("http://141.218.60.56/~jnz1568/getInfo.php?workbook=16_15.xlsx&amp;sheet=A0&amp;row=18&amp;col=6&amp;number=49292000&amp;sourceID=54","49292000")</f>
        <v>49292000</v>
      </c>
      <c r="G18" s="4" t="str">
        <f>HYPERLINK("http://141.218.60.56/~jnz1568/getInfo.php?workbook=16_15.xlsx&amp;sheet=A0&amp;row=18&amp;col=7&amp;number=&amp;sourceID=54","")</f>
        <v/>
      </c>
      <c r="H18" s="4" t="str">
        <f>HYPERLINK("http://141.218.60.56/~jnz1568/getInfo.php?workbook=16_15.xlsx&amp;sheet=A0&amp;row=18&amp;col=8&amp;number=&amp;sourceID=54","")</f>
        <v/>
      </c>
      <c r="I18" s="4" t="str">
        <f>HYPERLINK("http://141.218.60.56/~jnz1568/getInfo.php?workbook=16_15.xlsx&amp;sheet=A0&amp;row=18&amp;col=9&amp;number=51054000&amp;sourceID=54","51054000")</f>
        <v>51054000</v>
      </c>
      <c r="J18" s="4" t="str">
        <f>HYPERLINK("http://141.218.60.56/~jnz1568/getInfo.php?workbook=16_15.xlsx&amp;sheet=A0&amp;row=18&amp;col=10&amp;number=&amp;sourceID=54","")</f>
        <v/>
      </c>
      <c r="K18" s="4" t="str">
        <f>HYPERLINK("http://141.218.60.56/~jnz1568/getInfo.php?workbook=16_15.xlsx&amp;sheet=A0&amp;row=18&amp;col=11&amp;number=&amp;sourceID=54","")</f>
        <v/>
      </c>
      <c r="L18" s="4" t="str">
        <f>HYPERLINK("http://141.218.60.56/~jnz1568/getInfo.php?workbook=16_15.xlsx&amp;sheet=A0&amp;row=18&amp;col=12&amp;number=4317373.14413&amp;sourceID=53","4317373.14413")</f>
        <v>4317373.14413</v>
      </c>
      <c r="M18" s="4" t="str">
        <f>HYPERLINK("http://141.218.60.56/~jnz1568/getInfo.php?workbook=16_15.xlsx&amp;sheet=A0&amp;row=18&amp;col=13&amp;number=&amp;sourceID=53","")</f>
        <v/>
      </c>
      <c r="N18" s="4" t="str">
        <f>HYPERLINK("http://141.218.60.56/~jnz1568/getInfo.php?workbook=16_15.xlsx&amp;sheet=A0&amp;row=18&amp;col=14&amp;number=&amp;sourceID=53","")</f>
        <v/>
      </c>
      <c r="O18" s="4" t="str">
        <f>HYPERLINK("http://141.218.60.56/~jnz1568/getInfo.php?workbook=16_15.xlsx&amp;sheet=A0&amp;row=18&amp;col=15&amp;number=&amp;sourceID=55","")</f>
        <v/>
      </c>
      <c r="P18" s="4" t="str">
        <f>HYPERLINK("http://141.218.60.56/~jnz1568/getInfo.php?workbook=16_15.xlsx&amp;sheet=A0&amp;row=18&amp;col=16&amp;number=&amp;sourceID=55","")</f>
        <v/>
      </c>
      <c r="Q18" s="4" t="str">
        <f>HYPERLINK("http://141.218.60.56/~jnz1568/getInfo.php?workbook=16_15.xlsx&amp;sheet=A0&amp;row=18&amp;col=17&amp;number=&amp;sourceID=56","")</f>
        <v/>
      </c>
      <c r="R18" s="4" t="str">
        <f>HYPERLINK("http://141.218.60.56/~jnz1568/getInfo.php?workbook=16_15.xlsx&amp;sheet=A0&amp;row=18&amp;col=18&amp;number=&amp;sourceID=56","")</f>
        <v/>
      </c>
      <c r="S18" s="4" t="str">
        <f>HYPERLINK("http://141.218.60.56/~jnz1568/getInfo.php?workbook=16_15.xlsx&amp;sheet=A0&amp;row=18&amp;col=19&amp;number=&amp;sourceID=57","")</f>
        <v/>
      </c>
      <c r="T18" s="4" t="str">
        <f>HYPERLINK("http://141.218.60.56/~jnz1568/getInfo.php?workbook=16_15.xlsx&amp;sheet=A0&amp;row=18&amp;col=20&amp;number=&amp;sourceID=57","")</f>
        <v/>
      </c>
      <c r="U18" s="4" t="str">
        <f>HYPERLINK("http://141.218.60.56/~jnz1568/getInfo.php?workbook=16_15.xlsx&amp;sheet=A0&amp;row=18&amp;col=21&amp;number=&amp;sourceID=47","")</f>
        <v/>
      </c>
      <c r="V18" s="4" t="str">
        <f>HYPERLINK("http://141.218.60.56/~jnz1568/getInfo.php?workbook=16_15.xlsx&amp;sheet=A0&amp;row=18&amp;col=22&amp;number=&amp;sourceID=47","")</f>
        <v/>
      </c>
    </row>
    <row r="19" spans="1:22">
      <c r="A19" s="3">
        <v>16</v>
      </c>
      <c r="B19" s="3">
        <v>15</v>
      </c>
      <c r="C19" s="3">
        <v>7</v>
      </c>
      <c r="D19" s="3">
        <v>2</v>
      </c>
      <c r="E19" s="3">
        <f>((1/(INDEX(E0!J$4:J$73,C19,1)-INDEX(E0!J$4:J$73,D19,1))))*100000000</f>
        <v>0</v>
      </c>
      <c r="F19" s="4" t="str">
        <f>HYPERLINK("http://141.218.60.56/~jnz1568/getInfo.php?workbook=16_15.xlsx&amp;sheet=A0&amp;row=19&amp;col=6&amp;number=4409&amp;sourceID=54","4409")</f>
        <v>4409</v>
      </c>
      <c r="G19" s="4" t="str">
        <f>HYPERLINK("http://141.218.60.56/~jnz1568/getInfo.php?workbook=16_15.xlsx&amp;sheet=A0&amp;row=19&amp;col=7&amp;number=&amp;sourceID=54","")</f>
        <v/>
      </c>
      <c r="H19" s="4" t="str">
        <f>HYPERLINK("http://141.218.60.56/~jnz1568/getInfo.php?workbook=16_15.xlsx&amp;sheet=A0&amp;row=19&amp;col=8&amp;number=&amp;sourceID=54","")</f>
        <v/>
      </c>
      <c r="I19" s="4" t="str">
        <f>HYPERLINK("http://141.218.60.56/~jnz1568/getInfo.php?workbook=16_15.xlsx&amp;sheet=A0&amp;row=19&amp;col=9&amp;number=4923.1&amp;sourceID=54","4923.1")</f>
        <v>4923.1</v>
      </c>
      <c r="J19" s="4" t="str">
        <f>HYPERLINK("http://141.218.60.56/~jnz1568/getInfo.php?workbook=16_15.xlsx&amp;sheet=A0&amp;row=19&amp;col=10&amp;number=&amp;sourceID=54","")</f>
        <v/>
      </c>
      <c r="K19" s="4" t="str">
        <f>HYPERLINK("http://141.218.60.56/~jnz1568/getInfo.php?workbook=16_15.xlsx&amp;sheet=A0&amp;row=19&amp;col=11&amp;number=&amp;sourceID=54","")</f>
        <v/>
      </c>
      <c r="L19" s="4" t="str">
        <f>HYPERLINK("http://141.218.60.56/~jnz1568/getInfo.php?workbook=16_15.xlsx&amp;sheet=A0&amp;row=19&amp;col=12&amp;number=6910.65763067&amp;sourceID=53","6910.65763067")</f>
        <v>6910.65763067</v>
      </c>
      <c r="M19" s="4" t="str">
        <f>HYPERLINK("http://141.218.60.56/~jnz1568/getInfo.php?workbook=16_15.xlsx&amp;sheet=A0&amp;row=19&amp;col=13&amp;number=&amp;sourceID=53","")</f>
        <v/>
      </c>
      <c r="N19" s="4" t="str">
        <f>HYPERLINK("http://141.218.60.56/~jnz1568/getInfo.php?workbook=16_15.xlsx&amp;sheet=A0&amp;row=19&amp;col=14&amp;number=&amp;sourceID=53","")</f>
        <v/>
      </c>
      <c r="O19" s="4" t="str">
        <f>HYPERLINK("http://141.218.60.56/~jnz1568/getInfo.php?workbook=16_15.xlsx&amp;sheet=A0&amp;row=19&amp;col=15&amp;number=&amp;sourceID=55","")</f>
        <v/>
      </c>
      <c r="P19" s="4" t="str">
        <f>HYPERLINK("http://141.218.60.56/~jnz1568/getInfo.php?workbook=16_15.xlsx&amp;sheet=A0&amp;row=19&amp;col=16&amp;number=&amp;sourceID=55","")</f>
        <v/>
      </c>
      <c r="Q19" s="4" t="str">
        <f>HYPERLINK("http://141.218.60.56/~jnz1568/getInfo.php?workbook=16_15.xlsx&amp;sheet=A0&amp;row=19&amp;col=17&amp;number=&amp;sourceID=56","")</f>
        <v/>
      </c>
      <c r="R19" s="4" t="str">
        <f>HYPERLINK("http://141.218.60.56/~jnz1568/getInfo.php?workbook=16_15.xlsx&amp;sheet=A0&amp;row=19&amp;col=18&amp;number=&amp;sourceID=56","")</f>
        <v/>
      </c>
      <c r="S19" s="4" t="str">
        <f>HYPERLINK("http://141.218.60.56/~jnz1568/getInfo.php?workbook=16_15.xlsx&amp;sheet=A0&amp;row=19&amp;col=19&amp;number=&amp;sourceID=57","")</f>
        <v/>
      </c>
      <c r="T19" s="4" t="str">
        <f>HYPERLINK("http://141.218.60.56/~jnz1568/getInfo.php?workbook=16_15.xlsx&amp;sheet=A0&amp;row=19&amp;col=20&amp;number=&amp;sourceID=57","")</f>
        <v/>
      </c>
      <c r="U19" s="4" t="str">
        <f>HYPERLINK("http://141.218.60.56/~jnz1568/getInfo.php?workbook=16_15.xlsx&amp;sheet=A0&amp;row=19&amp;col=21&amp;number=&amp;sourceID=47","")</f>
        <v/>
      </c>
      <c r="V19" s="4" t="str">
        <f>HYPERLINK("http://141.218.60.56/~jnz1568/getInfo.php?workbook=16_15.xlsx&amp;sheet=A0&amp;row=19&amp;col=22&amp;number=&amp;sourceID=47","")</f>
        <v/>
      </c>
    </row>
    <row r="20" spans="1:22">
      <c r="A20" s="3">
        <v>16</v>
      </c>
      <c r="B20" s="3">
        <v>15</v>
      </c>
      <c r="C20" s="3">
        <v>7</v>
      </c>
      <c r="D20" s="3">
        <v>3</v>
      </c>
      <c r="E20" s="3">
        <f>((1/(INDEX(E0!J$4:J$73,C20,1)-INDEX(E0!J$4:J$73,D20,1))))*100000000</f>
        <v>0</v>
      </c>
      <c r="F20" s="4" t="str">
        <f>HYPERLINK("http://141.218.60.56/~jnz1568/getInfo.php?workbook=16_15.xlsx&amp;sheet=A0&amp;row=20&amp;col=6&amp;number=4079.6&amp;sourceID=54","4079.6")</f>
        <v>4079.6</v>
      </c>
      <c r="G20" s="4" t="str">
        <f>HYPERLINK("http://141.218.60.56/~jnz1568/getInfo.php?workbook=16_15.xlsx&amp;sheet=A0&amp;row=20&amp;col=7&amp;number=&amp;sourceID=54","")</f>
        <v/>
      </c>
      <c r="H20" s="4" t="str">
        <f>HYPERLINK("http://141.218.60.56/~jnz1568/getInfo.php?workbook=16_15.xlsx&amp;sheet=A0&amp;row=20&amp;col=8&amp;number=&amp;sourceID=54","")</f>
        <v/>
      </c>
      <c r="I20" s="4" t="str">
        <f>HYPERLINK("http://141.218.60.56/~jnz1568/getInfo.php?workbook=16_15.xlsx&amp;sheet=A0&amp;row=20&amp;col=9&amp;number=4610.3&amp;sourceID=54","4610.3")</f>
        <v>4610.3</v>
      </c>
      <c r="J20" s="4" t="str">
        <f>HYPERLINK("http://141.218.60.56/~jnz1568/getInfo.php?workbook=16_15.xlsx&amp;sheet=A0&amp;row=20&amp;col=10&amp;number=&amp;sourceID=54","")</f>
        <v/>
      </c>
      <c r="K20" s="4" t="str">
        <f>HYPERLINK("http://141.218.60.56/~jnz1568/getInfo.php?workbook=16_15.xlsx&amp;sheet=A0&amp;row=20&amp;col=11&amp;number=&amp;sourceID=54","")</f>
        <v/>
      </c>
      <c r="L20" s="4" t="str">
        <f>HYPERLINK("http://141.218.60.56/~jnz1568/getInfo.php?workbook=16_15.xlsx&amp;sheet=A0&amp;row=20&amp;col=12&amp;number=8850.35101806&amp;sourceID=53","8850.35101806")</f>
        <v>8850.35101806</v>
      </c>
      <c r="M20" s="4" t="str">
        <f>HYPERLINK("http://141.218.60.56/~jnz1568/getInfo.php?workbook=16_15.xlsx&amp;sheet=A0&amp;row=20&amp;col=13&amp;number=&amp;sourceID=53","")</f>
        <v/>
      </c>
      <c r="N20" s="4" t="str">
        <f>HYPERLINK("http://141.218.60.56/~jnz1568/getInfo.php?workbook=16_15.xlsx&amp;sheet=A0&amp;row=20&amp;col=14&amp;number=&amp;sourceID=53","")</f>
        <v/>
      </c>
      <c r="O20" s="4" t="str">
        <f>HYPERLINK("http://141.218.60.56/~jnz1568/getInfo.php?workbook=16_15.xlsx&amp;sheet=A0&amp;row=20&amp;col=15&amp;number=&amp;sourceID=55","")</f>
        <v/>
      </c>
      <c r="P20" s="4" t="str">
        <f>HYPERLINK("http://141.218.60.56/~jnz1568/getInfo.php?workbook=16_15.xlsx&amp;sheet=A0&amp;row=20&amp;col=16&amp;number=&amp;sourceID=55","")</f>
        <v/>
      </c>
      <c r="Q20" s="4" t="str">
        <f>HYPERLINK("http://141.218.60.56/~jnz1568/getInfo.php?workbook=16_15.xlsx&amp;sheet=A0&amp;row=20&amp;col=17&amp;number=&amp;sourceID=56","")</f>
        <v/>
      </c>
      <c r="R20" s="4" t="str">
        <f>HYPERLINK("http://141.218.60.56/~jnz1568/getInfo.php?workbook=16_15.xlsx&amp;sheet=A0&amp;row=20&amp;col=18&amp;number=&amp;sourceID=56","")</f>
        <v/>
      </c>
      <c r="S20" s="4" t="str">
        <f>HYPERLINK("http://141.218.60.56/~jnz1568/getInfo.php?workbook=16_15.xlsx&amp;sheet=A0&amp;row=20&amp;col=19&amp;number=&amp;sourceID=57","")</f>
        <v/>
      </c>
      <c r="T20" s="4" t="str">
        <f>HYPERLINK("http://141.218.60.56/~jnz1568/getInfo.php?workbook=16_15.xlsx&amp;sheet=A0&amp;row=20&amp;col=20&amp;number=&amp;sourceID=57","")</f>
        <v/>
      </c>
      <c r="U20" s="4" t="str">
        <f>HYPERLINK("http://141.218.60.56/~jnz1568/getInfo.php?workbook=16_15.xlsx&amp;sheet=A0&amp;row=20&amp;col=21&amp;number=&amp;sourceID=47","")</f>
        <v/>
      </c>
      <c r="V20" s="4" t="str">
        <f>HYPERLINK("http://141.218.60.56/~jnz1568/getInfo.php?workbook=16_15.xlsx&amp;sheet=A0&amp;row=20&amp;col=22&amp;number=&amp;sourceID=47","")</f>
        <v/>
      </c>
    </row>
    <row r="21" spans="1:22">
      <c r="A21" s="3">
        <v>16</v>
      </c>
      <c r="B21" s="3">
        <v>15</v>
      </c>
      <c r="C21" s="3">
        <v>7</v>
      </c>
      <c r="D21" s="3">
        <v>4</v>
      </c>
      <c r="E21" s="3">
        <f>((1/(INDEX(E0!J$4:J$73,C21,1)-INDEX(E0!J$4:J$73,D21,1))))*100000000</f>
        <v>0</v>
      </c>
      <c r="F21" s="4" t="str">
        <f>HYPERLINK("http://141.218.60.56/~jnz1568/getInfo.php?workbook=16_15.xlsx&amp;sheet=A0&amp;row=21&amp;col=6&amp;number=0.54751&amp;sourceID=54","0.54751")</f>
        <v>0.54751</v>
      </c>
      <c r="G21" s="4" t="str">
        <f>HYPERLINK("http://141.218.60.56/~jnz1568/getInfo.php?workbook=16_15.xlsx&amp;sheet=A0&amp;row=21&amp;col=7&amp;number=&amp;sourceID=54","")</f>
        <v/>
      </c>
      <c r="H21" s="4" t="str">
        <f>HYPERLINK("http://141.218.60.56/~jnz1568/getInfo.php?workbook=16_15.xlsx&amp;sheet=A0&amp;row=21&amp;col=8&amp;number=&amp;sourceID=54","")</f>
        <v/>
      </c>
      <c r="I21" s="4" t="str">
        <f>HYPERLINK("http://141.218.60.56/~jnz1568/getInfo.php?workbook=16_15.xlsx&amp;sheet=A0&amp;row=21&amp;col=9&amp;number=1.0271&amp;sourceID=54","1.0271")</f>
        <v>1.0271</v>
      </c>
      <c r="J21" s="4" t="str">
        <f>HYPERLINK("http://141.218.60.56/~jnz1568/getInfo.php?workbook=16_15.xlsx&amp;sheet=A0&amp;row=21&amp;col=10&amp;number=&amp;sourceID=54","")</f>
        <v/>
      </c>
      <c r="K21" s="4" t="str">
        <f>HYPERLINK("http://141.218.60.56/~jnz1568/getInfo.php?workbook=16_15.xlsx&amp;sheet=A0&amp;row=21&amp;col=11&amp;number=&amp;sourceID=54","")</f>
        <v/>
      </c>
      <c r="L21" s="4" t="str">
        <f>HYPERLINK("http://141.218.60.56/~jnz1568/getInfo.php?workbook=16_15.xlsx&amp;sheet=A0&amp;row=21&amp;col=12&amp;number=29.7854651864&amp;sourceID=53","29.7854651864")</f>
        <v>29.7854651864</v>
      </c>
      <c r="M21" s="4" t="str">
        <f>HYPERLINK("http://141.218.60.56/~jnz1568/getInfo.php?workbook=16_15.xlsx&amp;sheet=A0&amp;row=21&amp;col=13&amp;number=&amp;sourceID=53","")</f>
        <v/>
      </c>
      <c r="N21" s="4" t="str">
        <f>HYPERLINK("http://141.218.60.56/~jnz1568/getInfo.php?workbook=16_15.xlsx&amp;sheet=A0&amp;row=21&amp;col=14&amp;number=&amp;sourceID=53","")</f>
        <v/>
      </c>
      <c r="O21" s="4" t="str">
        <f>HYPERLINK("http://141.218.60.56/~jnz1568/getInfo.php?workbook=16_15.xlsx&amp;sheet=A0&amp;row=21&amp;col=15&amp;number=&amp;sourceID=55","")</f>
        <v/>
      </c>
      <c r="P21" s="4" t="str">
        <f>HYPERLINK("http://141.218.60.56/~jnz1568/getInfo.php?workbook=16_15.xlsx&amp;sheet=A0&amp;row=21&amp;col=16&amp;number=&amp;sourceID=55","")</f>
        <v/>
      </c>
      <c r="Q21" s="4" t="str">
        <f>HYPERLINK("http://141.218.60.56/~jnz1568/getInfo.php?workbook=16_15.xlsx&amp;sheet=A0&amp;row=21&amp;col=17&amp;number=&amp;sourceID=56","")</f>
        <v/>
      </c>
      <c r="R21" s="4" t="str">
        <f>HYPERLINK("http://141.218.60.56/~jnz1568/getInfo.php?workbook=16_15.xlsx&amp;sheet=A0&amp;row=21&amp;col=18&amp;number=&amp;sourceID=56","")</f>
        <v/>
      </c>
      <c r="S21" s="4" t="str">
        <f>HYPERLINK("http://141.218.60.56/~jnz1568/getInfo.php?workbook=16_15.xlsx&amp;sheet=A0&amp;row=21&amp;col=19&amp;number=&amp;sourceID=57","")</f>
        <v/>
      </c>
      <c r="T21" s="4" t="str">
        <f>HYPERLINK("http://141.218.60.56/~jnz1568/getInfo.php?workbook=16_15.xlsx&amp;sheet=A0&amp;row=21&amp;col=20&amp;number=&amp;sourceID=57","")</f>
        <v/>
      </c>
      <c r="U21" s="4" t="str">
        <f>HYPERLINK("http://141.218.60.56/~jnz1568/getInfo.php?workbook=16_15.xlsx&amp;sheet=A0&amp;row=21&amp;col=21&amp;number=&amp;sourceID=47","")</f>
        <v/>
      </c>
      <c r="V21" s="4" t="str">
        <f>HYPERLINK("http://141.218.60.56/~jnz1568/getInfo.php?workbook=16_15.xlsx&amp;sheet=A0&amp;row=21&amp;col=22&amp;number=&amp;sourceID=47","")</f>
        <v/>
      </c>
    </row>
    <row r="22" spans="1:22">
      <c r="A22" s="3">
        <v>16</v>
      </c>
      <c r="B22" s="3">
        <v>15</v>
      </c>
      <c r="C22" s="3">
        <v>7</v>
      </c>
      <c r="D22" s="3">
        <v>5</v>
      </c>
      <c r="E22" s="3">
        <f>((1/(INDEX(E0!J$4:J$73,C22,1)-INDEX(E0!J$4:J$73,D22,1))))*100000000</f>
        <v>0</v>
      </c>
      <c r="F22" s="4" t="str">
        <f>HYPERLINK("http://141.218.60.56/~jnz1568/getInfo.php?workbook=16_15.xlsx&amp;sheet=A0&amp;row=22&amp;col=6&amp;number=3684.2&amp;sourceID=54","3684.2")</f>
        <v>3684.2</v>
      </c>
      <c r="G22" s="4" t="str">
        <f>HYPERLINK("http://141.218.60.56/~jnz1568/getInfo.php?workbook=16_15.xlsx&amp;sheet=A0&amp;row=22&amp;col=7&amp;number=&amp;sourceID=54","")</f>
        <v/>
      </c>
      <c r="H22" s="4" t="str">
        <f>HYPERLINK("http://141.218.60.56/~jnz1568/getInfo.php?workbook=16_15.xlsx&amp;sheet=A0&amp;row=22&amp;col=8&amp;number=&amp;sourceID=54","")</f>
        <v/>
      </c>
      <c r="I22" s="4" t="str">
        <f>HYPERLINK("http://141.218.60.56/~jnz1568/getInfo.php?workbook=16_15.xlsx&amp;sheet=A0&amp;row=22&amp;col=9&amp;number=4070.3&amp;sourceID=54","4070.3")</f>
        <v>4070.3</v>
      </c>
      <c r="J22" s="4" t="str">
        <f>HYPERLINK("http://141.218.60.56/~jnz1568/getInfo.php?workbook=16_15.xlsx&amp;sheet=A0&amp;row=22&amp;col=10&amp;number=&amp;sourceID=54","")</f>
        <v/>
      </c>
      <c r="K22" s="4" t="str">
        <f>HYPERLINK("http://141.218.60.56/~jnz1568/getInfo.php?workbook=16_15.xlsx&amp;sheet=A0&amp;row=22&amp;col=11&amp;number=&amp;sourceID=54","")</f>
        <v/>
      </c>
      <c r="L22" s="4" t="str">
        <f>HYPERLINK("http://141.218.60.56/~jnz1568/getInfo.php?workbook=16_15.xlsx&amp;sheet=A0&amp;row=22&amp;col=12&amp;number=3294.48552389&amp;sourceID=53","3294.48552389")</f>
        <v>3294.48552389</v>
      </c>
      <c r="M22" s="4" t="str">
        <f>HYPERLINK("http://141.218.60.56/~jnz1568/getInfo.php?workbook=16_15.xlsx&amp;sheet=A0&amp;row=22&amp;col=13&amp;number=&amp;sourceID=53","")</f>
        <v/>
      </c>
      <c r="N22" s="4" t="str">
        <f>HYPERLINK("http://141.218.60.56/~jnz1568/getInfo.php?workbook=16_15.xlsx&amp;sheet=A0&amp;row=22&amp;col=14&amp;number=&amp;sourceID=53","")</f>
        <v/>
      </c>
      <c r="O22" s="4" t="str">
        <f>HYPERLINK("http://141.218.60.56/~jnz1568/getInfo.php?workbook=16_15.xlsx&amp;sheet=A0&amp;row=22&amp;col=15&amp;number=&amp;sourceID=55","")</f>
        <v/>
      </c>
      <c r="P22" s="4" t="str">
        <f>HYPERLINK("http://141.218.60.56/~jnz1568/getInfo.php?workbook=16_15.xlsx&amp;sheet=A0&amp;row=22&amp;col=16&amp;number=&amp;sourceID=55","")</f>
        <v/>
      </c>
      <c r="Q22" s="4" t="str">
        <f>HYPERLINK("http://141.218.60.56/~jnz1568/getInfo.php?workbook=16_15.xlsx&amp;sheet=A0&amp;row=22&amp;col=17&amp;number=&amp;sourceID=56","")</f>
        <v/>
      </c>
      <c r="R22" s="4" t="str">
        <f>HYPERLINK("http://141.218.60.56/~jnz1568/getInfo.php?workbook=16_15.xlsx&amp;sheet=A0&amp;row=22&amp;col=18&amp;number=&amp;sourceID=56","")</f>
        <v/>
      </c>
      <c r="S22" s="4" t="str">
        <f>HYPERLINK("http://141.218.60.56/~jnz1568/getInfo.php?workbook=16_15.xlsx&amp;sheet=A0&amp;row=22&amp;col=19&amp;number=&amp;sourceID=57","")</f>
        <v/>
      </c>
      <c r="T22" s="4" t="str">
        <f>HYPERLINK("http://141.218.60.56/~jnz1568/getInfo.php?workbook=16_15.xlsx&amp;sheet=A0&amp;row=22&amp;col=20&amp;number=&amp;sourceID=57","")</f>
        <v/>
      </c>
      <c r="U22" s="4" t="str">
        <f>HYPERLINK("http://141.218.60.56/~jnz1568/getInfo.php?workbook=16_15.xlsx&amp;sheet=A0&amp;row=22&amp;col=21&amp;number=&amp;sourceID=47","")</f>
        <v/>
      </c>
      <c r="V22" s="4" t="str">
        <f>HYPERLINK("http://141.218.60.56/~jnz1568/getInfo.php?workbook=16_15.xlsx&amp;sheet=A0&amp;row=22&amp;col=22&amp;number=&amp;sourceID=47","")</f>
        <v/>
      </c>
    </row>
    <row r="23" spans="1:22">
      <c r="A23" s="3">
        <v>16</v>
      </c>
      <c r="B23" s="3">
        <v>15</v>
      </c>
      <c r="C23" s="3">
        <v>7</v>
      </c>
      <c r="D23" s="3">
        <v>6</v>
      </c>
      <c r="E23" s="3">
        <f>((1/(INDEX(E0!J$4:J$73,C23,1)-INDEX(E0!J$4:J$73,D23,1))))*100000000</f>
        <v>0</v>
      </c>
      <c r="F23" s="4" t="str">
        <f>HYPERLINK("http://141.218.60.56/~jnz1568/getInfo.php?workbook=16_15.xlsx&amp;sheet=A0&amp;row=23&amp;col=6&amp;number=&amp;sourceID=54","")</f>
        <v/>
      </c>
      <c r="G23" s="4" t="str">
        <f>HYPERLINK("http://141.218.60.56/~jnz1568/getInfo.php?workbook=16_15.xlsx&amp;sheet=A0&amp;row=23&amp;col=7&amp;number=8.6922e-10&amp;sourceID=54","8.6922e-10")</f>
        <v>8.6922e-10</v>
      </c>
      <c r="H23" s="4" t="str">
        <f>HYPERLINK("http://141.218.60.56/~jnz1568/getInfo.php?workbook=16_15.xlsx&amp;sheet=A0&amp;row=23&amp;col=8&amp;number=0.00062353&amp;sourceID=54","0.00062353")</f>
        <v>0.00062353</v>
      </c>
      <c r="I23" s="4" t="str">
        <f>HYPERLINK("http://141.218.60.56/~jnz1568/getInfo.php?workbook=16_15.xlsx&amp;sheet=A0&amp;row=23&amp;col=9&amp;number=&amp;sourceID=54","")</f>
        <v/>
      </c>
      <c r="J23" s="4" t="str">
        <f>HYPERLINK("http://141.218.60.56/~jnz1568/getInfo.php?workbook=16_15.xlsx&amp;sheet=A0&amp;row=23&amp;col=10&amp;number=8.7011e-10&amp;sourceID=54","8.7011e-10")</f>
        <v>8.7011e-10</v>
      </c>
      <c r="K23" s="4" t="str">
        <f>HYPERLINK("http://141.218.60.56/~jnz1568/getInfo.php?workbook=16_15.xlsx&amp;sheet=A0&amp;row=23&amp;col=11&amp;number=0.00062391&amp;sourceID=54","0.00062391")</f>
        <v>0.00062391</v>
      </c>
      <c r="L23" s="4" t="str">
        <f>HYPERLINK("http://141.218.60.56/~jnz1568/getInfo.php?workbook=16_15.xlsx&amp;sheet=A0&amp;row=23&amp;col=12&amp;number=&amp;sourceID=53","")</f>
        <v/>
      </c>
      <c r="M23" s="4" t="str">
        <f>HYPERLINK("http://141.218.60.56/~jnz1568/getInfo.php?workbook=16_15.xlsx&amp;sheet=A0&amp;row=23&amp;col=13&amp;number=&amp;sourceID=53","")</f>
        <v/>
      </c>
      <c r="N23" s="4" t="str">
        <f>HYPERLINK("http://141.218.60.56/~jnz1568/getInfo.php?workbook=16_15.xlsx&amp;sheet=A0&amp;row=23&amp;col=14&amp;number=&amp;sourceID=53","")</f>
        <v/>
      </c>
      <c r="O23" s="4" t="str">
        <f>HYPERLINK("http://141.218.60.56/~jnz1568/getInfo.php?workbook=16_15.xlsx&amp;sheet=A0&amp;row=23&amp;col=15&amp;number=&amp;sourceID=55","")</f>
        <v/>
      </c>
      <c r="P23" s="4" t="str">
        <f>HYPERLINK("http://141.218.60.56/~jnz1568/getInfo.php?workbook=16_15.xlsx&amp;sheet=A0&amp;row=23&amp;col=16&amp;number=&amp;sourceID=55","")</f>
        <v/>
      </c>
      <c r="Q23" s="4" t="str">
        <f>HYPERLINK("http://141.218.60.56/~jnz1568/getInfo.php?workbook=16_15.xlsx&amp;sheet=A0&amp;row=23&amp;col=17&amp;number=&amp;sourceID=56","")</f>
        <v/>
      </c>
      <c r="R23" s="4" t="str">
        <f>HYPERLINK("http://141.218.60.56/~jnz1568/getInfo.php?workbook=16_15.xlsx&amp;sheet=A0&amp;row=23&amp;col=18&amp;number=&amp;sourceID=56","")</f>
        <v/>
      </c>
      <c r="S23" s="4" t="str">
        <f>HYPERLINK("http://141.218.60.56/~jnz1568/getInfo.php?workbook=16_15.xlsx&amp;sheet=A0&amp;row=23&amp;col=19&amp;number=&amp;sourceID=57","")</f>
        <v/>
      </c>
      <c r="T23" s="4" t="str">
        <f>HYPERLINK("http://141.218.60.56/~jnz1568/getInfo.php?workbook=16_15.xlsx&amp;sheet=A0&amp;row=23&amp;col=20&amp;number=&amp;sourceID=57","")</f>
        <v/>
      </c>
      <c r="U23" s="4" t="str">
        <f>HYPERLINK("http://141.218.60.56/~jnz1568/getInfo.php?workbook=16_15.xlsx&amp;sheet=A0&amp;row=23&amp;col=21&amp;number=&amp;sourceID=47","")</f>
        <v/>
      </c>
      <c r="V23" s="4" t="str">
        <f>HYPERLINK("http://141.218.60.56/~jnz1568/getInfo.php?workbook=16_15.xlsx&amp;sheet=A0&amp;row=23&amp;col=22&amp;number=&amp;sourceID=47","")</f>
        <v/>
      </c>
    </row>
    <row r="24" spans="1:22">
      <c r="A24" s="3">
        <v>16</v>
      </c>
      <c r="B24" s="3">
        <v>15</v>
      </c>
      <c r="C24" s="3">
        <v>8</v>
      </c>
      <c r="D24" s="3">
        <v>1</v>
      </c>
      <c r="E24" s="3">
        <f>((1/(INDEX(E0!J$4:J$73,C24,1)-INDEX(E0!J$4:J$73,D24,1))))*100000000</f>
        <v>0</v>
      </c>
      <c r="F24" s="4" t="str">
        <f>HYPERLINK("http://141.218.60.56/~jnz1568/getInfo.php?workbook=16_15.xlsx&amp;sheet=A0&amp;row=24&amp;col=6&amp;number=49350000&amp;sourceID=54","49350000")</f>
        <v>49350000</v>
      </c>
      <c r="G24" s="4" t="str">
        <f>HYPERLINK("http://141.218.60.56/~jnz1568/getInfo.php?workbook=16_15.xlsx&amp;sheet=A0&amp;row=24&amp;col=7&amp;number=&amp;sourceID=54","")</f>
        <v/>
      </c>
      <c r="H24" s="4" t="str">
        <f>HYPERLINK("http://141.218.60.56/~jnz1568/getInfo.php?workbook=16_15.xlsx&amp;sheet=A0&amp;row=24&amp;col=8&amp;number=&amp;sourceID=54","")</f>
        <v/>
      </c>
      <c r="I24" s="4" t="str">
        <f>HYPERLINK("http://141.218.60.56/~jnz1568/getInfo.php?workbook=16_15.xlsx&amp;sheet=A0&amp;row=24&amp;col=9&amp;number=51111000&amp;sourceID=54","51111000")</f>
        <v>51111000</v>
      </c>
      <c r="J24" s="4" t="str">
        <f>HYPERLINK("http://141.218.60.56/~jnz1568/getInfo.php?workbook=16_15.xlsx&amp;sheet=A0&amp;row=24&amp;col=10&amp;number=&amp;sourceID=54","")</f>
        <v/>
      </c>
      <c r="K24" s="4" t="str">
        <f>HYPERLINK("http://141.218.60.56/~jnz1568/getInfo.php?workbook=16_15.xlsx&amp;sheet=A0&amp;row=24&amp;col=11&amp;number=&amp;sourceID=54","")</f>
        <v/>
      </c>
      <c r="L24" s="4" t="str">
        <f>HYPERLINK("http://141.218.60.56/~jnz1568/getInfo.php?workbook=16_15.xlsx&amp;sheet=A0&amp;row=24&amp;col=12&amp;number=43301586.4293&amp;sourceID=53","43301586.4293")</f>
        <v>43301586.4293</v>
      </c>
      <c r="M24" s="4" t="str">
        <f>HYPERLINK("http://141.218.60.56/~jnz1568/getInfo.php?workbook=16_15.xlsx&amp;sheet=A0&amp;row=24&amp;col=13&amp;number=&amp;sourceID=53","")</f>
        <v/>
      </c>
      <c r="N24" s="4" t="str">
        <f>HYPERLINK("http://141.218.60.56/~jnz1568/getInfo.php?workbook=16_15.xlsx&amp;sheet=A0&amp;row=24&amp;col=14&amp;number=&amp;sourceID=53","")</f>
        <v/>
      </c>
      <c r="O24" s="4" t="str">
        <f>HYPERLINK("http://141.218.60.56/~jnz1568/getInfo.php?workbook=16_15.xlsx&amp;sheet=A0&amp;row=24&amp;col=15&amp;number=&amp;sourceID=55","")</f>
        <v/>
      </c>
      <c r="P24" s="4" t="str">
        <f>HYPERLINK("http://141.218.60.56/~jnz1568/getInfo.php?workbook=16_15.xlsx&amp;sheet=A0&amp;row=24&amp;col=16&amp;number=&amp;sourceID=55","")</f>
        <v/>
      </c>
      <c r="Q24" s="4" t="str">
        <f>HYPERLINK("http://141.218.60.56/~jnz1568/getInfo.php?workbook=16_15.xlsx&amp;sheet=A0&amp;row=24&amp;col=17&amp;number=&amp;sourceID=56","")</f>
        <v/>
      </c>
      <c r="R24" s="4" t="str">
        <f>HYPERLINK("http://141.218.60.56/~jnz1568/getInfo.php?workbook=16_15.xlsx&amp;sheet=A0&amp;row=24&amp;col=18&amp;number=&amp;sourceID=56","")</f>
        <v/>
      </c>
      <c r="S24" s="4" t="str">
        <f>HYPERLINK("http://141.218.60.56/~jnz1568/getInfo.php?workbook=16_15.xlsx&amp;sheet=A0&amp;row=24&amp;col=19&amp;number=&amp;sourceID=57","")</f>
        <v/>
      </c>
      <c r="T24" s="4" t="str">
        <f>HYPERLINK("http://141.218.60.56/~jnz1568/getInfo.php?workbook=16_15.xlsx&amp;sheet=A0&amp;row=24&amp;col=20&amp;number=&amp;sourceID=57","")</f>
        <v/>
      </c>
      <c r="U24" s="4" t="str">
        <f>HYPERLINK("http://141.218.60.56/~jnz1568/getInfo.php?workbook=16_15.xlsx&amp;sheet=A0&amp;row=24&amp;col=21&amp;number=&amp;sourceID=47","")</f>
        <v/>
      </c>
      <c r="V24" s="4" t="str">
        <f>HYPERLINK("http://141.218.60.56/~jnz1568/getInfo.php?workbook=16_15.xlsx&amp;sheet=A0&amp;row=24&amp;col=22&amp;number=&amp;sourceID=47","")</f>
        <v/>
      </c>
    </row>
    <row r="25" spans="1:22">
      <c r="A25" s="3">
        <v>16</v>
      </c>
      <c r="B25" s="3">
        <v>15</v>
      </c>
      <c r="C25" s="3">
        <v>8</v>
      </c>
      <c r="D25" s="3">
        <v>2</v>
      </c>
      <c r="E25" s="3">
        <f>((1/(INDEX(E0!J$4:J$73,C25,1)-INDEX(E0!J$4:J$73,D25,1))))*100000000</f>
        <v>0</v>
      </c>
      <c r="F25" s="4" t="str">
        <f>HYPERLINK("http://141.218.60.56/~jnz1568/getInfo.php?workbook=16_15.xlsx&amp;sheet=A0&amp;row=25&amp;col=6&amp;number=2632.2&amp;sourceID=54","2632.2")</f>
        <v>2632.2</v>
      </c>
      <c r="G25" s="4" t="str">
        <f>HYPERLINK("http://141.218.60.56/~jnz1568/getInfo.php?workbook=16_15.xlsx&amp;sheet=A0&amp;row=25&amp;col=7&amp;number=&amp;sourceID=54","")</f>
        <v/>
      </c>
      <c r="H25" s="4" t="str">
        <f>HYPERLINK("http://141.218.60.56/~jnz1568/getInfo.php?workbook=16_15.xlsx&amp;sheet=A0&amp;row=25&amp;col=8&amp;number=&amp;sourceID=54","")</f>
        <v/>
      </c>
      <c r="I25" s="4" t="str">
        <f>HYPERLINK("http://141.218.60.56/~jnz1568/getInfo.php?workbook=16_15.xlsx&amp;sheet=A0&amp;row=25&amp;col=9&amp;number=2962.9&amp;sourceID=54","2962.9")</f>
        <v>2962.9</v>
      </c>
      <c r="J25" s="4" t="str">
        <f>HYPERLINK("http://141.218.60.56/~jnz1568/getInfo.php?workbook=16_15.xlsx&amp;sheet=A0&amp;row=25&amp;col=10&amp;number=&amp;sourceID=54","")</f>
        <v/>
      </c>
      <c r="K25" s="4" t="str">
        <f>HYPERLINK("http://141.218.60.56/~jnz1568/getInfo.php?workbook=16_15.xlsx&amp;sheet=A0&amp;row=25&amp;col=11&amp;number=&amp;sourceID=54","")</f>
        <v/>
      </c>
      <c r="L25" s="4" t="str">
        <f>HYPERLINK("http://141.218.60.56/~jnz1568/getInfo.php?workbook=16_15.xlsx&amp;sheet=A0&amp;row=25&amp;col=12&amp;number=4697.6689808&amp;sourceID=53","4697.6689808")</f>
        <v>4697.6689808</v>
      </c>
      <c r="M25" s="4" t="str">
        <f>HYPERLINK("http://141.218.60.56/~jnz1568/getInfo.php?workbook=16_15.xlsx&amp;sheet=A0&amp;row=25&amp;col=13&amp;number=&amp;sourceID=53","")</f>
        <v/>
      </c>
      <c r="N25" s="4" t="str">
        <f>HYPERLINK("http://141.218.60.56/~jnz1568/getInfo.php?workbook=16_15.xlsx&amp;sheet=A0&amp;row=25&amp;col=14&amp;number=&amp;sourceID=53","")</f>
        <v/>
      </c>
      <c r="O25" s="4" t="str">
        <f>HYPERLINK("http://141.218.60.56/~jnz1568/getInfo.php?workbook=16_15.xlsx&amp;sheet=A0&amp;row=25&amp;col=15&amp;number=&amp;sourceID=55","")</f>
        <v/>
      </c>
      <c r="P25" s="4" t="str">
        <f>HYPERLINK("http://141.218.60.56/~jnz1568/getInfo.php?workbook=16_15.xlsx&amp;sheet=A0&amp;row=25&amp;col=16&amp;number=&amp;sourceID=55","")</f>
        <v/>
      </c>
      <c r="Q25" s="4" t="str">
        <f>HYPERLINK("http://141.218.60.56/~jnz1568/getInfo.php?workbook=16_15.xlsx&amp;sheet=A0&amp;row=25&amp;col=17&amp;number=&amp;sourceID=56","")</f>
        <v/>
      </c>
      <c r="R25" s="4" t="str">
        <f>HYPERLINK("http://141.218.60.56/~jnz1568/getInfo.php?workbook=16_15.xlsx&amp;sheet=A0&amp;row=25&amp;col=18&amp;number=&amp;sourceID=56","")</f>
        <v/>
      </c>
      <c r="S25" s="4" t="str">
        <f>HYPERLINK("http://141.218.60.56/~jnz1568/getInfo.php?workbook=16_15.xlsx&amp;sheet=A0&amp;row=25&amp;col=19&amp;number=&amp;sourceID=57","")</f>
        <v/>
      </c>
      <c r="T25" s="4" t="str">
        <f>HYPERLINK("http://141.218.60.56/~jnz1568/getInfo.php?workbook=16_15.xlsx&amp;sheet=A0&amp;row=25&amp;col=20&amp;number=&amp;sourceID=57","")</f>
        <v/>
      </c>
      <c r="U25" s="4" t="str">
        <f>HYPERLINK("http://141.218.60.56/~jnz1568/getInfo.php?workbook=16_15.xlsx&amp;sheet=A0&amp;row=25&amp;col=21&amp;number=&amp;sourceID=47","")</f>
        <v/>
      </c>
      <c r="V25" s="4" t="str">
        <f>HYPERLINK("http://141.218.60.56/~jnz1568/getInfo.php?workbook=16_15.xlsx&amp;sheet=A0&amp;row=25&amp;col=22&amp;number=&amp;sourceID=47","")</f>
        <v/>
      </c>
    </row>
    <row r="26" spans="1:22">
      <c r="A26" s="3">
        <v>16</v>
      </c>
      <c r="B26" s="3">
        <v>15</v>
      </c>
      <c r="C26" s="3">
        <v>8</v>
      </c>
      <c r="D26" s="3">
        <v>4</v>
      </c>
      <c r="E26" s="3">
        <f>((1/(INDEX(E0!J$4:J$73,C26,1)-INDEX(E0!J$4:J$73,D26,1))))*100000000</f>
        <v>0</v>
      </c>
      <c r="F26" s="4" t="str">
        <f>HYPERLINK("http://141.218.60.56/~jnz1568/getInfo.php?workbook=16_15.xlsx&amp;sheet=A0&amp;row=26&amp;col=6&amp;number=5111.9&amp;sourceID=54","5111.9")</f>
        <v>5111.9</v>
      </c>
      <c r="G26" s="4" t="str">
        <f>HYPERLINK("http://141.218.60.56/~jnz1568/getInfo.php?workbook=16_15.xlsx&amp;sheet=A0&amp;row=26&amp;col=7&amp;number=&amp;sourceID=54","")</f>
        <v/>
      </c>
      <c r="H26" s="4" t="str">
        <f>HYPERLINK("http://141.218.60.56/~jnz1568/getInfo.php?workbook=16_15.xlsx&amp;sheet=A0&amp;row=26&amp;col=8&amp;number=&amp;sourceID=54","")</f>
        <v/>
      </c>
      <c r="I26" s="4" t="str">
        <f>HYPERLINK("http://141.218.60.56/~jnz1568/getInfo.php?workbook=16_15.xlsx&amp;sheet=A0&amp;row=26&amp;col=9&amp;number=5749.6&amp;sourceID=54","5749.6")</f>
        <v>5749.6</v>
      </c>
      <c r="J26" s="4" t="str">
        <f>HYPERLINK("http://141.218.60.56/~jnz1568/getInfo.php?workbook=16_15.xlsx&amp;sheet=A0&amp;row=26&amp;col=10&amp;number=&amp;sourceID=54","")</f>
        <v/>
      </c>
      <c r="K26" s="4" t="str">
        <f>HYPERLINK("http://141.218.60.56/~jnz1568/getInfo.php?workbook=16_15.xlsx&amp;sheet=A0&amp;row=26&amp;col=11&amp;number=&amp;sourceID=54","")</f>
        <v/>
      </c>
      <c r="L26" s="4" t="str">
        <f>HYPERLINK("http://141.218.60.56/~jnz1568/getInfo.php?workbook=16_15.xlsx&amp;sheet=A0&amp;row=26&amp;col=12&amp;number=9769.46024781&amp;sourceID=53","9769.46024781")</f>
        <v>9769.46024781</v>
      </c>
      <c r="M26" s="4" t="str">
        <f>HYPERLINK("http://141.218.60.56/~jnz1568/getInfo.php?workbook=16_15.xlsx&amp;sheet=A0&amp;row=26&amp;col=13&amp;number=&amp;sourceID=53","")</f>
        <v/>
      </c>
      <c r="N26" s="4" t="str">
        <f>HYPERLINK("http://141.218.60.56/~jnz1568/getInfo.php?workbook=16_15.xlsx&amp;sheet=A0&amp;row=26&amp;col=14&amp;number=&amp;sourceID=53","")</f>
        <v/>
      </c>
      <c r="O26" s="4" t="str">
        <f>HYPERLINK("http://141.218.60.56/~jnz1568/getInfo.php?workbook=16_15.xlsx&amp;sheet=A0&amp;row=26&amp;col=15&amp;number=&amp;sourceID=55","")</f>
        <v/>
      </c>
      <c r="P26" s="4" t="str">
        <f>HYPERLINK("http://141.218.60.56/~jnz1568/getInfo.php?workbook=16_15.xlsx&amp;sheet=A0&amp;row=26&amp;col=16&amp;number=&amp;sourceID=55","")</f>
        <v/>
      </c>
      <c r="Q26" s="4" t="str">
        <f>HYPERLINK("http://141.218.60.56/~jnz1568/getInfo.php?workbook=16_15.xlsx&amp;sheet=A0&amp;row=26&amp;col=17&amp;number=&amp;sourceID=56","")</f>
        <v/>
      </c>
      <c r="R26" s="4" t="str">
        <f>HYPERLINK("http://141.218.60.56/~jnz1568/getInfo.php?workbook=16_15.xlsx&amp;sheet=A0&amp;row=26&amp;col=18&amp;number=&amp;sourceID=56","")</f>
        <v/>
      </c>
      <c r="S26" s="4" t="str">
        <f>HYPERLINK("http://141.218.60.56/~jnz1568/getInfo.php?workbook=16_15.xlsx&amp;sheet=A0&amp;row=26&amp;col=19&amp;number=&amp;sourceID=57","")</f>
        <v/>
      </c>
      <c r="T26" s="4" t="str">
        <f>HYPERLINK("http://141.218.60.56/~jnz1568/getInfo.php?workbook=16_15.xlsx&amp;sheet=A0&amp;row=26&amp;col=20&amp;number=&amp;sourceID=57","")</f>
        <v/>
      </c>
      <c r="U26" s="4" t="str">
        <f>HYPERLINK("http://141.218.60.56/~jnz1568/getInfo.php?workbook=16_15.xlsx&amp;sheet=A0&amp;row=26&amp;col=21&amp;number=&amp;sourceID=47","")</f>
        <v/>
      </c>
      <c r="V26" s="4" t="str">
        <f>HYPERLINK("http://141.218.60.56/~jnz1568/getInfo.php?workbook=16_15.xlsx&amp;sheet=A0&amp;row=26&amp;col=22&amp;number=&amp;sourceID=47","")</f>
        <v/>
      </c>
    </row>
    <row r="27" spans="1:22">
      <c r="A27" s="3">
        <v>16</v>
      </c>
      <c r="B27" s="3">
        <v>15</v>
      </c>
      <c r="C27" s="3">
        <v>8</v>
      </c>
      <c r="D27" s="3">
        <v>5</v>
      </c>
      <c r="E27" s="3">
        <f>((1/(INDEX(E0!J$4:J$73,C27,1)-INDEX(E0!J$4:J$73,D27,1))))*100000000</f>
        <v>0</v>
      </c>
      <c r="F27" s="4" t="str">
        <f>HYPERLINK("http://141.218.60.56/~jnz1568/getInfo.php?workbook=16_15.xlsx&amp;sheet=A0&amp;row=27&amp;col=6&amp;number=1925&amp;sourceID=54","1925")</f>
        <v>1925</v>
      </c>
      <c r="G27" s="4" t="str">
        <f>HYPERLINK("http://141.218.60.56/~jnz1568/getInfo.php?workbook=16_15.xlsx&amp;sheet=A0&amp;row=27&amp;col=7&amp;number=&amp;sourceID=54","")</f>
        <v/>
      </c>
      <c r="H27" s="4" t="str">
        <f>HYPERLINK("http://141.218.60.56/~jnz1568/getInfo.php?workbook=16_15.xlsx&amp;sheet=A0&amp;row=27&amp;col=8&amp;number=&amp;sourceID=54","")</f>
        <v/>
      </c>
      <c r="I27" s="4" t="str">
        <f>HYPERLINK("http://141.218.60.56/~jnz1568/getInfo.php?workbook=16_15.xlsx&amp;sheet=A0&amp;row=27&amp;col=9&amp;number=2202.7&amp;sourceID=54","2202.7")</f>
        <v>2202.7</v>
      </c>
      <c r="J27" s="4" t="str">
        <f>HYPERLINK("http://141.218.60.56/~jnz1568/getInfo.php?workbook=16_15.xlsx&amp;sheet=A0&amp;row=27&amp;col=10&amp;number=&amp;sourceID=54","")</f>
        <v/>
      </c>
      <c r="K27" s="4" t="str">
        <f>HYPERLINK("http://141.218.60.56/~jnz1568/getInfo.php?workbook=16_15.xlsx&amp;sheet=A0&amp;row=27&amp;col=11&amp;number=&amp;sourceID=54","")</f>
        <v/>
      </c>
      <c r="L27" s="4" t="str">
        <f>HYPERLINK("http://141.218.60.56/~jnz1568/getInfo.php?workbook=16_15.xlsx&amp;sheet=A0&amp;row=27&amp;col=12&amp;number=8040.30995468&amp;sourceID=53","8040.30995468")</f>
        <v>8040.30995468</v>
      </c>
      <c r="M27" s="4" t="str">
        <f>HYPERLINK("http://141.218.60.56/~jnz1568/getInfo.php?workbook=16_15.xlsx&amp;sheet=A0&amp;row=27&amp;col=13&amp;number=&amp;sourceID=53","")</f>
        <v/>
      </c>
      <c r="N27" s="4" t="str">
        <f>HYPERLINK("http://141.218.60.56/~jnz1568/getInfo.php?workbook=16_15.xlsx&amp;sheet=A0&amp;row=27&amp;col=14&amp;number=&amp;sourceID=53","")</f>
        <v/>
      </c>
      <c r="O27" s="4" t="str">
        <f>HYPERLINK("http://141.218.60.56/~jnz1568/getInfo.php?workbook=16_15.xlsx&amp;sheet=A0&amp;row=27&amp;col=15&amp;number=&amp;sourceID=55","")</f>
        <v/>
      </c>
      <c r="P27" s="4" t="str">
        <f>HYPERLINK("http://141.218.60.56/~jnz1568/getInfo.php?workbook=16_15.xlsx&amp;sheet=A0&amp;row=27&amp;col=16&amp;number=&amp;sourceID=55","")</f>
        <v/>
      </c>
      <c r="Q27" s="4" t="str">
        <f>HYPERLINK("http://141.218.60.56/~jnz1568/getInfo.php?workbook=16_15.xlsx&amp;sheet=A0&amp;row=27&amp;col=17&amp;number=&amp;sourceID=56","")</f>
        <v/>
      </c>
      <c r="R27" s="4" t="str">
        <f>HYPERLINK("http://141.218.60.56/~jnz1568/getInfo.php?workbook=16_15.xlsx&amp;sheet=A0&amp;row=27&amp;col=18&amp;number=&amp;sourceID=56","")</f>
        <v/>
      </c>
      <c r="S27" s="4" t="str">
        <f>HYPERLINK("http://141.218.60.56/~jnz1568/getInfo.php?workbook=16_15.xlsx&amp;sheet=A0&amp;row=27&amp;col=19&amp;number=&amp;sourceID=57","")</f>
        <v/>
      </c>
      <c r="T27" s="4" t="str">
        <f>HYPERLINK("http://141.218.60.56/~jnz1568/getInfo.php?workbook=16_15.xlsx&amp;sheet=A0&amp;row=27&amp;col=20&amp;number=&amp;sourceID=57","")</f>
        <v/>
      </c>
      <c r="U27" s="4" t="str">
        <f>HYPERLINK("http://141.218.60.56/~jnz1568/getInfo.php?workbook=16_15.xlsx&amp;sheet=A0&amp;row=27&amp;col=21&amp;number=&amp;sourceID=47","")</f>
        <v/>
      </c>
      <c r="V27" s="4" t="str">
        <f>HYPERLINK("http://141.218.60.56/~jnz1568/getInfo.php?workbook=16_15.xlsx&amp;sheet=A0&amp;row=27&amp;col=22&amp;number=&amp;sourceID=47","")</f>
        <v/>
      </c>
    </row>
    <row r="28" spans="1:22">
      <c r="A28" s="3">
        <v>16</v>
      </c>
      <c r="B28" s="3">
        <v>15</v>
      </c>
      <c r="C28" s="3">
        <v>8</v>
      </c>
      <c r="D28" s="3">
        <v>6</v>
      </c>
      <c r="E28" s="3">
        <f>((1/(INDEX(E0!J$4:J$73,C28,1)-INDEX(E0!J$4:J$73,D28,1))))*100000000</f>
        <v>0</v>
      </c>
      <c r="F28" s="4" t="str">
        <f>HYPERLINK("http://141.218.60.56/~jnz1568/getInfo.php?workbook=16_15.xlsx&amp;sheet=A0&amp;row=28&amp;col=6&amp;number=&amp;sourceID=54","")</f>
        <v/>
      </c>
      <c r="G28" s="4" t="str">
        <f>HYPERLINK("http://141.218.60.56/~jnz1568/getInfo.php?workbook=16_15.xlsx&amp;sheet=A0&amp;row=28&amp;col=7&amp;number=1.1637e-08&amp;sourceID=54","1.1637e-08")</f>
        <v>1.1637e-08</v>
      </c>
      <c r="H28" s="4" t="str">
        <f>HYPERLINK("http://141.218.60.56/~jnz1568/getInfo.php?workbook=16_15.xlsx&amp;sheet=A0&amp;row=28&amp;col=8&amp;number=&amp;sourceID=54","")</f>
        <v/>
      </c>
      <c r="I28" s="4" t="str">
        <f>HYPERLINK("http://141.218.60.56/~jnz1568/getInfo.php?workbook=16_15.xlsx&amp;sheet=A0&amp;row=28&amp;col=9&amp;number=&amp;sourceID=54","")</f>
        <v/>
      </c>
      <c r="J28" s="4" t="str">
        <f>HYPERLINK("http://141.218.60.56/~jnz1568/getInfo.php?workbook=16_15.xlsx&amp;sheet=A0&amp;row=28&amp;col=10&amp;number=1.1633e-08&amp;sourceID=54","1.1633e-08")</f>
        <v>1.1633e-08</v>
      </c>
      <c r="K28" s="4" t="str">
        <f>HYPERLINK("http://141.218.60.56/~jnz1568/getInfo.php?workbook=16_15.xlsx&amp;sheet=A0&amp;row=28&amp;col=11&amp;number=&amp;sourceID=54","")</f>
        <v/>
      </c>
      <c r="L28" s="4" t="str">
        <f>HYPERLINK("http://141.218.60.56/~jnz1568/getInfo.php?workbook=16_15.xlsx&amp;sheet=A0&amp;row=28&amp;col=12&amp;number=&amp;sourceID=53","")</f>
        <v/>
      </c>
      <c r="M28" s="4" t="str">
        <f>HYPERLINK("http://141.218.60.56/~jnz1568/getInfo.php?workbook=16_15.xlsx&amp;sheet=A0&amp;row=28&amp;col=13&amp;number=&amp;sourceID=53","")</f>
        <v/>
      </c>
      <c r="N28" s="4" t="str">
        <f>HYPERLINK("http://141.218.60.56/~jnz1568/getInfo.php?workbook=16_15.xlsx&amp;sheet=A0&amp;row=28&amp;col=14&amp;number=&amp;sourceID=53","")</f>
        <v/>
      </c>
      <c r="O28" s="4" t="str">
        <f>HYPERLINK("http://141.218.60.56/~jnz1568/getInfo.php?workbook=16_15.xlsx&amp;sheet=A0&amp;row=28&amp;col=15&amp;number=&amp;sourceID=55","")</f>
        <v/>
      </c>
      <c r="P28" s="4" t="str">
        <f>HYPERLINK("http://141.218.60.56/~jnz1568/getInfo.php?workbook=16_15.xlsx&amp;sheet=A0&amp;row=28&amp;col=16&amp;number=&amp;sourceID=55","")</f>
        <v/>
      </c>
      <c r="Q28" s="4" t="str">
        <f>HYPERLINK("http://141.218.60.56/~jnz1568/getInfo.php?workbook=16_15.xlsx&amp;sheet=A0&amp;row=28&amp;col=17&amp;number=&amp;sourceID=56","")</f>
        <v/>
      </c>
      <c r="R28" s="4" t="str">
        <f>HYPERLINK("http://141.218.60.56/~jnz1568/getInfo.php?workbook=16_15.xlsx&amp;sheet=A0&amp;row=28&amp;col=18&amp;number=&amp;sourceID=56","")</f>
        <v/>
      </c>
      <c r="S28" s="4" t="str">
        <f>HYPERLINK("http://141.218.60.56/~jnz1568/getInfo.php?workbook=16_15.xlsx&amp;sheet=A0&amp;row=28&amp;col=19&amp;number=&amp;sourceID=57","")</f>
        <v/>
      </c>
      <c r="T28" s="4" t="str">
        <f>HYPERLINK("http://141.218.60.56/~jnz1568/getInfo.php?workbook=16_15.xlsx&amp;sheet=A0&amp;row=28&amp;col=20&amp;number=&amp;sourceID=57","")</f>
        <v/>
      </c>
      <c r="U28" s="4" t="str">
        <f>HYPERLINK("http://141.218.60.56/~jnz1568/getInfo.php?workbook=16_15.xlsx&amp;sheet=A0&amp;row=28&amp;col=21&amp;number=&amp;sourceID=47","")</f>
        <v/>
      </c>
      <c r="V28" s="4" t="str">
        <f>HYPERLINK("http://141.218.60.56/~jnz1568/getInfo.php?workbook=16_15.xlsx&amp;sheet=A0&amp;row=28&amp;col=22&amp;number=&amp;sourceID=47","")</f>
        <v/>
      </c>
    </row>
    <row r="29" spans="1:22">
      <c r="A29" s="3">
        <v>16</v>
      </c>
      <c r="B29" s="3">
        <v>15</v>
      </c>
      <c r="C29" s="3">
        <v>8</v>
      </c>
      <c r="D29" s="3">
        <v>7</v>
      </c>
      <c r="E29" s="3">
        <f>((1/(INDEX(E0!J$4:J$73,C29,1)-INDEX(E0!J$4:J$73,D29,1))))*100000000</f>
        <v>0</v>
      </c>
      <c r="F29" s="4" t="str">
        <f>HYPERLINK("http://141.218.60.56/~jnz1568/getInfo.php?workbook=16_15.xlsx&amp;sheet=A0&amp;row=29&amp;col=6&amp;number=&amp;sourceID=54","")</f>
        <v/>
      </c>
      <c r="G29" s="4" t="str">
        <f>HYPERLINK("http://141.218.60.56/~jnz1568/getInfo.php?workbook=16_15.xlsx&amp;sheet=A0&amp;row=29&amp;col=7&amp;number=7.898e-12&amp;sourceID=54","7.898e-12")</f>
        <v>7.898e-12</v>
      </c>
      <c r="H29" s="4" t="str">
        <f>HYPERLINK("http://141.218.60.56/~jnz1568/getInfo.php?workbook=16_15.xlsx&amp;sheet=A0&amp;row=29&amp;col=8&amp;number=0.00020697&amp;sourceID=54","0.00020697")</f>
        <v>0.00020697</v>
      </c>
      <c r="I29" s="4" t="str">
        <f>HYPERLINK("http://141.218.60.56/~jnz1568/getInfo.php?workbook=16_15.xlsx&amp;sheet=A0&amp;row=29&amp;col=9&amp;number=&amp;sourceID=54","")</f>
        <v/>
      </c>
      <c r="J29" s="4" t="str">
        <f>HYPERLINK("http://141.218.60.56/~jnz1568/getInfo.php?workbook=16_15.xlsx&amp;sheet=A0&amp;row=29&amp;col=10&amp;number=7.876e-12&amp;sourceID=54","7.876e-12")</f>
        <v>7.876e-12</v>
      </c>
      <c r="K29" s="4" t="str">
        <f>HYPERLINK("http://141.218.60.56/~jnz1568/getInfo.php?workbook=16_15.xlsx&amp;sheet=A0&amp;row=29&amp;col=11&amp;number=0.00020662&amp;sourceID=54","0.00020662")</f>
        <v>0.00020662</v>
      </c>
      <c r="L29" s="4" t="str">
        <f>HYPERLINK("http://141.218.60.56/~jnz1568/getInfo.php?workbook=16_15.xlsx&amp;sheet=A0&amp;row=29&amp;col=12&amp;number=&amp;sourceID=53","")</f>
        <v/>
      </c>
      <c r="M29" s="4" t="str">
        <f>HYPERLINK("http://141.218.60.56/~jnz1568/getInfo.php?workbook=16_15.xlsx&amp;sheet=A0&amp;row=29&amp;col=13&amp;number=&amp;sourceID=53","")</f>
        <v/>
      </c>
      <c r="N29" s="4" t="str">
        <f>HYPERLINK("http://141.218.60.56/~jnz1568/getInfo.php?workbook=16_15.xlsx&amp;sheet=A0&amp;row=29&amp;col=14&amp;number=&amp;sourceID=53","")</f>
        <v/>
      </c>
      <c r="O29" s="4" t="str">
        <f>HYPERLINK("http://141.218.60.56/~jnz1568/getInfo.php?workbook=16_15.xlsx&amp;sheet=A0&amp;row=29&amp;col=15&amp;number=&amp;sourceID=55","")</f>
        <v/>
      </c>
      <c r="P29" s="4" t="str">
        <f>HYPERLINK("http://141.218.60.56/~jnz1568/getInfo.php?workbook=16_15.xlsx&amp;sheet=A0&amp;row=29&amp;col=16&amp;number=&amp;sourceID=55","")</f>
        <v/>
      </c>
      <c r="Q29" s="4" t="str">
        <f>HYPERLINK("http://141.218.60.56/~jnz1568/getInfo.php?workbook=16_15.xlsx&amp;sheet=A0&amp;row=29&amp;col=17&amp;number=&amp;sourceID=56","")</f>
        <v/>
      </c>
      <c r="R29" s="4" t="str">
        <f>HYPERLINK("http://141.218.60.56/~jnz1568/getInfo.php?workbook=16_15.xlsx&amp;sheet=A0&amp;row=29&amp;col=18&amp;number=&amp;sourceID=56","")</f>
        <v/>
      </c>
      <c r="S29" s="4" t="str">
        <f>HYPERLINK("http://141.218.60.56/~jnz1568/getInfo.php?workbook=16_15.xlsx&amp;sheet=A0&amp;row=29&amp;col=19&amp;number=&amp;sourceID=57","")</f>
        <v/>
      </c>
      <c r="T29" s="4" t="str">
        <f>HYPERLINK("http://141.218.60.56/~jnz1568/getInfo.php?workbook=16_15.xlsx&amp;sheet=A0&amp;row=29&amp;col=20&amp;number=&amp;sourceID=57","")</f>
        <v/>
      </c>
      <c r="U29" s="4" t="str">
        <f>HYPERLINK("http://141.218.60.56/~jnz1568/getInfo.php?workbook=16_15.xlsx&amp;sheet=A0&amp;row=29&amp;col=21&amp;number=&amp;sourceID=47","")</f>
        <v/>
      </c>
      <c r="V29" s="4" t="str">
        <f>HYPERLINK("http://141.218.60.56/~jnz1568/getInfo.php?workbook=16_15.xlsx&amp;sheet=A0&amp;row=29&amp;col=22&amp;number=&amp;sourceID=47","")</f>
        <v/>
      </c>
    </row>
    <row r="30" spans="1:22">
      <c r="A30" s="3">
        <v>16</v>
      </c>
      <c r="B30" s="3">
        <v>15</v>
      </c>
      <c r="C30" s="3">
        <v>9</v>
      </c>
      <c r="D30" s="3">
        <v>1</v>
      </c>
      <c r="E30" s="3">
        <f>((1/(INDEX(E0!J$4:J$73,C30,1)-INDEX(E0!J$4:J$73,D30,1))))*100000000</f>
        <v>0</v>
      </c>
      <c r="F30" s="4" t="str">
        <f>HYPERLINK("http://141.218.60.56/~jnz1568/getInfo.php?workbook=16_15.xlsx&amp;sheet=A0&amp;row=30&amp;col=6&amp;number=3537&amp;sourceID=54","3537")</f>
        <v>3537</v>
      </c>
      <c r="G30" s="4" t="str">
        <f>HYPERLINK("http://141.218.60.56/~jnz1568/getInfo.php?workbook=16_15.xlsx&amp;sheet=A0&amp;row=30&amp;col=7&amp;number=&amp;sourceID=54","")</f>
        <v/>
      </c>
      <c r="H30" s="4" t="str">
        <f>HYPERLINK("http://141.218.60.56/~jnz1568/getInfo.php?workbook=16_15.xlsx&amp;sheet=A0&amp;row=30&amp;col=8&amp;number=&amp;sourceID=54","")</f>
        <v/>
      </c>
      <c r="I30" s="4" t="str">
        <f>HYPERLINK("http://141.218.60.56/~jnz1568/getInfo.php?workbook=16_15.xlsx&amp;sheet=A0&amp;row=30&amp;col=9&amp;number=3677.2&amp;sourceID=54","3677.2")</f>
        <v>3677.2</v>
      </c>
      <c r="J30" s="4" t="str">
        <f>HYPERLINK("http://141.218.60.56/~jnz1568/getInfo.php?workbook=16_15.xlsx&amp;sheet=A0&amp;row=30&amp;col=10&amp;number=&amp;sourceID=54","")</f>
        <v/>
      </c>
      <c r="K30" s="4" t="str">
        <f>HYPERLINK("http://141.218.60.56/~jnz1568/getInfo.php?workbook=16_15.xlsx&amp;sheet=A0&amp;row=30&amp;col=11&amp;number=&amp;sourceID=54","")</f>
        <v/>
      </c>
      <c r="L30" s="4" t="str">
        <f>HYPERLINK("http://141.218.60.56/~jnz1568/getInfo.php?workbook=16_15.xlsx&amp;sheet=A0&amp;row=30&amp;col=12&amp;number=5179.14397075&amp;sourceID=53","5179.14397075")</f>
        <v>5179.14397075</v>
      </c>
      <c r="M30" s="4" t="str">
        <f>HYPERLINK("http://141.218.60.56/~jnz1568/getInfo.php?workbook=16_15.xlsx&amp;sheet=A0&amp;row=30&amp;col=13&amp;number=&amp;sourceID=53","")</f>
        <v/>
      </c>
      <c r="N30" s="4" t="str">
        <f>HYPERLINK("http://141.218.60.56/~jnz1568/getInfo.php?workbook=16_15.xlsx&amp;sheet=A0&amp;row=30&amp;col=14&amp;number=&amp;sourceID=53","")</f>
        <v/>
      </c>
      <c r="O30" s="4" t="str">
        <f>HYPERLINK("http://141.218.60.56/~jnz1568/getInfo.php?workbook=16_15.xlsx&amp;sheet=A0&amp;row=30&amp;col=15&amp;number=&amp;sourceID=55","")</f>
        <v/>
      </c>
      <c r="P30" s="4" t="str">
        <f>HYPERLINK("http://141.218.60.56/~jnz1568/getInfo.php?workbook=16_15.xlsx&amp;sheet=A0&amp;row=30&amp;col=16&amp;number=&amp;sourceID=55","")</f>
        <v/>
      </c>
      <c r="Q30" s="4" t="str">
        <f>HYPERLINK("http://141.218.60.56/~jnz1568/getInfo.php?workbook=16_15.xlsx&amp;sheet=A0&amp;row=30&amp;col=17&amp;number=&amp;sourceID=56","")</f>
        <v/>
      </c>
      <c r="R30" s="4" t="str">
        <f>HYPERLINK("http://141.218.60.56/~jnz1568/getInfo.php?workbook=16_15.xlsx&amp;sheet=A0&amp;row=30&amp;col=18&amp;number=&amp;sourceID=56","")</f>
        <v/>
      </c>
      <c r="S30" s="4" t="str">
        <f>HYPERLINK("http://141.218.60.56/~jnz1568/getInfo.php?workbook=16_15.xlsx&amp;sheet=A0&amp;row=30&amp;col=19&amp;number=&amp;sourceID=57","")</f>
        <v/>
      </c>
      <c r="T30" s="4" t="str">
        <f>HYPERLINK("http://141.218.60.56/~jnz1568/getInfo.php?workbook=16_15.xlsx&amp;sheet=A0&amp;row=30&amp;col=20&amp;number=&amp;sourceID=57","")</f>
        <v/>
      </c>
      <c r="U30" s="4" t="str">
        <f>HYPERLINK("http://141.218.60.56/~jnz1568/getInfo.php?workbook=16_15.xlsx&amp;sheet=A0&amp;row=30&amp;col=21&amp;number=&amp;sourceID=47","")</f>
        <v/>
      </c>
      <c r="V30" s="4" t="str">
        <f>HYPERLINK("http://141.218.60.56/~jnz1568/getInfo.php?workbook=16_15.xlsx&amp;sheet=A0&amp;row=30&amp;col=22&amp;number=&amp;sourceID=47","")</f>
        <v/>
      </c>
    </row>
    <row r="31" spans="1:22">
      <c r="A31" s="3">
        <v>16</v>
      </c>
      <c r="B31" s="3">
        <v>15</v>
      </c>
      <c r="C31" s="3">
        <v>9</v>
      </c>
      <c r="D31" s="3">
        <v>2</v>
      </c>
      <c r="E31" s="3">
        <f>((1/(INDEX(E0!J$4:J$73,C31,1)-INDEX(E0!J$4:J$73,D31,1))))*100000000</f>
        <v>0</v>
      </c>
      <c r="F31" s="4" t="str">
        <f>HYPERLINK("http://141.218.60.56/~jnz1568/getInfo.php?workbook=16_15.xlsx&amp;sheet=A0&amp;row=31&amp;col=6&amp;number=57206000&amp;sourceID=54","57206000")</f>
        <v>57206000</v>
      </c>
      <c r="G31" s="4" t="str">
        <f>HYPERLINK("http://141.218.60.56/~jnz1568/getInfo.php?workbook=16_15.xlsx&amp;sheet=A0&amp;row=31&amp;col=7&amp;number=&amp;sourceID=54","")</f>
        <v/>
      </c>
      <c r="H31" s="4" t="str">
        <f>HYPERLINK("http://141.218.60.56/~jnz1568/getInfo.php?workbook=16_15.xlsx&amp;sheet=A0&amp;row=31&amp;col=8&amp;number=&amp;sourceID=54","")</f>
        <v/>
      </c>
      <c r="I31" s="4" t="str">
        <f>HYPERLINK("http://141.218.60.56/~jnz1568/getInfo.php?workbook=16_15.xlsx&amp;sheet=A0&amp;row=31&amp;col=9&amp;number=59080000&amp;sourceID=54","59080000")</f>
        <v>59080000</v>
      </c>
      <c r="J31" s="4" t="str">
        <f>HYPERLINK("http://141.218.60.56/~jnz1568/getInfo.php?workbook=16_15.xlsx&amp;sheet=A0&amp;row=31&amp;col=10&amp;number=&amp;sourceID=54","")</f>
        <v/>
      </c>
      <c r="K31" s="4" t="str">
        <f>HYPERLINK("http://141.218.60.56/~jnz1568/getInfo.php?workbook=16_15.xlsx&amp;sheet=A0&amp;row=31&amp;col=11&amp;number=&amp;sourceID=54","")</f>
        <v/>
      </c>
      <c r="L31" s="4" t="str">
        <f>HYPERLINK("http://141.218.60.56/~jnz1568/getInfo.php?workbook=16_15.xlsx&amp;sheet=A0&amp;row=31&amp;col=12&amp;number=42053500.9743&amp;sourceID=53","42053500.9743")</f>
        <v>42053500.9743</v>
      </c>
      <c r="M31" s="4" t="str">
        <f>HYPERLINK("http://141.218.60.56/~jnz1568/getInfo.php?workbook=16_15.xlsx&amp;sheet=A0&amp;row=31&amp;col=13&amp;number=&amp;sourceID=53","")</f>
        <v/>
      </c>
      <c r="N31" s="4" t="str">
        <f>HYPERLINK("http://141.218.60.56/~jnz1568/getInfo.php?workbook=16_15.xlsx&amp;sheet=A0&amp;row=31&amp;col=14&amp;number=&amp;sourceID=53","")</f>
        <v/>
      </c>
      <c r="O31" s="4" t="str">
        <f>HYPERLINK("http://141.218.60.56/~jnz1568/getInfo.php?workbook=16_15.xlsx&amp;sheet=A0&amp;row=31&amp;col=15&amp;number=&amp;sourceID=55","")</f>
        <v/>
      </c>
      <c r="P31" s="4" t="str">
        <f>HYPERLINK("http://141.218.60.56/~jnz1568/getInfo.php?workbook=16_15.xlsx&amp;sheet=A0&amp;row=31&amp;col=16&amp;number=&amp;sourceID=55","")</f>
        <v/>
      </c>
      <c r="Q31" s="4" t="str">
        <f>HYPERLINK("http://141.218.60.56/~jnz1568/getInfo.php?workbook=16_15.xlsx&amp;sheet=A0&amp;row=31&amp;col=17&amp;number=&amp;sourceID=56","")</f>
        <v/>
      </c>
      <c r="R31" s="4" t="str">
        <f>HYPERLINK("http://141.218.60.56/~jnz1568/getInfo.php?workbook=16_15.xlsx&amp;sheet=A0&amp;row=31&amp;col=18&amp;number=&amp;sourceID=56","")</f>
        <v/>
      </c>
      <c r="S31" s="4" t="str">
        <f>HYPERLINK("http://141.218.60.56/~jnz1568/getInfo.php?workbook=16_15.xlsx&amp;sheet=A0&amp;row=31&amp;col=19&amp;number=&amp;sourceID=57","")</f>
        <v/>
      </c>
      <c r="T31" s="4" t="str">
        <f>HYPERLINK("http://141.218.60.56/~jnz1568/getInfo.php?workbook=16_15.xlsx&amp;sheet=A0&amp;row=31&amp;col=20&amp;number=&amp;sourceID=57","")</f>
        <v/>
      </c>
      <c r="U31" s="4" t="str">
        <f>HYPERLINK("http://141.218.60.56/~jnz1568/getInfo.php?workbook=16_15.xlsx&amp;sheet=A0&amp;row=31&amp;col=21&amp;number=&amp;sourceID=47","")</f>
        <v/>
      </c>
      <c r="V31" s="4" t="str">
        <f>HYPERLINK("http://141.218.60.56/~jnz1568/getInfo.php?workbook=16_15.xlsx&amp;sheet=A0&amp;row=31&amp;col=22&amp;number=&amp;sourceID=47","")</f>
        <v/>
      </c>
    </row>
    <row r="32" spans="1:22">
      <c r="A32" s="3">
        <v>16</v>
      </c>
      <c r="B32" s="3">
        <v>15</v>
      </c>
      <c r="C32" s="3">
        <v>9</v>
      </c>
      <c r="D32" s="3">
        <v>3</v>
      </c>
      <c r="E32" s="3">
        <f>((1/(INDEX(E0!J$4:J$73,C32,1)-INDEX(E0!J$4:J$73,D32,1))))*100000000</f>
        <v>0</v>
      </c>
      <c r="F32" s="4" t="str">
        <f>HYPERLINK("http://141.218.60.56/~jnz1568/getInfo.php?workbook=16_15.xlsx&amp;sheet=A0&amp;row=32&amp;col=6&amp;number=4751900&amp;sourceID=54","4751900")</f>
        <v>4751900</v>
      </c>
      <c r="G32" s="4" t="str">
        <f>HYPERLINK("http://141.218.60.56/~jnz1568/getInfo.php?workbook=16_15.xlsx&amp;sheet=A0&amp;row=32&amp;col=7&amp;number=&amp;sourceID=54","")</f>
        <v/>
      </c>
      <c r="H32" s="4" t="str">
        <f>HYPERLINK("http://141.218.60.56/~jnz1568/getInfo.php?workbook=16_15.xlsx&amp;sheet=A0&amp;row=32&amp;col=8&amp;number=&amp;sourceID=54","")</f>
        <v/>
      </c>
      <c r="I32" s="4" t="str">
        <f>HYPERLINK("http://141.218.60.56/~jnz1568/getInfo.php?workbook=16_15.xlsx&amp;sheet=A0&amp;row=32&amp;col=9&amp;number=4788100&amp;sourceID=54","4788100")</f>
        <v>4788100</v>
      </c>
      <c r="J32" s="4" t="str">
        <f>HYPERLINK("http://141.218.60.56/~jnz1568/getInfo.php?workbook=16_15.xlsx&amp;sheet=A0&amp;row=32&amp;col=10&amp;number=&amp;sourceID=54","")</f>
        <v/>
      </c>
      <c r="K32" s="4" t="str">
        <f>HYPERLINK("http://141.218.60.56/~jnz1568/getInfo.php?workbook=16_15.xlsx&amp;sheet=A0&amp;row=32&amp;col=11&amp;number=&amp;sourceID=54","")</f>
        <v/>
      </c>
      <c r="L32" s="4" t="str">
        <f>HYPERLINK("http://141.218.60.56/~jnz1568/getInfo.php?workbook=16_15.xlsx&amp;sheet=A0&amp;row=32&amp;col=12&amp;number=3041757.34412&amp;sourceID=53","3041757.34412")</f>
        <v>3041757.34412</v>
      </c>
      <c r="M32" s="4" t="str">
        <f>HYPERLINK("http://141.218.60.56/~jnz1568/getInfo.php?workbook=16_15.xlsx&amp;sheet=A0&amp;row=32&amp;col=13&amp;number=&amp;sourceID=53","")</f>
        <v/>
      </c>
      <c r="N32" s="4" t="str">
        <f>HYPERLINK("http://141.218.60.56/~jnz1568/getInfo.php?workbook=16_15.xlsx&amp;sheet=A0&amp;row=32&amp;col=14&amp;number=&amp;sourceID=53","")</f>
        <v/>
      </c>
      <c r="O32" s="4" t="str">
        <f>HYPERLINK("http://141.218.60.56/~jnz1568/getInfo.php?workbook=16_15.xlsx&amp;sheet=A0&amp;row=32&amp;col=15&amp;number=&amp;sourceID=55","")</f>
        <v/>
      </c>
      <c r="P32" s="4" t="str">
        <f>HYPERLINK("http://141.218.60.56/~jnz1568/getInfo.php?workbook=16_15.xlsx&amp;sheet=A0&amp;row=32&amp;col=16&amp;number=&amp;sourceID=55","")</f>
        <v/>
      </c>
      <c r="Q32" s="4" t="str">
        <f>HYPERLINK("http://141.218.60.56/~jnz1568/getInfo.php?workbook=16_15.xlsx&amp;sheet=A0&amp;row=32&amp;col=17&amp;number=&amp;sourceID=56","")</f>
        <v/>
      </c>
      <c r="R32" s="4" t="str">
        <f>HYPERLINK("http://141.218.60.56/~jnz1568/getInfo.php?workbook=16_15.xlsx&amp;sheet=A0&amp;row=32&amp;col=18&amp;number=&amp;sourceID=56","")</f>
        <v/>
      </c>
      <c r="S32" s="4" t="str">
        <f>HYPERLINK("http://141.218.60.56/~jnz1568/getInfo.php?workbook=16_15.xlsx&amp;sheet=A0&amp;row=32&amp;col=19&amp;number=&amp;sourceID=57","")</f>
        <v/>
      </c>
      <c r="T32" s="4" t="str">
        <f>HYPERLINK("http://141.218.60.56/~jnz1568/getInfo.php?workbook=16_15.xlsx&amp;sheet=A0&amp;row=32&amp;col=20&amp;number=&amp;sourceID=57","")</f>
        <v/>
      </c>
      <c r="U32" s="4" t="str">
        <f>HYPERLINK("http://141.218.60.56/~jnz1568/getInfo.php?workbook=16_15.xlsx&amp;sheet=A0&amp;row=32&amp;col=21&amp;number=&amp;sourceID=47","")</f>
        <v/>
      </c>
      <c r="V32" s="4" t="str">
        <f>HYPERLINK("http://141.218.60.56/~jnz1568/getInfo.php?workbook=16_15.xlsx&amp;sheet=A0&amp;row=32&amp;col=22&amp;number=&amp;sourceID=47","")</f>
        <v/>
      </c>
    </row>
    <row r="33" spans="1:22">
      <c r="A33" s="3">
        <v>16</v>
      </c>
      <c r="B33" s="3">
        <v>15</v>
      </c>
      <c r="C33" s="3">
        <v>9</v>
      </c>
      <c r="D33" s="3">
        <v>4</v>
      </c>
      <c r="E33" s="3">
        <f>((1/(INDEX(E0!J$4:J$73,C33,1)-INDEX(E0!J$4:J$73,D33,1))))*100000000</f>
        <v>0</v>
      </c>
      <c r="F33" s="4" t="str">
        <f>HYPERLINK("http://141.218.60.56/~jnz1568/getInfo.php?workbook=16_15.xlsx&amp;sheet=A0&amp;row=33&amp;col=6&amp;number=1995800&amp;sourceID=54","1995800")</f>
        <v>1995800</v>
      </c>
      <c r="G33" s="4" t="str">
        <f>HYPERLINK("http://141.218.60.56/~jnz1568/getInfo.php?workbook=16_15.xlsx&amp;sheet=A0&amp;row=33&amp;col=7&amp;number=&amp;sourceID=54","")</f>
        <v/>
      </c>
      <c r="H33" s="4" t="str">
        <f>HYPERLINK("http://141.218.60.56/~jnz1568/getInfo.php?workbook=16_15.xlsx&amp;sheet=A0&amp;row=33&amp;col=8&amp;number=&amp;sourceID=54","")</f>
        <v/>
      </c>
      <c r="I33" s="4" t="str">
        <f>HYPERLINK("http://141.218.60.56/~jnz1568/getInfo.php?workbook=16_15.xlsx&amp;sheet=A0&amp;row=33&amp;col=9&amp;number=2065600&amp;sourceID=54","2065600")</f>
        <v>2065600</v>
      </c>
      <c r="J33" s="4" t="str">
        <f>HYPERLINK("http://141.218.60.56/~jnz1568/getInfo.php?workbook=16_15.xlsx&amp;sheet=A0&amp;row=33&amp;col=10&amp;number=&amp;sourceID=54","")</f>
        <v/>
      </c>
      <c r="K33" s="4" t="str">
        <f>HYPERLINK("http://141.218.60.56/~jnz1568/getInfo.php?workbook=16_15.xlsx&amp;sheet=A0&amp;row=33&amp;col=11&amp;number=&amp;sourceID=54","")</f>
        <v/>
      </c>
      <c r="L33" s="4" t="str">
        <f>HYPERLINK("http://141.218.60.56/~jnz1568/getInfo.php?workbook=16_15.xlsx&amp;sheet=A0&amp;row=33&amp;col=12&amp;number=8341.14425895&amp;sourceID=53","8341.14425895")</f>
        <v>8341.14425895</v>
      </c>
      <c r="M33" s="4" t="str">
        <f>HYPERLINK("http://141.218.60.56/~jnz1568/getInfo.php?workbook=16_15.xlsx&amp;sheet=A0&amp;row=33&amp;col=13&amp;number=&amp;sourceID=53","")</f>
        <v/>
      </c>
      <c r="N33" s="4" t="str">
        <f>HYPERLINK("http://141.218.60.56/~jnz1568/getInfo.php?workbook=16_15.xlsx&amp;sheet=A0&amp;row=33&amp;col=14&amp;number=&amp;sourceID=53","")</f>
        <v/>
      </c>
      <c r="O33" s="4" t="str">
        <f>HYPERLINK("http://141.218.60.56/~jnz1568/getInfo.php?workbook=16_15.xlsx&amp;sheet=A0&amp;row=33&amp;col=15&amp;number=&amp;sourceID=55","")</f>
        <v/>
      </c>
      <c r="P33" s="4" t="str">
        <f>HYPERLINK("http://141.218.60.56/~jnz1568/getInfo.php?workbook=16_15.xlsx&amp;sheet=A0&amp;row=33&amp;col=16&amp;number=&amp;sourceID=55","")</f>
        <v/>
      </c>
      <c r="Q33" s="4" t="str">
        <f>HYPERLINK("http://141.218.60.56/~jnz1568/getInfo.php?workbook=16_15.xlsx&amp;sheet=A0&amp;row=33&amp;col=17&amp;number=&amp;sourceID=56","")</f>
        <v/>
      </c>
      <c r="R33" s="4" t="str">
        <f>HYPERLINK("http://141.218.60.56/~jnz1568/getInfo.php?workbook=16_15.xlsx&amp;sheet=A0&amp;row=33&amp;col=18&amp;number=&amp;sourceID=56","")</f>
        <v/>
      </c>
      <c r="S33" s="4" t="str">
        <f>HYPERLINK("http://141.218.60.56/~jnz1568/getInfo.php?workbook=16_15.xlsx&amp;sheet=A0&amp;row=33&amp;col=19&amp;number=&amp;sourceID=57","")</f>
        <v/>
      </c>
      <c r="T33" s="4" t="str">
        <f>HYPERLINK("http://141.218.60.56/~jnz1568/getInfo.php?workbook=16_15.xlsx&amp;sheet=A0&amp;row=33&amp;col=20&amp;number=&amp;sourceID=57","")</f>
        <v/>
      </c>
      <c r="U33" s="4" t="str">
        <f>HYPERLINK("http://141.218.60.56/~jnz1568/getInfo.php?workbook=16_15.xlsx&amp;sheet=A0&amp;row=33&amp;col=21&amp;number=&amp;sourceID=47","")</f>
        <v/>
      </c>
      <c r="V33" s="4" t="str">
        <f>HYPERLINK("http://141.218.60.56/~jnz1568/getInfo.php?workbook=16_15.xlsx&amp;sheet=A0&amp;row=33&amp;col=22&amp;number=&amp;sourceID=47","")</f>
        <v/>
      </c>
    </row>
    <row r="34" spans="1:22">
      <c r="A34" s="3">
        <v>16</v>
      </c>
      <c r="B34" s="3">
        <v>15</v>
      </c>
      <c r="C34" s="3">
        <v>9</v>
      </c>
      <c r="D34" s="3">
        <v>5</v>
      </c>
      <c r="E34" s="3">
        <f>((1/(INDEX(E0!J$4:J$73,C34,1)-INDEX(E0!J$4:J$73,D34,1))))*100000000</f>
        <v>0</v>
      </c>
      <c r="F34" s="4" t="str">
        <f>HYPERLINK("http://141.218.60.56/~jnz1568/getInfo.php?workbook=16_15.xlsx&amp;sheet=A0&amp;row=34&amp;col=6&amp;number=73750&amp;sourceID=54","73750")</f>
        <v>73750</v>
      </c>
      <c r="G34" s="4" t="str">
        <f>HYPERLINK("http://141.218.60.56/~jnz1568/getInfo.php?workbook=16_15.xlsx&amp;sheet=A0&amp;row=34&amp;col=7&amp;number=&amp;sourceID=54","")</f>
        <v/>
      </c>
      <c r="H34" s="4" t="str">
        <f>HYPERLINK("http://141.218.60.56/~jnz1568/getInfo.php?workbook=16_15.xlsx&amp;sheet=A0&amp;row=34&amp;col=8&amp;number=&amp;sourceID=54","")</f>
        <v/>
      </c>
      <c r="I34" s="4" t="str">
        <f>HYPERLINK("http://141.218.60.56/~jnz1568/getInfo.php?workbook=16_15.xlsx&amp;sheet=A0&amp;row=34&amp;col=9&amp;number=73098&amp;sourceID=54","73098")</f>
        <v>73098</v>
      </c>
      <c r="J34" s="4" t="str">
        <f>HYPERLINK("http://141.218.60.56/~jnz1568/getInfo.php?workbook=16_15.xlsx&amp;sheet=A0&amp;row=34&amp;col=10&amp;number=&amp;sourceID=54","")</f>
        <v/>
      </c>
      <c r="K34" s="4" t="str">
        <f>HYPERLINK("http://141.218.60.56/~jnz1568/getInfo.php?workbook=16_15.xlsx&amp;sheet=A0&amp;row=34&amp;col=11&amp;number=&amp;sourceID=54","")</f>
        <v/>
      </c>
      <c r="L34" s="4" t="str">
        <f>HYPERLINK("http://141.218.60.56/~jnz1568/getInfo.php?workbook=16_15.xlsx&amp;sheet=A0&amp;row=34&amp;col=12&amp;number=93034.8626538&amp;sourceID=53","93034.8626538")</f>
        <v>93034.8626538</v>
      </c>
      <c r="M34" s="4" t="str">
        <f>HYPERLINK("http://141.218.60.56/~jnz1568/getInfo.php?workbook=16_15.xlsx&amp;sheet=A0&amp;row=34&amp;col=13&amp;number=&amp;sourceID=53","")</f>
        <v/>
      </c>
      <c r="N34" s="4" t="str">
        <f>HYPERLINK("http://141.218.60.56/~jnz1568/getInfo.php?workbook=16_15.xlsx&amp;sheet=A0&amp;row=34&amp;col=14&amp;number=&amp;sourceID=53","")</f>
        <v/>
      </c>
      <c r="O34" s="4" t="str">
        <f>HYPERLINK("http://141.218.60.56/~jnz1568/getInfo.php?workbook=16_15.xlsx&amp;sheet=A0&amp;row=34&amp;col=15&amp;number=&amp;sourceID=55","")</f>
        <v/>
      </c>
      <c r="P34" s="4" t="str">
        <f>HYPERLINK("http://141.218.60.56/~jnz1568/getInfo.php?workbook=16_15.xlsx&amp;sheet=A0&amp;row=34&amp;col=16&amp;number=&amp;sourceID=55","")</f>
        <v/>
      </c>
      <c r="Q34" s="4" t="str">
        <f>HYPERLINK("http://141.218.60.56/~jnz1568/getInfo.php?workbook=16_15.xlsx&amp;sheet=A0&amp;row=34&amp;col=17&amp;number=&amp;sourceID=56","")</f>
        <v/>
      </c>
      <c r="R34" s="4" t="str">
        <f>HYPERLINK("http://141.218.60.56/~jnz1568/getInfo.php?workbook=16_15.xlsx&amp;sheet=A0&amp;row=34&amp;col=18&amp;number=&amp;sourceID=56","")</f>
        <v/>
      </c>
      <c r="S34" s="4" t="str">
        <f>HYPERLINK("http://141.218.60.56/~jnz1568/getInfo.php?workbook=16_15.xlsx&amp;sheet=A0&amp;row=34&amp;col=19&amp;number=&amp;sourceID=57","")</f>
        <v/>
      </c>
      <c r="T34" s="4" t="str">
        <f>HYPERLINK("http://141.218.60.56/~jnz1568/getInfo.php?workbook=16_15.xlsx&amp;sheet=A0&amp;row=34&amp;col=20&amp;number=&amp;sourceID=57","")</f>
        <v/>
      </c>
      <c r="U34" s="4" t="str">
        <f>HYPERLINK("http://141.218.60.56/~jnz1568/getInfo.php?workbook=16_15.xlsx&amp;sheet=A0&amp;row=34&amp;col=21&amp;number=&amp;sourceID=47","")</f>
        <v/>
      </c>
      <c r="V34" s="4" t="str">
        <f>HYPERLINK("http://141.218.60.56/~jnz1568/getInfo.php?workbook=16_15.xlsx&amp;sheet=A0&amp;row=34&amp;col=22&amp;number=&amp;sourceID=47","")</f>
        <v/>
      </c>
    </row>
    <row r="35" spans="1:22">
      <c r="A35" s="3">
        <v>16</v>
      </c>
      <c r="B35" s="3">
        <v>15</v>
      </c>
      <c r="C35" s="3">
        <v>9</v>
      </c>
      <c r="D35" s="3">
        <v>6</v>
      </c>
      <c r="E35" s="3">
        <f>((1/(INDEX(E0!J$4:J$73,C35,1)-INDEX(E0!J$4:J$73,D35,1))))*100000000</f>
        <v>0</v>
      </c>
      <c r="F35" s="4" t="str">
        <f>HYPERLINK("http://141.218.60.56/~jnz1568/getInfo.php?workbook=16_15.xlsx&amp;sheet=A0&amp;row=35&amp;col=6&amp;number=&amp;sourceID=54","")</f>
        <v/>
      </c>
      <c r="G35" s="4" t="str">
        <f>HYPERLINK("http://141.218.60.56/~jnz1568/getInfo.php?workbook=16_15.xlsx&amp;sheet=A0&amp;row=35&amp;col=7&amp;number=0.00022397&amp;sourceID=54","0.00022397")</f>
        <v>0.00022397</v>
      </c>
      <c r="H35" s="4" t="str">
        <f>HYPERLINK("http://141.218.60.56/~jnz1568/getInfo.php?workbook=16_15.xlsx&amp;sheet=A0&amp;row=35&amp;col=8&amp;number=0.0045416&amp;sourceID=54","0.0045416")</f>
        <v>0.0045416</v>
      </c>
      <c r="I35" s="4" t="str">
        <f>HYPERLINK("http://141.218.60.56/~jnz1568/getInfo.php?workbook=16_15.xlsx&amp;sheet=A0&amp;row=35&amp;col=9&amp;number=&amp;sourceID=54","")</f>
        <v/>
      </c>
      <c r="J35" s="4" t="str">
        <f>HYPERLINK("http://141.218.60.56/~jnz1568/getInfo.php?workbook=16_15.xlsx&amp;sheet=A0&amp;row=35&amp;col=10&amp;number=0.00020736&amp;sourceID=54","0.00020736")</f>
        <v>0.00020736</v>
      </c>
      <c r="K35" s="4" t="str">
        <f>HYPERLINK("http://141.218.60.56/~jnz1568/getInfo.php?workbook=16_15.xlsx&amp;sheet=A0&amp;row=35&amp;col=11&amp;number=0.0043921&amp;sourceID=54","0.0043921")</f>
        <v>0.0043921</v>
      </c>
      <c r="L35" s="4" t="str">
        <f>HYPERLINK("http://141.218.60.56/~jnz1568/getInfo.php?workbook=16_15.xlsx&amp;sheet=A0&amp;row=35&amp;col=12&amp;number=&amp;sourceID=53","")</f>
        <v/>
      </c>
      <c r="M35" s="4" t="str">
        <f>HYPERLINK("http://141.218.60.56/~jnz1568/getInfo.php?workbook=16_15.xlsx&amp;sheet=A0&amp;row=35&amp;col=13&amp;number=&amp;sourceID=53","")</f>
        <v/>
      </c>
      <c r="N35" s="4" t="str">
        <f>HYPERLINK("http://141.218.60.56/~jnz1568/getInfo.php?workbook=16_15.xlsx&amp;sheet=A0&amp;row=35&amp;col=14&amp;number=&amp;sourceID=53","")</f>
        <v/>
      </c>
      <c r="O35" s="4" t="str">
        <f>HYPERLINK("http://141.218.60.56/~jnz1568/getInfo.php?workbook=16_15.xlsx&amp;sheet=A0&amp;row=35&amp;col=15&amp;number=&amp;sourceID=55","")</f>
        <v/>
      </c>
      <c r="P35" s="4" t="str">
        <f>HYPERLINK("http://141.218.60.56/~jnz1568/getInfo.php?workbook=16_15.xlsx&amp;sheet=A0&amp;row=35&amp;col=16&amp;number=&amp;sourceID=55","")</f>
        <v/>
      </c>
      <c r="Q35" s="4" t="str">
        <f>HYPERLINK("http://141.218.60.56/~jnz1568/getInfo.php?workbook=16_15.xlsx&amp;sheet=A0&amp;row=35&amp;col=17&amp;number=&amp;sourceID=56","")</f>
        <v/>
      </c>
      <c r="R35" s="4" t="str">
        <f>HYPERLINK("http://141.218.60.56/~jnz1568/getInfo.php?workbook=16_15.xlsx&amp;sheet=A0&amp;row=35&amp;col=18&amp;number=&amp;sourceID=56","")</f>
        <v/>
      </c>
      <c r="S35" s="4" t="str">
        <f>HYPERLINK("http://141.218.60.56/~jnz1568/getInfo.php?workbook=16_15.xlsx&amp;sheet=A0&amp;row=35&amp;col=19&amp;number=&amp;sourceID=57","")</f>
        <v/>
      </c>
      <c r="T35" s="4" t="str">
        <f>HYPERLINK("http://141.218.60.56/~jnz1568/getInfo.php?workbook=16_15.xlsx&amp;sheet=A0&amp;row=35&amp;col=20&amp;number=&amp;sourceID=57","")</f>
        <v/>
      </c>
      <c r="U35" s="4" t="str">
        <f>HYPERLINK("http://141.218.60.56/~jnz1568/getInfo.php?workbook=16_15.xlsx&amp;sheet=A0&amp;row=35&amp;col=21&amp;number=&amp;sourceID=47","")</f>
        <v/>
      </c>
      <c r="V35" s="4" t="str">
        <f>HYPERLINK("http://141.218.60.56/~jnz1568/getInfo.php?workbook=16_15.xlsx&amp;sheet=A0&amp;row=35&amp;col=22&amp;number=&amp;sourceID=47","")</f>
        <v/>
      </c>
    </row>
    <row r="36" spans="1:22">
      <c r="A36" s="3">
        <v>16</v>
      </c>
      <c r="B36" s="3">
        <v>15</v>
      </c>
      <c r="C36" s="3">
        <v>9</v>
      </c>
      <c r="D36" s="3">
        <v>7</v>
      </c>
      <c r="E36" s="3">
        <f>((1/(INDEX(E0!J$4:J$73,C36,1)-INDEX(E0!J$4:J$73,D36,1))))*100000000</f>
        <v>0</v>
      </c>
      <c r="F36" s="4" t="str">
        <f>HYPERLINK("http://141.218.60.56/~jnz1568/getInfo.php?workbook=16_15.xlsx&amp;sheet=A0&amp;row=36&amp;col=6&amp;number=&amp;sourceID=54","")</f>
        <v/>
      </c>
      <c r="G36" s="4" t="str">
        <f>HYPERLINK("http://141.218.60.56/~jnz1568/getInfo.php?workbook=16_15.xlsx&amp;sheet=A0&amp;row=36&amp;col=7&amp;number=3.3633e-06&amp;sourceID=54","3.3633e-06")</f>
        <v>3.3633e-06</v>
      </c>
      <c r="H36" s="4" t="str">
        <f>HYPERLINK("http://141.218.60.56/~jnz1568/getInfo.php?workbook=16_15.xlsx&amp;sheet=A0&amp;row=36&amp;col=8&amp;number=0.019246&amp;sourceID=54","0.019246")</f>
        <v>0.019246</v>
      </c>
      <c r="I36" s="4" t="str">
        <f>HYPERLINK("http://141.218.60.56/~jnz1568/getInfo.php?workbook=16_15.xlsx&amp;sheet=A0&amp;row=36&amp;col=9&amp;number=&amp;sourceID=54","")</f>
        <v/>
      </c>
      <c r="J36" s="4" t="str">
        <f>HYPERLINK("http://141.218.60.56/~jnz1568/getInfo.php?workbook=16_15.xlsx&amp;sheet=A0&amp;row=36&amp;col=10&amp;number=3.0279e-06&amp;sourceID=54","3.0279e-06")</f>
        <v>3.0279e-06</v>
      </c>
      <c r="K36" s="4" t="str">
        <f>HYPERLINK("http://141.218.60.56/~jnz1568/getInfo.php?workbook=16_15.xlsx&amp;sheet=A0&amp;row=36&amp;col=11&amp;number=0.018758&amp;sourceID=54","0.018758")</f>
        <v>0.018758</v>
      </c>
      <c r="L36" s="4" t="str">
        <f>HYPERLINK("http://141.218.60.56/~jnz1568/getInfo.php?workbook=16_15.xlsx&amp;sheet=A0&amp;row=36&amp;col=12&amp;number=&amp;sourceID=53","")</f>
        <v/>
      </c>
      <c r="M36" s="4" t="str">
        <f>HYPERLINK("http://141.218.60.56/~jnz1568/getInfo.php?workbook=16_15.xlsx&amp;sheet=A0&amp;row=36&amp;col=13&amp;number=&amp;sourceID=53","")</f>
        <v/>
      </c>
      <c r="N36" s="4" t="str">
        <f>HYPERLINK("http://141.218.60.56/~jnz1568/getInfo.php?workbook=16_15.xlsx&amp;sheet=A0&amp;row=36&amp;col=14&amp;number=&amp;sourceID=53","")</f>
        <v/>
      </c>
      <c r="O36" s="4" t="str">
        <f>HYPERLINK("http://141.218.60.56/~jnz1568/getInfo.php?workbook=16_15.xlsx&amp;sheet=A0&amp;row=36&amp;col=15&amp;number=&amp;sourceID=55","")</f>
        <v/>
      </c>
      <c r="P36" s="4" t="str">
        <f>HYPERLINK("http://141.218.60.56/~jnz1568/getInfo.php?workbook=16_15.xlsx&amp;sheet=A0&amp;row=36&amp;col=16&amp;number=&amp;sourceID=55","")</f>
        <v/>
      </c>
      <c r="Q36" s="4" t="str">
        <f>HYPERLINK("http://141.218.60.56/~jnz1568/getInfo.php?workbook=16_15.xlsx&amp;sheet=A0&amp;row=36&amp;col=17&amp;number=&amp;sourceID=56","")</f>
        <v/>
      </c>
      <c r="R36" s="4" t="str">
        <f>HYPERLINK("http://141.218.60.56/~jnz1568/getInfo.php?workbook=16_15.xlsx&amp;sheet=A0&amp;row=36&amp;col=18&amp;number=&amp;sourceID=56","")</f>
        <v/>
      </c>
      <c r="S36" s="4" t="str">
        <f>HYPERLINK("http://141.218.60.56/~jnz1568/getInfo.php?workbook=16_15.xlsx&amp;sheet=A0&amp;row=36&amp;col=19&amp;number=&amp;sourceID=57","")</f>
        <v/>
      </c>
      <c r="T36" s="4" t="str">
        <f>HYPERLINK("http://141.218.60.56/~jnz1568/getInfo.php?workbook=16_15.xlsx&amp;sheet=A0&amp;row=36&amp;col=20&amp;number=&amp;sourceID=57","")</f>
        <v/>
      </c>
      <c r="U36" s="4" t="str">
        <f>HYPERLINK("http://141.218.60.56/~jnz1568/getInfo.php?workbook=16_15.xlsx&amp;sheet=A0&amp;row=36&amp;col=21&amp;number=&amp;sourceID=47","")</f>
        <v/>
      </c>
      <c r="V36" s="4" t="str">
        <f>HYPERLINK("http://141.218.60.56/~jnz1568/getInfo.php?workbook=16_15.xlsx&amp;sheet=A0&amp;row=36&amp;col=22&amp;number=&amp;sourceID=47","")</f>
        <v/>
      </c>
    </row>
    <row r="37" spans="1:22">
      <c r="A37" s="3">
        <v>16</v>
      </c>
      <c r="B37" s="3">
        <v>15</v>
      </c>
      <c r="C37" s="3">
        <v>9</v>
      </c>
      <c r="D37" s="3">
        <v>8</v>
      </c>
      <c r="E37" s="3">
        <f>((1/(INDEX(E0!J$4:J$73,C37,1)-INDEX(E0!J$4:J$73,D37,1))))*100000000</f>
        <v>0</v>
      </c>
      <c r="F37" s="4" t="str">
        <f>HYPERLINK("http://141.218.60.56/~jnz1568/getInfo.php?workbook=16_15.xlsx&amp;sheet=A0&amp;row=37&amp;col=6&amp;number=&amp;sourceID=54","")</f>
        <v/>
      </c>
      <c r="G37" s="4" t="str">
        <f>HYPERLINK("http://141.218.60.56/~jnz1568/getInfo.php?workbook=16_15.xlsx&amp;sheet=A0&amp;row=37&amp;col=7&amp;number=7.323e-05&amp;sourceID=54","7.323e-05")</f>
        <v>7.323e-05</v>
      </c>
      <c r="H37" s="4" t="str">
        <f>HYPERLINK("http://141.218.60.56/~jnz1568/getInfo.php?workbook=16_15.xlsx&amp;sheet=A0&amp;row=37&amp;col=8&amp;number=0.0048029&amp;sourceID=54","0.0048029")</f>
        <v>0.0048029</v>
      </c>
      <c r="I37" s="4" t="str">
        <f>HYPERLINK("http://141.218.60.56/~jnz1568/getInfo.php?workbook=16_15.xlsx&amp;sheet=A0&amp;row=37&amp;col=9&amp;number=&amp;sourceID=54","")</f>
        <v/>
      </c>
      <c r="J37" s="4" t="str">
        <f>HYPERLINK("http://141.218.60.56/~jnz1568/getInfo.php?workbook=16_15.xlsx&amp;sheet=A0&amp;row=37&amp;col=10&amp;number=6.7955e-05&amp;sourceID=54","6.7955e-05")</f>
        <v>6.7955e-05</v>
      </c>
      <c r="K37" s="4" t="str">
        <f>HYPERLINK("http://141.218.60.56/~jnz1568/getInfo.php?workbook=16_15.xlsx&amp;sheet=A0&amp;row=37&amp;col=11&amp;number=0.0046811&amp;sourceID=54","0.0046811")</f>
        <v>0.0046811</v>
      </c>
      <c r="L37" s="4" t="str">
        <f>HYPERLINK("http://141.218.60.56/~jnz1568/getInfo.php?workbook=16_15.xlsx&amp;sheet=A0&amp;row=37&amp;col=12&amp;number=&amp;sourceID=53","")</f>
        <v/>
      </c>
      <c r="M37" s="4" t="str">
        <f>HYPERLINK("http://141.218.60.56/~jnz1568/getInfo.php?workbook=16_15.xlsx&amp;sheet=A0&amp;row=37&amp;col=13&amp;number=&amp;sourceID=53","")</f>
        <v/>
      </c>
      <c r="N37" s="4" t="str">
        <f>HYPERLINK("http://141.218.60.56/~jnz1568/getInfo.php?workbook=16_15.xlsx&amp;sheet=A0&amp;row=37&amp;col=14&amp;number=&amp;sourceID=53","")</f>
        <v/>
      </c>
      <c r="O37" s="4" t="str">
        <f>HYPERLINK("http://141.218.60.56/~jnz1568/getInfo.php?workbook=16_15.xlsx&amp;sheet=A0&amp;row=37&amp;col=15&amp;number=&amp;sourceID=55","")</f>
        <v/>
      </c>
      <c r="P37" s="4" t="str">
        <f>HYPERLINK("http://141.218.60.56/~jnz1568/getInfo.php?workbook=16_15.xlsx&amp;sheet=A0&amp;row=37&amp;col=16&amp;number=&amp;sourceID=55","")</f>
        <v/>
      </c>
      <c r="Q37" s="4" t="str">
        <f>HYPERLINK("http://141.218.60.56/~jnz1568/getInfo.php?workbook=16_15.xlsx&amp;sheet=A0&amp;row=37&amp;col=17&amp;number=&amp;sourceID=56","")</f>
        <v/>
      </c>
      <c r="R37" s="4" t="str">
        <f>HYPERLINK("http://141.218.60.56/~jnz1568/getInfo.php?workbook=16_15.xlsx&amp;sheet=A0&amp;row=37&amp;col=18&amp;number=&amp;sourceID=56","")</f>
        <v/>
      </c>
      <c r="S37" s="4" t="str">
        <f>HYPERLINK("http://141.218.60.56/~jnz1568/getInfo.php?workbook=16_15.xlsx&amp;sheet=A0&amp;row=37&amp;col=19&amp;number=&amp;sourceID=57","")</f>
        <v/>
      </c>
      <c r="T37" s="4" t="str">
        <f>HYPERLINK("http://141.218.60.56/~jnz1568/getInfo.php?workbook=16_15.xlsx&amp;sheet=A0&amp;row=37&amp;col=20&amp;number=&amp;sourceID=57","")</f>
        <v/>
      </c>
      <c r="U37" s="4" t="str">
        <f>HYPERLINK("http://141.218.60.56/~jnz1568/getInfo.php?workbook=16_15.xlsx&amp;sheet=A0&amp;row=37&amp;col=21&amp;number=&amp;sourceID=47","")</f>
        <v/>
      </c>
      <c r="V37" s="4" t="str">
        <f>HYPERLINK("http://141.218.60.56/~jnz1568/getInfo.php?workbook=16_15.xlsx&amp;sheet=A0&amp;row=37&amp;col=22&amp;number=&amp;sourceID=47","")</f>
        <v/>
      </c>
    </row>
    <row r="38" spans="1:22">
      <c r="A38" s="3">
        <v>16</v>
      </c>
      <c r="B38" s="3">
        <v>15</v>
      </c>
      <c r="C38" s="3">
        <v>10</v>
      </c>
      <c r="D38" s="3">
        <v>1</v>
      </c>
      <c r="E38" s="3">
        <f>((1/(INDEX(E0!J$4:J$73,C38,1)-INDEX(E0!J$4:J$73,D38,1))))*100000000</f>
        <v>0</v>
      </c>
      <c r="F38" s="4" t="str">
        <f>HYPERLINK("http://141.218.60.56/~jnz1568/getInfo.php?workbook=16_15.xlsx&amp;sheet=A0&amp;row=38&amp;col=6&amp;number=25136&amp;sourceID=54","25136")</f>
        <v>25136</v>
      </c>
      <c r="G38" s="4" t="str">
        <f>HYPERLINK("http://141.218.60.56/~jnz1568/getInfo.php?workbook=16_15.xlsx&amp;sheet=A0&amp;row=38&amp;col=7&amp;number=&amp;sourceID=54","")</f>
        <v/>
      </c>
      <c r="H38" s="4" t="str">
        <f>HYPERLINK("http://141.218.60.56/~jnz1568/getInfo.php?workbook=16_15.xlsx&amp;sheet=A0&amp;row=38&amp;col=8&amp;number=&amp;sourceID=54","")</f>
        <v/>
      </c>
      <c r="I38" s="4" t="str">
        <f>HYPERLINK("http://141.218.60.56/~jnz1568/getInfo.php?workbook=16_15.xlsx&amp;sheet=A0&amp;row=38&amp;col=9&amp;number=26144&amp;sourceID=54","26144")</f>
        <v>26144</v>
      </c>
      <c r="J38" s="4" t="str">
        <f>HYPERLINK("http://141.218.60.56/~jnz1568/getInfo.php?workbook=16_15.xlsx&amp;sheet=A0&amp;row=38&amp;col=10&amp;number=&amp;sourceID=54","")</f>
        <v/>
      </c>
      <c r="K38" s="4" t="str">
        <f>HYPERLINK("http://141.218.60.56/~jnz1568/getInfo.php?workbook=16_15.xlsx&amp;sheet=A0&amp;row=38&amp;col=11&amp;number=&amp;sourceID=54","")</f>
        <v/>
      </c>
      <c r="L38" s="4" t="str">
        <f>HYPERLINK("http://141.218.60.56/~jnz1568/getInfo.php?workbook=16_15.xlsx&amp;sheet=A0&amp;row=38&amp;col=12&amp;number=34874.4304149&amp;sourceID=53","34874.4304149")</f>
        <v>34874.4304149</v>
      </c>
      <c r="M38" s="4" t="str">
        <f>HYPERLINK("http://141.218.60.56/~jnz1568/getInfo.php?workbook=16_15.xlsx&amp;sheet=A0&amp;row=38&amp;col=13&amp;number=&amp;sourceID=53","")</f>
        <v/>
      </c>
      <c r="N38" s="4" t="str">
        <f>HYPERLINK("http://141.218.60.56/~jnz1568/getInfo.php?workbook=16_15.xlsx&amp;sheet=A0&amp;row=38&amp;col=14&amp;number=&amp;sourceID=53","")</f>
        <v/>
      </c>
      <c r="O38" s="4" t="str">
        <f>HYPERLINK("http://141.218.60.56/~jnz1568/getInfo.php?workbook=16_15.xlsx&amp;sheet=A0&amp;row=38&amp;col=15&amp;number=&amp;sourceID=55","")</f>
        <v/>
      </c>
      <c r="P38" s="4" t="str">
        <f>HYPERLINK("http://141.218.60.56/~jnz1568/getInfo.php?workbook=16_15.xlsx&amp;sheet=A0&amp;row=38&amp;col=16&amp;number=&amp;sourceID=55","")</f>
        <v/>
      </c>
      <c r="Q38" s="4" t="str">
        <f>HYPERLINK("http://141.218.60.56/~jnz1568/getInfo.php?workbook=16_15.xlsx&amp;sheet=A0&amp;row=38&amp;col=17&amp;number=&amp;sourceID=56","")</f>
        <v/>
      </c>
      <c r="R38" s="4" t="str">
        <f>HYPERLINK("http://141.218.60.56/~jnz1568/getInfo.php?workbook=16_15.xlsx&amp;sheet=A0&amp;row=38&amp;col=18&amp;number=&amp;sourceID=56","")</f>
        <v/>
      </c>
      <c r="S38" s="4" t="str">
        <f>HYPERLINK("http://141.218.60.56/~jnz1568/getInfo.php?workbook=16_15.xlsx&amp;sheet=A0&amp;row=38&amp;col=19&amp;number=&amp;sourceID=57","")</f>
        <v/>
      </c>
      <c r="T38" s="4" t="str">
        <f>HYPERLINK("http://141.218.60.56/~jnz1568/getInfo.php?workbook=16_15.xlsx&amp;sheet=A0&amp;row=38&amp;col=20&amp;number=&amp;sourceID=57","")</f>
        <v/>
      </c>
      <c r="U38" s="4" t="str">
        <f>HYPERLINK("http://141.218.60.56/~jnz1568/getInfo.php?workbook=16_15.xlsx&amp;sheet=A0&amp;row=38&amp;col=21&amp;number=&amp;sourceID=47","")</f>
        <v/>
      </c>
      <c r="V38" s="4" t="str">
        <f>HYPERLINK("http://141.218.60.56/~jnz1568/getInfo.php?workbook=16_15.xlsx&amp;sheet=A0&amp;row=38&amp;col=22&amp;number=&amp;sourceID=47","")</f>
        <v/>
      </c>
    </row>
    <row r="39" spans="1:22">
      <c r="A39" s="3">
        <v>16</v>
      </c>
      <c r="B39" s="3">
        <v>15</v>
      </c>
      <c r="C39" s="3">
        <v>10</v>
      </c>
      <c r="D39" s="3">
        <v>2</v>
      </c>
      <c r="E39" s="3">
        <f>((1/(INDEX(E0!J$4:J$73,C39,1)-INDEX(E0!J$4:J$73,D39,1))))*100000000</f>
        <v>0</v>
      </c>
      <c r="F39" s="4" t="str">
        <f>HYPERLINK("http://141.218.60.56/~jnz1568/getInfo.php?workbook=16_15.xlsx&amp;sheet=A0&amp;row=39&amp;col=6&amp;number=3559000&amp;sourceID=54","3559000")</f>
        <v>3559000</v>
      </c>
      <c r="G39" s="4" t="str">
        <f>HYPERLINK("http://141.218.60.56/~jnz1568/getInfo.php?workbook=16_15.xlsx&amp;sheet=A0&amp;row=39&amp;col=7&amp;number=&amp;sourceID=54","")</f>
        <v/>
      </c>
      <c r="H39" s="4" t="str">
        <f>HYPERLINK("http://141.218.60.56/~jnz1568/getInfo.php?workbook=16_15.xlsx&amp;sheet=A0&amp;row=39&amp;col=8&amp;number=&amp;sourceID=54","")</f>
        <v/>
      </c>
      <c r="I39" s="4" t="str">
        <f>HYPERLINK("http://141.218.60.56/~jnz1568/getInfo.php?workbook=16_15.xlsx&amp;sheet=A0&amp;row=39&amp;col=9&amp;number=3675300&amp;sourceID=54","3675300")</f>
        <v>3675300</v>
      </c>
      <c r="J39" s="4" t="str">
        <f>HYPERLINK("http://141.218.60.56/~jnz1568/getInfo.php?workbook=16_15.xlsx&amp;sheet=A0&amp;row=39&amp;col=10&amp;number=&amp;sourceID=54","")</f>
        <v/>
      </c>
      <c r="K39" s="4" t="str">
        <f>HYPERLINK("http://141.218.60.56/~jnz1568/getInfo.php?workbook=16_15.xlsx&amp;sheet=A0&amp;row=39&amp;col=11&amp;number=&amp;sourceID=54","")</f>
        <v/>
      </c>
      <c r="L39" s="4" t="str">
        <f>HYPERLINK("http://141.218.60.56/~jnz1568/getInfo.php?workbook=16_15.xlsx&amp;sheet=A0&amp;row=39&amp;col=12&amp;number=2728997.53404&amp;sourceID=53","2728997.53404")</f>
        <v>2728997.53404</v>
      </c>
      <c r="M39" s="4" t="str">
        <f>HYPERLINK("http://141.218.60.56/~jnz1568/getInfo.php?workbook=16_15.xlsx&amp;sheet=A0&amp;row=39&amp;col=13&amp;number=&amp;sourceID=53","")</f>
        <v/>
      </c>
      <c r="N39" s="4" t="str">
        <f>HYPERLINK("http://141.218.60.56/~jnz1568/getInfo.php?workbook=16_15.xlsx&amp;sheet=A0&amp;row=39&amp;col=14&amp;number=&amp;sourceID=53","")</f>
        <v/>
      </c>
      <c r="O39" s="4" t="str">
        <f>HYPERLINK("http://141.218.60.56/~jnz1568/getInfo.php?workbook=16_15.xlsx&amp;sheet=A0&amp;row=39&amp;col=15&amp;number=&amp;sourceID=55","")</f>
        <v/>
      </c>
      <c r="P39" s="4" t="str">
        <f>HYPERLINK("http://141.218.60.56/~jnz1568/getInfo.php?workbook=16_15.xlsx&amp;sheet=A0&amp;row=39&amp;col=16&amp;number=&amp;sourceID=55","")</f>
        <v/>
      </c>
      <c r="Q39" s="4" t="str">
        <f>HYPERLINK("http://141.218.60.56/~jnz1568/getInfo.php?workbook=16_15.xlsx&amp;sheet=A0&amp;row=39&amp;col=17&amp;number=&amp;sourceID=56","")</f>
        <v/>
      </c>
      <c r="R39" s="4" t="str">
        <f>HYPERLINK("http://141.218.60.56/~jnz1568/getInfo.php?workbook=16_15.xlsx&amp;sheet=A0&amp;row=39&amp;col=18&amp;number=&amp;sourceID=56","")</f>
        <v/>
      </c>
      <c r="S39" s="4" t="str">
        <f>HYPERLINK("http://141.218.60.56/~jnz1568/getInfo.php?workbook=16_15.xlsx&amp;sheet=A0&amp;row=39&amp;col=19&amp;number=&amp;sourceID=57","")</f>
        <v/>
      </c>
      <c r="T39" s="4" t="str">
        <f>HYPERLINK("http://141.218.60.56/~jnz1568/getInfo.php?workbook=16_15.xlsx&amp;sheet=A0&amp;row=39&amp;col=20&amp;number=&amp;sourceID=57","")</f>
        <v/>
      </c>
      <c r="U39" s="4" t="str">
        <f>HYPERLINK("http://141.218.60.56/~jnz1568/getInfo.php?workbook=16_15.xlsx&amp;sheet=A0&amp;row=39&amp;col=21&amp;number=&amp;sourceID=47","")</f>
        <v/>
      </c>
      <c r="V39" s="4" t="str">
        <f>HYPERLINK("http://141.218.60.56/~jnz1568/getInfo.php?workbook=16_15.xlsx&amp;sheet=A0&amp;row=39&amp;col=22&amp;number=&amp;sourceID=47","")</f>
        <v/>
      </c>
    </row>
    <row r="40" spans="1:22">
      <c r="A40" s="3">
        <v>16</v>
      </c>
      <c r="B40" s="3">
        <v>15</v>
      </c>
      <c r="C40" s="3">
        <v>10</v>
      </c>
      <c r="D40" s="3">
        <v>3</v>
      </c>
      <c r="E40" s="3">
        <f>((1/(INDEX(E0!J$4:J$73,C40,1)-INDEX(E0!J$4:J$73,D40,1))))*100000000</f>
        <v>0</v>
      </c>
      <c r="F40" s="4" t="str">
        <f>HYPERLINK("http://141.218.60.56/~jnz1568/getInfo.php?workbook=16_15.xlsx&amp;sheet=A0&amp;row=40&amp;col=6&amp;number=56197000&amp;sourceID=54","56197000")</f>
        <v>56197000</v>
      </c>
      <c r="G40" s="4" t="str">
        <f>HYPERLINK("http://141.218.60.56/~jnz1568/getInfo.php?workbook=16_15.xlsx&amp;sheet=A0&amp;row=40&amp;col=7&amp;number=&amp;sourceID=54","")</f>
        <v/>
      </c>
      <c r="H40" s="4" t="str">
        <f>HYPERLINK("http://141.218.60.56/~jnz1568/getInfo.php?workbook=16_15.xlsx&amp;sheet=A0&amp;row=40&amp;col=8&amp;number=&amp;sourceID=54","")</f>
        <v/>
      </c>
      <c r="I40" s="4" t="str">
        <f>HYPERLINK("http://141.218.60.56/~jnz1568/getInfo.php?workbook=16_15.xlsx&amp;sheet=A0&amp;row=40&amp;col=9&amp;number=57945000&amp;sourceID=54","57945000")</f>
        <v>57945000</v>
      </c>
      <c r="J40" s="4" t="str">
        <f>HYPERLINK("http://141.218.60.56/~jnz1568/getInfo.php?workbook=16_15.xlsx&amp;sheet=A0&amp;row=40&amp;col=10&amp;number=&amp;sourceID=54","")</f>
        <v/>
      </c>
      <c r="K40" s="4" t="str">
        <f>HYPERLINK("http://141.218.60.56/~jnz1568/getInfo.php?workbook=16_15.xlsx&amp;sheet=A0&amp;row=40&amp;col=11&amp;number=&amp;sourceID=54","")</f>
        <v/>
      </c>
      <c r="L40" s="4" t="str">
        <f>HYPERLINK("http://141.218.60.56/~jnz1568/getInfo.php?workbook=16_15.xlsx&amp;sheet=A0&amp;row=40&amp;col=12&amp;number=40404673.0833&amp;sourceID=53","40404673.0833")</f>
        <v>40404673.0833</v>
      </c>
      <c r="M40" s="4" t="str">
        <f>HYPERLINK("http://141.218.60.56/~jnz1568/getInfo.php?workbook=16_15.xlsx&amp;sheet=A0&amp;row=40&amp;col=13&amp;number=&amp;sourceID=53","")</f>
        <v/>
      </c>
      <c r="N40" s="4" t="str">
        <f>HYPERLINK("http://141.218.60.56/~jnz1568/getInfo.php?workbook=16_15.xlsx&amp;sheet=A0&amp;row=40&amp;col=14&amp;number=&amp;sourceID=53","")</f>
        <v/>
      </c>
      <c r="O40" s="4" t="str">
        <f>HYPERLINK("http://141.218.60.56/~jnz1568/getInfo.php?workbook=16_15.xlsx&amp;sheet=A0&amp;row=40&amp;col=15&amp;number=&amp;sourceID=55","")</f>
        <v/>
      </c>
      <c r="P40" s="4" t="str">
        <f>HYPERLINK("http://141.218.60.56/~jnz1568/getInfo.php?workbook=16_15.xlsx&amp;sheet=A0&amp;row=40&amp;col=16&amp;number=&amp;sourceID=55","")</f>
        <v/>
      </c>
      <c r="Q40" s="4" t="str">
        <f>HYPERLINK("http://141.218.60.56/~jnz1568/getInfo.php?workbook=16_15.xlsx&amp;sheet=A0&amp;row=40&amp;col=17&amp;number=&amp;sourceID=56","")</f>
        <v/>
      </c>
      <c r="R40" s="4" t="str">
        <f>HYPERLINK("http://141.218.60.56/~jnz1568/getInfo.php?workbook=16_15.xlsx&amp;sheet=A0&amp;row=40&amp;col=18&amp;number=&amp;sourceID=56","")</f>
        <v/>
      </c>
      <c r="S40" s="4" t="str">
        <f>HYPERLINK("http://141.218.60.56/~jnz1568/getInfo.php?workbook=16_15.xlsx&amp;sheet=A0&amp;row=40&amp;col=19&amp;number=&amp;sourceID=57","")</f>
        <v/>
      </c>
      <c r="T40" s="4" t="str">
        <f>HYPERLINK("http://141.218.60.56/~jnz1568/getInfo.php?workbook=16_15.xlsx&amp;sheet=A0&amp;row=40&amp;col=20&amp;number=&amp;sourceID=57","")</f>
        <v/>
      </c>
      <c r="U40" s="4" t="str">
        <f>HYPERLINK("http://141.218.60.56/~jnz1568/getInfo.php?workbook=16_15.xlsx&amp;sheet=A0&amp;row=40&amp;col=21&amp;number=&amp;sourceID=47","")</f>
        <v/>
      </c>
      <c r="V40" s="4" t="str">
        <f>HYPERLINK("http://141.218.60.56/~jnz1568/getInfo.php?workbook=16_15.xlsx&amp;sheet=A0&amp;row=40&amp;col=22&amp;number=&amp;sourceID=47","")</f>
        <v/>
      </c>
    </row>
    <row r="41" spans="1:22">
      <c r="A41" s="3">
        <v>16</v>
      </c>
      <c r="B41" s="3">
        <v>15</v>
      </c>
      <c r="C41" s="3">
        <v>10</v>
      </c>
      <c r="D41" s="3">
        <v>5</v>
      </c>
      <c r="E41" s="3">
        <f>((1/(INDEX(E0!J$4:J$73,C41,1)-INDEX(E0!J$4:J$73,D41,1))))*100000000</f>
        <v>0</v>
      </c>
      <c r="F41" s="4" t="str">
        <f>HYPERLINK("http://141.218.60.56/~jnz1568/getInfo.php?workbook=16_15.xlsx&amp;sheet=A0&amp;row=41&amp;col=6&amp;number=2572200&amp;sourceID=54","2572200")</f>
        <v>2572200</v>
      </c>
      <c r="G41" s="4" t="str">
        <f>HYPERLINK("http://141.218.60.56/~jnz1568/getInfo.php?workbook=16_15.xlsx&amp;sheet=A0&amp;row=41&amp;col=7&amp;number=&amp;sourceID=54","")</f>
        <v/>
      </c>
      <c r="H41" s="4" t="str">
        <f>HYPERLINK("http://141.218.60.56/~jnz1568/getInfo.php?workbook=16_15.xlsx&amp;sheet=A0&amp;row=41&amp;col=8&amp;number=&amp;sourceID=54","")</f>
        <v/>
      </c>
      <c r="I41" s="4" t="str">
        <f>HYPERLINK("http://141.218.60.56/~jnz1568/getInfo.php?workbook=16_15.xlsx&amp;sheet=A0&amp;row=41&amp;col=9&amp;number=2643000&amp;sourceID=54","2643000")</f>
        <v>2643000</v>
      </c>
      <c r="J41" s="4" t="str">
        <f>HYPERLINK("http://141.218.60.56/~jnz1568/getInfo.php?workbook=16_15.xlsx&amp;sheet=A0&amp;row=41&amp;col=10&amp;number=&amp;sourceID=54","")</f>
        <v/>
      </c>
      <c r="K41" s="4" t="str">
        <f>HYPERLINK("http://141.218.60.56/~jnz1568/getInfo.php?workbook=16_15.xlsx&amp;sheet=A0&amp;row=41&amp;col=11&amp;number=&amp;sourceID=54","")</f>
        <v/>
      </c>
      <c r="L41" s="4" t="str">
        <f>HYPERLINK("http://141.218.60.56/~jnz1568/getInfo.php?workbook=16_15.xlsx&amp;sheet=A0&amp;row=41&amp;col=12&amp;number=274495.584306&amp;sourceID=53","274495.584306")</f>
        <v>274495.584306</v>
      </c>
      <c r="M41" s="4" t="str">
        <f>HYPERLINK("http://141.218.60.56/~jnz1568/getInfo.php?workbook=16_15.xlsx&amp;sheet=A0&amp;row=41&amp;col=13&amp;number=&amp;sourceID=53","")</f>
        <v/>
      </c>
      <c r="N41" s="4" t="str">
        <f>HYPERLINK("http://141.218.60.56/~jnz1568/getInfo.php?workbook=16_15.xlsx&amp;sheet=A0&amp;row=41&amp;col=14&amp;number=&amp;sourceID=53","")</f>
        <v/>
      </c>
      <c r="O41" s="4" t="str">
        <f>HYPERLINK("http://141.218.60.56/~jnz1568/getInfo.php?workbook=16_15.xlsx&amp;sheet=A0&amp;row=41&amp;col=15&amp;number=&amp;sourceID=55","")</f>
        <v/>
      </c>
      <c r="P41" s="4" t="str">
        <f>HYPERLINK("http://141.218.60.56/~jnz1568/getInfo.php?workbook=16_15.xlsx&amp;sheet=A0&amp;row=41&amp;col=16&amp;number=&amp;sourceID=55","")</f>
        <v/>
      </c>
      <c r="Q41" s="4" t="str">
        <f>HYPERLINK("http://141.218.60.56/~jnz1568/getInfo.php?workbook=16_15.xlsx&amp;sheet=A0&amp;row=41&amp;col=17&amp;number=&amp;sourceID=56","")</f>
        <v/>
      </c>
      <c r="R41" s="4" t="str">
        <f>HYPERLINK("http://141.218.60.56/~jnz1568/getInfo.php?workbook=16_15.xlsx&amp;sheet=A0&amp;row=41&amp;col=18&amp;number=&amp;sourceID=56","")</f>
        <v/>
      </c>
      <c r="S41" s="4" t="str">
        <f>HYPERLINK("http://141.218.60.56/~jnz1568/getInfo.php?workbook=16_15.xlsx&amp;sheet=A0&amp;row=41&amp;col=19&amp;number=&amp;sourceID=57","")</f>
        <v/>
      </c>
      <c r="T41" s="4" t="str">
        <f>HYPERLINK("http://141.218.60.56/~jnz1568/getInfo.php?workbook=16_15.xlsx&amp;sheet=A0&amp;row=41&amp;col=20&amp;number=&amp;sourceID=57","")</f>
        <v/>
      </c>
      <c r="U41" s="4" t="str">
        <f>HYPERLINK("http://141.218.60.56/~jnz1568/getInfo.php?workbook=16_15.xlsx&amp;sheet=A0&amp;row=41&amp;col=21&amp;number=&amp;sourceID=47","")</f>
        <v/>
      </c>
      <c r="V41" s="4" t="str">
        <f>HYPERLINK("http://141.218.60.56/~jnz1568/getInfo.php?workbook=16_15.xlsx&amp;sheet=A0&amp;row=41&amp;col=22&amp;number=&amp;sourceID=47","")</f>
        <v/>
      </c>
    </row>
    <row r="42" spans="1:22">
      <c r="A42" s="3">
        <v>16</v>
      </c>
      <c r="B42" s="3">
        <v>15</v>
      </c>
      <c r="C42" s="3">
        <v>10</v>
      </c>
      <c r="D42" s="3">
        <v>6</v>
      </c>
      <c r="E42" s="3">
        <f>((1/(INDEX(E0!J$4:J$73,C42,1)-INDEX(E0!J$4:J$73,D42,1))))*100000000</f>
        <v>0</v>
      </c>
      <c r="F42" s="4" t="str">
        <f>HYPERLINK("http://141.218.60.56/~jnz1568/getInfo.php?workbook=16_15.xlsx&amp;sheet=A0&amp;row=42&amp;col=6&amp;number=&amp;sourceID=54","")</f>
        <v/>
      </c>
      <c r="G42" s="4" t="str">
        <f>HYPERLINK("http://141.218.60.56/~jnz1568/getInfo.php?workbook=16_15.xlsx&amp;sheet=A0&amp;row=42&amp;col=7&amp;number=0.00057425&amp;sourceID=54","0.00057425")</f>
        <v>0.00057425</v>
      </c>
      <c r="H42" s="4" t="str">
        <f>HYPERLINK("http://141.218.60.56/~jnz1568/getInfo.php?workbook=16_15.xlsx&amp;sheet=A0&amp;row=42&amp;col=8&amp;number=0.0475&amp;sourceID=54","0.0475")</f>
        <v>0.0475</v>
      </c>
      <c r="I42" s="4" t="str">
        <f>HYPERLINK("http://141.218.60.56/~jnz1568/getInfo.php?workbook=16_15.xlsx&amp;sheet=A0&amp;row=42&amp;col=9&amp;number=&amp;sourceID=54","")</f>
        <v/>
      </c>
      <c r="J42" s="4" t="str">
        <f>HYPERLINK("http://141.218.60.56/~jnz1568/getInfo.php?workbook=16_15.xlsx&amp;sheet=A0&amp;row=42&amp;col=10&amp;number=0.00053038&amp;sourceID=54","0.00053038")</f>
        <v>0.00053038</v>
      </c>
      <c r="K42" s="4" t="str">
        <f>HYPERLINK("http://141.218.60.56/~jnz1568/getInfo.php?workbook=16_15.xlsx&amp;sheet=A0&amp;row=42&amp;col=11&amp;number=0.046228&amp;sourceID=54","0.046228")</f>
        <v>0.046228</v>
      </c>
      <c r="L42" s="4" t="str">
        <f>HYPERLINK("http://141.218.60.56/~jnz1568/getInfo.php?workbook=16_15.xlsx&amp;sheet=A0&amp;row=42&amp;col=12&amp;number=&amp;sourceID=53","")</f>
        <v/>
      </c>
      <c r="M42" s="4" t="str">
        <f>HYPERLINK("http://141.218.60.56/~jnz1568/getInfo.php?workbook=16_15.xlsx&amp;sheet=A0&amp;row=42&amp;col=13&amp;number=&amp;sourceID=53","")</f>
        <v/>
      </c>
      <c r="N42" s="4" t="str">
        <f>HYPERLINK("http://141.218.60.56/~jnz1568/getInfo.php?workbook=16_15.xlsx&amp;sheet=A0&amp;row=42&amp;col=14&amp;number=&amp;sourceID=53","")</f>
        <v/>
      </c>
      <c r="O42" s="4" t="str">
        <f>HYPERLINK("http://141.218.60.56/~jnz1568/getInfo.php?workbook=16_15.xlsx&amp;sheet=A0&amp;row=42&amp;col=15&amp;number=&amp;sourceID=55","")</f>
        <v/>
      </c>
      <c r="P42" s="4" t="str">
        <f>HYPERLINK("http://141.218.60.56/~jnz1568/getInfo.php?workbook=16_15.xlsx&amp;sheet=A0&amp;row=42&amp;col=16&amp;number=&amp;sourceID=55","")</f>
        <v/>
      </c>
      <c r="Q42" s="4" t="str">
        <f>HYPERLINK("http://141.218.60.56/~jnz1568/getInfo.php?workbook=16_15.xlsx&amp;sheet=A0&amp;row=42&amp;col=17&amp;number=&amp;sourceID=56","")</f>
        <v/>
      </c>
      <c r="R42" s="4" t="str">
        <f>HYPERLINK("http://141.218.60.56/~jnz1568/getInfo.php?workbook=16_15.xlsx&amp;sheet=A0&amp;row=42&amp;col=18&amp;number=&amp;sourceID=56","")</f>
        <v/>
      </c>
      <c r="S42" s="4" t="str">
        <f>HYPERLINK("http://141.218.60.56/~jnz1568/getInfo.php?workbook=16_15.xlsx&amp;sheet=A0&amp;row=42&amp;col=19&amp;number=&amp;sourceID=57","")</f>
        <v/>
      </c>
      <c r="T42" s="4" t="str">
        <f>HYPERLINK("http://141.218.60.56/~jnz1568/getInfo.php?workbook=16_15.xlsx&amp;sheet=A0&amp;row=42&amp;col=20&amp;number=&amp;sourceID=57","")</f>
        <v/>
      </c>
      <c r="U42" s="4" t="str">
        <f>HYPERLINK("http://141.218.60.56/~jnz1568/getInfo.php?workbook=16_15.xlsx&amp;sheet=A0&amp;row=42&amp;col=21&amp;number=&amp;sourceID=47","")</f>
        <v/>
      </c>
      <c r="V42" s="4" t="str">
        <f>HYPERLINK("http://141.218.60.56/~jnz1568/getInfo.php?workbook=16_15.xlsx&amp;sheet=A0&amp;row=42&amp;col=22&amp;number=&amp;sourceID=47","")</f>
        <v/>
      </c>
    </row>
    <row r="43" spans="1:22">
      <c r="A43" s="3">
        <v>16</v>
      </c>
      <c r="B43" s="3">
        <v>15</v>
      </c>
      <c r="C43" s="3">
        <v>10</v>
      </c>
      <c r="D43" s="3">
        <v>7</v>
      </c>
      <c r="E43" s="3">
        <f>((1/(INDEX(E0!J$4:J$73,C43,1)-INDEX(E0!J$4:J$73,D43,1))))*100000000</f>
        <v>0</v>
      </c>
      <c r="F43" s="4" t="str">
        <f>HYPERLINK("http://141.218.60.56/~jnz1568/getInfo.php?workbook=16_15.xlsx&amp;sheet=A0&amp;row=43&amp;col=6&amp;number=&amp;sourceID=54","")</f>
        <v/>
      </c>
      <c r="G43" s="4" t="str">
        <f>HYPERLINK("http://141.218.60.56/~jnz1568/getInfo.php?workbook=16_15.xlsx&amp;sheet=A0&amp;row=43&amp;col=7&amp;number=0.00018178&amp;sourceID=54","0.00018178")</f>
        <v>0.00018178</v>
      </c>
      <c r="H43" s="4" t="str">
        <f>HYPERLINK("http://141.218.60.56/~jnz1568/getInfo.php?workbook=16_15.xlsx&amp;sheet=A0&amp;row=43&amp;col=8&amp;number=0.0082855&amp;sourceID=54","0.0082855")</f>
        <v>0.0082855</v>
      </c>
      <c r="I43" s="4" t="str">
        <f>HYPERLINK("http://141.218.60.56/~jnz1568/getInfo.php?workbook=16_15.xlsx&amp;sheet=A0&amp;row=43&amp;col=9&amp;number=&amp;sourceID=54","")</f>
        <v/>
      </c>
      <c r="J43" s="4" t="str">
        <f>HYPERLINK("http://141.218.60.56/~jnz1568/getInfo.php?workbook=16_15.xlsx&amp;sheet=A0&amp;row=43&amp;col=10&amp;number=0.00016773&amp;sourceID=54","0.00016773")</f>
        <v>0.00016773</v>
      </c>
      <c r="K43" s="4" t="str">
        <f>HYPERLINK("http://141.218.60.56/~jnz1568/getInfo.php?workbook=16_15.xlsx&amp;sheet=A0&amp;row=43&amp;col=11&amp;number=0.0080461&amp;sourceID=54","0.0080461")</f>
        <v>0.0080461</v>
      </c>
      <c r="L43" s="4" t="str">
        <f>HYPERLINK("http://141.218.60.56/~jnz1568/getInfo.php?workbook=16_15.xlsx&amp;sheet=A0&amp;row=43&amp;col=12&amp;number=&amp;sourceID=53","")</f>
        <v/>
      </c>
      <c r="M43" s="4" t="str">
        <f>HYPERLINK("http://141.218.60.56/~jnz1568/getInfo.php?workbook=16_15.xlsx&amp;sheet=A0&amp;row=43&amp;col=13&amp;number=&amp;sourceID=53","")</f>
        <v/>
      </c>
      <c r="N43" s="4" t="str">
        <f>HYPERLINK("http://141.218.60.56/~jnz1568/getInfo.php?workbook=16_15.xlsx&amp;sheet=A0&amp;row=43&amp;col=14&amp;number=&amp;sourceID=53","")</f>
        <v/>
      </c>
      <c r="O43" s="4" t="str">
        <f>HYPERLINK("http://141.218.60.56/~jnz1568/getInfo.php?workbook=16_15.xlsx&amp;sheet=A0&amp;row=43&amp;col=15&amp;number=&amp;sourceID=55","")</f>
        <v/>
      </c>
      <c r="P43" s="4" t="str">
        <f>HYPERLINK("http://141.218.60.56/~jnz1568/getInfo.php?workbook=16_15.xlsx&amp;sheet=A0&amp;row=43&amp;col=16&amp;number=&amp;sourceID=55","")</f>
        <v/>
      </c>
      <c r="Q43" s="4" t="str">
        <f>HYPERLINK("http://141.218.60.56/~jnz1568/getInfo.php?workbook=16_15.xlsx&amp;sheet=A0&amp;row=43&amp;col=17&amp;number=&amp;sourceID=56","")</f>
        <v/>
      </c>
      <c r="R43" s="4" t="str">
        <f>HYPERLINK("http://141.218.60.56/~jnz1568/getInfo.php?workbook=16_15.xlsx&amp;sheet=A0&amp;row=43&amp;col=18&amp;number=&amp;sourceID=56","")</f>
        <v/>
      </c>
      <c r="S43" s="4" t="str">
        <f>HYPERLINK("http://141.218.60.56/~jnz1568/getInfo.php?workbook=16_15.xlsx&amp;sheet=A0&amp;row=43&amp;col=19&amp;number=&amp;sourceID=57","")</f>
        <v/>
      </c>
      <c r="T43" s="4" t="str">
        <f>HYPERLINK("http://141.218.60.56/~jnz1568/getInfo.php?workbook=16_15.xlsx&amp;sheet=A0&amp;row=43&amp;col=20&amp;number=&amp;sourceID=57","")</f>
        <v/>
      </c>
      <c r="U43" s="4" t="str">
        <f>HYPERLINK("http://141.218.60.56/~jnz1568/getInfo.php?workbook=16_15.xlsx&amp;sheet=A0&amp;row=43&amp;col=21&amp;number=&amp;sourceID=47","")</f>
        <v/>
      </c>
      <c r="V43" s="4" t="str">
        <f>HYPERLINK("http://141.218.60.56/~jnz1568/getInfo.php?workbook=16_15.xlsx&amp;sheet=A0&amp;row=43&amp;col=22&amp;number=&amp;sourceID=47","")</f>
        <v/>
      </c>
    </row>
    <row r="44" spans="1:22">
      <c r="A44" s="3">
        <v>16</v>
      </c>
      <c r="B44" s="3">
        <v>15</v>
      </c>
      <c r="C44" s="3">
        <v>10</v>
      </c>
      <c r="D44" s="3">
        <v>8</v>
      </c>
      <c r="E44" s="3">
        <f>((1/(INDEX(E0!J$4:J$73,C44,1)-INDEX(E0!J$4:J$73,D44,1))))*100000000</f>
        <v>0</v>
      </c>
      <c r="F44" s="4" t="str">
        <f>HYPERLINK("http://141.218.60.56/~jnz1568/getInfo.php?workbook=16_15.xlsx&amp;sheet=A0&amp;row=44&amp;col=6&amp;number=&amp;sourceID=54","")</f>
        <v/>
      </c>
      <c r="G44" s="4" t="str">
        <f>HYPERLINK("http://141.218.60.56/~jnz1568/getInfo.php?workbook=16_15.xlsx&amp;sheet=A0&amp;row=44&amp;col=7&amp;number=2.4508e-06&amp;sourceID=54","2.4508e-06")</f>
        <v>2.4508e-06</v>
      </c>
      <c r="H44" s="4" t="str">
        <f>HYPERLINK("http://141.218.60.56/~jnz1568/getInfo.php?workbook=16_15.xlsx&amp;sheet=A0&amp;row=44&amp;col=8&amp;number=&amp;sourceID=54","")</f>
        <v/>
      </c>
      <c r="I44" s="4" t="str">
        <f>HYPERLINK("http://141.218.60.56/~jnz1568/getInfo.php?workbook=16_15.xlsx&amp;sheet=A0&amp;row=44&amp;col=9&amp;number=&amp;sourceID=54","")</f>
        <v/>
      </c>
      <c r="J44" s="4" t="str">
        <f>HYPERLINK("http://141.218.60.56/~jnz1568/getInfo.php?workbook=16_15.xlsx&amp;sheet=A0&amp;row=44&amp;col=10&amp;number=2.3822e-06&amp;sourceID=54","2.3822e-06")</f>
        <v>2.3822e-06</v>
      </c>
      <c r="K44" s="4" t="str">
        <f>HYPERLINK("http://141.218.60.56/~jnz1568/getInfo.php?workbook=16_15.xlsx&amp;sheet=A0&amp;row=44&amp;col=11&amp;number=&amp;sourceID=54","")</f>
        <v/>
      </c>
      <c r="L44" s="4" t="str">
        <f>HYPERLINK("http://141.218.60.56/~jnz1568/getInfo.php?workbook=16_15.xlsx&amp;sheet=A0&amp;row=44&amp;col=12&amp;number=&amp;sourceID=53","")</f>
        <v/>
      </c>
      <c r="M44" s="4" t="str">
        <f>HYPERLINK("http://141.218.60.56/~jnz1568/getInfo.php?workbook=16_15.xlsx&amp;sheet=A0&amp;row=44&amp;col=13&amp;number=&amp;sourceID=53","")</f>
        <v/>
      </c>
      <c r="N44" s="4" t="str">
        <f>HYPERLINK("http://141.218.60.56/~jnz1568/getInfo.php?workbook=16_15.xlsx&amp;sheet=A0&amp;row=44&amp;col=14&amp;number=&amp;sourceID=53","")</f>
        <v/>
      </c>
      <c r="O44" s="4" t="str">
        <f>HYPERLINK("http://141.218.60.56/~jnz1568/getInfo.php?workbook=16_15.xlsx&amp;sheet=A0&amp;row=44&amp;col=15&amp;number=&amp;sourceID=55","")</f>
        <v/>
      </c>
      <c r="P44" s="4" t="str">
        <f>HYPERLINK("http://141.218.60.56/~jnz1568/getInfo.php?workbook=16_15.xlsx&amp;sheet=A0&amp;row=44&amp;col=16&amp;number=&amp;sourceID=55","")</f>
        <v/>
      </c>
      <c r="Q44" s="4" t="str">
        <f>HYPERLINK("http://141.218.60.56/~jnz1568/getInfo.php?workbook=16_15.xlsx&amp;sheet=A0&amp;row=44&amp;col=17&amp;number=&amp;sourceID=56","")</f>
        <v/>
      </c>
      <c r="R44" s="4" t="str">
        <f>HYPERLINK("http://141.218.60.56/~jnz1568/getInfo.php?workbook=16_15.xlsx&amp;sheet=A0&amp;row=44&amp;col=18&amp;number=&amp;sourceID=56","")</f>
        <v/>
      </c>
      <c r="S44" s="4" t="str">
        <f>HYPERLINK("http://141.218.60.56/~jnz1568/getInfo.php?workbook=16_15.xlsx&amp;sheet=A0&amp;row=44&amp;col=19&amp;number=&amp;sourceID=57","")</f>
        <v/>
      </c>
      <c r="T44" s="4" t="str">
        <f>HYPERLINK("http://141.218.60.56/~jnz1568/getInfo.php?workbook=16_15.xlsx&amp;sheet=A0&amp;row=44&amp;col=20&amp;number=&amp;sourceID=57","")</f>
        <v/>
      </c>
      <c r="U44" s="4" t="str">
        <f>HYPERLINK("http://141.218.60.56/~jnz1568/getInfo.php?workbook=16_15.xlsx&amp;sheet=A0&amp;row=44&amp;col=21&amp;number=&amp;sourceID=47","")</f>
        <v/>
      </c>
      <c r="V44" s="4" t="str">
        <f>HYPERLINK("http://141.218.60.56/~jnz1568/getInfo.php?workbook=16_15.xlsx&amp;sheet=A0&amp;row=44&amp;col=22&amp;number=&amp;sourceID=47","")</f>
        <v/>
      </c>
    </row>
    <row r="45" spans="1:22">
      <c r="A45" s="3">
        <v>16</v>
      </c>
      <c r="B45" s="3">
        <v>15</v>
      </c>
      <c r="C45" s="3">
        <v>10</v>
      </c>
      <c r="D45" s="3">
        <v>9</v>
      </c>
      <c r="E45" s="3">
        <f>((1/(INDEX(E0!J$4:J$73,C45,1)-INDEX(E0!J$4:J$73,D45,1))))*100000000</f>
        <v>0</v>
      </c>
      <c r="F45" s="4" t="str">
        <f>HYPERLINK("http://141.218.60.56/~jnz1568/getInfo.php?workbook=16_15.xlsx&amp;sheet=A0&amp;row=45&amp;col=6&amp;number=&amp;sourceID=54","")</f>
        <v/>
      </c>
      <c r="G45" s="4" t="str">
        <f>HYPERLINK("http://141.218.60.56/~jnz1568/getInfo.php?workbook=16_15.xlsx&amp;sheet=A0&amp;row=45&amp;col=7&amp;number=0&amp;sourceID=54","0")</f>
        <v>0</v>
      </c>
      <c r="H45" s="4" t="str">
        <f>HYPERLINK("http://141.218.60.56/~jnz1568/getInfo.php?workbook=16_15.xlsx&amp;sheet=A0&amp;row=45&amp;col=8&amp;number=9.0235e-08&amp;sourceID=54","9.0235e-08")</f>
        <v>9.0235e-08</v>
      </c>
      <c r="I45" s="4" t="str">
        <f>HYPERLINK("http://141.218.60.56/~jnz1568/getInfo.php?workbook=16_15.xlsx&amp;sheet=A0&amp;row=45&amp;col=9&amp;number=&amp;sourceID=54","")</f>
        <v/>
      </c>
      <c r="J45" s="4" t="str">
        <f>HYPERLINK("http://141.218.60.56/~jnz1568/getInfo.php?workbook=16_15.xlsx&amp;sheet=A0&amp;row=45&amp;col=10&amp;number=1e-15&amp;sourceID=54","1e-15")</f>
        <v>1e-15</v>
      </c>
      <c r="K45" s="4" t="str">
        <f>HYPERLINK("http://141.218.60.56/~jnz1568/getInfo.php?workbook=16_15.xlsx&amp;sheet=A0&amp;row=45&amp;col=11&amp;number=1.0206e-07&amp;sourceID=54","1.0206e-07")</f>
        <v>1.0206e-07</v>
      </c>
      <c r="L45" s="4" t="str">
        <f>HYPERLINK("http://141.218.60.56/~jnz1568/getInfo.php?workbook=16_15.xlsx&amp;sheet=A0&amp;row=45&amp;col=12&amp;number=&amp;sourceID=53","")</f>
        <v/>
      </c>
      <c r="M45" s="4" t="str">
        <f>HYPERLINK("http://141.218.60.56/~jnz1568/getInfo.php?workbook=16_15.xlsx&amp;sheet=A0&amp;row=45&amp;col=13&amp;number=&amp;sourceID=53","")</f>
        <v/>
      </c>
      <c r="N45" s="4" t="str">
        <f>HYPERLINK("http://141.218.60.56/~jnz1568/getInfo.php?workbook=16_15.xlsx&amp;sheet=A0&amp;row=45&amp;col=14&amp;number=&amp;sourceID=53","")</f>
        <v/>
      </c>
      <c r="O45" s="4" t="str">
        <f>HYPERLINK("http://141.218.60.56/~jnz1568/getInfo.php?workbook=16_15.xlsx&amp;sheet=A0&amp;row=45&amp;col=15&amp;number=&amp;sourceID=55","")</f>
        <v/>
      </c>
      <c r="P45" s="4" t="str">
        <f>HYPERLINK("http://141.218.60.56/~jnz1568/getInfo.php?workbook=16_15.xlsx&amp;sheet=A0&amp;row=45&amp;col=16&amp;number=&amp;sourceID=55","")</f>
        <v/>
      </c>
      <c r="Q45" s="4" t="str">
        <f>HYPERLINK("http://141.218.60.56/~jnz1568/getInfo.php?workbook=16_15.xlsx&amp;sheet=A0&amp;row=45&amp;col=17&amp;number=&amp;sourceID=56","")</f>
        <v/>
      </c>
      <c r="R45" s="4" t="str">
        <f>HYPERLINK("http://141.218.60.56/~jnz1568/getInfo.php?workbook=16_15.xlsx&amp;sheet=A0&amp;row=45&amp;col=18&amp;number=&amp;sourceID=56","")</f>
        <v/>
      </c>
      <c r="S45" s="4" t="str">
        <f>HYPERLINK("http://141.218.60.56/~jnz1568/getInfo.php?workbook=16_15.xlsx&amp;sheet=A0&amp;row=45&amp;col=19&amp;number=&amp;sourceID=57","")</f>
        <v/>
      </c>
      <c r="T45" s="4" t="str">
        <f>HYPERLINK("http://141.218.60.56/~jnz1568/getInfo.php?workbook=16_15.xlsx&amp;sheet=A0&amp;row=45&amp;col=20&amp;number=&amp;sourceID=57","")</f>
        <v/>
      </c>
      <c r="U45" s="4" t="str">
        <f>HYPERLINK("http://141.218.60.56/~jnz1568/getInfo.php?workbook=16_15.xlsx&amp;sheet=A0&amp;row=45&amp;col=21&amp;number=&amp;sourceID=47","")</f>
        <v/>
      </c>
      <c r="V45" s="4" t="str">
        <f>HYPERLINK("http://141.218.60.56/~jnz1568/getInfo.php?workbook=16_15.xlsx&amp;sheet=A0&amp;row=45&amp;col=22&amp;number=&amp;sourceID=47","")</f>
        <v/>
      </c>
    </row>
    <row r="46" spans="1:22">
      <c r="A46" s="3">
        <v>16</v>
      </c>
      <c r="B46" s="3">
        <v>15</v>
      </c>
      <c r="C46" s="3">
        <v>11</v>
      </c>
      <c r="D46" s="3">
        <v>1</v>
      </c>
      <c r="E46" s="3">
        <f>((1/(INDEX(E0!J$4:J$73,C46,1)-INDEX(E0!J$4:J$73,D46,1))))*100000000</f>
        <v>0</v>
      </c>
      <c r="F46" s="4" t="str">
        <f>HYPERLINK("http://141.218.60.56/~jnz1568/getInfo.php?workbook=16_15.xlsx&amp;sheet=A0&amp;row=46&amp;col=6&amp;number=2682.8&amp;sourceID=54","2682.8")</f>
        <v>2682.8</v>
      </c>
      <c r="G46" s="4" t="str">
        <f>HYPERLINK("http://141.218.60.56/~jnz1568/getInfo.php?workbook=16_15.xlsx&amp;sheet=A0&amp;row=46&amp;col=7&amp;number=&amp;sourceID=54","")</f>
        <v/>
      </c>
      <c r="H46" s="4" t="str">
        <f>HYPERLINK("http://141.218.60.56/~jnz1568/getInfo.php?workbook=16_15.xlsx&amp;sheet=A0&amp;row=46&amp;col=8&amp;number=&amp;sourceID=54","")</f>
        <v/>
      </c>
      <c r="I46" s="4" t="str">
        <f>HYPERLINK("http://141.218.60.56/~jnz1568/getInfo.php?workbook=16_15.xlsx&amp;sheet=A0&amp;row=46&amp;col=9&amp;number=2010.2&amp;sourceID=54","2010.2")</f>
        <v>2010.2</v>
      </c>
      <c r="J46" s="4" t="str">
        <f>HYPERLINK("http://141.218.60.56/~jnz1568/getInfo.php?workbook=16_15.xlsx&amp;sheet=A0&amp;row=46&amp;col=10&amp;number=&amp;sourceID=54","")</f>
        <v/>
      </c>
      <c r="K46" s="4" t="str">
        <f>HYPERLINK("http://141.218.60.56/~jnz1568/getInfo.php?workbook=16_15.xlsx&amp;sheet=A0&amp;row=46&amp;col=11&amp;number=&amp;sourceID=54","")</f>
        <v/>
      </c>
      <c r="L46" s="4" t="str">
        <f>HYPERLINK("http://141.218.60.56/~jnz1568/getInfo.php?workbook=16_15.xlsx&amp;sheet=A0&amp;row=46&amp;col=12&amp;number=4246.84882546&amp;sourceID=53","4246.84882546")</f>
        <v>4246.84882546</v>
      </c>
      <c r="M46" s="4" t="str">
        <f>HYPERLINK("http://141.218.60.56/~jnz1568/getInfo.php?workbook=16_15.xlsx&amp;sheet=A0&amp;row=46&amp;col=13&amp;number=&amp;sourceID=53","")</f>
        <v/>
      </c>
      <c r="N46" s="4" t="str">
        <f>HYPERLINK("http://141.218.60.56/~jnz1568/getInfo.php?workbook=16_15.xlsx&amp;sheet=A0&amp;row=46&amp;col=14&amp;number=&amp;sourceID=53","")</f>
        <v/>
      </c>
      <c r="O46" s="4" t="str">
        <f>HYPERLINK("http://141.218.60.56/~jnz1568/getInfo.php?workbook=16_15.xlsx&amp;sheet=A0&amp;row=46&amp;col=15&amp;number=&amp;sourceID=55","")</f>
        <v/>
      </c>
      <c r="P46" s="4" t="str">
        <f>HYPERLINK("http://141.218.60.56/~jnz1568/getInfo.php?workbook=16_15.xlsx&amp;sheet=A0&amp;row=46&amp;col=16&amp;number=&amp;sourceID=55","")</f>
        <v/>
      </c>
      <c r="Q46" s="4" t="str">
        <f>HYPERLINK("http://141.218.60.56/~jnz1568/getInfo.php?workbook=16_15.xlsx&amp;sheet=A0&amp;row=46&amp;col=17&amp;number=&amp;sourceID=56","")</f>
        <v/>
      </c>
      <c r="R46" s="4" t="str">
        <f>HYPERLINK("http://141.218.60.56/~jnz1568/getInfo.php?workbook=16_15.xlsx&amp;sheet=A0&amp;row=46&amp;col=18&amp;number=&amp;sourceID=56","")</f>
        <v/>
      </c>
      <c r="S46" s="4" t="str">
        <f>HYPERLINK("http://141.218.60.56/~jnz1568/getInfo.php?workbook=16_15.xlsx&amp;sheet=A0&amp;row=46&amp;col=19&amp;number=&amp;sourceID=57","")</f>
        <v/>
      </c>
      <c r="T46" s="4" t="str">
        <f>HYPERLINK("http://141.218.60.56/~jnz1568/getInfo.php?workbook=16_15.xlsx&amp;sheet=A0&amp;row=46&amp;col=20&amp;number=&amp;sourceID=57","")</f>
        <v/>
      </c>
      <c r="U46" s="4" t="str">
        <f>HYPERLINK("http://141.218.60.56/~jnz1568/getInfo.php?workbook=16_15.xlsx&amp;sheet=A0&amp;row=46&amp;col=21&amp;number=&amp;sourceID=47","")</f>
        <v/>
      </c>
      <c r="V46" s="4" t="str">
        <f>HYPERLINK("http://141.218.60.56/~jnz1568/getInfo.php?workbook=16_15.xlsx&amp;sheet=A0&amp;row=46&amp;col=22&amp;number=&amp;sourceID=47","")</f>
        <v/>
      </c>
    </row>
    <row r="47" spans="1:22">
      <c r="A47" s="3">
        <v>16</v>
      </c>
      <c r="B47" s="3">
        <v>15</v>
      </c>
      <c r="C47" s="3">
        <v>11</v>
      </c>
      <c r="D47" s="3">
        <v>2</v>
      </c>
      <c r="E47" s="3">
        <f>((1/(INDEX(E0!J$4:J$73,C47,1)-INDEX(E0!J$4:J$73,D47,1))))*100000000</f>
        <v>0</v>
      </c>
      <c r="F47" s="4" t="str">
        <f>HYPERLINK("http://141.218.60.56/~jnz1568/getInfo.php?workbook=16_15.xlsx&amp;sheet=A0&amp;row=47&amp;col=6&amp;number=1911200&amp;sourceID=54","1911200")</f>
        <v>1911200</v>
      </c>
      <c r="G47" s="4" t="str">
        <f>HYPERLINK("http://141.218.60.56/~jnz1568/getInfo.php?workbook=16_15.xlsx&amp;sheet=A0&amp;row=47&amp;col=7&amp;number=&amp;sourceID=54","")</f>
        <v/>
      </c>
      <c r="H47" s="4" t="str">
        <f>HYPERLINK("http://141.218.60.56/~jnz1568/getInfo.php?workbook=16_15.xlsx&amp;sheet=A0&amp;row=47&amp;col=8&amp;number=&amp;sourceID=54","")</f>
        <v/>
      </c>
      <c r="I47" s="4" t="str">
        <f>HYPERLINK("http://141.218.60.56/~jnz1568/getInfo.php?workbook=16_15.xlsx&amp;sheet=A0&amp;row=47&amp;col=9&amp;number=1950500&amp;sourceID=54","1950500")</f>
        <v>1950500</v>
      </c>
      <c r="J47" s="4" t="str">
        <f>HYPERLINK("http://141.218.60.56/~jnz1568/getInfo.php?workbook=16_15.xlsx&amp;sheet=A0&amp;row=47&amp;col=10&amp;number=&amp;sourceID=54","")</f>
        <v/>
      </c>
      <c r="K47" s="4" t="str">
        <f>HYPERLINK("http://141.218.60.56/~jnz1568/getInfo.php?workbook=16_15.xlsx&amp;sheet=A0&amp;row=47&amp;col=11&amp;number=&amp;sourceID=54","")</f>
        <v/>
      </c>
      <c r="L47" s="4" t="str">
        <f>HYPERLINK("http://141.218.60.56/~jnz1568/getInfo.php?workbook=16_15.xlsx&amp;sheet=A0&amp;row=47&amp;col=12&amp;number=3898774.09061&amp;sourceID=53","3898774.09061")</f>
        <v>3898774.09061</v>
      </c>
      <c r="M47" s="4" t="str">
        <f>HYPERLINK("http://141.218.60.56/~jnz1568/getInfo.php?workbook=16_15.xlsx&amp;sheet=A0&amp;row=47&amp;col=13&amp;number=&amp;sourceID=53","")</f>
        <v/>
      </c>
      <c r="N47" s="4" t="str">
        <f>HYPERLINK("http://141.218.60.56/~jnz1568/getInfo.php?workbook=16_15.xlsx&amp;sheet=A0&amp;row=47&amp;col=14&amp;number=&amp;sourceID=53","")</f>
        <v/>
      </c>
      <c r="O47" s="4" t="str">
        <f>HYPERLINK("http://141.218.60.56/~jnz1568/getInfo.php?workbook=16_15.xlsx&amp;sheet=A0&amp;row=47&amp;col=15&amp;number=&amp;sourceID=55","")</f>
        <v/>
      </c>
      <c r="P47" s="4" t="str">
        <f>HYPERLINK("http://141.218.60.56/~jnz1568/getInfo.php?workbook=16_15.xlsx&amp;sheet=A0&amp;row=47&amp;col=16&amp;number=&amp;sourceID=55","")</f>
        <v/>
      </c>
      <c r="Q47" s="4" t="str">
        <f>HYPERLINK("http://141.218.60.56/~jnz1568/getInfo.php?workbook=16_15.xlsx&amp;sheet=A0&amp;row=47&amp;col=17&amp;number=&amp;sourceID=56","")</f>
        <v/>
      </c>
      <c r="R47" s="4" t="str">
        <f>HYPERLINK("http://141.218.60.56/~jnz1568/getInfo.php?workbook=16_15.xlsx&amp;sheet=A0&amp;row=47&amp;col=18&amp;number=&amp;sourceID=56","")</f>
        <v/>
      </c>
      <c r="S47" s="4" t="str">
        <f>HYPERLINK("http://141.218.60.56/~jnz1568/getInfo.php?workbook=16_15.xlsx&amp;sheet=A0&amp;row=47&amp;col=19&amp;number=&amp;sourceID=57","")</f>
        <v/>
      </c>
      <c r="T47" s="4" t="str">
        <f>HYPERLINK("http://141.218.60.56/~jnz1568/getInfo.php?workbook=16_15.xlsx&amp;sheet=A0&amp;row=47&amp;col=20&amp;number=&amp;sourceID=57","")</f>
        <v/>
      </c>
      <c r="U47" s="4" t="str">
        <f>HYPERLINK("http://141.218.60.56/~jnz1568/getInfo.php?workbook=16_15.xlsx&amp;sheet=A0&amp;row=47&amp;col=21&amp;number=&amp;sourceID=47","")</f>
        <v/>
      </c>
      <c r="V47" s="4" t="str">
        <f>HYPERLINK("http://141.218.60.56/~jnz1568/getInfo.php?workbook=16_15.xlsx&amp;sheet=A0&amp;row=47&amp;col=22&amp;number=&amp;sourceID=47","")</f>
        <v/>
      </c>
    </row>
    <row r="48" spans="1:22">
      <c r="A48" s="3">
        <v>16</v>
      </c>
      <c r="B48" s="3">
        <v>15</v>
      </c>
      <c r="C48" s="3">
        <v>11</v>
      </c>
      <c r="D48" s="3">
        <v>3</v>
      </c>
      <c r="E48" s="3">
        <f>((1/(INDEX(E0!J$4:J$73,C48,1)-INDEX(E0!J$4:J$73,D48,1))))*100000000</f>
        <v>0</v>
      </c>
      <c r="F48" s="4" t="str">
        <f>HYPERLINK("http://141.218.60.56/~jnz1568/getInfo.php?workbook=16_15.xlsx&amp;sheet=A0&amp;row=48&amp;col=6&amp;number=37160000&amp;sourceID=54","37160000")</f>
        <v>37160000</v>
      </c>
      <c r="G48" s="4" t="str">
        <f>HYPERLINK("http://141.218.60.56/~jnz1568/getInfo.php?workbook=16_15.xlsx&amp;sheet=A0&amp;row=48&amp;col=7&amp;number=&amp;sourceID=54","")</f>
        <v/>
      </c>
      <c r="H48" s="4" t="str">
        <f>HYPERLINK("http://141.218.60.56/~jnz1568/getInfo.php?workbook=16_15.xlsx&amp;sheet=A0&amp;row=48&amp;col=8&amp;number=&amp;sourceID=54","")</f>
        <v/>
      </c>
      <c r="I48" s="4" t="str">
        <f>HYPERLINK("http://141.218.60.56/~jnz1568/getInfo.php?workbook=16_15.xlsx&amp;sheet=A0&amp;row=48&amp;col=9&amp;number=37890000&amp;sourceID=54","37890000")</f>
        <v>37890000</v>
      </c>
      <c r="J48" s="4" t="str">
        <f>HYPERLINK("http://141.218.60.56/~jnz1568/getInfo.php?workbook=16_15.xlsx&amp;sheet=A0&amp;row=48&amp;col=10&amp;number=&amp;sourceID=54","")</f>
        <v/>
      </c>
      <c r="K48" s="4" t="str">
        <f>HYPERLINK("http://141.218.60.56/~jnz1568/getInfo.php?workbook=16_15.xlsx&amp;sheet=A0&amp;row=48&amp;col=11&amp;number=&amp;sourceID=54","")</f>
        <v/>
      </c>
      <c r="L48" s="4" t="str">
        <f>HYPERLINK("http://141.218.60.56/~jnz1568/getInfo.php?workbook=16_15.xlsx&amp;sheet=A0&amp;row=48&amp;col=12&amp;number=57096737.0993&amp;sourceID=53","57096737.0993")</f>
        <v>57096737.0993</v>
      </c>
      <c r="M48" s="4" t="str">
        <f>HYPERLINK("http://141.218.60.56/~jnz1568/getInfo.php?workbook=16_15.xlsx&amp;sheet=A0&amp;row=48&amp;col=13&amp;number=&amp;sourceID=53","")</f>
        <v/>
      </c>
      <c r="N48" s="4" t="str">
        <f>HYPERLINK("http://141.218.60.56/~jnz1568/getInfo.php?workbook=16_15.xlsx&amp;sheet=A0&amp;row=48&amp;col=14&amp;number=&amp;sourceID=53","")</f>
        <v/>
      </c>
      <c r="O48" s="4" t="str">
        <f>HYPERLINK("http://141.218.60.56/~jnz1568/getInfo.php?workbook=16_15.xlsx&amp;sheet=A0&amp;row=48&amp;col=15&amp;number=&amp;sourceID=55","")</f>
        <v/>
      </c>
      <c r="P48" s="4" t="str">
        <f>HYPERLINK("http://141.218.60.56/~jnz1568/getInfo.php?workbook=16_15.xlsx&amp;sheet=A0&amp;row=48&amp;col=16&amp;number=&amp;sourceID=55","")</f>
        <v/>
      </c>
      <c r="Q48" s="4" t="str">
        <f>HYPERLINK("http://141.218.60.56/~jnz1568/getInfo.php?workbook=16_15.xlsx&amp;sheet=A0&amp;row=48&amp;col=17&amp;number=&amp;sourceID=56","")</f>
        <v/>
      </c>
      <c r="R48" s="4" t="str">
        <f>HYPERLINK("http://141.218.60.56/~jnz1568/getInfo.php?workbook=16_15.xlsx&amp;sheet=A0&amp;row=48&amp;col=18&amp;number=&amp;sourceID=56","")</f>
        <v/>
      </c>
      <c r="S48" s="4" t="str">
        <f>HYPERLINK("http://141.218.60.56/~jnz1568/getInfo.php?workbook=16_15.xlsx&amp;sheet=A0&amp;row=48&amp;col=19&amp;number=&amp;sourceID=57","")</f>
        <v/>
      </c>
      <c r="T48" s="4" t="str">
        <f>HYPERLINK("http://141.218.60.56/~jnz1568/getInfo.php?workbook=16_15.xlsx&amp;sheet=A0&amp;row=48&amp;col=20&amp;number=&amp;sourceID=57","")</f>
        <v/>
      </c>
      <c r="U48" s="4" t="str">
        <f>HYPERLINK("http://141.218.60.56/~jnz1568/getInfo.php?workbook=16_15.xlsx&amp;sheet=A0&amp;row=48&amp;col=21&amp;number=&amp;sourceID=47","")</f>
        <v/>
      </c>
      <c r="V48" s="4" t="str">
        <f>HYPERLINK("http://141.218.60.56/~jnz1568/getInfo.php?workbook=16_15.xlsx&amp;sheet=A0&amp;row=48&amp;col=22&amp;number=&amp;sourceID=47","")</f>
        <v/>
      </c>
    </row>
    <row r="49" spans="1:22">
      <c r="A49" s="3">
        <v>16</v>
      </c>
      <c r="B49" s="3">
        <v>15</v>
      </c>
      <c r="C49" s="3">
        <v>11</v>
      </c>
      <c r="D49" s="3">
        <v>4</v>
      </c>
      <c r="E49" s="3">
        <f>((1/(INDEX(E0!J$4:J$73,C49,1)-INDEX(E0!J$4:J$73,D49,1))))*100000000</f>
        <v>0</v>
      </c>
      <c r="F49" s="4" t="str">
        <f>HYPERLINK("http://141.218.60.56/~jnz1568/getInfo.php?workbook=16_15.xlsx&amp;sheet=A0&amp;row=49&amp;col=6&amp;number=1716600&amp;sourceID=54","1716600")</f>
        <v>1716600</v>
      </c>
      <c r="G49" s="4" t="str">
        <f>HYPERLINK("http://141.218.60.56/~jnz1568/getInfo.php?workbook=16_15.xlsx&amp;sheet=A0&amp;row=49&amp;col=7&amp;number=&amp;sourceID=54","")</f>
        <v/>
      </c>
      <c r="H49" s="4" t="str">
        <f>HYPERLINK("http://141.218.60.56/~jnz1568/getInfo.php?workbook=16_15.xlsx&amp;sheet=A0&amp;row=49&amp;col=8&amp;number=&amp;sourceID=54","")</f>
        <v/>
      </c>
      <c r="I49" s="4" t="str">
        <f>HYPERLINK("http://141.218.60.56/~jnz1568/getInfo.php?workbook=16_15.xlsx&amp;sheet=A0&amp;row=49&amp;col=9&amp;number=1742900&amp;sourceID=54","1742900")</f>
        <v>1742900</v>
      </c>
      <c r="J49" s="4" t="str">
        <f>HYPERLINK("http://141.218.60.56/~jnz1568/getInfo.php?workbook=16_15.xlsx&amp;sheet=A0&amp;row=49&amp;col=10&amp;number=&amp;sourceID=54","")</f>
        <v/>
      </c>
      <c r="K49" s="4" t="str">
        <f>HYPERLINK("http://141.218.60.56/~jnz1568/getInfo.php?workbook=16_15.xlsx&amp;sheet=A0&amp;row=49&amp;col=11&amp;number=&amp;sourceID=54","")</f>
        <v/>
      </c>
      <c r="L49" s="4" t="str">
        <f>HYPERLINK("http://141.218.60.56/~jnz1568/getInfo.php?workbook=16_15.xlsx&amp;sheet=A0&amp;row=49&amp;col=12&amp;number=566858.213757&amp;sourceID=53","566858.213757")</f>
        <v>566858.213757</v>
      </c>
      <c r="M49" s="4" t="str">
        <f>HYPERLINK("http://141.218.60.56/~jnz1568/getInfo.php?workbook=16_15.xlsx&amp;sheet=A0&amp;row=49&amp;col=13&amp;number=&amp;sourceID=53","")</f>
        <v/>
      </c>
      <c r="N49" s="4" t="str">
        <f>HYPERLINK("http://141.218.60.56/~jnz1568/getInfo.php?workbook=16_15.xlsx&amp;sheet=A0&amp;row=49&amp;col=14&amp;number=&amp;sourceID=53","")</f>
        <v/>
      </c>
      <c r="O49" s="4" t="str">
        <f>HYPERLINK("http://141.218.60.56/~jnz1568/getInfo.php?workbook=16_15.xlsx&amp;sheet=A0&amp;row=49&amp;col=15&amp;number=&amp;sourceID=55","")</f>
        <v/>
      </c>
      <c r="P49" s="4" t="str">
        <f>HYPERLINK("http://141.218.60.56/~jnz1568/getInfo.php?workbook=16_15.xlsx&amp;sheet=A0&amp;row=49&amp;col=16&amp;number=&amp;sourceID=55","")</f>
        <v/>
      </c>
      <c r="Q49" s="4" t="str">
        <f>HYPERLINK("http://141.218.60.56/~jnz1568/getInfo.php?workbook=16_15.xlsx&amp;sheet=A0&amp;row=49&amp;col=17&amp;number=&amp;sourceID=56","")</f>
        <v/>
      </c>
      <c r="R49" s="4" t="str">
        <f>HYPERLINK("http://141.218.60.56/~jnz1568/getInfo.php?workbook=16_15.xlsx&amp;sheet=A0&amp;row=49&amp;col=18&amp;number=&amp;sourceID=56","")</f>
        <v/>
      </c>
      <c r="S49" s="4" t="str">
        <f>HYPERLINK("http://141.218.60.56/~jnz1568/getInfo.php?workbook=16_15.xlsx&amp;sheet=A0&amp;row=49&amp;col=19&amp;number=&amp;sourceID=57","")</f>
        <v/>
      </c>
      <c r="T49" s="4" t="str">
        <f>HYPERLINK("http://141.218.60.56/~jnz1568/getInfo.php?workbook=16_15.xlsx&amp;sheet=A0&amp;row=49&amp;col=20&amp;number=&amp;sourceID=57","")</f>
        <v/>
      </c>
      <c r="U49" s="4" t="str">
        <f>HYPERLINK("http://141.218.60.56/~jnz1568/getInfo.php?workbook=16_15.xlsx&amp;sheet=A0&amp;row=49&amp;col=21&amp;number=&amp;sourceID=47","")</f>
        <v/>
      </c>
      <c r="V49" s="4" t="str">
        <f>HYPERLINK("http://141.218.60.56/~jnz1568/getInfo.php?workbook=16_15.xlsx&amp;sheet=A0&amp;row=49&amp;col=22&amp;number=&amp;sourceID=47","")</f>
        <v/>
      </c>
    </row>
    <row r="50" spans="1:22">
      <c r="A50" s="3">
        <v>16</v>
      </c>
      <c r="B50" s="3">
        <v>15</v>
      </c>
      <c r="C50" s="3">
        <v>11</v>
      </c>
      <c r="D50" s="3">
        <v>5</v>
      </c>
      <c r="E50" s="3">
        <f>((1/(INDEX(E0!J$4:J$73,C50,1)-INDEX(E0!J$4:J$73,D50,1))))*100000000</f>
        <v>0</v>
      </c>
      <c r="F50" s="4" t="str">
        <f>HYPERLINK("http://141.218.60.56/~jnz1568/getInfo.php?workbook=16_15.xlsx&amp;sheet=A0&amp;row=50&amp;col=6&amp;number=9391000&amp;sourceID=54","9391000")</f>
        <v>9391000</v>
      </c>
      <c r="G50" s="4" t="str">
        <f>HYPERLINK("http://141.218.60.56/~jnz1568/getInfo.php?workbook=16_15.xlsx&amp;sheet=A0&amp;row=50&amp;col=7&amp;number=&amp;sourceID=54","")</f>
        <v/>
      </c>
      <c r="H50" s="4" t="str">
        <f>HYPERLINK("http://141.218.60.56/~jnz1568/getInfo.php?workbook=16_15.xlsx&amp;sheet=A0&amp;row=50&amp;col=8&amp;number=&amp;sourceID=54","")</f>
        <v/>
      </c>
      <c r="I50" s="4" t="str">
        <f>HYPERLINK("http://141.218.60.56/~jnz1568/getInfo.php?workbook=16_15.xlsx&amp;sheet=A0&amp;row=50&amp;col=9&amp;number=9538500&amp;sourceID=54","9538500")</f>
        <v>9538500</v>
      </c>
      <c r="J50" s="4" t="str">
        <f>HYPERLINK("http://141.218.60.56/~jnz1568/getInfo.php?workbook=16_15.xlsx&amp;sheet=A0&amp;row=50&amp;col=10&amp;number=&amp;sourceID=54","")</f>
        <v/>
      </c>
      <c r="K50" s="4" t="str">
        <f>HYPERLINK("http://141.218.60.56/~jnz1568/getInfo.php?workbook=16_15.xlsx&amp;sheet=A0&amp;row=50&amp;col=11&amp;number=&amp;sourceID=54","")</f>
        <v/>
      </c>
      <c r="L50" s="4" t="str">
        <f>HYPERLINK("http://141.218.60.56/~jnz1568/getInfo.php?workbook=16_15.xlsx&amp;sheet=A0&amp;row=50&amp;col=12&amp;number=3556953.7853&amp;sourceID=53","3556953.7853")</f>
        <v>3556953.7853</v>
      </c>
      <c r="M50" s="4" t="str">
        <f>HYPERLINK("http://141.218.60.56/~jnz1568/getInfo.php?workbook=16_15.xlsx&amp;sheet=A0&amp;row=50&amp;col=13&amp;number=&amp;sourceID=53","")</f>
        <v/>
      </c>
      <c r="N50" s="4" t="str">
        <f>HYPERLINK("http://141.218.60.56/~jnz1568/getInfo.php?workbook=16_15.xlsx&amp;sheet=A0&amp;row=50&amp;col=14&amp;number=&amp;sourceID=53","")</f>
        <v/>
      </c>
      <c r="O50" s="4" t="str">
        <f>HYPERLINK("http://141.218.60.56/~jnz1568/getInfo.php?workbook=16_15.xlsx&amp;sheet=A0&amp;row=50&amp;col=15&amp;number=&amp;sourceID=55","")</f>
        <v/>
      </c>
      <c r="P50" s="4" t="str">
        <f>HYPERLINK("http://141.218.60.56/~jnz1568/getInfo.php?workbook=16_15.xlsx&amp;sheet=A0&amp;row=50&amp;col=16&amp;number=&amp;sourceID=55","")</f>
        <v/>
      </c>
      <c r="Q50" s="4" t="str">
        <f>HYPERLINK("http://141.218.60.56/~jnz1568/getInfo.php?workbook=16_15.xlsx&amp;sheet=A0&amp;row=50&amp;col=17&amp;number=&amp;sourceID=56","")</f>
        <v/>
      </c>
      <c r="R50" s="4" t="str">
        <f>HYPERLINK("http://141.218.60.56/~jnz1568/getInfo.php?workbook=16_15.xlsx&amp;sheet=A0&amp;row=50&amp;col=18&amp;number=&amp;sourceID=56","")</f>
        <v/>
      </c>
      <c r="S50" s="4" t="str">
        <f>HYPERLINK("http://141.218.60.56/~jnz1568/getInfo.php?workbook=16_15.xlsx&amp;sheet=A0&amp;row=50&amp;col=19&amp;number=&amp;sourceID=57","")</f>
        <v/>
      </c>
      <c r="T50" s="4" t="str">
        <f>HYPERLINK("http://141.218.60.56/~jnz1568/getInfo.php?workbook=16_15.xlsx&amp;sheet=A0&amp;row=50&amp;col=20&amp;number=&amp;sourceID=57","")</f>
        <v/>
      </c>
      <c r="U50" s="4" t="str">
        <f>HYPERLINK("http://141.218.60.56/~jnz1568/getInfo.php?workbook=16_15.xlsx&amp;sheet=A0&amp;row=50&amp;col=21&amp;number=&amp;sourceID=47","")</f>
        <v/>
      </c>
      <c r="V50" s="4" t="str">
        <f>HYPERLINK("http://141.218.60.56/~jnz1568/getInfo.php?workbook=16_15.xlsx&amp;sheet=A0&amp;row=50&amp;col=22&amp;number=&amp;sourceID=47","")</f>
        <v/>
      </c>
    </row>
    <row r="51" spans="1:22">
      <c r="A51" s="3">
        <v>16</v>
      </c>
      <c r="B51" s="3">
        <v>15</v>
      </c>
      <c r="C51" s="3">
        <v>11</v>
      </c>
      <c r="D51" s="3">
        <v>6</v>
      </c>
      <c r="E51" s="3">
        <f>((1/(INDEX(E0!J$4:J$73,C51,1)-INDEX(E0!J$4:J$73,D51,1))))*100000000</f>
        <v>0</v>
      </c>
      <c r="F51" s="4" t="str">
        <f>HYPERLINK("http://141.218.60.56/~jnz1568/getInfo.php?workbook=16_15.xlsx&amp;sheet=A0&amp;row=51&amp;col=6&amp;number=&amp;sourceID=54","")</f>
        <v/>
      </c>
      <c r="G51" s="4" t="str">
        <f>HYPERLINK("http://141.218.60.56/~jnz1568/getInfo.php?workbook=16_15.xlsx&amp;sheet=A0&amp;row=51&amp;col=7&amp;number=2.2329e-06&amp;sourceID=54","2.2329e-06")</f>
        <v>2.2329e-06</v>
      </c>
      <c r="H51" s="4" t="str">
        <f>HYPERLINK("http://141.218.60.56/~jnz1568/getInfo.php?workbook=16_15.xlsx&amp;sheet=A0&amp;row=51&amp;col=8&amp;number=0.0035048&amp;sourceID=54","0.0035048")</f>
        <v>0.0035048</v>
      </c>
      <c r="I51" s="4" t="str">
        <f>HYPERLINK("http://141.218.60.56/~jnz1568/getInfo.php?workbook=16_15.xlsx&amp;sheet=A0&amp;row=51&amp;col=9&amp;number=&amp;sourceID=54","")</f>
        <v/>
      </c>
      <c r="J51" s="4" t="str">
        <f>HYPERLINK("http://141.218.60.56/~jnz1568/getInfo.php?workbook=16_15.xlsx&amp;sheet=A0&amp;row=51&amp;col=10&amp;number=2.0752e-06&amp;sourceID=54","2.0752e-06")</f>
        <v>2.0752e-06</v>
      </c>
      <c r="K51" s="4" t="str">
        <f>HYPERLINK("http://141.218.60.56/~jnz1568/getInfo.php?workbook=16_15.xlsx&amp;sheet=A0&amp;row=51&amp;col=11&amp;number=0.0033566&amp;sourceID=54","0.0033566")</f>
        <v>0.0033566</v>
      </c>
      <c r="L51" s="4" t="str">
        <f>HYPERLINK("http://141.218.60.56/~jnz1568/getInfo.php?workbook=16_15.xlsx&amp;sheet=A0&amp;row=51&amp;col=12&amp;number=&amp;sourceID=53","")</f>
        <v/>
      </c>
      <c r="M51" s="4" t="str">
        <f>HYPERLINK("http://141.218.60.56/~jnz1568/getInfo.php?workbook=16_15.xlsx&amp;sheet=A0&amp;row=51&amp;col=13&amp;number=&amp;sourceID=53","")</f>
        <v/>
      </c>
      <c r="N51" s="4" t="str">
        <f>HYPERLINK("http://141.218.60.56/~jnz1568/getInfo.php?workbook=16_15.xlsx&amp;sheet=A0&amp;row=51&amp;col=14&amp;number=&amp;sourceID=53","")</f>
        <v/>
      </c>
      <c r="O51" s="4" t="str">
        <f>HYPERLINK("http://141.218.60.56/~jnz1568/getInfo.php?workbook=16_15.xlsx&amp;sheet=A0&amp;row=51&amp;col=15&amp;number=&amp;sourceID=55","")</f>
        <v/>
      </c>
      <c r="P51" s="4" t="str">
        <f>HYPERLINK("http://141.218.60.56/~jnz1568/getInfo.php?workbook=16_15.xlsx&amp;sheet=A0&amp;row=51&amp;col=16&amp;number=&amp;sourceID=55","")</f>
        <v/>
      </c>
      <c r="Q51" s="4" t="str">
        <f>HYPERLINK("http://141.218.60.56/~jnz1568/getInfo.php?workbook=16_15.xlsx&amp;sheet=A0&amp;row=51&amp;col=17&amp;number=&amp;sourceID=56","")</f>
        <v/>
      </c>
      <c r="R51" s="4" t="str">
        <f>HYPERLINK("http://141.218.60.56/~jnz1568/getInfo.php?workbook=16_15.xlsx&amp;sheet=A0&amp;row=51&amp;col=18&amp;number=&amp;sourceID=56","")</f>
        <v/>
      </c>
      <c r="S51" s="4" t="str">
        <f>HYPERLINK("http://141.218.60.56/~jnz1568/getInfo.php?workbook=16_15.xlsx&amp;sheet=A0&amp;row=51&amp;col=19&amp;number=&amp;sourceID=57","")</f>
        <v/>
      </c>
      <c r="T51" s="4" t="str">
        <f>HYPERLINK("http://141.218.60.56/~jnz1568/getInfo.php?workbook=16_15.xlsx&amp;sheet=A0&amp;row=51&amp;col=20&amp;number=&amp;sourceID=57","")</f>
        <v/>
      </c>
      <c r="U51" s="4" t="str">
        <f>HYPERLINK("http://141.218.60.56/~jnz1568/getInfo.php?workbook=16_15.xlsx&amp;sheet=A0&amp;row=51&amp;col=21&amp;number=&amp;sourceID=47","")</f>
        <v/>
      </c>
      <c r="V51" s="4" t="str">
        <f>HYPERLINK("http://141.218.60.56/~jnz1568/getInfo.php?workbook=16_15.xlsx&amp;sheet=A0&amp;row=51&amp;col=22&amp;number=&amp;sourceID=47","")</f>
        <v/>
      </c>
    </row>
    <row r="52" spans="1:22">
      <c r="A52" s="3">
        <v>16</v>
      </c>
      <c r="B52" s="3">
        <v>15</v>
      </c>
      <c r="C52" s="3">
        <v>11</v>
      </c>
      <c r="D52" s="3">
        <v>7</v>
      </c>
      <c r="E52" s="3">
        <f>((1/(INDEX(E0!J$4:J$73,C52,1)-INDEX(E0!J$4:J$73,D52,1))))*100000000</f>
        <v>0</v>
      </c>
      <c r="F52" s="4" t="str">
        <f>HYPERLINK("http://141.218.60.56/~jnz1568/getInfo.php?workbook=16_15.xlsx&amp;sheet=A0&amp;row=52&amp;col=6&amp;number=&amp;sourceID=54","")</f>
        <v/>
      </c>
      <c r="G52" s="4" t="str">
        <f>HYPERLINK("http://141.218.60.56/~jnz1568/getInfo.php?workbook=16_15.xlsx&amp;sheet=A0&amp;row=52&amp;col=7&amp;number=0.00051382&amp;sourceID=54","0.00051382")</f>
        <v>0.00051382</v>
      </c>
      <c r="H52" s="4" t="str">
        <f>HYPERLINK("http://141.218.60.56/~jnz1568/getInfo.php?workbook=16_15.xlsx&amp;sheet=A0&amp;row=52&amp;col=8&amp;number=0.0026146&amp;sourceID=54","0.0026146")</f>
        <v>0.0026146</v>
      </c>
      <c r="I52" s="4" t="str">
        <f>HYPERLINK("http://141.218.60.56/~jnz1568/getInfo.php?workbook=16_15.xlsx&amp;sheet=A0&amp;row=52&amp;col=9&amp;number=&amp;sourceID=54","")</f>
        <v/>
      </c>
      <c r="J52" s="4" t="str">
        <f>HYPERLINK("http://141.218.60.56/~jnz1568/getInfo.php?workbook=16_15.xlsx&amp;sheet=A0&amp;row=52&amp;col=10&amp;number=0.00045159&amp;sourceID=54","0.00045159")</f>
        <v>0.00045159</v>
      </c>
      <c r="K52" s="4" t="str">
        <f>HYPERLINK("http://141.218.60.56/~jnz1568/getInfo.php?workbook=16_15.xlsx&amp;sheet=A0&amp;row=52&amp;col=11&amp;number=0.0020202&amp;sourceID=54","0.0020202")</f>
        <v>0.0020202</v>
      </c>
      <c r="L52" s="4" t="str">
        <f>HYPERLINK("http://141.218.60.56/~jnz1568/getInfo.php?workbook=16_15.xlsx&amp;sheet=A0&amp;row=52&amp;col=12&amp;number=&amp;sourceID=53","")</f>
        <v/>
      </c>
      <c r="M52" s="4" t="str">
        <f>HYPERLINK("http://141.218.60.56/~jnz1568/getInfo.php?workbook=16_15.xlsx&amp;sheet=A0&amp;row=52&amp;col=13&amp;number=&amp;sourceID=53","")</f>
        <v/>
      </c>
      <c r="N52" s="4" t="str">
        <f>HYPERLINK("http://141.218.60.56/~jnz1568/getInfo.php?workbook=16_15.xlsx&amp;sheet=A0&amp;row=52&amp;col=14&amp;number=&amp;sourceID=53","")</f>
        <v/>
      </c>
      <c r="O52" s="4" t="str">
        <f>HYPERLINK("http://141.218.60.56/~jnz1568/getInfo.php?workbook=16_15.xlsx&amp;sheet=A0&amp;row=52&amp;col=15&amp;number=&amp;sourceID=55","")</f>
        <v/>
      </c>
      <c r="P52" s="4" t="str">
        <f>HYPERLINK("http://141.218.60.56/~jnz1568/getInfo.php?workbook=16_15.xlsx&amp;sheet=A0&amp;row=52&amp;col=16&amp;number=&amp;sourceID=55","")</f>
        <v/>
      </c>
      <c r="Q52" s="4" t="str">
        <f>HYPERLINK("http://141.218.60.56/~jnz1568/getInfo.php?workbook=16_15.xlsx&amp;sheet=A0&amp;row=52&amp;col=17&amp;number=&amp;sourceID=56","")</f>
        <v/>
      </c>
      <c r="R52" s="4" t="str">
        <f>HYPERLINK("http://141.218.60.56/~jnz1568/getInfo.php?workbook=16_15.xlsx&amp;sheet=A0&amp;row=52&amp;col=18&amp;number=&amp;sourceID=56","")</f>
        <v/>
      </c>
      <c r="S52" s="4" t="str">
        <f>HYPERLINK("http://141.218.60.56/~jnz1568/getInfo.php?workbook=16_15.xlsx&amp;sheet=A0&amp;row=52&amp;col=19&amp;number=&amp;sourceID=57","")</f>
        <v/>
      </c>
      <c r="T52" s="4" t="str">
        <f>HYPERLINK("http://141.218.60.56/~jnz1568/getInfo.php?workbook=16_15.xlsx&amp;sheet=A0&amp;row=52&amp;col=20&amp;number=&amp;sourceID=57","")</f>
        <v/>
      </c>
      <c r="U52" s="4" t="str">
        <f>HYPERLINK("http://141.218.60.56/~jnz1568/getInfo.php?workbook=16_15.xlsx&amp;sheet=A0&amp;row=52&amp;col=21&amp;number=&amp;sourceID=47","")</f>
        <v/>
      </c>
      <c r="V52" s="4" t="str">
        <f>HYPERLINK("http://141.218.60.56/~jnz1568/getInfo.php?workbook=16_15.xlsx&amp;sheet=A0&amp;row=52&amp;col=22&amp;number=&amp;sourceID=47","")</f>
        <v/>
      </c>
    </row>
    <row r="53" spans="1:22">
      <c r="A53" s="3">
        <v>16</v>
      </c>
      <c r="B53" s="3">
        <v>15</v>
      </c>
      <c r="C53" s="3">
        <v>11</v>
      </c>
      <c r="D53" s="3">
        <v>8</v>
      </c>
      <c r="E53" s="3">
        <f>((1/(INDEX(E0!J$4:J$73,C53,1)-INDEX(E0!J$4:J$73,D53,1))))*100000000</f>
        <v>0</v>
      </c>
      <c r="F53" s="4" t="str">
        <f>HYPERLINK("http://141.218.60.56/~jnz1568/getInfo.php?workbook=16_15.xlsx&amp;sheet=A0&amp;row=53&amp;col=6&amp;number=&amp;sourceID=54","")</f>
        <v/>
      </c>
      <c r="G53" s="4" t="str">
        <f>HYPERLINK("http://141.218.60.56/~jnz1568/getInfo.php?workbook=16_15.xlsx&amp;sheet=A0&amp;row=53&amp;col=7&amp;number=0.00020797&amp;sourceID=54","0.00020797")</f>
        <v>0.00020797</v>
      </c>
      <c r="H53" s="4" t="str">
        <f>HYPERLINK("http://141.218.60.56/~jnz1568/getInfo.php?workbook=16_15.xlsx&amp;sheet=A0&amp;row=53&amp;col=8&amp;number=0.00095665&amp;sourceID=54","0.00095665")</f>
        <v>0.00095665</v>
      </c>
      <c r="I53" s="4" t="str">
        <f>HYPERLINK("http://141.218.60.56/~jnz1568/getInfo.php?workbook=16_15.xlsx&amp;sheet=A0&amp;row=53&amp;col=9&amp;number=&amp;sourceID=54","")</f>
        <v/>
      </c>
      <c r="J53" s="4" t="str">
        <f>HYPERLINK("http://141.218.60.56/~jnz1568/getInfo.php?workbook=16_15.xlsx&amp;sheet=A0&amp;row=53&amp;col=10&amp;number=0.00018235&amp;sourceID=54","0.00018235")</f>
        <v>0.00018235</v>
      </c>
      <c r="K53" s="4" t="str">
        <f>HYPERLINK("http://141.218.60.56/~jnz1568/getInfo.php?workbook=16_15.xlsx&amp;sheet=A0&amp;row=53&amp;col=11&amp;number=0.00087382&amp;sourceID=54","0.00087382")</f>
        <v>0.00087382</v>
      </c>
      <c r="L53" s="4" t="str">
        <f>HYPERLINK("http://141.218.60.56/~jnz1568/getInfo.php?workbook=16_15.xlsx&amp;sheet=A0&amp;row=53&amp;col=12&amp;number=&amp;sourceID=53","")</f>
        <v/>
      </c>
      <c r="M53" s="4" t="str">
        <f>HYPERLINK("http://141.218.60.56/~jnz1568/getInfo.php?workbook=16_15.xlsx&amp;sheet=A0&amp;row=53&amp;col=13&amp;number=&amp;sourceID=53","")</f>
        <v/>
      </c>
      <c r="N53" s="4" t="str">
        <f>HYPERLINK("http://141.218.60.56/~jnz1568/getInfo.php?workbook=16_15.xlsx&amp;sheet=A0&amp;row=53&amp;col=14&amp;number=&amp;sourceID=53","")</f>
        <v/>
      </c>
      <c r="O53" s="4" t="str">
        <f>HYPERLINK("http://141.218.60.56/~jnz1568/getInfo.php?workbook=16_15.xlsx&amp;sheet=A0&amp;row=53&amp;col=15&amp;number=&amp;sourceID=55","")</f>
        <v/>
      </c>
      <c r="P53" s="4" t="str">
        <f>HYPERLINK("http://141.218.60.56/~jnz1568/getInfo.php?workbook=16_15.xlsx&amp;sheet=A0&amp;row=53&amp;col=16&amp;number=&amp;sourceID=55","")</f>
        <v/>
      </c>
      <c r="Q53" s="4" t="str">
        <f>HYPERLINK("http://141.218.60.56/~jnz1568/getInfo.php?workbook=16_15.xlsx&amp;sheet=A0&amp;row=53&amp;col=17&amp;number=&amp;sourceID=56","")</f>
        <v/>
      </c>
      <c r="R53" s="4" t="str">
        <f>HYPERLINK("http://141.218.60.56/~jnz1568/getInfo.php?workbook=16_15.xlsx&amp;sheet=A0&amp;row=53&amp;col=18&amp;number=&amp;sourceID=56","")</f>
        <v/>
      </c>
      <c r="S53" s="4" t="str">
        <f>HYPERLINK("http://141.218.60.56/~jnz1568/getInfo.php?workbook=16_15.xlsx&amp;sheet=A0&amp;row=53&amp;col=19&amp;number=&amp;sourceID=57","")</f>
        <v/>
      </c>
      <c r="T53" s="4" t="str">
        <f>HYPERLINK("http://141.218.60.56/~jnz1568/getInfo.php?workbook=16_15.xlsx&amp;sheet=A0&amp;row=53&amp;col=20&amp;number=&amp;sourceID=57","")</f>
        <v/>
      </c>
      <c r="U53" s="4" t="str">
        <f>HYPERLINK("http://141.218.60.56/~jnz1568/getInfo.php?workbook=16_15.xlsx&amp;sheet=A0&amp;row=53&amp;col=21&amp;number=&amp;sourceID=47","")</f>
        <v/>
      </c>
      <c r="V53" s="4" t="str">
        <f>HYPERLINK("http://141.218.60.56/~jnz1568/getInfo.php?workbook=16_15.xlsx&amp;sheet=A0&amp;row=53&amp;col=22&amp;number=&amp;sourceID=47","")</f>
        <v/>
      </c>
    </row>
    <row r="54" spans="1:22">
      <c r="A54" s="3">
        <v>16</v>
      </c>
      <c r="B54" s="3">
        <v>15</v>
      </c>
      <c r="C54" s="3">
        <v>11</v>
      </c>
      <c r="D54" s="3">
        <v>9</v>
      </c>
      <c r="E54" s="3">
        <f>((1/(INDEX(E0!J$4:J$73,C54,1)-INDEX(E0!J$4:J$73,D54,1))))*100000000</f>
        <v>0</v>
      </c>
      <c r="F54" s="4" t="str">
        <f>HYPERLINK("http://141.218.60.56/~jnz1568/getInfo.php?workbook=16_15.xlsx&amp;sheet=A0&amp;row=54&amp;col=6&amp;number=&amp;sourceID=54","")</f>
        <v/>
      </c>
      <c r="G54" s="4" t="str">
        <f>HYPERLINK("http://141.218.60.56/~jnz1568/getInfo.php?workbook=16_15.xlsx&amp;sheet=A0&amp;row=54&amp;col=7&amp;number=0.00051331&amp;sourceID=54","0.00051331")</f>
        <v>0.00051331</v>
      </c>
      <c r="H54" s="4" t="str">
        <f>HYPERLINK("http://141.218.60.56/~jnz1568/getInfo.php?workbook=16_15.xlsx&amp;sheet=A0&amp;row=54&amp;col=8&amp;number=0.0069503&amp;sourceID=54","0.0069503")</f>
        <v>0.0069503</v>
      </c>
      <c r="I54" s="4" t="str">
        <f>HYPERLINK("http://141.218.60.56/~jnz1568/getInfo.php?workbook=16_15.xlsx&amp;sheet=A0&amp;row=54&amp;col=9&amp;number=&amp;sourceID=54","")</f>
        <v/>
      </c>
      <c r="J54" s="4" t="str">
        <f>HYPERLINK("http://141.218.60.56/~jnz1568/getInfo.php?workbook=16_15.xlsx&amp;sheet=A0&amp;row=54&amp;col=10&amp;number=0.00044634&amp;sourceID=54","0.00044634")</f>
        <v>0.00044634</v>
      </c>
      <c r="K54" s="4" t="str">
        <f>HYPERLINK("http://141.218.60.56/~jnz1568/getInfo.php?workbook=16_15.xlsx&amp;sheet=A0&amp;row=54&amp;col=11&amp;number=0.012182&amp;sourceID=54","0.012182")</f>
        <v>0.012182</v>
      </c>
      <c r="L54" s="4" t="str">
        <f>HYPERLINK("http://141.218.60.56/~jnz1568/getInfo.php?workbook=16_15.xlsx&amp;sheet=A0&amp;row=54&amp;col=12&amp;number=&amp;sourceID=53","")</f>
        <v/>
      </c>
      <c r="M54" s="4" t="str">
        <f>HYPERLINK("http://141.218.60.56/~jnz1568/getInfo.php?workbook=16_15.xlsx&amp;sheet=A0&amp;row=54&amp;col=13&amp;number=&amp;sourceID=53","")</f>
        <v/>
      </c>
      <c r="N54" s="4" t="str">
        <f>HYPERLINK("http://141.218.60.56/~jnz1568/getInfo.php?workbook=16_15.xlsx&amp;sheet=A0&amp;row=54&amp;col=14&amp;number=&amp;sourceID=53","")</f>
        <v/>
      </c>
      <c r="O54" s="4" t="str">
        <f>HYPERLINK("http://141.218.60.56/~jnz1568/getInfo.php?workbook=16_15.xlsx&amp;sheet=A0&amp;row=54&amp;col=15&amp;number=&amp;sourceID=55","")</f>
        <v/>
      </c>
      <c r="P54" s="4" t="str">
        <f>HYPERLINK("http://141.218.60.56/~jnz1568/getInfo.php?workbook=16_15.xlsx&amp;sheet=A0&amp;row=54&amp;col=16&amp;number=&amp;sourceID=55","")</f>
        <v/>
      </c>
      <c r="Q54" s="4" t="str">
        <f>HYPERLINK("http://141.218.60.56/~jnz1568/getInfo.php?workbook=16_15.xlsx&amp;sheet=A0&amp;row=54&amp;col=17&amp;number=&amp;sourceID=56","")</f>
        <v/>
      </c>
      <c r="R54" s="4" t="str">
        <f>HYPERLINK("http://141.218.60.56/~jnz1568/getInfo.php?workbook=16_15.xlsx&amp;sheet=A0&amp;row=54&amp;col=18&amp;number=&amp;sourceID=56","")</f>
        <v/>
      </c>
      <c r="S54" s="4" t="str">
        <f>HYPERLINK("http://141.218.60.56/~jnz1568/getInfo.php?workbook=16_15.xlsx&amp;sheet=A0&amp;row=54&amp;col=19&amp;number=&amp;sourceID=57","")</f>
        <v/>
      </c>
      <c r="T54" s="4" t="str">
        <f>HYPERLINK("http://141.218.60.56/~jnz1568/getInfo.php?workbook=16_15.xlsx&amp;sheet=A0&amp;row=54&amp;col=20&amp;number=&amp;sourceID=57","")</f>
        <v/>
      </c>
      <c r="U54" s="4" t="str">
        <f>HYPERLINK("http://141.218.60.56/~jnz1568/getInfo.php?workbook=16_15.xlsx&amp;sheet=A0&amp;row=54&amp;col=21&amp;number=&amp;sourceID=47","")</f>
        <v/>
      </c>
      <c r="V54" s="4" t="str">
        <f>HYPERLINK("http://141.218.60.56/~jnz1568/getInfo.php?workbook=16_15.xlsx&amp;sheet=A0&amp;row=54&amp;col=22&amp;number=&amp;sourceID=47","")</f>
        <v/>
      </c>
    </row>
    <row r="55" spans="1:22">
      <c r="A55" s="3">
        <v>16</v>
      </c>
      <c r="B55" s="3">
        <v>15</v>
      </c>
      <c r="C55" s="3">
        <v>11</v>
      </c>
      <c r="D55" s="3">
        <v>10</v>
      </c>
      <c r="E55" s="3">
        <f>((1/(INDEX(E0!J$4:J$73,C55,1)-INDEX(E0!J$4:J$73,D55,1))))*100000000</f>
        <v>0</v>
      </c>
      <c r="F55" s="4" t="str">
        <f>HYPERLINK("http://141.218.60.56/~jnz1568/getInfo.php?workbook=16_15.xlsx&amp;sheet=A0&amp;row=55&amp;col=6&amp;number=&amp;sourceID=54","")</f>
        <v/>
      </c>
      <c r="G55" s="4" t="str">
        <f>HYPERLINK("http://141.218.60.56/~jnz1568/getInfo.php?workbook=16_15.xlsx&amp;sheet=A0&amp;row=55&amp;col=7&amp;number=0.00051789&amp;sourceID=54","0.00051789")</f>
        <v>0.00051789</v>
      </c>
      <c r="H55" s="4" t="str">
        <f>HYPERLINK("http://141.218.60.56/~jnz1568/getInfo.php?workbook=16_15.xlsx&amp;sheet=A0&amp;row=55&amp;col=8&amp;number=0.0069716&amp;sourceID=54","0.0069716")</f>
        <v>0.0069716</v>
      </c>
      <c r="I55" s="4" t="str">
        <f>HYPERLINK("http://141.218.60.56/~jnz1568/getInfo.php?workbook=16_15.xlsx&amp;sheet=A0&amp;row=55&amp;col=9&amp;number=&amp;sourceID=54","")</f>
        <v/>
      </c>
      <c r="J55" s="4" t="str">
        <f>HYPERLINK("http://141.218.60.56/~jnz1568/getInfo.php?workbook=16_15.xlsx&amp;sheet=A0&amp;row=55&amp;col=10&amp;number=0.00043675&amp;sourceID=54","0.00043675")</f>
        <v>0.00043675</v>
      </c>
      <c r="K55" s="4" t="str">
        <f>HYPERLINK("http://141.218.60.56/~jnz1568/getInfo.php?workbook=16_15.xlsx&amp;sheet=A0&amp;row=55&amp;col=11&amp;number=0.0064228&amp;sourceID=54","0.0064228")</f>
        <v>0.0064228</v>
      </c>
      <c r="L55" s="4" t="str">
        <f>HYPERLINK("http://141.218.60.56/~jnz1568/getInfo.php?workbook=16_15.xlsx&amp;sheet=A0&amp;row=55&amp;col=12&amp;number=&amp;sourceID=53","")</f>
        <v/>
      </c>
      <c r="M55" s="4" t="str">
        <f>HYPERLINK("http://141.218.60.56/~jnz1568/getInfo.php?workbook=16_15.xlsx&amp;sheet=A0&amp;row=55&amp;col=13&amp;number=&amp;sourceID=53","")</f>
        <v/>
      </c>
      <c r="N55" s="4" t="str">
        <f>HYPERLINK("http://141.218.60.56/~jnz1568/getInfo.php?workbook=16_15.xlsx&amp;sheet=A0&amp;row=55&amp;col=14&amp;number=&amp;sourceID=53","")</f>
        <v/>
      </c>
      <c r="O55" s="4" t="str">
        <f>HYPERLINK("http://141.218.60.56/~jnz1568/getInfo.php?workbook=16_15.xlsx&amp;sheet=A0&amp;row=55&amp;col=15&amp;number=&amp;sourceID=55","")</f>
        <v/>
      </c>
      <c r="P55" s="4" t="str">
        <f>HYPERLINK("http://141.218.60.56/~jnz1568/getInfo.php?workbook=16_15.xlsx&amp;sheet=A0&amp;row=55&amp;col=16&amp;number=&amp;sourceID=55","")</f>
        <v/>
      </c>
      <c r="Q55" s="4" t="str">
        <f>HYPERLINK("http://141.218.60.56/~jnz1568/getInfo.php?workbook=16_15.xlsx&amp;sheet=A0&amp;row=55&amp;col=17&amp;number=&amp;sourceID=56","")</f>
        <v/>
      </c>
      <c r="R55" s="4" t="str">
        <f>HYPERLINK("http://141.218.60.56/~jnz1568/getInfo.php?workbook=16_15.xlsx&amp;sheet=A0&amp;row=55&amp;col=18&amp;number=&amp;sourceID=56","")</f>
        <v/>
      </c>
      <c r="S55" s="4" t="str">
        <f>HYPERLINK("http://141.218.60.56/~jnz1568/getInfo.php?workbook=16_15.xlsx&amp;sheet=A0&amp;row=55&amp;col=19&amp;number=&amp;sourceID=57","")</f>
        <v/>
      </c>
      <c r="T55" s="4" t="str">
        <f>HYPERLINK("http://141.218.60.56/~jnz1568/getInfo.php?workbook=16_15.xlsx&amp;sheet=A0&amp;row=55&amp;col=20&amp;number=&amp;sourceID=57","")</f>
        <v/>
      </c>
      <c r="U55" s="4" t="str">
        <f>HYPERLINK("http://141.218.60.56/~jnz1568/getInfo.php?workbook=16_15.xlsx&amp;sheet=A0&amp;row=55&amp;col=21&amp;number=&amp;sourceID=47","")</f>
        <v/>
      </c>
      <c r="V55" s="4" t="str">
        <f>HYPERLINK("http://141.218.60.56/~jnz1568/getInfo.php?workbook=16_15.xlsx&amp;sheet=A0&amp;row=55&amp;col=22&amp;number=&amp;sourceID=47","")</f>
        <v/>
      </c>
    </row>
    <row r="56" spans="1:22">
      <c r="A56" s="3">
        <v>16</v>
      </c>
      <c r="B56" s="3">
        <v>15</v>
      </c>
      <c r="C56" s="3">
        <v>12</v>
      </c>
      <c r="D56" s="3">
        <v>1</v>
      </c>
      <c r="E56" s="3">
        <f>((1/(INDEX(E0!J$4:J$73,C56,1)-INDEX(E0!J$4:J$73,D56,1))))*100000000</f>
        <v>0</v>
      </c>
      <c r="F56" s="4" t="str">
        <f>HYPERLINK("http://141.218.60.56/~jnz1568/getInfo.php?workbook=16_15.xlsx&amp;sheet=A0&amp;row=56&amp;col=6&amp;number=1199.4&amp;sourceID=54","1199.4")</f>
        <v>1199.4</v>
      </c>
      <c r="G56" s="4" t="str">
        <f>HYPERLINK("http://141.218.60.56/~jnz1568/getInfo.php?workbook=16_15.xlsx&amp;sheet=A0&amp;row=56&amp;col=7&amp;number=&amp;sourceID=54","")</f>
        <v/>
      </c>
      <c r="H56" s="4" t="str">
        <f>HYPERLINK("http://141.218.60.56/~jnz1568/getInfo.php?workbook=16_15.xlsx&amp;sheet=A0&amp;row=56&amp;col=8&amp;number=&amp;sourceID=54","")</f>
        <v/>
      </c>
      <c r="I56" s="4" t="str">
        <f>HYPERLINK("http://141.218.60.56/~jnz1568/getInfo.php?workbook=16_15.xlsx&amp;sheet=A0&amp;row=56&amp;col=9&amp;number=765.87&amp;sourceID=54","765.87")</f>
        <v>765.87</v>
      </c>
      <c r="J56" s="4" t="str">
        <f>HYPERLINK("http://141.218.60.56/~jnz1568/getInfo.php?workbook=16_15.xlsx&amp;sheet=A0&amp;row=56&amp;col=10&amp;number=&amp;sourceID=54","")</f>
        <v/>
      </c>
      <c r="K56" s="4" t="str">
        <f>HYPERLINK("http://141.218.60.56/~jnz1568/getInfo.php?workbook=16_15.xlsx&amp;sheet=A0&amp;row=56&amp;col=11&amp;number=&amp;sourceID=54","")</f>
        <v/>
      </c>
      <c r="L56" s="4" t="str">
        <f>HYPERLINK("http://141.218.60.56/~jnz1568/getInfo.php?workbook=16_15.xlsx&amp;sheet=A0&amp;row=56&amp;col=12&amp;number=947.1395269&amp;sourceID=53","947.1395269")</f>
        <v>947.1395269</v>
      </c>
      <c r="M56" s="4" t="str">
        <f>HYPERLINK("http://141.218.60.56/~jnz1568/getInfo.php?workbook=16_15.xlsx&amp;sheet=A0&amp;row=56&amp;col=13&amp;number=&amp;sourceID=53","")</f>
        <v/>
      </c>
      <c r="N56" s="4" t="str">
        <f>HYPERLINK("http://141.218.60.56/~jnz1568/getInfo.php?workbook=16_15.xlsx&amp;sheet=A0&amp;row=56&amp;col=14&amp;number=&amp;sourceID=53","")</f>
        <v/>
      </c>
      <c r="O56" s="4" t="str">
        <f>HYPERLINK("http://141.218.60.56/~jnz1568/getInfo.php?workbook=16_15.xlsx&amp;sheet=A0&amp;row=56&amp;col=15&amp;number=&amp;sourceID=55","")</f>
        <v/>
      </c>
      <c r="P56" s="4" t="str">
        <f>HYPERLINK("http://141.218.60.56/~jnz1568/getInfo.php?workbook=16_15.xlsx&amp;sheet=A0&amp;row=56&amp;col=16&amp;number=&amp;sourceID=55","")</f>
        <v/>
      </c>
      <c r="Q56" s="4" t="str">
        <f>HYPERLINK("http://141.218.60.56/~jnz1568/getInfo.php?workbook=16_15.xlsx&amp;sheet=A0&amp;row=56&amp;col=17&amp;number=&amp;sourceID=56","")</f>
        <v/>
      </c>
      <c r="R56" s="4" t="str">
        <f>HYPERLINK("http://141.218.60.56/~jnz1568/getInfo.php?workbook=16_15.xlsx&amp;sheet=A0&amp;row=56&amp;col=18&amp;number=&amp;sourceID=56","")</f>
        <v/>
      </c>
      <c r="S56" s="4" t="str">
        <f>HYPERLINK("http://141.218.60.56/~jnz1568/getInfo.php?workbook=16_15.xlsx&amp;sheet=A0&amp;row=56&amp;col=19&amp;number=&amp;sourceID=57","")</f>
        <v/>
      </c>
      <c r="T56" s="4" t="str">
        <f>HYPERLINK("http://141.218.60.56/~jnz1568/getInfo.php?workbook=16_15.xlsx&amp;sheet=A0&amp;row=56&amp;col=20&amp;number=&amp;sourceID=57","")</f>
        <v/>
      </c>
      <c r="U56" s="4" t="str">
        <f>HYPERLINK("http://141.218.60.56/~jnz1568/getInfo.php?workbook=16_15.xlsx&amp;sheet=A0&amp;row=56&amp;col=21&amp;number=&amp;sourceID=47","")</f>
        <v/>
      </c>
      <c r="V56" s="4" t="str">
        <f>HYPERLINK("http://141.218.60.56/~jnz1568/getInfo.php?workbook=16_15.xlsx&amp;sheet=A0&amp;row=56&amp;col=22&amp;number=&amp;sourceID=47","")</f>
        <v/>
      </c>
    </row>
    <row r="57" spans="1:22">
      <c r="A57" s="3">
        <v>16</v>
      </c>
      <c r="B57" s="3">
        <v>15</v>
      </c>
      <c r="C57" s="3">
        <v>12</v>
      </c>
      <c r="D57" s="3">
        <v>2</v>
      </c>
      <c r="E57" s="3">
        <f>((1/(INDEX(E0!J$4:J$73,C57,1)-INDEX(E0!J$4:J$73,D57,1))))*100000000</f>
        <v>0</v>
      </c>
      <c r="F57" s="4" t="str">
        <f>HYPERLINK("http://141.218.60.56/~jnz1568/getInfo.php?workbook=16_15.xlsx&amp;sheet=A0&amp;row=57&amp;col=6&amp;number=41200000&amp;sourceID=54","41200000")</f>
        <v>41200000</v>
      </c>
      <c r="G57" s="4" t="str">
        <f>HYPERLINK("http://141.218.60.56/~jnz1568/getInfo.php?workbook=16_15.xlsx&amp;sheet=A0&amp;row=57&amp;col=7&amp;number=&amp;sourceID=54","")</f>
        <v/>
      </c>
      <c r="H57" s="4" t="str">
        <f>HYPERLINK("http://141.218.60.56/~jnz1568/getInfo.php?workbook=16_15.xlsx&amp;sheet=A0&amp;row=57&amp;col=8&amp;number=&amp;sourceID=54","")</f>
        <v/>
      </c>
      <c r="I57" s="4" t="str">
        <f>HYPERLINK("http://141.218.60.56/~jnz1568/getInfo.php?workbook=16_15.xlsx&amp;sheet=A0&amp;row=57&amp;col=9&amp;number=41976000&amp;sourceID=54","41976000")</f>
        <v>41976000</v>
      </c>
      <c r="J57" s="4" t="str">
        <f>HYPERLINK("http://141.218.60.56/~jnz1568/getInfo.php?workbook=16_15.xlsx&amp;sheet=A0&amp;row=57&amp;col=10&amp;number=&amp;sourceID=54","")</f>
        <v/>
      </c>
      <c r="K57" s="4" t="str">
        <f>HYPERLINK("http://141.218.60.56/~jnz1568/getInfo.php?workbook=16_15.xlsx&amp;sheet=A0&amp;row=57&amp;col=11&amp;number=&amp;sourceID=54","")</f>
        <v/>
      </c>
      <c r="L57" s="4" t="str">
        <f>HYPERLINK("http://141.218.60.56/~jnz1568/getInfo.php?workbook=16_15.xlsx&amp;sheet=A0&amp;row=57&amp;col=12&amp;number=63840736.9206&amp;sourceID=53","63840736.9206")</f>
        <v>63840736.9206</v>
      </c>
      <c r="M57" s="4" t="str">
        <f>HYPERLINK("http://141.218.60.56/~jnz1568/getInfo.php?workbook=16_15.xlsx&amp;sheet=A0&amp;row=57&amp;col=13&amp;number=&amp;sourceID=53","")</f>
        <v/>
      </c>
      <c r="N57" s="4" t="str">
        <f>HYPERLINK("http://141.218.60.56/~jnz1568/getInfo.php?workbook=16_15.xlsx&amp;sheet=A0&amp;row=57&amp;col=14&amp;number=&amp;sourceID=53","")</f>
        <v/>
      </c>
      <c r="O57" s="4" t="str">
        <f>HYPERLINK("http://141.218.60.56/~jnz1568/getInfo.php?workbook=16_15.xlsx&amp;sheet=A0&amp;row=57&amp;col=15&amp;number=&amp;sourceID=55","")</f>
        <v/>
      </c>
      <c r="P57" s="4" t="str">
        <f>HYPERLINK("http://141.218.60.56/~jnz1568/getInfo.php?workbook=16_15.xlsx&amp;sheet=A0&amp;row=57&amp;col=16&amp;number=&amp;sourceID=55","")</f>
        <v/>
      </c>
      <c r="Q57" s="4" t="str">
        <f>HYPERLINK("http://141.218.60.56/~jnz1568/getInfo.php?workbook=16_15.xlsx&amp;sheet=A0&amp;row=57&amp;col=17&amp;number=&amp;sourceID=56","")</f>
        <v/>
      </c>
      <c r="R57" s="4" t="str">
        <f>HYPERLINK("http://141.218.60.56/~jnz1568/getInfo.php?workbook=16_15.xlsx&amp;sheet=A0&amp;row=57&amp;col=18&amp;number=&amp;sourceID=56","")</f>
        <v/>
      </c>
      <c r="S57" s="4" t="str">
        <f>HYPERLINK("http://141.218.60.56/~jnz1568/getInfo.php?workbook=16_15.xlsx&amp;sheet=A0&amp;row=57&amp;col=19&amp;number=&amp;sourceID=57","")</f>
        <v/>
      </c>
      <c r="T57" s="4" t="str">
        <f>HYPERLINK("http://141.218.60.56/~jnz1568/getInfo.php?workbook=16_15.xlsx&amp;sheet=A0&amp;row=57&amp;col=20&amp;number=&amp;sourceID=57","")</f>
        <v/>
      </c>
      <c r="U57" s="4" t="str">
        <f>HYPERLINK("http://141.218.60.56/~jnz1568/getInfo.php?workbook=16_15.xlsx&amp;sheet=A0&amp;row=57&amp;col=21&amp;number=&amp;sourceID=47","")</f>
        <v/>
      </c>
      <c r="V57" s="4" t="str">
        <f>HYPERLINK("http://141.218.60.56/~jnz1568/getInfo.php?workbook=16_15.xlsx&amp;sheet=A0&amp;row=57&amp;col=22&amp;number=&amp;sourceID=47","")</f>
        <v/>
      </c>
    </row>
    <row r="58" spans="1:22">
      <c r="A58" s="3">
        <v>16</v>
      </c>
      <c r="B58" s="3">
        <v>15</v>
      </c>
      <c r="C58" s="3">
        <v>12</v>
      </c>
      <c r="D58" s="3">
        <v>4</v>
      </c>
      <c r="E58" s="3">
        <f>((1/(INDEX(E0!J$4:J$73,C58,1)-INDEX(E0!J$4:J$73,D58,1))))*100000000</f>
        <v>0</v>
      </c>
      <c r="F58" s="4" t="str">
        <f>HYPERLINK("http://141.218.60.56/~jnz1568/getInfo.php?workbook=16_15.xlsx&amp;sheet=A0&amp;row=58&amp;col=6&amp;number=7170700&amp;sourceID=54","7170700")</f>
        <v>7170700</v>
      </c>
      <c r="G58" s="4" t="str">
        <f>HYPERLINK("http://141.218.60.56/~jnz1568/getInfo.php?workbook=16_15.xlsx&amp;sheet=A0&amp;row=58&amp;col=7&amp;number=&amp;sourceID=54","")</f>
        <v/>
      </c>
      <c r="H58" s="4" t="str">
        <f>HYPERLINK("http://141.218.60.56/~jnz1568/getInfo.php?workbook=16_15.xlsx&amp;sheet=A0&amp;row=58&amp;col=8&amp;number=&amp;sourceID=54","")</f>
        <v/>
      </c>
      <c r="I58" s="4" t="str">
        <f>HYPERLINK("http://141.218.60.56/~jnz1568/getInfo.php?workbook=16_15.xlsx&amp;sheet=A0&amp;row=58&amp;col=9&amp;number=7290700&amp;sourceID=54","7290700")</f>
        <v>7290700</v>
      </c>
      <c r="J58" s="4" t="str">
        <f>HYPERLINK("http://141.218.60.56/~jnz1568/getInfo.php?workbook=16_15.xlsx&amp;sheet=A0&amp;row=58&amp;col=10&amp;number=&amp;sourceID=54","")</f>
        <v/>
      </c>
      <c r="K58" s="4" t="str">
        <f>HYPERLINK("http://141.218.60.56/~jnz1568/getInfo.php?workbook=16_15.xlsx&amp;sheet=A0&amp;row=58&amp;col=11&amp;number=&amp;sourceID=54","")</f>
        <v/>
      </c>
      <c r="L58" s="4" t="str">
        <f>HYPERLINK("http://141.218.60.56/~jnz1568/getInfo.php?workbook=16_15.xlsx&amp;sheet=A0&amp;row=58&amp;col=12&amp;number=2612321.84985&amp;sourceID=53","2612321.84985")</f>
        <v>2612321.84985</v>
      </c>
      <c r="M58" s="4" t="str">
        <f>HYPERLINK("http://141.218.60.56/~jnz1568/getInfo.php?workbook=16_15.xlsx&amp;sheet=A0&amp;row=58&amp;col=13&amp;number=&amp;sourceID=53","")</f>
        <v/>
      </c>
      <c r="N58" s="4" t="str">
        <f>HYPERLINK("http://141.218.60.56/~jnz1568/getInfo.php?workbook=16_15.xlsx&amp;sheet=A0&amp;row=58&amp;col=14&amp;number=&amp;sourceID=53","")</f>
        <v/>
      </c>
      <c r="O58" s="4" t="str">
        <f>HYPERLINK("http://141.218.60.56/~jnz1568/getInfo.php?workbook=16_15.xlsx&amp;sheet=A0&amp;row=58&amp;col=15&amp;number=&amp;sourceID=55","")</f>
        <v/>
      </c>
      <c r="P58" s="4" t="str">
        <f>HYPERLINK("http://141.218.60.56/~jnz1568/getInfo.php?workbook=16_15.xlsx&amp;sheet=A0&amp;row=58&amp;col=16&amp;number=&amp;sourceID=55","")</f>
        <v/>
      </c>
      <c r="Q58" s="4" t="str">
        <f>HYPERLINK("http://141.218.60.56/~jnz1568/getInfo.php?workbook=16_15.xlsx&amp;sheet=A0&amp;row=58&amp;col=17&amp;number=&amp;sourceID=56","")</f>
        <v/>
      </c>
      <c r="R58" s="4" t="str">
        <f>HYPERLINK("http://141.218.60.56/~jnz1568/getInfo.php?workbook=16_15.xlsx&amp;sheet=A0&amp;row=58&amp;col=18&amp;number=&amp;sourceID=56","")</f>
        <v/>
      </c>
      <c r="S58" s="4" t="str">
        <f>HYPERLINK("http://141.218.60.56/~jnz1568/getInfo.php?workbook=16_15.xlsx&amp;sheet=A0&amp;row=58&amp;col=19&amp;number=&amp;sourceID=57","")</f>
        <v/>
      </c>
      <c r="T58" s="4" t="str">
        <f>HYPERLINK("http://141.218.60.56/~jnz1568/getInfo.php?workbook=16_15.xlsx&amp;sheet=A0&amp;row=58&amp;col=20&amp;number=&amp;sourceID=57","")</f>
        <v/>
      </c>
      <c r="U58" s="4" t="str">
        <f>HYPERLINK("http://141.218.60.56/~jnz1568/getInfo.php?workbook=16_15.xlsx&amp;sheet=A0&amp;row=58&amp;col=21&amp;number=&amp;sourceID=47","")</f>
        <v/>
      </c>
      <c r="V58" s="4" t="str">
        <f>HYPERLINK("http://141.218.60.56/~jnz1568/getInfo.php?workbook=16_15.xlsx&amp;sheet=A0&amp;row=58&amp;col=22&amp;number=&amp;sourceID=47","")</f>
        <v/>
      </c>
    </row>
    <row r="59" spans="1:22">
      <c r="A59" s="3">
        <v>16</v>
      </c>
      <c r="B59" s="3">
        <v>15</v>
      </c>
      <c r="C59" s="3">
        <v>12</v>
      </c>
      <c r="D59" s="3">
        <v>5</v>
      </c>
      <c r="E59" s="3">
        <f>((1/(INDEX(E0!J$4:J$73,C59,1)-INDEX(E0!J$4:J$73,D59,1))))*100000000</f>
        <v>0</v>
      </c>
      <c r="F59" s="4" t="str">
        <f>HYPERLINK("http://141.218.60.56/~jnz1568/getInfo.php?workbook=16_15.xlsx&amp;sheet=A0&amp;row=59&amp;col=6&amp;number=3237400&amp;sourceID=54","3237400")</f>
        <v>3237400</v>
      </c>
      <c r="G59" s="4" t="str">
        <f>HYPERLINK("http://141.218.60.56/~jnz1568/getInfo.php?workbook=16_15.xlsx&amp;sheet=A0&amp;row=59&amp;col=7&amp;number=&amp;sourceID=54","")</f>
        <v/>
      </c>
      <c r="H59" s="4" t="str">
        <f>HYPERLINK("http://141.218.60.56/~jnz1568/getInfo.php?workbook=16_15.xlsx&amp;sheet=A0&amp;row=59&amp;col=8&amp;number=&amp;sourceID=54","")</f>
        <v/>
      </c>
      <c r="I59" s="4" t="str">
        <f>HYPERLINK("http://141.218.60.56/~jnz1568/getInfo.php?workbook=16_15.xlsx&amp;sheet=A0&amp;row=59&amp;col=9&amp;number=3300200&amp;sourceID=54","3300200")</f>
        <v>3300200</v>
      </c>
      <c r="J59" s="4" t="str">
        <f>HYPERLINK("http://141.218.60.56/~jnz1568/getInfo.php?workbook=16_15.xlsx&amp;sheet=A0&amp;row=59&amp;col=10&amp;number=&amp;sourceID=54","")</f>
        <v/>
      </c>
      <c r="K59" s="4" t="str">
        <f>HYPERLINK("http://141.218.60.56/~jnz1568/getInfo.php?workbook=16_15.xlsx&amp;sheet=A0&amp;row=59&amp;col=11&amp;number=&amp;sourceID=54","")</f>
        <v/>
      </c>
      <c r="L59" s="4" t="str">
        <f>HYPERLINK("http://141.218.60.56/~jnz1568/getInfo.php?workbook=16_15.xlsx&amp;sheet=A0&amp;row=59&amp;col=12&amp;number=1002591.60477&amp;sourceID=53","1002591.60477")</f>
        <v>1002591.60477</v>
      </c>
      <c r="M59" s="4" t="str">
        <f>HYPERLINK("http://141.218.60.56/~jnz1568/getInfo.php?workbook=16_15.xlsx&amp;sheet=A0&amp;row=59&amp;col=13&amp;number=&amp;sourceID=53","")</f>
        <v/>
      </c>
      <c r="N59" s="4" t="str">
        <f>HYPERLINK("http://141.218.60.56/~jnz1568/getInfo.php?workbook=16_15.xlsx&amp;sheet=A0&amp;row=59&amp;col=14&amp;number=&amp;sourceID=53","")</f>
        <v/>
      </c>
      <c r="O59" s="4" t="str">
        <f>HYPERLINK("http://141.218.60.56/~jnz1568/getInfo.php?workbook=16_15.xlsx&amp;sheet=A0&amp;row=59&amp;col=15&amp;number=&amp;sourceID=55","")</f>
        <v/>
      </c>
      <c r="P59" s="4" t="str">
        <f>HYPERLINK("http://141.218.60.56/~jnz1568/getInfo.php?workbook=16_15.xlsx&amp;sheet=A0&amp;row=59&amp;col=16&amp;number=&amp;sourceID=55","")</f>
        <v/>
      </c>
      <c r="Q59" s="4" t="str">
        <f>HYPERLINK("http://141.218.60.56/~jnz1568/getInfo.php?workbook=16_15.xlsx&amp;sheet=A0&amp;row=59&amp;col=17&amp;number=&amp;sourceID=56","")</f>
        <v/>
      </c>
      <c r="R59" s="4" t="str">
        <f>HYPERLINK("http://141.218.60.56/~jnz1568/getInfo.php?workbook=16_15.xlsx&amp;sheet=A0&amp;row=59&amp;col=18&amp;number=&amp;sourceID=56","")</f>
        <v/>
      </c>
      <c r="S59" s="4" t="str">
        <f>HYPERLINK("http://141.218.60.56/~jnz1568/getInfo.php?workbook=16_15.xlsx&amp;sheet=A0&amp;row=59&amp;col=19&amp;number=&amp;sourceID=57","")</f>
        <v/>
      </c>
      <c r="T59" s="4" t="str">
        <f>HYPERLINK("http://141.218.60.56/~jnz1568/getInfo.php?workbook=16_15.xlsx&amp;sheet=A0&amp;row=59&amp;col=20&amp;number=&amp;sourceID=57","")</f>
        <v/>
      </c>
      <c r="U59" s="4" t="str">
        <f>HYPERLINK("http://141.218.60.56/~jnz1568/getInfo.php?workbook=16_15.xlsx&amp;sheet=A0&amp;row=59&amp;col=21&amp;number=&amp;sourceID=47","")</f>
        <v/>
      </c>
      <c r="V59" s="4" t="str">
        <f>HYPERLINK("http://141.218.60.56/~jnz1568/getInfo.php?workbook=16_15.xlsx&amp;sheet=A0&amp;row=59&amp;col=22&amp;number=&amp;sourceID=47","")</f>
        <v/>
      </c>
    </row>
    <row r="60" spans="1:22">
      <c r="A60" s="3">
        <v>16</v>
      </c>
      <c r="B60" s="3">
        <v>15</v>
      </c>
      <c r="C60" s="3">
        <v>12</v>
      </c>
      <c r="D60" s="3">
        <v>6</v>
      </c>
      <c r="E60" s="3">
        <f>((1/(INDEX(E0!J$4:J$73,C60,1)-INDEX(E0!J$4:J$73,D60,1))))*100000000</f>
        <v>0</v>
      </c>
      <c r="F60" s="4" t="str">
        <f>HYPERLINK("http://141.218.60.56/~jnz1568/getInfo.php?workbook=16_15.xlsx&amp;sheet=A0&amp;row=60&amp;col=6&amp;number=&amp;sourceID=54","")</f>
        <v/>
      </c>
      <c r="G60" s="4" t="str">
        <f>HYPERLINK("http://141.218.60.56/~jnz1568/getInfo.php?workbook=16_15.xlsx&amp;sheet=A0&amp;row=60&amp;col=7&amp;number=9.4407e-06&amp;sourceID=54","9.4407e-06")</f>
        <v>9.4407e-06</v>
      </c>
      <c r="H60" s="4" t="str">
        <f>HYPERLINK("http://141.218.60.56/~jnz1568/getInfo.php?workbook=16_15.xlsx&amp;sheet=A0&amp;row=60&amp;col=8&amp;number=&amp;sourceID=54","")</f>
        <v/>
      </c>
      <c r="I60" s="4" t="str">
        <f>HYPERLINK("http://141.218.60.56/~jnz1568/getInfo.php?workbook=16_15.xlsx&amp;sheet=A0&amp;row=60&amp;col=9&amp;number=&amp;sourceID=54","")</f>
        <v/>
      </c>
      <c r="J60" s="4" t="str">
        <f>HYPERLINK("http://141.218.60.56/~jnz1568/getInfo.php?workbook=16_15.xlsx&amp;sheet=A0&amp;row=60&amp;col=10&amp;number=7.8305e-06&amp;sourceID=54","7.8305e-06")</f>
        <v>7.8305e-06</v>
      </c>
      <c r="K60" s="4" t="str">
        <f>HYPERLINK("http://141.218.60.56/~jnz1568/getInfo.php?workbook=16_15.xlsx&amp;sheet=A0&amp;row=60&amp;col=11&amp;number=&amp;sourceID=54","")</f>
        <v/>
      </c>
      <c r="L60" s="4" t="str">
        <f>HYPERLINK("http://141.218.60.56/~jnz1568/getInfo.php?workbook=16_15.xlsx&amp;sheet=A0&amp;row=60&amp;col=12&amp;number=&amp;sourceID=53","")</f>
        <v/>
      </c>
      <c r="M60" s="4" t="str">
        <f>HYPERLINK("http://141.218.60.56/~jnz1568/getInfo.php?workbook=16_15.xlsx&amp;sheet=A0&amp;row=60&amp;col=13&amp;number=&amp;sourceID=53","")</f>
        <v/>
      </c>
      <c r="N60" s="4" t="str">
        <f>HYPERLINK("http://141.218.60.56/~jnz1568/getInfo.php?workbook=16_15.xlsx&amp;sheet=A0&amp;row=60&amp;col=14&amp;number=&amp;sourceID=53","")</f>
        <v/>
      </c>
      <c r="O60" s="4" t="str">
        <f>HYPERLINK("http://141.218.60.56/~jnz1568/getInfo.php?workbook=16_15.xlsx&amp;sheet=A0&amp;row=60&amp;col=15&amp;number=&amp;sourceID=55","")</f>
        <v/>
      </c>
      <c r="P60" s="4" t="str">
        <f>HYPERLINK("http://141.218.60.56/~jnz1568/getInfo.php?workbook=16_15.xlsx&amp;sheet=A0&amp;row=60&amp;col=16&amp;number=&amp;sourceID=55","")</f>
        <v/>
      </c>
      <c r="Q60" s="4" t="str">
        <f>HYPERLINK("http://141.218.60.56/~jnz1568/getInfo.php?workbook=16_15.xlsx&amp;sheet=A0&amp;row=60&amp;col=17&amp;number=&amp;sourceID=56","")</f>
        <v/>
      </c>
      <c r="R60" s="4" t="str">
        <f>HYPERLINK("http://141.218.60.56/~jnz1568/getInfo.php?workbook=16_15.xlsx&amp;sheet=A0&amp;row=60&amp;col=18&amp;number=&amp;sourceID=56","")</f>
        <v/>
      </c>
      <c r="S60" s="4" t="str">
        <f>HYPERLINK("http://141.218.60.56/~jnz1568/getInfo.php?workbook=16_15.xlsx&amp;sheet=A0&amp;row=60&amp;col=19&amp;number=&amp;sourceID=57","")</f>
        <v/>
      </c>
      <c r="T60" s="4" t="str">
        <f>HYPERLINK("http://141.218.60.56/~jnz1568/getInfo.php?workbook=16_15.xlsx&amp;sheet=A0&amp;row=60&amp;col=20&amp;number=&amp;sourceID=57","")</f>
        <v/>
      </c>
      <c r="U60" s="4" t="str">
        <f>HYPERLINK("http://141.218.60.56/~jnz1568/getInfo.php?workbook=16_15.xlsx&amp;sheet=A0&amp;row=60&amp;col=21&amp;number=&amp;sourceID=47","")</f>
        <v/>
      </c>
      <c r="V60" s="4" t="str">
        <f>HYPERLINK("http://141.218.60.56/~jnz1568/getInfo.php?workbook=16_15.xlsx&amp;sheet=A0&amp;row=60&amp;col=22&amp;number=&amp;sourceID=47","")</f>
        <v/>
      </c>
    </row>
    <row r="61" spans="1:22">
      <c r="A61" s="3">
        <v>16</v>
      </c>
      <c r="B61" s="3">
        <v>15</v>
      </c>
      <c r="C61" s="3">
        <v>12</v>
      </c>
      <c r="D61" s="3">
        <v>7</v>
      </c>
      <c r="E61" s="3">
        <f>((1/(INDEX(E0!J$4:J$73,C61,1)-INDEX(E0!J$4:J$73,D61,1))))*100000000</f>
        <v>0</v>
      </c>
      <c r="F61" s="4" t="str">
        <f>HYPERLINK("http://141.218.60.56/~jnz1568/getInfo.php?workbook=16_15.xlsx&amp;sheet=A0&amp;row=61&amp;col=6&amp;number=&amp;sourceID=54","")</f>
        <v/>
      </c>
      <c r="G61" s="4" t="str">
        <f>HYPERLINK("http://141.218.60.56/~jnz1568/getInfo.php?workbook=16_15.xlsx&amp;sheet=A0&amp;row=61&amp;col=7&amp;number=0.0010283&amp;sourceID=54","0.0010283")</f>
        <v>0.0010283</v>
      </c>
      <c r="H61" s="4" t="str">
        <f>HYPERLINK("http://141.218.60.56/~jnz1568/getInfo.php?workbook=16_15.xlsx&amp;sheet=A0&amp;row=61&amp;col=8&amp;number=9.4518e-06&amp;sourceID=54","9.4518e-06")</f>
        <v>9.4518e-06</v>
      </c>
      <c r="I61" s="4" t="str">
        <f>HYPERLINK("http://141.218.60.56/~jnz1568/getInfo.php?workbook=16_15.xlsx&amp;sheet=A0&amp;row=61&amp;col=9&amp;number=&amp;sourceID=54","")</f>
        <v/>
      </c>
      <c r="J61" s="4" t="str">
        <f>HYPERLINK("http://141.218.60.56/~jnz1568/getInfo.php?workbook=16_15.xlsx&amp;sheet=A0&amp;row=61&amp;col=10&amp;number=0.00089805&amp;sourceID=54","0.00089805")</f>
        <v>0.00089805</v>
      </c>
      <c r="K61" s="4" t="str">
        <f>HYPERLINK("http://141.218.60.56/~jnz1568/getInfo.php?workbook=16_15.xlsx&amp;sheet=A0&amp;row=61&amp;col=11&amp;number=2.0791e-05&amp;sourceID=54","2.0791e-05")</f>
        <v>2.0791e-05</v>
      </c>
      <c r="L61" s="4" t="str">
        <f>HYPERLINK("http://141.218.60.56/~jnz1568/getInfo.php?workbook=16_15.xlsx&amp;sheet=A0&amp;row=61&amp;col=12&amp;number=&amp;sourceID=53","")</f>
        <v/>
      </c>
      <c r="M61" s="4" t="str">
        <f>HYPERLINK("http://141.218.60.56/~jnz1568/getInfo.php?workbook=16_15.xlsx&amp;sheet=A0&amp;row=61&amp;col=13&amp;number=&amp;sourceID=53","")</f>
        <v/>
      </c>
      <c r="N61" s="4" t="str">
        <f>HYPERLINK("http://141.218.60.56/~jnz1568/getInfo.php?workbook=16_15.xlsx&amp;sheet=A0&amp;row=61&amp;col=14&amp;number=&amp;sourceID=53","")</f>
        <v/>
      </c>
      <c r="O61" s="4" t="str">
        <f>HYPERLINK("http://141.218.60.56/~jnz1568/getInfo.php?workbook=16_15.xlsx&amp;sheet=A0&amp;row=61&amp;col=15&amp;number=&amp;sourceID=55","")</f>
        <v/>
      </c>
      <c r="P61" s="4" t="str">
        <f>HYPERLINK("http://141.218.60.56/~jnz1568/getInfo.php?workbook=16_15.xlsx&amp;sheet=A0&amp;row=61&amp;col=16&amp;number=&amp;sourceID=55","")</f>
        <v/>
      </c>
      <c r="Q61" s="4" t="str">
        <f>HYPERLINK("http://141.218.60.56/~jnz1568/getInfo.php?workbook=16_15.xlsx&amp;sheet=A0&amp;row=61&amp;col=17&amp;number=&amp;sourceID=56","")</f>
        <v/>
      </c>
      <c r="R61" s="4" t="str">
        <f>HYPERLINK("http://141.218.60.56/~jnz1568/getInfo.php?workbook=16_15.xlsx&amp;sheet=A0&amp;row=61&amp;col=18&amp;number=&amp;sourceID=56","")</f>
        <v/>
      </c>
      <c r="S61" s="4" t="str">
        <f>HYPERLINK("http://141.218.60.56/~jnz1568/getInfo.php?workbook=16_15.xlsx&amp;sheet=A0&amp;row=61&amp;col=19&amp;number=&amp;sourceID=57","")</f>
        <v/>
      </c>
      <c r="T61" s="4" t="str">
        <f>HYPERLINK("http://141.218.60.56/~jnz1568/getInfo.php?workbook=16_15.xlsx&amp;sheet=A0&amp;row=61&amp;col=20&amp;number=&amp;sourceID=57","")</f>
        <v/>
      </c>
      <c r="U61" s="4" t="str">
        <f>HYPERLINK("http://141.218.60.56/~jnz1568/getInfo.php?workbook=16_15.xlsx&amp;sheet=A0&amp;row=61&amp;col=21&amp;number=&amp;sourceID=47","")</f>
        <v/>
      </c>
      <c r="V61" s="4" t="str">
        <f>HYPERLINK("http://141.218.60.56/~jnz1568/getInfo.php?workbook=16_15.xlsx&amp;sheet=A0&amp;row=61&amp;col=22&amp;number=&amp;sourceID=47","")</f>
        <v/>
      </c>
    </row>
    <row r="62" spans="1:22">
      <c r="A62" s="3">
        <v>16</v>
      </c>
      <c r="B62" s="3">
        <v>15</v>
      </c>
      <c r="C62" s="3">
        <v>12</v>
      </c>
      <c r="D62" s="3">
        <v>8</v>
      </c>
      <c r="E62" s="3">
        <f>((1/(INDEX(E0!J$4:J$73,C62,1)-INDEX(E0!J$4:J$73,D62,1))))*100000000</f>
        <v>0</v>
      </c>
      <c r="F62" s="4" t="str">
        <f>HYPERLINK("http://141.218.60.56/~jnz1568/getInfo.php?workbook=16_15.xlsx&amp;sheet=A0&amp;row=62&amp;col=6&amp;number=&amp;sourceID=54","")</f>
        <v/>
      </c>
      <c r="G62" s="4" t="str">
        <f>HYPERLINK("http://141.218.60.56/~jnz1568/getInfo.php?workbook=16_15.xlsx&amp;sheet=A0&amp;row=62&amp;col=7&amp;number=&amp;sourceID=54","")</f>
        <v/>
      </c>
      <c r="H62" s="4" t="str">
        <f>HYPERLINK("http://141.218.60.56/~jnz1568/getInfo.php?workbook=16_15.xlsx&amp;sheet=A0&amp;row=62&amp;col=8&amp;number=0.003625&amp;sourceID=54","0.003625")</f>
        <v>0.003625</v>
      </c>
      <c r="I62" s="4" t="str">
        <f>HYPERLINK("http://141.218.60.56/~jnz1568/getInfo.php?workbook=16_15.xlsx&amp;sheet=A0&amp;row=62&amp;col=9&amp;number=&amp;sourceID=54","")</f>
        <v/>
      </c>
      <c r="J62" s="4" t="str">
        <f>HYPERLINK("http://141.218.60.56/~jnz1568/getInfo.php?workbook=16_15.xlsx&amp;sheet=A0&amp;row=62&amp;col=10&amp;number=&amp;sourceID=54","")</f>
        <v/>
      </c>
      <c r="K62" s="4" t="str">
        <f>HYPERLINK("http://141.218.60.56/~jnz1568/getInfo.php?workbook=16_15.xlsx&amp;sheet=A0&amp;row=62&amp;col=11&amp;number=0.0034003&amp;sourceID=54","0.0034003")</f>
        <v>0.0034003</v>
      </c>
      <c r="L62" s="4" t="str">
        <f>HYPERLINK("http://141.218.60.56/~jnz1568/getInfo.php?workbook=16_15.xlsx&amp;sheet=A0&amp;row=62&amp;col=12&amp;number=&amp;sourceID=53","")</f>
        <v/>
      </c>
      <c r="M62" s="4" t="str">
        <f>HYPERLINK("http://141.218.60.56/~jnz1568/getInfo.php?workbook=16_15.xlsx&amp;sheet=A0&amp;row=62&amp;col=13&amp;number=&amp;sourceID=53","")</f>
        <v/>
      </c>
      <c r="N62" s="4" t="str">
        <f>HYPERLINK("http://141.218.60.56/~jnz1568/getInfo.php?workbook=16_15.xlsx&amp;sheet=A0&amp;row=62&amp;col=14&amp;number=&amp;sourceID=53","")</f>
        <v/>
      </c>
      <c r="O62" s="4" t="str">
        <f>HYPERLINK("http://141.218.60.56/~jnz1568/getInfo.php?workbook=16_15.xlsx&amp;sheet=A0&amp;row=62&amp;col=15&amp;number=&amp;sourceID=55","")</f>
        <v/>
      </c>
      <c r="P62" s="4" t="str">
        <f>HYPERLINK("http://141.218.60.56/~jnz1568/getInfo.php?workbook=16_15.xlsx&amp;sheet=A0&amp;row=62&amp;col=16&amp;number=&amp;sourceID=55","")</f>
        <v/>
      </c>
      <c r="Q62" s="4" t="str">
        <f>HYPERLINK("http://141.218.60.56/~jnz1568/getInfo.php?workbook=16_15.xlsx&amp;sheet=A0&amp;row=62&amp;col=17&amp;number=&amp;sourceID=56","")</f>
        <v/>
      </c>
      <c r="R62" s="4" t="str">
        <f>HYPERLINK("http://141.218.60.56/~jnz1568/getInfo.php?workbook=16_15.xlsx&amp;sheet=A0&amp;row=62&amp;col=18&amp;number=&amp;sourceID=56","")</f>
        <v/>
      </c>
      <c r="S62" s="4" t="str">
        <f>HYPERLINK("http://141.218.60.56/~jnz1568/getInfo.php?workbook=16_15.xlsx&amp;sheet=A0&amp;row=62&amp;col=19&amp;number=&amp;sourceID=57","")</f>
        <v/>
      </c>
      <c r="T62" s="4" t="str">
        <f>HYPERLINK("http://141.218.60.56/~jnz1568/getInfo.php?workbook=16_15.xlsx&amp;sheet=A0&amp;row=62&amp;col=20&amp;number=&amp;sourceID=57","")</f>
        <v/>
      </c>
      <c r="U62" s="4" t="str">
        <f>HYPERLINK("http://141.218.60.56/~jnz1568/getInfo.php?workbook=16_15.xlsx&amp;sheet=A0&amp;row=62&amp;col=21&amp;number=&amp;sourceID=47","")</f>
        <v/>
      </c>
      <c r="V62" s="4" t="str">
        <f>HYPERLINK("http://141.218.60.56/~jnz1568/getInfo.php?workbook=16_15.xlsx&amp;sheet=A0&amp;row=62&amp;col=22&amp;number=&amp;sourceID=47","")</f>
        <v/>
      </c>
    </row>
    <row r="63" spans="1:22">
      <c r="A63" s="3">
        <v>16</v>
      </c>
      <c r="B63" s="3">
        <v>15</v>
      </c>
      <c r="C63" s="3">
        <v>12</v>
      </c>
      <c r="D63" s="3">
        <v>9</v>
      </c>
      <c r="E63" s="3">
        <f>((1/(INDEX(E0!J$4:J$73,C63,1)-INDEX(E0!J$4:J$73,D63,1))))*100000000</f>
        <v>0</v>
      </c>
      <c r="F63" s="4" t="str">
        <f>HYPERLINK("http://141.218.60.56/~jnz1568/getInfo.php?workbook=16_15.xlsx&amp;sheet=A0&amp;row=63&amp;col=6&amp;number=&amp;sourceID=54","")</f>
        <v/>
      </c>
      <c r="G63" s="4" t="str">
        <f>HYPERLINK("http://141.218.60.56/~jnz1568/getInfo.php?workbook=16_15.xlsx&amp;sheet=A0&amp;row=63&amp;col=7&amp;number=0.00037228&amp;sourceID=54","0.00037228")</f>
        <v>0.00037228</v>
      </c>
      <c r="H63" s="4" t="str">
        <f>HYPERLINK("http://141.218.60.56/~jnz1568/getInfo.php?workbook=16_15.xlsx&amp;sheet=A0&amp;row=63&amp;col=8&amp;number=0.0073134&amp;sourceID=54","0.0073134")</f>
        <v>0.0073134</v>
      </c>
      <c r="I63" s="4" t="str">
        <f>HYPERLINK("http://141.218.60.56/~jnz1568/getInfo.php?workbook=16_15.xlsx&amp;sheet=A0&amp;row=63&amp;col=9&amp;number=&amp;sourceID=54","")</f>
        <v/>
      </c>
      <c r="J63" s="4" t="str">
        <f>HYPERLINK("http://141.218.60.56/~jnz1568/getInfo.php?workbook=16_15.xlsx&amp;sheet=A0&amp;row=63&amp;col=10&amp;number=0.00030376&amp;sourceID=54","0.00030376")</f>
        <v>0.00030376</v>
      </c>
      <c r="K63" s="4" t="str">
        <f>HYPERLINK("http://141.218.60.56/~jnz1568/getInfo.php?workbook=16_15.xlsx&amp;sheet=A0&amp;row=63&amp;col=11&amp;number=0.0085856&amp;sourceID=54","0.0085856")</f>
        <v>0.0085856</v>
      </c>
      <c r="L63" s="4" t="str">
        <f>HYPERLINK("http://141.218.60.56/~jnz1568/getInfo.php?workbook=16_15.xlsx&amp;sheet=A0&amp;row=63&amp;col=12&amp;number=&amp;sourceID=53","")</f>
        <v/>
      </c>
      <c r="M63" s="4" t="str">
        <f>HYPERLINK("http://141.218.60.56/~jnz1568/getInfo.php?workbook=16_15.xlsx&amp;sheet=A0&amp;row=63&amp;col=13&amp;number=&amp;sourceID=53","")</f>
        <v/>
      </c>
      <c r="N63" s="4" t="str">
        <f>HYPERLINK("http://141.218.60.56/~jnz1568/getInfo.php?workbook=16_15.xlsx&amp;sheet=A0&amp;row=63&amp;col=14&amp;number=&amp;sourceID=53","")</f>
        <v/>
      </c>
      <c r="O63" s="4" t="str">
        <f>HYPERLINK("http://141.218.60.56/~jnz1568/getInfo.php?workbook=16_15.xlsx&amp;sheet=A0&amp;row=63&amp;col=15&amp;number=&amp;sourceID=55","")</f>
        <v/>
      </c>
      <c r="P63" s="4" t="str">
        <f>HYPERLINK("http://141.218.60.56/~jnz1568/getInfo.php?workbook=16_15.xlsx&amp;sheet=A0&amp;row=63&amp;col=16&amp;number=&amp;sourceID=55","")</f>
        <v/>
      </c>
      <c r="Q63" s="4" t="str">
        <f>HYPERLINK("http://141.218.60.56/~jnz1568/getInfo.php?workbook=16_15.xlsx&amp;sheet=A0&amp;row=63&amp;col=17&amp;number=&amp;sourceID=56","")</f>
        <v/>
      </c>
      <c r="R63" s="4" t="str">
        <f>HYPERLINK("http://141.218.60.56/~jnz1568/getInfo.php?workbook=16_15.xlsx&amp;sheet=A0&amp;row=63&amp;col=18&amp;number=&amp;sourceID=56","")</f>
        <v/>
      </c>
      <c r="S63" s="4" t="str">
        <f>HYPERLINK("http://141.218.60.56/~jnz1568/getInfo.php?workbook=16_15.xlsx&amp;sheet=A0&amp;row=63&amp;col=19&amp;number=&amp;sourceID=57","")</f>
        <v/>
      </c>
      <c r="T63" s="4" t="str">
        <f>HYPERLINK("http://141.218.60.56/~jnz1568/getInfo.php?workbook=16_15.xlsx&amp;sheet=A0&amp;row=63&amp;col=20&amp;number=&amp;sourceID=57","")</f>
        <v/>
      </c>
      <c r="U63" s="4" t="str">
        <f>HYPERLINK("http://141.218.60.56/~jnz1568/getInfo.php?workbook=16_15.xlsx&amp;sheet=A0&amp;row=63&amp;col=21&amp;number=&amp;sourceID=47","")</f>
        <v/>
      </c>
      <c r="V63" s="4" t="str">
        <f>HYPERLINK("http://141.218.60.56/~jnz1568/getInfo.php?workbook=16_15.xlsx&amp;sheet=A0&amp;row=63&amp;col=22&amp;number=&amp;sourceID=47","")</f>
        <v/>
      </c>
    </row>
    <row r="64" spans="1:22">
      <c r="A64" s="3">
        <v>16</v>
      </c>
      <c r="B64" s="3">
        <v>15</v>
      </c>
      <c r="C64" s="3">
        <v>12</v>
      </c>
      <c r="D64" s="3">
        <v>10</v>
      </c>
      <c r="E64" s="3">
        <f>((1/(INDEX(E0!J$4:J$73,C64,1)-INDEX(E0!J$4:J$73,D64,1))))*100000000</f>
        <v>0</v>
      </c>
      <c r="F64" s="4" t="str">
        <f>HYPERLINK("http://141.218.60.56/~jnz1568/getInfo.php?workbook=16_15.xlsx&amp;sheet=A0&amp;row=64&amp;col=6&amp;number=&amp;sourceID=54","")</f>
        <v/>
      </c>
      <c r="G64" s="4" t="str">
        <f>HYPERLINK("http://141.218.60.56/~jnz1568/getInfo.php?workbook=16_15.xlsx&amp;sheet=A0&amp;row=64&amp;col=7&amp;number=0.00066243&amp;sourceID=54","0.00066243")</f>
        <v>0.00066243</v>
      </c>
      <c r="H64" s="4" t="str">
        <f>HYPERLINK("http://141.218.60.56/~jnz1568/getInfo.php?workbook=16_15.xlsx&amp;sheet=A0&amp;row=64&amp;col=8&amp;number=&amp;sourceID=54","")</f>
        <v/>
      </c>
      <c r="I64" s="4" t="str">
        <f>HYPERLINK("http://141.218.60.56/~jnz1568/getInfo.php?workbook=16_15.xlsx&amp;sheet=A0&amp;row=64&amp;col=9&amp;number=&amp;sourceID=54","")</f>
        <v/>
      </c>
      <c r="J64" s="4" t="str">
        <f>HYPERLINK("http://141.218.60.56/~jnz1568/getInfo.php?workbook=16_15.xlsx&amp;sheet=A0&amp;row=64&amp;col=10&amp;number=0.0005624&amp;sourceID=54","0.0005624")</f>
        <v>0.0005624</v>
      </c>
      <c r="K64" s="4" t="str">
        <f>HYPERLINK("http://141.218.60.56/~jnz1568/getInfo.php?workbook=16_15.xlsx&amp;sheet=A0&amp;row=64&amp;col=11&amp;number=&amp;sourceID=54","")</f>
        <v/>
      </c>
      <c r="L64" s="4" t="str">
        <f>HYPERLINK("http://141.218.60.56/~jnz1568/getInfo.php?workbook=16_15.xlsx&amp;sheet=A0&amp;row=64&amp;col=12&amp;number=&amp;sourceID=53","")</f>
        <v/>
      </c>
      <c r="M64" s="4" t="str">
        <f>HYPERLINK("http://141.218.60.56/~jnz1568/getInfo.php?workbook=16_15.xlsx&amp;sheet=A0&amp;row=64&amp;col=13&amp;number=&amp;sourceID=53","")</f>
        <v/>
      </c>
      <c r="N64" s="4" t="str">
        <f>HYPERLINK("http://141.218.60.56/~jnz1568/getInfo.php?workbook=16_15.xlsx&amp;sheet=A0&amp;row=64&amp;col=14&amp;number=&amp;sourceID=53","")</f>
        <v/>
      </c>
      <c r="O64" s="4" t="str">
        <f>HYPERLINK("http://141.218.60.56/~jnz1568/getInfo.php?workbook=16_15.xlsx&amp;sheet=A0&amp;row=64&amp;col=15&amp;number=&amp;sourceID=55","")</f>
        <v/>
      </c>
      <c r="P64" s="4" t="str">
        <f>HYPERLINK("http://141.218.60.56/~jnz1568/getInfo.php?workbook=16_15.xlsx&amp;sheet=A0&amp;row=64&amp;col=16&amp;number=&amp;sourceID=55","")</f>
        <v/>
      </c>
      <c r="Q64" s="4" t="str">
        <f>HYPERLINK("http://141.218.60.56/~jnz1568/getInfo.php?workbook=16_15.xlsx&amp;sheet=A0&amp;row=64&amp;col=17&amp;number=&amp;sourceID=56","")</f>
        <v/>
      </c>
      <c r="R64" s="4" t="str">
        <f>HYPERLINK("http://141.218.60.56/~jnz1568/getInfo.php?workbook=16_15.xlsx&amp;sheet=A0&amp;row=64&amp;col=18&amp;number=&amp;sourceID=56","")</f>
        <v/>
      </c>
      <c r="S64" s="4" t="str">
        <f>HYPERLINK("http://141.218.60.56/~jnz1568/getInfo.php?workbook=16_15.xlsx&amp;sheet=A0&amp;row=64&amp;col=19&amp;number=&amp;sourceID=57","")</f>
        <v/>
      </c>
      <c r="T64" s="4" t="str">
        <f>HYPERLINK("http://141.218.60.56/~jnz1568/getInfo.php?workbook=16_15.xlsx&amp;sheet=A0&amp;row=64&amp;col=20&amp;number=&amp;sourceID=57","")</f>
        <v/>
      </c>
      <c r="U64" s="4" t="str">
        <f>HYPERLINK("http://141.218.60.56/~jnz1568/getInfo.php?workbook=16_15.xlsx&amp;sheet=A0&amp;row=64&amp;col=21&amp;number=&amp;sourceID=47","")</f>
        <v/>
      </c>
      <c r="V64" s="4" t="str">
        <f>HYPERLINK("http://141.218.60.56/~jnz1568/getInfo.php?workbook=16_15.xlsx&amp;sheet=A0&amp;row=64&amp;col=22&amp;number=&amp;sourceID=47","")</f>
        <v/>
      </c>
    </row>
    <row r="65" spans="1:22">
      <c r="A65" s="3">
        <v>16</v>
      </c>
      <c r="B65" s="3">
        <v>15</v>
      </c>
      <c r="C65" s="3">
        <v>12</v>
      </c>
      <c r="D65" s="3">
        <v>11</v>
      </c>
      <c r="E65" s="3">
        <f>((1/(INDEX(E0!J$4:J$73,C65,1)-INDEX(E0!J$4:J$73,D65,1))))*100000000</f>
        <v>0</v>
      </c>
      <c r="F65" s="4" t="str">
        <f>HYPERLINK("http://141.218.60.56/~jnz1568/getInfo.php?workbook=16_15.xlsx&amp;sheet=A0&amp;row=65&amp;col=6&amp;number=&amp;sourceID=54","")</f>
        <v/>
      </c>
      <c r="G65" s="4" t="str">
        <f>HYPERLINK("http://141.218.60.56/~jnz1568/getInfo.php?workbook=16_15.xlsx&amp;sheet=A0&amp;row=65&amp;col=7&amp;number=4.6362e-09&amp;sourceID=54","4.6362e-09")</f>
        <v>4.6362e-09</v>
      </c>
      <c r="H65" s="4" t="str">
        <f>HYPERLINK("http://141.218.60.56/~jnz1568/getInfo.php?workbook=16_15.xlsx&amp;sheet=A0&amp;row=65&amp;col=8&amp;number=0.0011636&amp;sourceID=54","0.0011636")</f>
        <v>0.0011636</v>
      </c>
      <c r="I65" s="4" t="str">
        <f>HYPERLINK("http://141.218.60.56/~jnz1568/getInfo.php?workbook=16_15.xlsx&amp;sheet=A0&amp;row=65&amp;col=9&amp;number=&amp;sourceID=54","")</f>
        <v/>
      </c>
      <c r="J65" s="4" t="str">
        <f>HYPERLINK("http://141.218.60.56/~jnz1568/getInfo.php?workbook=16_15.xlsx&amp;sheet=A0&amp;row=65&amp;col=10&amp;number=4.6348e-09&amp;sourceID=54","4.6348e-09")</f>
        <v>4.6348e-09</v>
      </c>
      <c r="K65" s="4" t="str">
        <f>HYPERLINK("http://141.218.60.56/~jnz1568/getInfo.php?workbook=16_15.xlsx&amp;sheet=A0&amp;row=65&amp;col=11&amp;number=0.0011633&amp;sourceID=54","0.0011633")</f>
        <v>0.0011633</v>
      </c>
      <c r="L65" s="4" t="str">
        <f>HYPERLINK("http://141.218.60.56/~jnz1568/getInfo.php?workbook=16_15.xlsx&amp;sheet=A0&amp;row=65&amp;col=12&amp;number=&amp;sourceID=53","")</f>
        <v/>
      </c>
      <c r="M65" s="4" t="str">
        <f>HYPERLINK("http://141.218.60.56/~jnz1568/getInfo.php?workbook=16_15.xlsx&amp;sheet=A0&amp;row=65&amp;col=13&amp;number=&amp;sourceID=53","")</f>
        <v/>
      </c>
      <c r="N65" s="4" t="str">
        <f>HYPERLINK("http://141.218.60.56/~jnz1568/getInfo.php?workbook=16_15.xlsx&amp;sheet=A0&amp;row=65&amp;col=14&amp;number=&amp;sourceID=53","")</f>
        <v/>
      </c>
      <c r="O65" s="4" t="str">
        <f>HYPERLINK("http://141.218.60.56/~jnz1568/getInfo.php?workbook=16_15.xlsx&amp;sheet=A0&amp;row=65&amp;col=15&amp;number=&amp;sourceID=55","")</f>
        <v/>
      </c>
      <c r="P65" s="4" t="str">
        <f>HYPERLINK("http://141.218.60.56/~jnz1568/getInfo.php?workbook=16_15.xlsx&amp;sheet=A0&amp;row=65&amp;col=16&amp;number=&amp;sourceID=55","")</f>
        <v/>
      </c>
      <c r="Q65" s="4" t="str">
        <f>HYPERLINK("http://141.218.60.56/~jnz1568/getInfo.php?workbook=16_15.xlsx&amp;sheet=A0&amp;row=65&amp;col=17&amp;number=&amp;sourceID=56","")</f>
        <v/>
      </c>
      <c r="R65" s="4" t="str">
        <f>HYPERLINK("http://141.218.60.56/~jnz1568/getInfo.php?workbook=16_15.xlsx&amp;sheet=A0&amp;row=65&amp;col=18&amp;number=&amp;sourceID=56","")</f>
        <v/>
      </c>
      <c r="S65" s="4" t="str">
        <f>HYPERLINK("http://141.218.60.56/~jnz1568/getInfo.php?workbook=16_15.xlsx&amp;sheet=A0&amp;row=65&amp;col=19&amp;number=&amp;sourceID=57","")</f>
        <v/>
      </c>
      <c r="T65" s="4" t="str">
        <f>HYPERLINK("http://141.218.60.56/~jnz1568/getInfo.php?workbook=16_15.xlsx&amp;sheet=A0&amp;row=65&amp;col=20&amp;number=&amp;sourceID=57","")</f>
        <v/>
      </c>
      <c r="U65" s="4" t="str">
        <f>HYPERLINK("http://141.218.60.56/~jnz1568/getInfo.php?workbook=16_15.xlsx&amp;sheet=A0&amp;row=65&amp;col=21&amp;number=&amp;sourceID=47","")</f>
        <v/>
      </c>
      <c r="V65" s="4" t="str">
        <f>HYPERLINK("http://141.218.60.56/~jnz1568/getInfo.php?workbook=16_15.xlsx&amp;sheet=A0&amp;row=65&amp;col=22&amp;number=&amp;sourceID=47","")</f>
        <v/>
      </c>
    </row>
    <row r="66" spans="1:22">
      <c r="A66" s="3">
        <v>16</v>
      </c>
      <c r="B66" s="3">
        <v>15</v>
      </c>
      <c r="C66" s="3">
        <v>13</v>
      </c>
      <c r="D66" s="3">
        <v>1</v>
      </c>
      <c r="E66" s="3">
        <f>((1/(INDEX(E0!J$4:J$73,C66,1)-INDEX(E0!J$4:J$73,D66,1))))*100000000</f>
        <v>0</v>
      </c>
      <c r="F66" s="4" t="str">
        <f>HYPERLINK("http://141.218.60.56/~jnz1568/getInfo.php?workbook=16_15.xlsx&amp;sheet=A0&amp;row=66&amp;col=6&amp;number=1028300000&amp;sourceID=54","1028300000")</f>
        <v>1028300000</v>
      </c>
      <c r="G66" s="4" t="str">
        <f>HYPERLINK("http://141.218.60.56/~jnz1568/getInfo.php?workbook=16_15.xlsx&amp;sheet=A0&amp;row=66&amp;col=7&amp;number=&amp;sourceID=54","")</f>
        <v/>
      </c>
      <c r="H66" s="4" t="str">
        <f>HYPERLINK("http://141.218.60.56/~jnz1568/getInfo.php?workbook=16_15.xlsx&amp;sheet=A0&amp;row=66&amp;col=8&amp;number=&amp;sourceID=54","")</f>
        <v/>
      </c>
      <c r="I66" s="4" t="str">
        <f>HYPERLINK("http://141.218.60.56/~jnz1568/getInfo.php?workbook=16_15.xlsx&amp;sheet=A0&amp;row=66&amp;col=9&amp;number=1047900000&amp;sourceID=54","1047900000")</f>
        <v>1047900000</v>
      </c>
      <c r="J66" s="4" t="str">
        <f>HYPERLINK("http://141.218.60.56/~jnz1568/getInfo.php?workbook=16_15.xlsx&amp;sheet=A0&amp;row=66&amp;col=10&amp;number=&amp;sourceID=54","")</f>
        <v/>
      </c>
      <c r="K66" s="4" t="str">
        <f>HYPERLINK("http://141.218.60.56/~jnz1568/getInfo.php?workbook=16_15.xlsx&amp;sheet=A0&amp;row=66&amp;col=11&amp;number=&amp;sourceID=54","")</f>
        <v/>
      </c>
      <c r="L66" s="4" t="str">
        <f>HYPERLINK("http://141.218.60.56/~jnz1568/getInfo.php?workbook=16_15.xlsx&amp;sheet=A0&amp;row=66&amp;col=12&amp;number=1020539203.72&amp;sourceID=53","1020539203.72")</f>
        <v>1020539203.72</v>
      </c>
      <c r="M66" s="4" t="str">
        <f>HYPERLINK("http://141.218.60.56/~jnz1568/getInfo.php?workbook=16_15.xlsx&amp;sheet=A0&amp;row=66&amp;col=13&amp;number=&amp;sourceID=53","")</f>
        <v/>
      </c>
      <c r="N66" s="4" t="str">
        <f>HYPERLINK("http://141.218.60.56/~jnz1568/getInfo.php?workbook=16_15.xlsx&amp;sheet=A0&amp;row=66&amp;col=14&amp;number=&amp;sourceID=53","")</f>
        <v/>
      </c>
      <c r="O66" s="4" t="str">
        <f>HYPERLINK("http://141.218.60.56/~jnz1568/getInfo.php?workbook=16_15.xlsx&amp;sheet=A0&amp;row=66&amp;col=15&amp;number=&amp;sourceID=55","")</f>
        <v/>
      </c>
      <c r="P66" s="4" t="str">
        <f>HYPERLINK("http://141.218.60.56/~jnz1568/getInfo.php?workbook=16_15.xlsx&amp;sheet=A0&amp;row=66&amp;col=16&amp;number=&amp;sourceID=55","")</f>
        <v/>
      </c>
      <c r="Q66" s="4" t="str">
        <f>HYPERLINK("http://141.218.60.56/~jnz1568/getInfo.php?workbook=16_15.xlsx&amp;sheet=A0&amp;row=66&amp;col=17&amp;number=&amp;sourceID=56","")</f>
        <v/>
      </c>
      <c r="R66" s="4" t="str">
        <f>HYPERLINK("http://141.218.60.56/~jnz1568/getInfo.php?workbook=16_15.xlsx&amp;sheet=A0&amp;row=66&amp;col=18&amp;number=&amp;sourceID=56","")</f>
        <v/>
      </c>
      <c r="S66" s="4" t="str">
        <f>HYPERLINK("http://141.218.60.56/~jnz1568/getInfo.php?workbook=16_15.xlsx&amp;sheet=A0&amp;row=66&amp;col=19&amp;number=&amp;sourceID=57","")</f>
        <v/>
      </c>
      <c r="T66" s="4" t="str">
        <f>HYPERLINK("http://141.218.60.56/~jnz1568/getInfo.php?workbook=16_15.xlsx&amp;sheet=A0&amp;row=66&amp;col=20&amp;number=&amp;sourceID=57","")</f>
        <v/>
      </c>
      <c r="U66" s="4" t="str">
        <f>HYPERLINK("http://141.218.60.56/~jnz1568/getInfo.php?workbook=16_15.xlsx&amp;sheet=A0&amp;row=66&amp;col=21&amp;number=&amp;sourceID=47","")</f>
        <v/>
      </c>
      <c r="V66" s="4" t="str">
        <f>HYPERLINK("http://141.218.60.56/~jnz1568/getInfo.php?workbook=16_15.xlsx&amp;sheet=A0&amp;row=66&amp;col=22&amp;number=&amp;sourceID=47","")</f>
        <v/>
      </c>
    </row>
    <row r="67" spans="1:22">
      <c r="A67" s="3">
        <v>16</v>
      </c>
      <c r="B67" s="3">
        <v>15</v>
      </c>
      <c r="C67" s="3">
        <v>13</v>
      </c>
      <c r="D67" s="3">
        <v>2</v>
      </c>
      <c r="E67" s="3">
        <f>((1/(INDEX(E0!J$4:J$73,C67,1)-INDEX(E0!J$4:J$73,D67,1))))*100000000</f>
        <v>0</v>
      </c>
      <c r="F67" s="4" t="str">
        <f>HYPERLINK("http://141.218.60.56/~jnz1568/getInfo.php?workbook=16_15.xlsx&amp;sheet=A0&amp;row=67&amp;col=6&amp;number=1618200&amp;sourceID=54","1618200")</f>
        <v>1618200</v>
      </c>
      <c r="G67" s="4" t="str">
        <f>HYPERLINK("http://141.218.60.56/~jnz1568/getInfo.php?workbook=16_15.xlsx&amp;sheet=A0&amp;row=67&amp;col=7&amp;number=&amp;sourceID=54","")</f>
        <v/>
      </c>
      <c r="H67" s="4" t="str">
        <f>HYPERLINK("http://141.218.60.56/~jnz1568/getInfo.php?workbook=16_15.xlsx&amp;sheet=A0&amp;row=67&amp;col=8&amp;number=&amp;sourceID=54","")</f>
        <v/>
      </c>
      <c r="I67" s="4" t="str">
        <f>HYPERLINK("http://141.218.60.56/~jnz1568/getInfo.php?workbook=16_15.xlsx&amp;sheet=A0&amp;row=67&amp;col=9&amp;number=2341900&amp;sourceID=54","2341900")</f>
        <v>2341900</v>
      </c>
      <c r="J67" s="4" t="str">
        <f>HYPERLINK("http://141.218.60.56/~jnz1568/getInfo.php?workbook=16_15.xlsx&amp;sheet=A0&amp;row=67&amp;col=10&amp;number=&amp;sourceID=54","")</f>
        <v/>
      </c>
      <c r="K67" s="4" t="str">
        <f>HYPERLINK("http://141.218.60.56/~jnz1568/getInfo.php?workbook=16_15.xlsx&amp;sheet=A0&amp;row=67&amp;col=11&amp;number=&amp;sourceID=54","")</f>
        <v/>
      </c>
      <c r="L67" s="4" t="str">
        <f>HYPERLINK("http://141.218.60.56/~jnz1568/getInfo.php?workbook=16_15.xlsx&amp;sheet=A0&amp;row=67&amp;col=12&amp;number=2013766.26635&amp;sourceID=53","2013766.26635")</f>
        <v>2013766.26635</v>
      </c>
      <c r="M67" s="4" t="str">
        <f>HYPERLINK("http://141.218.60.56/~jnz1568/getInfo.php?workbook=16_15.xlsx&amp;sheet=A0&amp;row=67&amp;col=13&amp;number=&amp;sourceID=53","")</f>
        <v/>
      </c>
      <c r="N67" s="4" t="str">
        <f>HYPERLINK("http://141.218.60.56/~jnz1568/getInfo.php?workbook=16_15.xlsx&amp;sheet=A0&amp;row=67&amp;col=14&amp;number=&amp;sourceID=53","")</f>
        <v/>
      </c>
      <c r="O67" s="4" t="str">
        <f>HYPERLINK("http://141.218.60.56/~jnz1568/getInfo.php?workbook=16_15.xlsx&amp;sheet=A0&amp;row=67&amp;col=15&amp;number=&amp;sourceID=55","")</f>
        <v/>
      </c>
      <c r="P67" s="4" t="str">
        <f>HYPERLINK("http://141.218.60.56/~jnz1568/getInfo.php?workbook=16_15.xlsx&amp;sheet=A0&amp;row=67&amp;col=16&amp;number=&amp;sourceID=55","")</f>
        <v/>
      </c>
      <c r="Q67" s="4" t="str">
        <f>HYPERLINK("http://141.218.60.56/~jnz1568/getInfo.php?workbook=16_15.xlsx&amp;sheet=A0&amp;row=67&amp;col=17&amp;number=&amp;sourceID=56","")</f>
        <v/>
      </c>
      <c r="R67" s="4" t="str">
        <f>HYPERLINK("http://141.218.60.56/~jnz1568/getInfo.php?workbook=16_15.xlsx&amp;sheet=A0&amp;row=67&amp;col=18&amp;number=&amp;sourceID=56","")</f>
        <v/>
      </c>
      <c r="S67" s="4" t="str">
        <f>HYPERLINK("http://141.218.60.56/~jnz1568/getInfo.php?workbook=16_15.xlsx&amp;sheet=A0&amp;row=67&amp;col=19&amp;number=&amp;sourceID=57","")</f>
        <v/>
      </c>
      <c r="T67" s="4" t="str">
        <f>HYPERLINK("http://141.218.60.56/~jnz1568/getInfo.php?workbook=16_15.xlsx&amp;sheet=A0&amp;row=67&amp;col=20&amp;number=&amp;sourceID=57","")</f>
        <v/>
      </c>
      <c r="U67" s="4" t="str">
        <f>HYPERLINK("http://141.218.60.56/~jnz1568/getInfo.php?workbook=16_15.xlsx&amp;sheet=A0&amp;row=67&amp;col=21&amp;number=&amp;sourceID=47","")</f>
        <v/>
      </c>
      <c r="V67" s="4" t="str">
        <f>HYPERLINK("http://141.218.60.56/~jnz1568/getInfo.php?workbook=16_15.xlsx&amp;sheet=A0&amp;row=67&amp;col=22&amp;number=&amp;sourceID=47","")</f>
        <v/>
      </c>
    </row>
    <row r="68" spans="1:22">
      <c r="A68" s="3">
        <v>16</v>
      </c>
      <c r="B68" s="3">
        <v>15</v>
      </c>
      <c r="C68" s="3">
        <v>13</v>
      </c>
      <c r="D68" s="3">
        <v>4</v>
      </c>
      <c r="E68" s="3">
        <f>((1/(INDEX(E0!J$4:J$73,C68,1)-INDEX(E0!J$4:J$73,D68,1))))*100000000</f>
        <v>0</v>
      </c>
      <c r="F68" s="4" t="str">
        <f>HYPERLINK("http://141.218.60.56/~jnz1568/getInfo.php?workbook=16_15.xlsx&amp;sheet=A0&amp;row=68&amp;col=6&amp;number=75412&amp;sourceID=54","75412")</f>
        <v>75412</v>
      </c>
      <c r="G68" s="4" t="str">
        <f>HYPERLINK("http://141.218.60.56/~jnz1568/getInfo.php?workbook=16_15.xlsx&amp;sheet=A0&amp;row=68&amp;col=7&amp;number=&amp;sourceID=54","")</f>
        <v/>
      </c>
      <c r="H68" s="4" t="str">
        <f>HYPERLINK("http://141.218.60.56/~jnz1568/getInfo.php?workbook=16_15.xlsx&amp;sheet=A0&amp;row=68&amp;col=8&amp;number=&amp;sourceID=54","")</f>
        <v/>
      </c>
      <c r="I68" s="4" t="str">
        <f>HYPERLINK("http://141.218.60.56/~jnz1568/getInfo.php?workbook=16_15.xlsx&amp;sheet=A0&amp;row=68&amp;col=9&amp;number=143710&amp;sourceID=54","143710")</f>
        <v>143710</v>
      </c>
      <c r="J68" s="4" t="str">
        <f>HYPERLINK("http://141.218.60.56/~jnz1568/getInfo.php?workbook=16_15.xlsx&amp;sheet=A0&amp;row=68&amp;col=10&amp;number=&amp;sourceID=54","")</f>
        <v/>
      </c>
      <c r="K68" s="4" t="str">
        <f>HYPERLINK("http://141.218.60.56/~jnz1568/getInfo.php?workbook=16_15.xlsx&amp;sheet=A0&amp;row=68&amp;col=11&amp;number=&amp;sourceID=54","")</f>
        <v/>
      </c>
      <c r="L68" s="4" t="str">
        <f>HYPERLINK("http://141.218.60.56/~jnz1568/getInfo.php?workbook=16_15.xlsx&amp;sheet=A0&amp;row=68&amp;col=12&amp;number=45162.812349&amp;sourceID=53","45162.812349")</f>
        <v>45162.812349</v>
      </c>
      <c r="M68" s="4" t="str">
        <f>HYPERLINK("http://141.218.60.56/~jnz1568/getInfo.php?workbook=16_15.xlsx&amp;sheet=A0&amp;row=68&amp;col=13&amp;number=&amp;sourceID=53","")</f>
        <v/>
      </c>
      <c r="N68" s="4" t="str">
        <f>HYPERLINK("http://141.218.60.56/~jnz1568/getInfo.php?workbook=16_15.xlsx&amp;sheet=A0&amp;row=68&amp;col=14&amp;number=&amp;sourceID=53","")</f>
        <v/>
      </c>
      <c r="O68" s="4" t="str">
        <f>HYPERLINK("http://141.218.60.56/~jnz1568/getInfo.php?workbook=16_15.xlsx&amp;sheet=A0&amp;row=68&amp;col=15&amp;number=&amp;sourceID=55","")</f>
        <v/>
      </c>
      <c r="P68" s="4" t="str">
        <f>HYPERLINK("http://141.218.60.56/~jnz1568/getInfo.php?workbook=16_15.xlsx&amp;sheet=A0&amp;row=68&amp;col=16&amp;number=&amp;sourceID=55","")</f>
        <v/>
      </c>
      <c r="Q68" s="4" t="str">
        <f>HYPERLINK("http://141.218.60.56/~jnz1568/getInfo.php?workbook=16_15.xlsx&amp;sheet=A0&amp;row=68&amp;col=17&amp;number=&amp;sourceID=56","")</f>
        <v/>
      </c>
      <c r="R68" s="4" t="str">
        <f>HYPERLINK("http://141.218.60.56/~jnz1568/getInfo.php?workbook=16_15.xlsx&amp;sheet=A0&amp;row=68&amp;col=18&amp;number=&amp;sourceID=56","")</f>
        <v/>
      </c>
      <c r="S68" s="4" t="str">
        <f>HYPERLINK("http://141.218.60.56/~jnz1568/getInfo.php?workbook=16_15.xlsx&amp;sheet=A0&amp;row=68&amp;col=19&amp;number=&amp;sourceID=57","")</f>
        <v/>
      </c>
      <c r="T68" s="4" t="str">
        <f>HYPERLINK("http://141.218.60.56/~jnz1568/getInfo.php?workbook=16_15.xlsx&amp;sheet=A0&amp;row=68&amp;col=20&amp;number=&amp;sourceID=57","")</f>
        <v/>
      </c>
      <c r="U68" s="4" t="str">
        <f>HYPERLINK("http://141.218.60.56/~jnz1568/getInfo.php?workbook=16_15.xlsx&amp;sheet=A0&amp;row=68&amp;col=21&amp;number=&amp;sourceID=47","")</f>
        <v/>
      </c>
      <c r="V68" s="4" t="str">
        <f>HYPERLINK("http://141.218.60.56/~jnz1568/getInfo.php?workbook=16_15.xlsx&amp;sheet=A0&amp;row=68&amp;col=22&amp;number=&amp;sourceID=47","")</f>
        <v/>
      </c>
    </row>
    <row r="69" spans="1:22">
      <c r="A69" s="3">
        <v>16</v>
      </c>
      <c r="B69" s="3">
        <v>15</v>
      </c>
      <c r="C69" s="3">
        <v>13</v>
      </c>
      <c r="D69" s="3">
        <v>5</v>
      </c>
      <c r="E69" s="3">
        <f>((1/(INDEX(E0!J$4:J$73,C69,1)-INDEX(E0!J$4:J$73,D69,1))))*100000000</f>
        <v>0</v>
      </c>
      <c r="F69" s="4" t="str">
        <f>HYPERLINK("http://141.218.60.56/~jnz1568/getInfo.php?workbook=16_15.xlsx&amp;sheet=A0&amp;row=69&amp;col=6&amp;number=219800&amp;sourceID=54","219800")</f>
        <v>219800</v>
      </c>
      <c r="G69" s="4" t="str">
        <f>HYPERLINK("http://141.218.60.56/~jnz1568/getInfo.php?workbook=16_15.xlsx&amp;sheet=A0&amp;row=69&amp;col=7&amp;number=&amp;sourceID=54","")</f>
        <v/>
      </c>
      <c r="H69" s="4" t="str">
        <f>HYPERLINK("http://141.218.60.56/~jnz1568/getInfo.php?workbook=16_15.xlsx&amp;sheet=A0&amp;row=69&amp;col=8&amp;number=&amp;sourceID=54","")</f>
        <v/>
      </c>
      <c r="I69" s="4" t="str">
        <f>HYPERLINK("http://141.218.60.56/~jnz1568/getInfo.php?workbook=16_15.xlsx&amp;sheet=A0&amp;row=69&amp;col=9&amp;number=302050&amp;sourceID=54","302050")</f>
        <v>302050</v>
      </c>
      <c r="J69" s="4" t="str">
        <f>HYPERLINK("http://141.218.60.56/~jnz1568/getInfo.php?workbook=16_15.xlsx&amp;sheet=A0&amp;row=69&amp;col=10&amp;number=&amp;sourceID=54","")</f>
        <v/>
      </c>
      <c r="K69" s="4" t="str">
        <f>HYPERLINK("http://141.218.60.56/~jnz1568/getInfo.php?workbook=16_15.xlsx&amp;sheet=A0&amp;row=69&amp;col=11&amp;number=&amp;sourceID=54","")</f>
        <v/>
      </c>
      <c r="L69" s="4" t="str">
        <f>HYPERLINK("http://141.218.60.56/~jnz1568/getInfo.php?workbook=16_15.xlsx&amp;sheet=A0&amp;row=69&amp;col=12&amp;number=363816.984791&amp;sourceID=53","363816.984791")</f>
        <v>363816.984791</v>
      </c>
      <c r="M69" s="4" t="str">
        <f>HYPERLINK("http://141.218.60.56/~jnz1568/getInfo.php?workbook=16_15.xlsx&amp;sheet=A0&amp;row=69&amp;col=13&amp;number=&amp;sourceID=53","")</f>
        <v/>
      </c>
      <c r="N69" s="4" t="str">
        <f>HYPERLINK("http://141.218.60.56/~jnz1568/getInfo.php?workbook=16_15.xlsx&amp;sheet=A0&amp;row=69&amp;col=14&amp;number=&amp;sourceID=53","")</f>
        <v/>
      </c>
      <c r="O69" s="4" t="str">
        <f>HYPERLINK("http://141.218.60.56/~jnz1568/getInfo.php?workbook=16_15.xlsx&amp;sheet=A0&amp;row=69&amp;col=15&amp;number=&amp;sourceID=55","")</f>
        <v/>
      </c>
      <c r="P69" s="4" t="str">
        <f>HYPERLINK("http://141.218.60.56/~jnz1568/getInfo.php?workbook=16_15.xlsx&amp;sheet=A0&amp;row=69&amp;col=16&amp;number=&amp;sourceID=55","")</f>
        <v/>
      </c>
      <c r="Q69" s="4" t="str">
        <f>HYPERLINK("http://141.218.60.56/~jnz1568/getInfo.php?workbook=16_15.xlsx&amp;sheet=A0&amp;row=69&amp;col=17&amp;number=&amp;sourceID=56","")</f>
        <v/>
      </c>
      <c r="R69" s="4" t="str">
        <f>HYPERLINK("http://141.218.60.56/~jnz1568/getInfo.php?workbook=16_15.xlsx&amp;sheet=A0&amp;row=69&amp;col=18&amp;number=&amp;sourceID=56","")</f>
        <v/>
      </c>
      <c r="S69" s="4" t="str">
        <f>HYPERLINK("http://141.218.60.56/~jnz1568/getInfo.php?workbook=16_15.xlsx&amp;sheet=A0&amp;row=69&amp;col=19&amp;number=&amp;sourceID=57","")</f>
        <v/>
      </c>
      <c r="T69" s="4" t="str">
        <f>HYPERLINK("http://141.218.60.56/~jnz1568/getInfo.php?workbook=16_15.xlsx&amp;sheet=A0&amp;row=69&amp;col=20&amp;number=&amp;sourceID=57","")</f>
        <v/>
      </c>
      <c r="U69" s="4" t="str">
        <f>HYPERLINK("http://141.218.60.56/~jnz1568/getInfo.php?workbook=16_15.xlsx&amp;sheet=A0&amp;row=69&amp;col=21&amp;number=&amp;sourceID=47","")</f>
        <v/>
      </c>
      <c r="V69" s="4" t="str">
        <f>HYPERLINK("http://141.218.60.56/~jnz1568/getInfo.php?workbook=16_15.xlsx&amp;sheet=A0&amp;row=69&amp;col=22&amp;number=&amp;sourceID=47","")</f>
        <v/>
      </c>
    </row>
    <row r="70" spans="1:22">
      <c r="A70" s="3">
        <v>16</v>
      </c>
      <c r="B70" s="3">
        <v>15</v>
      </c>
      <c r="C70" s="3">
        <v>13</v>
      </c>
      <c r="D70" s="3">
        <v>6</v>
      </c>
      <c r="E70" s="3">
        <f>((1/(INDEX(E0!J$4:J$73,C70,1)-INDEX(E0!J$4:J$73,D70,1))))*100000000</f>
        <v>0</v>
      </c>
      <c r="F70" s="4" t="str">
        <f>HYPERLINK("http://141.218.60.56/~jnz1568/getInfo.php?workbook=16_15.xlsx&amp;sheet=A0&amp;row=70&amp;col=6&amp;number=&amp;sourceID=54","")</f>
        <v/>
      </c>
      <c r="G70" s="4" t="str">
        <f>HYPERLINK("http://141.218.60.56/~jnz1568/getInfo.php?workbook=16_15.xlsx&amp;sheet=A0&amp;row=70&amp;col=7&amp;number=6.6431&amp;sourceID=54","6.6431")</f>
        <v>6.6431</v>
      </c>
      <c r="H70" s="4" t="str">
        <f>HYPERLINK("http://141.218.60.56/~jnz1568/getInfo.php?workbook=16_15.xlsx&amp;sheet=A0&amp;row=70&amp;col=8&amp;number=&amp;sourceID=54","")</f>
        <v/>
      </c>
      <c r="I70" s="4" t="str">
        <f>HYPERLINK("http://141.218.60.56/~jnz1568/getInfo.php?workbook=16_15.xlsx&amp;sheet=A0&amp;row=70&amp;col=9&amp;number=&amp;sourceID=54","")</f>
        <v/>
      </c>
      <c r="J70" s="4" t="str">
        <f>HYPERLINK("http://141.218.60.56/~jnz1568/getInfo.php?workbook=16_15.xlsx&amp;sheet=A0&amp;row=70&amp;col=10&amp;number=6.3936&amp;sourceID=54","6.3936")</f>
        <v>6.3936</v>
      </c>
      <c r="K70" s="4" t="str">
        <f>HYPERLINK("http://141.218.60.56/~jnz1568/getInfo.php?workbook=16_15.xlsx&amp;sheet=A0&amp;row=70&amp;col=11&amp;number=&amp;sourceID=54","")</f>
        <v/>
      </c>
      <c r="L70" s="4" t="str">
        <f>HYPERLINK("http://141.218.60.56/~jnz1568/getInfo.php?workbook=16_15.xlsx&amp;sheet=A0&amp;row=70&amp;col=12&amp;number=&amp;sourceID=53","")</f>
        <v/>
      </c>
      <c r="M70" s="4" t="str">
        <f>HYPERLINK("http://141.218.60.56/~jnz1568/getInfo.php?workbook=16_15.xlsx&amp;sheet=A0&amp;row=70&amp;col=13&amp;number=&amp;sourceID=53","")</f>
        <v/>
      </c>
      <c r="N70" s="4" t="str">
        <f>HYPERLINK("http://141.218.60.56/~jnz1568/getInfo.php?workbook=16_15.xlsx&amp;sheet=A0&amp;row=70&amp;col=14&amp;number=&amp;sourceID=53","")</f>
        <v/>
      </c>
      <c r="O70" s="4" t="str">
        <f>HYPERLINK("http://141.218.60.56/~jnz1568/getInfo.php?workbook=16_15.xlsx&amp;sheet=A0&amp;row=70&amp;col=15&amp;number=&amp;sourceID=55","")</f>
        <v/>
      </c>
      <c r="P70" s="4" t="str">
        <f>HYPERLINK("http://141.218.60.56/~jnz1568/getInfo.php?workbook=16_15.xlsx&amp;sheet=A0&amp;row=70&amp;col=16&amp;number=&amp;sourceID=55","")</f>
        <v/>
      </c>
      <c r="Q70" s="4" t="str">
        <f>HYPERLINK("http://141.218.60.56/~jnz1568/getInfo.php?workbook=16_15.xlsx&amp;sheet=A0&amp;row=70&amp;col=17&amp;number=&amp;sourceID=56","")</f>
        <v/>
      </c>
      <c r="R70" s="4" t="str">
        <f>HYPERLINK("http://141.218.60.56/~jnz1568/getInfo.php?workbook=16_15.xlsx&amp;sheet=A0&amp;row=70&amp;col=18&amp;number=&amp;sourceID=56","")</f>
        <v/>
      </c>
      <c r="S70" s="4" t="str">
        <f>HYPERLINK("http://141.218.60.56/~jnz1568/getInfo.php?workbook=16_15.xlsx&amp;sheet=A0&amp;row=70&amp;col=19&amp;number=&amp;sourceID=57","")</f>
        <v/>
      </c>
      <c r="T70" s="4" t="str">
        <f>HYPERLINK("http://141.218.60.56/~jnz1568/getInfo.php?workbook=16_15.xlsx&amp;sheet=A0&amp;row=70&amp;col=20&amp;number=&amp;sourceID=57","")</f>
        <v/>
      </c>
      <c r="U70" s="4" t="str">
        <f>HYPERLINK("http://141.218.60.56/~jnz1568/getInfo.php?workbook=16_15.xlsx&amp;sheet=A0&amp;row=70&amp;col=21&amp;number=&amp;sourceID=47","")</f>
        <v/>
      </c>
      <c r="V70" s="4" t="str">
        <f>HYPERLINK("http://141.218.60.56/~jnz1568/getInfo.php?workbook=16_15.xlsx&amp;sheet=A0&amp;row=70&amp;col=22&amp;number=&amp;sourceID=47","")</f>
        <v/>
      </c>
    </row>
    <row r="71" spans="1:22">
      <c r="A71" s="3">
        <v>16</v>
      </c>
      <c r="B71" s="3">
        <v>15</v>
      </c>
      <c r="C71" s="3">
        <v>13</v>
      </c>
      <c r="D71" s="3">
        <v>7</v>
      </c>
      <c r="E71" s="3">
        <f>((1/(INDEX(E0!J$4:J$73,C71,1)-INDEX(E0!J$4:J$73,D71,1))))*100000000</f>
        <v>0</v>
      </c>
      <c r="F71" s="4" t="str">
        <f>HYPERLINK("http://141.218.60.56/~jnz1568/getInfo.php?workbook=16_15.xlsx&amp;sheet=A0&amp;row=71&amp;col=6&amp;number=&amp;sourceID=54","")</f>
        <v/>
      </c>
      <c r="G71" s="4" t="str">
        <f>HYPERLINK("http://141.218.60.56/~jnz1568/getInfo.php?workbook=16_15.xlsx&amp;sheet=A0&amp;row=71&amp;col=7&amp;number=0.70303&amp;sourceID=54","0.70303")</f>
        <v>0.70303</v>
      </c>
      <c r="H71" s="4" t="str">
        <f>HYPERLINK("http://141.218.60.56/~jnz1568/getInfo.php?workbook=16_15.xlsx&amp;sheet=A0&amp;row=71&amp;col=8&amp;number=0.00082499&amp;sourceID=54","0.00082499")</f>
        <v>0.00082499</v>
      </c>
      <c r="I71" s="4" t="str">
        <f>HYPERLINK("http://141.218.60.56/~jnz1568/getInfo.php?workbook=16_15.xlsx&amp;sheet=A0&amp;row=71&amp;col=9&amp;number=&amp;sourceID=54","")</f>
        <v/>
      </c>
      <c r="J71" s="4" t="str">
        <f>HYPERLINK("http://141.218.60.56/~jnz1568/getInfo.php?workbook=16_15.xlsx&amp;sheet=A0&amp;row=71&amp;col=10&amp;number=0.67615&amp;sourceID=54","0.67615")</f>
        <v>0.67615</v>
      </c>
      <c r="K71" s="4" t="str">
        <f>HYPERLINK("http://141.218.60.56/~jnz1568/getInfo.php?workbook=16_15.xlsx&amp;sheet=A0&amp;row=71&amp;col=11&amp;number=0.00080726&amp;sourceID=54","0.00080726")</f>
        <v>0.00080726</v>
      </c>
      <c r="L71" s="4" t="str">
        <f>HYPERLINK("http://141.218.60.56/~jnz1568/getInfo.php?workbook=16_15.xlsx&amp;sheet=A0&amp;row=71&amp;col=12&amp;number=&amp;sourceID=53","")</f>
        <v/>
      </c>
      <c r="M71" s="4" t="str">
        <f>HYPERLINK("http://141.218.60.56/~jnz1568/getInfo.php?workbook=16_15.xlsx&amp;sheet=A0&amp;row=71&amp;col=13&amp;number=&amp;sourceID=53","")</f>
        <v/>
      </c>
      <c r="N71" s="4" t="str">
        <f>HYPERLINK("http://141.218.60.56/~jnz1568/getInfo.php?workbook=16_15.xlsx&amp;sheet=A0&amp;row=71&amp;col=14&amp;number=&amp;sourceID=53","")</f>
        <v/>
      </c>
      <c r="O71" s="4" t="str">
        <f>HYPERLINK("http://141.218.60.56/~jnz1568/getInfo.php?workbook=16_15.xlsx&amp;sheet=A0&amp;row=71&amp;col=15&amp;number=&amp;sourceID=55","")</f>
        <v/>
      </c>
      <c r="P71" s="4" t="str">
        <f>HYPERLINK("http://141.218.60.56/~jnz1568/getInfo.php?workbook=16_15.xlsx&amp;sheet=A0&amp;row=71&amp;col=16&amp;number=&amp;sourceID=55","")</f>
        <v/>
      </c>
      <c r="Q71" s="4" t="str">
        <f>HYPERLINK("http://141.218.60.56/~jnz1568/getInfo.php?workbook=16_15.xlsx&amp;sheet=A0&amp;row=71&amp;col=17&amp;number=&amp;sourceID=56","")</f>
        <v/>
      </c>
      <c r="R71" s="4" t="str">
        <f>HYPERLINK("http://141.218.60.56/~jnz1568/getInfo.php?workbook=16_15.xlsx&amp;sheet=A0&amp;row=71&amp;col=18&amp;number=&amp;sourceID=56","")</f>
        <v/>
      </c>
      <c r="S71" s="4" t="str">
        <f>HYPERLINK("http://141.218.60.56/~jnz1568/getInfo.php?workbook=16_15.xlsx&amp;sheet=A0&amp;row=71&amp;col=19&amp;number=&amp;sourceID=57","")</f>
        <v/>
      </c>
      <c r="T71" s="4" t="str">
        <f>HYPERLINK("http://141.218.60.56/~jnz1568/getInfo.php?workbook=16_15.xlsx&amp;sheet=A0&amp;row=71&amp;col=20&amp;number=&amp;sourceID=57","")</f>
        <v/>
      </c>
      <c r="U71" s="4" t="str">
        <f>HYPERLINK("http://141.218.60.56/~jnz1568/getInfo.php?workbook=16_15.xlsx&amp;sheet=A0&amp;row=71&amp;col=21&amp;number=&amp;sourceID=47","")</f>
        <v/>
      </c>
      <c r="V71" s="4" t="str">
        <f>HYPERLINK("http://141.218.60.56/~jnz1568/getInfo.php?workbook=16_15.xlsx&amp;sheet=A0&amp;row=71&amp;col=22&amp;number=&amp;sourceID=47","")</f>
        <v/>
      </c>
    </row>
    <row r="72" spans="1:22">
      <c r="A72" s="3">
        <v>16</v>
      </c>
      <c r="B72" s="3">
        <v>15</v>
      </c>
      <c r="C72" s="3">
        <v>13</v>
      </c>
      <c r="D72" s="3">
        <v>8</v>
      </c>
      <c r="E72" s="3">
        <f>((1/(INDEX(E0!J$4:J$73,C72,1)-INDEX(E0!J$4:J$73,D72,1))))*100000000</f>
        <v>0</v>
      </c>
      <c r="F72" s="4" t="str">
        <f>HYPERLINK("http://141.218.60.56/~jnz1568/getInfo.php?workbook=16_15.xlsx&amp;sheet=A0&amp;row=72&amp;col=6&amp;number=&amp;sourceID=54","")</f>
        <v/>
      </c>
      <c r="G72" s="4" t="str">
        <f>HYPERLINK("http://141.218.60.56/~jnz1568/getInfo.php?workbook=16_15.xlsx&amp;sheet=A0&amp;row=72&amp;col=7&amp;number=&amp;sourceID=54","")</f>
        <v/>
      </c>
      <c r="H72" s="4" t="str">
        <f>HYPERLINK("http://141.218.60.56/~jnz1568/getInfo.php?workbook=16_15.xlsx&amp;sheet=A0&amp;row=72&amp;col=8&amp;number=0.0029085&amp;sourceID=54","0.0029085")</f>
        <v>0.0029085</v>
      </c>
      <c r="I72" s="4" t="str">
        <f>HYPERLINK("http://141.218.60.56/~jnz1568/getInfo.php?workbook=16_15.xlsx&amp;sheet=A0&amp;row=72&amp;col=9&amp;number=&amp;sourceID=54","")</f>
        <v/>
      </c>
      <c r="J72" s="4" t="str">
        <f>HYPERLINK("http://141.218.60.56/~jnz1568/getInfo.php?workbook=16_15.xlsx&amp;sheet=A0&amp;row=72&amp;col=10&amp;number=&amp;sourceID=54","")</f>
        <v/>
      </c>
      <c r="K72" s="4" t="str">
        <f>HYPERLINK("http://141.218.60.56/~jnz1568/getInfo.php?workbook=16_15.xlsx&amp;sheet=A0&amp;row=72&amp;col=11&amp;number=0.0028368&amp;sourceID=54","0.0028368")</f>
        <v>0.0028368</v>
      </c>
      <c r="L72" s="4" t="str">
        <f>HYPERLINK("http://141.218.60.56/~jnz1568/getInfo.php?workbook=16_15.xlsx&amp;sheet=A0&amp;row=72&amp;col=12&amp;number=&amp;sourceID=53","")</f>
        <v/>
      </c>
      <c r="M72" s="4" t="str">
        <f>HYPERLINK("http://141.218.60.56/~jnz1568/getInfo.php?workbook=16_15.xlsx&amp;sheet=A0&amp;row=72&amp;col=13&amp;number=&amp;sourceID=53","")</f>
        <v/>
      </c>
      <c r="N72" s="4" t="str">
        <f>HYPERLINK("http://141.218.60.56/~jnz1568/getInfo.php?workbook=16_15.xlsx&amp;sheet=A0&amp;row=72&amp;col=14&amp;number=&amp;sourceID=53","")</f>
        <v/>
      </c>
      <c r="O72" s="4" t="str">
        <f>HYPERLINK("http://141.218.60.56/~jnz1568/getInfo.php?workbook=16_15.xlsx&amp;sheet=A0&amp;row=72&amp;col=15&amp;number=&amp;sourceID=55","")</f>
        <v/>
      </c>
      <c r="P72" s="4" t="str">
        <f>HYPERLINK("http://141.218.60.56/~jnz1568/getInfo.php?workbook=16_15.xlsx&amp;sheet=A0&amp;row=72&amp;col=16&amp;number=&amp;sourceID=55","")</f>
        <v/>
      </c>
      <c r="Q72" s="4" t="str">
        <f>HYPERLINK("http://141.218.60.56/~jnz1568/getInfo.php?workbook=16_15.xlsx&amp;sheet=A0&amp;row=72&amp;col=17&amp;number=&amp;sourceID=56","")</f>
        <v/>
      </c>
      <c r="R72" s="4" t="str">
        <f>HYPERLINK("http://141.218.60.56/~jnz1568/getInfo.php?workbook=16_15.xlsx&amp;sheet=A0&amp;row=72&amp;col=18&amp;number=&amp;sourceID=56","")</f>
        <v/>
      </c>
      <c r="S72" s="4" t="str">
        <f>HYPERLINK("http://141.218.60.56/~jnz1568/getInfo.php?workbook=16_15.xlsx&amp;sheet=A0&amp;row=72&amp;col=19&amp;number=&amp;sourceID=57","")</f>
        <v/>
      </c>
      <c r="T72" s="4" t="str">
        <f>HYPERLINK("http://141.218.60.56/~jnz1568/getInfo.php?workbook=16_15.xlsx&amp;sheet=A0&amp;row=72&amp;col=20&amp;number=&amp;sourceID=57","")</f>
        <v/>
      </c>
      <c r="U72" s="4" t="str">
        <f>HYPERLINK("http://141.218.60.56/~jnz1568/getInfo.php?workbook=16_15.xlsx&amp;sheet=A0&amp;row=72&amp;col=21&amp;number=&amp;sourceID=47","")</f>
        <v/>
      </c>
      <c r="V72" s="4" t="str">
        <f>HYPERLINK("http://141.218.60.56/~jnz1568/getInfo.php?workbook=16_15.xlsx&amp;sheet=A0&amp;row=72&amp;col=22&amp;number=&amp;sourceID=47","")</f>
        <v/>
      </c>
    </row>
    <row r="73" spans="1:22">
      <c r="A73" s="3">
        <v>16</v>
      </c>
      <c r="B73" s="3">
        <v>15</v>
      </c>
      <c r="C73" s="3">
        <v>13</v>
      </c>
      <c r="D73" s="3">
        <v>9</v>
      </c>
      <c r="E73" s="3">
        <f>((1/(INDEX(E0!J$4:J$73,C73,1)-INDEX(E0!J$4:J$73,D73,1))))*100000000</f>
        <v>0</v>
      </c>
      <c r="F73" s="4" t="str">
        <f>HYPERLINK("http://141.218.60.56/~jnz1568/getInfo.php?workbook=16_15.xlsx&amp;sheet=A0&amp;row=73&amp;col=6&amp;number=&amp;sourceID=54","")</f>
        <v/>
      </c>
      <c r="G73" s="4" t="str">
        <f>HYPERLINK("http://141.218.60.56/~jnz1568/getInfo.php?workbook=16_15.xlsx&amp;sheet=A0&amp;row=73&amp;col=7&amp;number=3.4703e-05&amp;sourceID=54","3.4703e-05")</f>
        <v>3.4703e-05</v>
      </c>
      <c r="H73" s="4" t="str">
        <f>HYPERLINK("http://141.218.60.56/~jnz1568/getInfo.php?workbook=16_15.xlsx&amp;sheet=A0&amp;row=73&amp;col=8&amp;number=1.8654e-06&amp;sourceID=54","1.8654e-06")</f>
        <v>1.8654e-06</v>
      </c>
      <c r="I73" s="4" t="str">
        <f>HYPERLINK("http://141.218.60.56/~jnz1568/getInfo.php?workbook=16_15.xlsx&amp;sheet=A0&amp;row=73&amp;col=9&amp;number=&amp;sourceID=54","")</f>
        <v/>
      </c>
      <c r="J73" s="4" t="str">
        <f>HYPERLINK("http://141.218.60.56/~jnz1568/getInfo.php?workbook=16_15.xlsx&amp;sheet=A0&amp;row=73&amp;col=10&amp;number=4.8343e-05&amp;sourceID=54","4.8343e-05")</f>
        <v>4.8343e-05</v>
      </c>
      <c r="K73" s="4" t="str">
        <f>HYPERLINK("http://141.218.60.56/~jnz1568/getInfo.php?workbook=16_15.xlsx&amp;sheet=A0&amp;row=73&amp;col=11&amp;number=2.0216e-06&amp;sourceID=54","2.0216e-06")</f>
        <v>2.0216e-06</v>
      </c>
      <c r="L73" s="4" t="str">
        <f>HYPERLINK("http://141.218.60.56/~jnz1568/getInfo.php?workbook=16_15.xlsx&amp;sheet=A0&amp;row=73&amp;col=12&amp;number=&amp;sourceID=53","")</f>
        <v/>
      </c>
      <c r="M73" s="4" t="str">
        <f>HYPERLINK("http://141.218.60.56/~jnz1568/getInfo.php?workbook=16_15.xlsx&amp;sheet=A0&amp;row=73&amp;col=13&amp;number=&amp;sourceID=53","")</f>
        <v/>
      </c>
      <c r="N73" s="4" t="str">
        <f>HYPERLINK("http://141.218.60.56/~jnz1568/getInfo.php?workbook=16_15.xlsx&amp;sheet=A0&amp;row=73&amp;col=14&amp;number=&amp;sourceID=53","")</f>
        <v/>
      </c>
      <c r="O73" s="4" t="str">
        <f>HYPERLINK("http://141.218.60.56/~jnz1568/getInfo.php?workbook=16_15.xlsx&amp;sheet=A0&amp;row=73&amp;col=15&amp;number=&amp;sourceID=55","")</f>
        <v/>
      </c>
      <c r="P73" s="4" t="str">
        <f>HYPERLINK("http://141.218.60.56/~jnz1568/getInfo.php?workbook=16_15.xlsx&amp;sheet=A0&amp;row=73&amp;col=16&amp;number=&amp;sourceID=55","")</f>
        <v/>
      </c>
      <c r="Q73" s="4" t="str">
        <f>HYPERLINK("http://141.218.60.56/~jnz1568/getInfo.php?workbook=16_15.xlsx&amp;sheet=A0&amp;row=73&amp;col=17&amp;number=&amp;sourceID=56","")</f>
        <v/>
      </c>
      <c r="R73" s="4" t="str">
        <f>HYPERLINK("http://141.218.60.56/~jnz1568/getInfo.php?workbook=16_15.xlsx&amp;sheet=A0&amp;row=73&amp;col=18&amp;number=&amp;sourceID=56","")</f>
        <v/>
      </c>
      <c r="S73" s="4" t="str">
        <f>HYPERLINK("http://141.218.60.56/~jnz1568/getInfo.php?workbook=16_15.xlsx&amp;sheet=A0&amp;row=73&amp;col=19&amp;number=&amp;sourceID=57","")</f>
        <v/>
      </c>
      <c r="T73" s="4" t="str">
        <f>HYPERLINK("http://141.218.60.56/~jnz1568/getInfo.php?workbook=16_15.xlsx&amp;sheet=A0&amp;row=73&amp;col=20&amp;number=&amp;sourceID=57","")</f>
        <v/>
      </c>
      <c r="U73" s="4" t="str">
        <f>HYPERLINK("http://141.218.60.56/~jnz1568/getInfo.php?workbook=16_15.xlsx&amp;sheet=A0&amp;row=73&amp;col=21&amp;number=&amp;sourceID=47","")</f>
        <v/>
      </c>
      <c r="V73" s="4" t="str">
        <f>HYPERLINK("http://141.218.60.56/~jnz1568/getInfo.php?workbook=16_15.xlsx&amp;sheet=A0&amp;row=73&amp;col=22&amp;number=&amp;sourceID=47","")</f>
        <v/>
      </c>
    </row>
    <row r="74" spans="1:22">
      <c r="A74" s="3">
        <v>16</v>
      </c>
      <c r="B74" s="3">
        <v>15</v>
      </c>
      <c r="C74" s="3">
        <v>13</v>
      </c>
      <c r="D74" s="3">
        <v>10</v>
      </c>
      <c r="E74" s="3">
        <f>((1/(INDEX(E0!J$4:J$73,C74,1)-INDEX(E0!J$4:J$73,D74,1))))*100000000</f>
        <v>0</v>
      </c>
      <c r="F74" s="4" t="str">
        <f>HYPERLINK("http://141.218.60.56/~jnz1568/getInfo.php?workbook=16_15.xlsx&amp;sheet=A0&amp;row=74&amp;col=6&amp;number=&amp;sourceID=54","")</f>
        <v/>
      </c>
      <c r="G74" s="4" t="str">
        <f>HYPERLINK("http://141.218.60.56/~jnz1568/getInfo.php?workbook=16_15.xlsx&amp;sheet=A0&amp;row=74&amp;col=7&amp;number=3.7687e-10&amp;sourceID=54","3.7687e-10")</f>
        <v>3.7687e-10</v>
      </c>
      <c r="H74" s="4" t="str">
        <f>HYPERLINK("http://141.218.60.56/~jnz1568/getInfo.php?workbook=16_15.xlsx&amp;sheet=A0&amp;row=74&amp;col=8&amp;number=&amp;sourceID=54","")</f>
        <v/>
      </c>
      <c r="I74" s="4" t="str">
        <f>HYPERLINK("http://141.218.60.56/~jnz1568/getInfo.php?workbook=16_15.xlsx&amp;sheet=A0&amp;row=74&amp;col=9&amp;number=&amp;sourceID=54","")</f>
        <v/>
      </c>
      <c r="J74" s="4" t="str">
        <f>HYPERLINK("http://141.218.60.56/~jnz1568/getInfo.php?workbook=16_15.xlsx&amp;sheet=A0&amp;row=74&amp;col=10&amp;number=1.349e-07&amp;sourceID=54","1.349e-07")</f>
        <v>1.349e-07</v>
      </c>
      <c r="K74" s="4" t="str">
        <f>HYPERLINK("http://141.218.60.56/~jnz1568/getInfo.php?workbook=16_15.xlsx&amp;sheet=A0&amp;row=74&amp;col=11&amp;number=&amp;sourceID=54","")</f>
        <v/>
      </c>
      <c r="L74" s="4" t="str">
        <f>HYPERLINK("http://141.218.60.56/~jnz1568/getInfo.php?workbook=16_15.xlsx&amp;sheet=A0&amp;row=74&amp;col=12&amp;number=&amp;sourceID=53","")</f>
        <v/>
      </c>
      <c r="M74" s="4" t="str">
        <f>HYPERLINK("http://141.218.60.56/~jnz1568/getInfo.php?workbook=16_15.xlsx&amp;sheet=A0&amp;row=74&amp;col=13&amp;number=&amp;sourceID=53","")</f>
        <v/>
      </c>
      <c r="N74" s="4" t="str">
        <f>HYPERLINK("http://141.218.60.56/~jnz1568/getInfo.php?workbook=16_15.xlsx&amp;sheet=A0&amp;row=74&amp;col=14&amp;number=&amp;sourceID=53","")</f>
        <v/>
      </c>
      <c r="O74" s="4" t="str">
        <f>HYPERLINK("http://141.218.60.56/~jnz1568/getInfo.php?workbook=16_15.xlsx&amp;sheet=A0&amp;row=74&amp;col=15&amp;number=&amp;sourceID=55","")</f>
        <v/>
      </c>
      <c r="P74" s="4" t="str">
        <f>HYPERLINK("http://141.218.60.56/~jnz1568/getInfo.php?workbook=16_15.xlsx&amp;sheet=A0&amp;row=74&amp;col=16&amp;number=&amp;sourceID=55","")</f>
        <v/>
      </c>
      <c r="Q74" s="4" t="str">
        <f>HYPERLINK("http://141.218.60.56/~jnz1568/getInfo.php?workbook=16_15.xlsx&amp;sheet=A0&amp;row=74&amp;col=17&amp;number=&amp;sourceID=56","")</f>
        <v/>
      </c>
      <c r="R74" s="4" t="str">
        <f>HYPERLINK("http://141.218.60.56/~jnz1568/getInfo.php?workbook=16_15.xlsx&amp;sheet=A0&amp;row=74&amp;col=18&amp;number=&amp;sourceID=56","")</f>
        <v/>
      </c>
      <c r="S74" s="4" t="str">
        <f>HYPERLINK("http://141.218.60.56/~jnz1568/getInfo.php?workbook=16_15.xlsx&amp;sheet=A0&amp;row=74&amp;col=19&amp;number=&amp;sourceID=57","")</f>
        <v/>
      </c>
      <c r="T74" s="4" t="str">
        <f>HYPERLINK("http://141.218.60.56/~jnz1568/getInfo.php?workbook=16_15.xlsx&amp;sheet=A0&amp;row=74&amp;col=20&amp;number=&amp;sourceID=57","")</f>
        <v/>
      </c>
      <c r="U74" s="4" t="str">
        <f>HYPERLINK("http://141.218.60.56/~jnz1568/getInfo.php?workbook=16_15.xlsx&amp;sheet=A0&amp;row=74&amp;col=21&amp;number=&amp;sourceID=47","")</f>
        <v/>
      </c>
      <c r="V74" s="4" t="str">
        <f>HYPERLINK("http://141.218.60.56/~jnz1568/getInfo.php?workbook=16_15.xlsx&amp;sheet=A0&amp;row=74&amp;col=22&amp;number=&amp;sourceID=47","")</f>
        <v/>
      </c>
    </row>
    <row r="75" spans="1:22">
      <c r="A75" s="3">
        <v>16</v>
      </c>
      <c r="B75" s="3">
        <v>15</v>
      </c>
      <c r="C75" s="3">
        <v>13</v>
      </c>
      <c r="D75" s="3">
        <v>11</v>
      </c>
      <c r="E75" s="3">
        <f>((1/(INDEX(E0!J$4:J$73,C75,1)-INDEX(E0!J$4:J$73,D75,1))))*100000000</f>
        <v>0</v>
      </c>
      <c r="F75" s="4" t="str">
        <f>HYPERLINK("http://141.218.60.56/~jnz1568/getInfo.php?workbook=16_15.xlsx&amp;sheet=A0&amp;row=75&amp;col=6&amp;number=&amp;sourceID=54","")</f>
        <v/>
      </c>
      <c r="G75" s="4" t="str">
        <f>HYPERLINK("http://141.218.60.56/~jnz1568/getInfo.php?workbook=16_15.xlsx&amp;sheet=A0&amp;row=75&amp;col=7&amp;number=2.7648e-06&amp;sourceID=54","2.7648e-06")</f>
        <v>2.7648e-06</v>
      </c>
      <c r="H75" s="4" t="str">
        <f>HYPERLINK("http://141.218.60.56/~jnz1568/getInfo.php?workbook=16_15.xlsx&amp;sheet=A0&amp;row=75&amp;col=8&amp;number=2.5184e-07&amp;sourceID=54","2.5184e-07")</f>
        <v>2.5184e-07</v>
      </c>
      <c r="I75" s="4" t="str">
        <f>HYPERLINK("http://141.218.60.56/~jnz1568/getInfo.php?workbook=16_15.xlsx&amp;sheet=A0&amp;row=75&amp;col=9&amp;number=&amp;sourceID=54","")</f>
        <v/>
      </c>
      <c r="J75" s="4" t="str">
        <f>HYPERLINK("http://141.218.60.56/~jnz1568/getInfo.php?workbook=16_15.xlsx&amp;sheet=A0&amp;row=75&amp;col=10&amp;number=7.317e-06&amp;sourceID=54","7.317e-06")</f>
        <v>7.317e-06</v>
      </c>
      <c r="K75" s="4" t="str">
        <f>HYPERLINK("http://141.218.60.56/~jnz1568/getInfo.php?workbook=16_15.xlsx&amp;sheet=A0&amp;row=75&amp;col=11&amp;number=2.6994e-07&amp;sourceID=54","2.6994e-07")</f>
        <v>2.6994e-07</v>
      </c>
      <c r="L75" s="4" t="str">
        <f>HYPERLINK("http://141.218.60.56/~jnz1568/getInfo.php?workbook=16_15.xlsx&amp;sheet=A0&amp;row=75&amp;col=12&amp;number=&amp;sourceID=53","")</f>
        <v/>
      </c>
      <c r="M75" s="4" t="str">
        <f>HYPERLINK("http://141.218.60.56/~jnz1568/getInfo.php?workbook=16_15.xlsx&amp;sheet=A0&amp;row=75&amp;col=13&amp;number=&amp;sourceID=53","")</f>
        <v/>
      </c>
      <c r="N75" s="4" t="str">
        <f>HYPERLINK("http://141.218.60.56/~jnz1568/getInfo.php?workbook=16_15.xlsx&amp;sheet=A0&amp;row=75&amp;col=14&amp;number=&amp;sourceID=53","")</f>
        <v/>
      </c>
      <c r="O75" s="4" t="str">
        <f>HYPERLINK("http://141.218.60.56/~jnz1568/getInfo.php?workbook=16_15.xlsx&amp;sheet=A0&amp;row=75&amp;col=15&amp;number=&amp;sourceID=55","")</f>
        <v/>
      </c>
      <c r="P75" s="4" t="str">
        <f>HYPERLINK("http://141.218.60.56/~jnz1568/getInfo.php?workbook=16_15.xlsx&amp;sheet=A0&amp;row=75&amp;col=16&amp;number=&amp;sourceID=55","")</f>
        <v/>
      </c>
      <c r="Q75" s="4" t="str">
        <f>HYPERLINK("http://141.218.60.56/~jnz1568/getInfo.php?workbook=16_15.xlsx&amp;sheet=A0&amp;row=75&amp;col=17&amp;number=&amp;sourceID=56","")</f>
        <v/>
      </c>
      <c r="R75" s="4" t="str">
        <f>HYPERLINK("http://141.218.60.56/~jnz1568/getInfo.php?workbook=16_15.xlsx&amp;sheet=A0&amp;row=75&amp;col=18&amp;number=&amp;sourceID=56","")</f>
        <v/>
      </c>
      <c r="S75" s="4" t="str">
        <f>HYPERLINK("http://141.218.60.56/~jnz1568/getInfo.php?workbook=16_15.xlsx&amp;sheet=A0&amp;row=75&amp;col=19&amp;number=&amp;sourceID=57","")</f>
        <v/>
      </c>
      <c r="T75" s="4" t="str">
        <f>HYPERLINK("http://141.218.60.56/~jnz1568/getInfo.php?workbook=16_15.xlsx&amp;sheet=A0&amp;row=75&amp;col=20&amp;number=&amp;sourceID=57","")</f>
        <v/>
      </c>
      <c r="U75" s="4" t="str">
        <f>HYPERLINK("http://141.218.60.56/~jnz1568/getInfo.php?workbook=16_15.xlsx&amp;sheet=A0&amp;row=75&amp;col=21&amp;number=&amp;sourceID=47","")</f>
        <v/>
      </c>
      <c r="V75" s="4" t="str">
        <f>HYPERLINK("http://141.218.60.56/~jnz1568/getInfo.php?workbook=16_15.xlsx&amp;sheet=A0&amp;row=75&amp;col=22&amp;number=&amp;sourceID=47","")</f>
        <v/>
      </c>
    </row>
    <row r="76" spans="1:22">
      <c r="A76" s="3">
        <v>16</v>
      </c>
      <c r="B76" s="3">
        <v>15</v>
      </c>
      <c r="C76" s="3">
        <v>13</v>
      </c>
      <c r="D76" s="3">
        <v>12</v>
      </c>
      <c r="E76" s="3">
        <f>((1/(INDEX(E0!J$4:J$73,C76,1)-INDEX(E0!J$4:J$73,D76,1))))*100000000</f>
        <v>0</v>
      </c>
      <c r="F76" s="4" t="str">
        <f>HYPERLINK("http://141.218.60.56/~jnz1568/getInfo.php?workbook=16_15.xlsx&amp;sheet=A0&amp;row=76&amp;col=6&amp;number=&amp;sourceID=54","")</f>
        <v/>
      </c>
      <c r="G76" s="4" t="str">
        <f>HYPERLINK("http://141.218.60.56/~jnz1568/getInfo.php?workbook=16_15.xlsx&amp;sheet=A0&amp;row=76&amp;col=7&amp;number=&amp;sourceID=54","")</f>
        <v/>
      </c>
      <c r="H76" s="4" t="str">
        <f>HYPERLINK("http://141.218.60.56/~jnz1568/getInfo.php?workbook=16_15.xlsx&amp;sheet=A0&amp;row=76&amp;col=8&amp;number=3.2396e-06&amp;sourceID=54","3.2396e-06")</f>
        <v>3.2396e-06</v>
      </c>
      <c r="I76" s="4" t="str">
        <f>HYPERLINK("http://141.218.60.56/~jnz1568/getInfo.php?workbook=16_15.xlsx&amp;sheet=A0&amp;row=76&amp;col=9&amp;number=&amp;sourceID=54","")</f>
        <v/>
      </c>
      <c r="J76" s="4" t="str">
        <f>HYPERLINK("http://141.218.60.56/~jnz1568/getInfo.php?workbook=16_15.xlsx&amp;sheet=A0&amp;row=76&amp;col=10&amp;number=&amp;sourceID=54","")</f>
        <v/>
      </c>
      <c r="K76" s="4" t="str">
        <f>HYPERLINK("http://141.218.60.56/~jnz1568/getInfo.php?workbook=16_15.xlsx&amp;sheet=A0&amp;row=76&amp;col=11&amp;number=3.8313e-06&amp;sourceID=54","3.8313e-06")</f>
        <v>3.8313e-06</v>
      </c>
      <c r="L76" s="4" t="str">
        <f>HYPERLINK("http://141.218.60.56/~jnz1568/getInfo.php?workbook=16_15.xlsx&amp;sheet=A0&amp;row=76&amp;col=12&amp;number=&amp;sourceID=53","")</f>
        <v/>
      </c>
      <c r="M76" s="4" t="str">
        <f>HYPERLINK("http://141.218.60.56/~jnz1568/getInfo.php?workbook=16_15.xlsx&amp;sheet=A0&amp;row=76&amp;col=13&amp;number=&amp;sourceID=53","")</f>
        <v/>
      </c>
      <c r="N76" s="4" t="str">
        <f>HYPERLINK("http://141.218.60.56/~jnz1568/getInfo.php?workbook=16_15.xlsx&amp;sheet=A0&amp;row=76&amp;col=14&amp;number=&amp;sourceID=53","")</f>
        <v/>
      </c>
      <c r="O76" s="4" t="str">
        <f>HYPERLINK("http://141.218.60.56/~jnz1568/getInfo.php?workbook=16_15.xlsx&amp;sheet=A0&amp;row=76&amp;col=15&amp;number=&amp;sourceID=55","")</f>
        <v/>
      </c>
      <c r="P76" s="4" t="str">
        <f>HYPERLINK("http://141.218.60.56/~jnz1568/getInfo.php?workbook=16_15.xlsx&amp;sheet=A0&amp;row=76&amp;col=16&amp;number=&amp;sourceID=55","")</f>
        <v/>
      </c>
      <c r="Q76" s="4" t="str">
        <f>HYPERLINK("http://141.218.60.56/~jnz1568/getInfo.php?workbook=16_15.xlsx&amp;sheet=A0&amp;row=76&amp;col=17&amp;number=&amp;sourceID=56","")</f>
        <v/>
      </c>
      <c r="R76" s="4" t="str">
        <f>HYPERLINK("http://141.218.60.56/~jnz1568/getInfo.php?workbook=16_15.xlsx&amp;sheet=A0&amp;row=76&amp;col=18&amp;number=&amp;sourceID=56","")</f>
        <v/>
      </c>
      <c r="S76" s="4" t="str">
        <f>HYPERLINK("http://141.218.60.56/~jnz1568/getInfo.php?workbook=16_15.xlsx&amp;sheet=A0&amp;row=76&amp;col=19&amp;number=&amp;sourceID=57","")</f>
        <v/>
      </c>
      <c r="T76" s="4" t="str">
        <f>HYPERLINK("http://141.218.60.56/~jnz1568/getInfo.php?workbook=16_15.xlsx&amp;sheet=A0&amp;row=76&amp;col=20&amp;number=&amp;sourceID=57","")</f>
        <v/>
      </c>
      <c r="U76" s="4" t="str">
        <f>HYPERLINK("http://141.218.60.56/~jnz1568/getInfo.php?workbook=16_15.xlsx&amp;sheet=A0&amp;row=76&amp;col=21&amp;number=&amp;sourceID=47","")</f>
        <v/>
      </c>
      <c r="V76" s="4" t="str">
        <f>HYPERLINK("http://141.218.60.56/~jnz1568/getInfo.php?workbook=16_15.xlsx&amp;sheet=A0&amp;row=76&amp;col=22&amp;number=&amp;sourceID=47","")</f>
        <v/>
      </c>
    </row>
    <row r="77" spans="1:22">
      <c r="A77" s="3">
        <v>16</v>
      </c>
      <c r="B77" s="3">
        <v>15</v>
      </c>
      <c r="C77" s="3">
        <v>14</v>
      </c>
      <c r="D77" s="3">
        <v>1</v>
      </c>
      <c r="E77" s="3">
        <f>((1/(INDEX(E0!J$4:J$73,C77,1)-INDEX(E0!J$4:J$73,D77,1))))*100000000</f>
        <v>0</v>
      </c>
      <c r="F77" s="4" t="str">
        <f>HYPERLINK("http://141.218.60.56/~jnz1568/getInfo.php?workbook=16_15.xlsx&amp;sheet=A0&amp;row=77&amp;col=6&amp;number=1042600000&amp;sourceID=54","1042600000")</f>
        <v>1042600000</v>
      </c>
      <c r="G77" s="4" t="str">
        <f>HYPERLINK("http://141.218.60.56/~jnz1568/getInfo.php?workbook=16_15.xlsx&amp;sheet=A0&amp;row=77&amp;col=7&amp;number=&amp;sourceID=54","")</f>
        <v/>
      </c>
      <c r="H77" s="4" t="str">
        <f>HYPERLINK("http://141.218.60.56/~jnz1568/getInfo.php?workbook=16_15.xlsx&amp;sheet=A0&amp;row=77&amp;col=8&amp;number=&amp;sourceID=54","")</f>
        <v/>
      </c>
      <c r="I77" s="4" t="str">
        <f>HYPERLINK("http://141.218.60.56/~jnz1568/getInfo.php?workbook=16_15.xlsx&amp;sheet=A0&amp;row=77&amp;col=9&amp;number=1062100000&amp;sourceID=54","1062100000")</f>
        <v>1062100000</v>
      </c>
      <c r="J77" s="4" t="str">
        <f>HYPERLINK("http://141.218.60.56/~jnz1568/getInfo.php?workbook=16_15.xlsx&amp;sheet=A0&amp;row=77&amp;col=10&amp;number=&amp;sourceID=54","")</f>
        <v/>
      </c>
      <c r="K77" s="4" t="str">
        <f>HYPERLINK("http://141.218.60.56/~jnz1568/getInfo.php?workbook=16_15.xlsx&amp;sheet=A0&amp;row=77&amp;col=11&amp;number=&amp;sourceID=54","")</f>
        <v/>
      </c>
      <c r="L77" s="4" t="str">
        <f>HYPERLINK("http://141.218.60.56/~jnz1568/getInfo.php?workbook=16_15.xlsx&amp;sheet=A0&amp;row=77&amp;col=12&amp;number=1033496914.64&amp;sourceID=53","1033496914.64")</f>
        <v>1033496914.64</v>
      </c>
      <c r="M77" s="4" t="str">
        <f>HYPERLINK("http://141.218.60.56/~jnz1568/getInfo.php?workbook=16_15.xlsx&amp;sheet=A0&amp;row=77&amp;col=13&amp;number=&amp;sourceID=53","")</f>
        <v/>
      </c>
      <c r="N77" s="4" t="str">
        <f>HYPERLINK("http://141.218.60.56/~jnz1568/getInfo.php?workbook=16_15.xlsx&amp;sheet=A0&amp;row=77&amp;col=14&amp;number=&amp;sourceID=53","")</f>
        <v/>
      </c>
      <c r="O77" s="4" t="str">
        <f>HYPERLINK("http://141.218.60.56/~jnz1568/getInfo.php?workbook=16_15.xlsx&amp;sheet=A0&amp;row=77&amp;col=15&amp;number=&amp;sourceID=55","")</f>
        <v/>
      </c>
      <c r="P77" s="4" t="str">
        <f>HYPERLINK("http://141.218.60.56/~jnz1568/getInfo.php?workbook=16_15.xlsx&amp;sheet=A0&amp;row=77&amp;col=16&amp;number=&amp;sourceID=55","")</f>
        <v/>
      </c>
      <c r="Q77" s="4" t="str">
        <f>HYPERLINK("http://141.218.60.56/~jnz1568/getInfo.php?workbook=16_15.xlsx&amp;sheet=A0&amp;row=77&amp;col=17&amp;number=&amp;sourceID=56","")</f>
        <v/>
      </c>
      <c r="R77" s="4" t="str">
        <f>HYPERLINK("http://141.218.60.56/~jnz1568/getInfo.php?workbook=16_15.xlsx&amp;sheet=A0&amp;row=77&amp;col=18&amp;number=&amp;sourceID=56","")</f>
        <v/>
      </c>
      <c r="S77" s="4" t="str">
        <f>HYPERLINK("http://141.218.60.56/~jnz1568/getInfo.php?workbook=16_15.xlsx&amp;sheet=A0&amp;row=77&amp;col=19&amp;number=&amp;sourceID=57","")</f>
        <v/>
      </c>
      <c r="T77" s="4" t="str">
        <f>HYPERLINK("http://141.218.60.56/~jnz1568/getInfo.php?workbook=16_15.xlsx&amp;sheet=A0&amp;row=77&amp;col=20&amp;number=&amp;sourceID=57","")</f>
        <v/>
      </c>
      <c r="U77" s="4" t="str">
        <f>HYPERLINK("http://141.218.60.56/~jnz1568/getInfo.php?workbook=16_15.xlsx&amp;sheet=A0&amp;row=77&amp;col=21&amp;number=&amp;sourceID=47","")</f>
        <v/>
      </c>
      <c r="V77" s="4" t="str">
        <f>HYPERLINK("http://141.218.60.56/~jnz1568/getInfo.php?workbook=16_15.xlsx&amp;sheet=A0&amp;row=77&amp;col=22&amp;number=&amp;sourceID=47","")</f>
        <v/>
      </c>
    </row>
    <row r="78" spans="1:22">
      <c r="A78" s="3">
        <v>16</v>
      </c>
      <c r="B78" s="3">
        <v>15</v>
      </c>
      <c r="C78" s="3">
        <v>14</v>
      </c>
      <c r="D78" s="3">
        <v>2</v>
      </c>
      <c r="E78" s="3">
        <f>((1/(INDEX(E0!J$4:J$73,C78,1)-INDEX(E0!J$4:J$73,D78,1))))*100000000</f>
        <v>0</v>
      </c>
      <c r="F78" s="4" t="str">
        <f>HYPERLINK("http://141.218.60.56/~jnz1568/getInfo.php?workbook=16_15.xlsx&amp;sheet=A0&amp;row=78&amp;col=6&amp;number=595830&amp;sourceID=54","595830")</f>
        <v>595830</v>
      </c>
      <c r="G78" s="4" t="str">
        <f>HYPERLINK("http://141.218.60.56/~jnz1568/getInfo.php?workbook=16_15.xlsx&amp;sheet=A0&amp;row=78&amp;col=7&amp;number=&amp;sourceID=54","")</f>
        <v/>
      </c>
      <c r="H78" s="4" t="str">
        <f>HYPERLINK("http://141.218.60.56/~jnz1568/getInfo.php?workbook=16_15.xlsx&amp;sheet=A0&amp;row=78&amp;col=8&amp;number=&amp;sourceID=54","")</f>
        <v/>
      </c>
      <c r="I78" s="4" t="str">
        <f>HYPERLINK("http://141.218.60.56/~jnz1568/getInfo.php?workbook=16_15.xlsx&amp;sheet=A0&amp;row=78&amp;col=9&amp;number=766700&amp;sourceID=54","766700")</f>
        <v>766700</v>
      </c>
      <c r="J78" s="4" t="str">
        <f>HYPERLINK("http://141.218.60.56/~jnz1568/getInfo.php?workbook=16_15.xlsx&amp;sheet=A0&amp;row=78&amp;col=10&amp;number=&amp;sourceID=54","")</f>
        <v/>
      </c>
      <c r="K78" s="4" t="str">
        <f>HYPERLINK("http://141.218.60.56/~jnz1568/getInfo.php?workbook=16_15.xlsx&amp;sheet=A0&amp;row=78&amp;col=11&amp;number=&amp;sourceID=54","")</f>
        <v/>
      </c>
      <c r="L78" s="4" t="str">
        <f>HYPERLINK("http://141.218.60.56/~jnz1568/getInfo.php?workbook=16_15.xlsx&amp;sheet=A0&amp;row=78&amp;col=12&amp;number=811570.467158&amp;sourceID=53","811570.467158")</f>
        <v>811570.467158</v>
      </c>
      <c r="M78" s="4" t="str">
        <f>HYPERLINK("http://141.218.60.56/~jnz1568/getInfo.php?workbook=16_15.xlsx&amp;sheet=A0&amp;row=78&amp;col=13&amp;number=&amp;sourceID=53","")</f>
        <v/>
      </c>
      <c r="N78" s="4" t="str">
        <f>HYPERLINK("http://141.218.60.56/~jnz1568/getInfo.php?workbook=16_15.xlsx&amp;sheet=A0&amp;row=78&amp;col=14&amp;number=&amp;sourceID=53","")</f>
        <v/>
      </c>
      <c r="O78" s="4" t="str">
        <f>HYPERLINK("http://141.218.60.56/~jnz1568/getInfo.php?workbook=16_15.xlsx&amp;sheet=A0&amp;row=78&amp;col=15&amp;number=&amp;sourceID=55","")</f>
        <v/>
      </c>
      <c r="P78" s="4" t="str">
        <f>HYPERLINK("http://141.218.60.56/~jnz1568/getInfo.php?workbook=16_15.xlsx&amp;sheet=A0&amp;row=78&amp;col=16&amp;number=&amp;sourceID=55","")</f>
        <v/>
      </c>
      <c r="Q78" s="4" t="str">
        <f>HYPERLINK("http://141.218.60.56/~jnz1568/getInfo.php?workbook=16_15.xlsx&amp;sheet=A0&amp;row=78&amp;col=17&amp;number=&amp;sourceID=56","")</f>
        <v/>
      </c>
      <c r="R78" s="4" t="str">
        <f>HYPERLINK("http://141.218.60.56/~jnz1568/getInfo.php?workbook=16_15.xlsx&amp;sheet=A0&amp;row=78&amp;col=18&amp;number=&amp;sourceID=56","")</f>
        <v/>
      </c>
      <c r="S78" s="4" t="str">
        <f>HYPERLINK("http://141.218.60.56/~jnz1568/getInfo.php?workbook=16_15.xlsx&amp;sheet=A0&amp;row=78&amp;col=19&amp;number=&amp;sourceID=57","")</f>
        <v/>
      </c>
      <c r="T78" s="4" t="str">
        <f>HYPERLINK("http://141.218.60.56/~jnz1568/getInfo.php?workbook=16_15.xlsx&amp;sheet=A0&amp;row=78&amp;col=20&amp;number=&amp;sourceID=57","")</f>
        <v/>
      </c>
      <c r="U78" s="4" t="str">
        <f>HYPERLINK("http://141.218.60.56/~jnz1568/getInfo.php?workbook=16_15.xlsx&amp;sheet=A0&amp;row=78&amp;col=21&amp;number=&amp;sourceID=47","")</f>
        <v/>
      </c>
      <c r="V78" s="4" t="str">
        <f>HYPERLINK("http://141.218.60.56/~jnz1568/getInfo.php?workbook=16_15.xlsx&amp;sheet=A0&amp;row=78&amp;col=22&amp;number=&amp;sourceID=47","")</f>
        <v/>
      </c>
    </row>
    <row r="79" spans="1:22">
      <c r="A79" s="3">
        <v>16</v>
      </c>
      <c r="B79" s="3">
        <v>15</v>
      </c>
      <c r="C79" s="3">
        <v>14</v>
      </c>
      <c r="D79" s="3">
        <v>3</v>
      </c>
      <c r="E79" s="3">
        <f>((1/(INDEX(E0!J$4:J$73,C79,1)-INDEX(E0!J$4:J$73,D79,1))))*100000000</f>
        <v>0</v>
      </c>
      <c r="F79" s="4" t="str">
        <f>HYPERLINK("http://141.218.60.56/~jnz1568/getInfo.php?workbook=16_15.xlsx&amp;sheet=A0&amp;row=79&amp;col=6&amp;number=2318500&amp;sourceID=54","2318500")</f>
        <v>2318500</v>
      </c>
      <c r="G79" s="4" t="str">
        <f>HYPERLINK("http://141.218.60.56/~jnz1568/getInfo.php?workbook=16_15.xlsx&amp;sheet=A0&amp;row=79&amp;col=7&amp;number=&amp;sourceID=54","")</f>
        <v/>
      </c>
      <c r="H79" s="4" t="str">
        <f>HYPERLINK("http://141.218.60.56/~jnz1568/getInfo.php?workbook=16_15.xlsx&amp;sheet=A0&amp;row=79&amp;col=8&amp;number=&amp;sourceID=54","")</f>
        <v/>
      </c>
      <c r="I79" s="4" t="str">
        <f>HYPERLINK("http://141.218.60.56/~jnz1568/getInfo.php?workbook=16_15.xlsx&amp;sheet=A0&amp;row=79&amp;col=9&amp;number=3318200&amp;sourceID=54","3318200")</f>
        <v>3318200</v>
      </c>
      <c r="J79" s="4" t="str">
        <f>HYPERLINK("http://141.218.60.56/~jnz1568/getInfo.php?workbook=16_15.xlsx&amp;sheet=A0&amp;row=79&amp;col=10&amp;number=&amp;sourceID=54","")</f>
        <v/>
      </c>
      <c r="K79" s="4" t="str">
        <f>HYPERLINK("http://141.218.60.56/~jnz1568/getInfo.php?workbook=16_15.xlsx&amp;sheet=A0&amp;row=79&amp;col=11&amp;number=&amp;sourceID=54","")</f>
        <v/>
      </c>
      <c r="L79" s="4" t="str">
        <f>HYPERLINK("http://141.218.60.56/~jnz1568/getInfo.php?workbook=16_15.xlsx&amp;sheet=A0&amp;row=79&amp;col=12&amp;number=2883169.1118&amp;sourceID=53","2883169.1118")</f>
        <v>2883169.1118</v>
      </c>
      <c r="M79" s="4" t="str">
        <f>HYPERLINK("http://141.218.60.56/~jnz1568/getInfo.php?workbook=16_15.xlsx&amp;sheet=A0&amp;row=79&amp;col=13&amp;number=&amp;sourceID=53","")</f>
        <v/>
      </c>
      <c r="N79" s="4" t="str">
        <f>HYPERLINK("http://141.218.60.56/~jnz1568/getInfo.php?workbook=16_15.xlsx&amp;sheet=A0&amp;row=79&amp;col=14&amp;number=&amp;sourceID=53","")</f>
        <v/>
      </c>
      <c r="O79" s="4" t="str">
        <f>HYPERLINK("http://141.218.60.56/~jnz1568/getInfo.php?workbook=16_15.xlsx&amp;sheet=A0&amp;row=79&amp;col=15&amp;number=&amp;sourceID=55","")</f>
        <v/>
      </c>
      <c r="P79" s="4" t="str">
        <f>HYPERLINK("http://141.218.60.56/~jnz1568/getInfo.php?workbook=16_15.xlsx&amp;sheet=A0&amp;row=79&amp;col=16&amp;number=&amp;sourceID=55","")</f>
        <v/>
      </c>
      <c r="Q79" s="4" t="str">
        <f>HYPERLINK("http://141.218.60.56/~jnz1568/getInfo.php?workbook=16_15.xlsx&amp;sheet=A0&amp;row=79&amp;col=17&amp;number=&amp;sourceID=56","")</f>
        <v/>
      </c>
      <c r="R79" s="4" t="str">
        <f>HYPERLINK("http://141.218.60.56/~jnz1568/getInfo.php?workbook=16_15.xlsx&amp;sheet=A0&amp;row=79&amp;col=18&amp;number=&amp;sourceID=56","")</f>
        <v/>
      </c>
      <c r="S79" s="4" t="str">
        <f>HYPERLINK("http://141.218.60.56/~jnz1568/getInfo.php?workbook=16_15.xlsx&amp;sheet=A0&amp;row=79&amp;col=19&amp;number=&amp;sourceID=57","")</f>
        <v/>
      </c>
      <c r="T79" s="4" t="str">
        <f>HYPERLINK("http://141.218.60.56/~jnz1568/getInfo.php?workbook=16_15.xlsx&amp;sheet=A0&amp;row=79&amp;col=20&amp;number=&amp;sourceID=57","")</f>
        <v/>
      </c>
      <c r="U79" s="4" t="str">
        <f>HYPERLINK("http://141.218.60.56/~jnz1568/getInfo.php?workbook=16_15.xlsx&amp;sheet=A0&amp;row=79&amp;col=21&amp;number=&amp;sourceID=47","")</f>
        <v/>
      </c>
      <c r="V79" s="4" t="str">
        <f>HYPERLINK("http://141.218.60.56/~jnz1568/getInfo.php?workbook=16_15.xlsx&amp;sheet=A0&amp;row=79&amp;col=22&amp;number=&amp;sourceID=47","")</f>
        <v/>
      </c>
    </row>
    <row r="80" spans="1:22">
      <c r="A80" s="3">
        <v>16</v>
      </c>
      <c r="B80" s="3">
        <v>15</v>
      </c>
      <c r="C80" s="3">
        <v>14</v>
      </c>
      <c r="D80" s="3">
        <v>4</v>
      </c>
      <c r="E80" s="3">
        <f>((1/(INDEX(E0!J$4:J$73,C80,1)-INDEX(E0!J$4:J$73,D80,1))))*100000000</f>
        <v>0</v>
      </c>
      <c r="F80" s="4" t="str">
        <f>HYPERLINK("http://141.218.60.56/~jnz1568/getInfo.php?workbook=16_15.xlsx&amp;sheet=A0&amp;row=80&amp;col=6&amp;number=80676&amp;sourceID=54","80676")</f>
        <v>80676</v>
      </c>
      <c r="G80" s="4" t="str">
        <f>HYPERLINK("http://141.218.60.56/~jnz1568/getInfo.php?workbook=16_15.xlsx&amp;sheet=A0&amp;row=80&amp;col=7&amp;number=&amp;sourceID=54","")</f>
        <v/>
      </c>
      <c r="H80" s="4" t="str">
        <f>HYPERLINK("http://141.218.60.56/~jnz1568/getInfo.php?workbook=16_15.xlsx&amp;sheet=A0&amp;row=80&amp;col=8&amp;number=&amp;sourceID=54","")</f>
        <v/>
      </c>
      <c r="I80" s="4" t="str">
        <f>HYPERLINK("http://141.218.60.56/~jnz1568/getInfo.php?workbook=16_15.xlsx&amp;sheet=A0&amp;row=80&amp;col=9&amp;number=124410&amp;sourceID=54","124410")</f>
        <v>124410</v>
      </c>
      <c r="J80" s="4" t="str">
        <f>HYPERLINK("http://141.218.60.56/~jnz1568/getInfo.php?workbook=16_15.xlsx&amp;sheet=A0&amp;row=80&amp;col=10&amp;number=&amp;sourceID=54","")</f>
        <v/>
      </c>
      <c r="K80" s="4" t="str">
        <f>HYPERLINK("http://141.218.60.56/~jnz1568/getInfo.php?workbook=16_15.xlsx&amp;sheet=A0&amp;row=80&amp;col=11&amp;number=&amp;sourceID=54","")</f>
        <v/>
      </c>
      <c r="L80" s="4" t="str">
        <f>HYPERLINK("http://141.218.60.56/~jnz1568/getInfo.php?workbook=16_15.xlsx&amp;sheet=A0&amp;row=80&amp;col=12&amp;number=92763.9022784&amp;sourceID=53","92763.9022784")</f>
        <v>92763.9022784</v>
      </c>
      <c r="M80" s="4" t="str">
        <f>HYPERLINK("http://141.218.60.56/~jnz1568/getInfo.php?workbook=16_15.xlsx&amp;sheet=A0&amp;row=80&amp;col=13&amp;number=&amp;sourceID=53","")</f>
        <v/>
      </c>
      <c r="N80" s="4" t="str">
        <f>HYPERLINK("http://141.218.60.56/~jnz1568/getInfo.php?workbook=16_15.xlsx&amp;sheet=A0&amp;row=80&amp;col=14&amp;number=&amp;sourceID=53","")</f>
        <v/>
      </c>
      <c r="O80" s="4" t="str">
        <f>HYPERLINK("http://141.218.60.56/~jnz1568/getInfo.php?workbook=16_15.xlsx&amp;sheet=A0&amp;row=80&amp;col=15&amp;number=&amp;sourceID=55","")</f>
        <v/>
      </c>
      <c r="P80" s="4" t="str">
        <f>HYPERLINK("http://141.218.60.56/~jnz1568/getInfo.php?workbook=16_15.xlsx&amp;sheet=A0&amp;row=80&amp;col=16&amp;number=&amp;sourceID=55","")</f>
        <v/>
      </c>
      <c r="Q80" s="4" t="str">
        <f>HYPERLINK("http://141.218.60.56/~jnz1568/getInfo.php?workbook=16_15.xlsx&amp;sheet=A0&amp;row=80&amp;col=17&amp;number=&amp;sourceID=56","")</f>
        <v/>
      </c>
      <c r="R80" s="4" t="str">
        <f>HYPERLINK("http://141.218.60.56/~jnz1568/getInfo.php?workbook=16_15.xlsx&amp;sheet=A0&amp;row=80&amp;col=18&amp;number=&amp;sourceID=56","")</f>
        <v/>
      </c>
      <c r="S80" s="4" t="str">
        <f>HYPERLINK("http://141.218.60.56/~jnz1568/getInfo.php?workbook=16_15.xlsx&amp;sheet=A0&amp;row=80&amp;col=19&amp;number=&amp;sourceID=57","")</f>
        <v/>
      </c>
      <c r="T80" s="4" t="str">
        <f>HYPERLINK("http://141.218.60.56/~jnz1568/getInfo.php?workbook=16_15.xlsx&amp;sheet=A0&amp;row=80&amp;col=20&amp;number=&amp;sourceID=57","")</f>
        <v/>
      </c>
      <c r="U80" s="4" t="str">
        <f>HYPERLINK("http://141.218.60.56/~jnz1568/getInfo.php?workbook=16_15.xlsx&amp;sheet=A0&amp;row=80&amp;col=21&amp;number=&amp;sourceID=47","")</f>
        <v/>
      </c>
      <c r="V80" s="4" t="str">
        <f>HYPERLINK("http://141.218.60.56/~jnz1568/getInfo.php?workbook=16_15.xlsx&amp;sheet=A0&amp;row=80&amp;col=22&amp;number=&amp;sourceID=47","")</f>
        <v/>
      </c>
    </row>
    <row r="81" spans="1:22">
      <c r="A81" s="3">
        <v>16</v>
      </c>
      <c r="B81" s="3">
        <v>15</v>
      </c>
      <c r="C81" s="3">
        <v>14</v>
      </c>
      <c r="D81" s="3">
        <v>5</v>
      </c>
      <c r="E81" s="3">
        <f>((1/(INDEX(E0!J$4:J$73,C81,1)-INDEX(E0!J$4:J$73,D81,1))))*100000000</f>
        <v>0</v>
      </c>
      <c r="F81" s="4" t="str">
        <f>HYPERLINK("http://141.218.60.56/~jnz1568/getInfo.php?workbook=16_15.xlsx&amp;sheet=A0&amp;row=81&amp;col=6&amp;number=392390&amp;sourceID=54","392390")</f>
        <v>392390</v>
      </c>
      <c r="G81" s="4" t="str">
        <f>HYPERLINK("http://141.218.60.56/~jnz1568/getInfo.php?workbook=16_15.xlsx&amp;sheet=A0&amp;row=81&amp;col=7&amp;number=&amp;sourceID=54","")</f>
        <v/>
      </c>
      <c r="H81" s="4" t="str">
        <f>HYPERLINK("http://141.218.60.56/~jnz1568/getInfo.php?workbook=16_15.xlsx&amp;sheet=A0&amp;row=81&amp;col=8&amp;number=&amp;sourceID=54","")</f>
        <v/>
      </c>
      <c r="I81" s="4" t="str">
        <f>HYPERLINK("http://141.218.60.56/~jnz1568/getInfo.php?workbook=16_15.xlsx&amp;sheet=A0&amp;row=81&amp;col=9&amp;number=617240&amp;sourceID=54","617240")</f>
        <v>617240</v>
      </c>
      <c r="J81" s="4" t="str">
        <f>HYPERLINK("http://141.218.60.56/~jnz1568/getInfo.php?workbook=16_15.xlsx&amp;sheet=A0&amp;row=81&amp;col=10&amp;number=&amp;sourceID=54","")</f>
        <v/>
      </c>
      <c r="K81" s="4" t="str">
        <f>HYPERLINK("http://141.218.60.56/~jnz1568/getInfo.php?workbook=16_15.xlsx&amp;sheet=A0&amp;row=81&amp;col=11&amp;number=&amp;sourceID=54","")</f>
        <v/>
      </c>
      <c r="L81" s="4" t="str">
        <f>HYPERLINK("http://141.218.60.56/~jnz1568/getInfo.php?workbook=16_15.xlsx&amp;sheet=A0&amp;row=81&amp;col=12&amp;number=442652.083632&amp;sourceID=53","442652.083632")</f>
        <v>442652.083632</v>
      </c>
      <c r="M81" s="4" t="str">
        <f>HYPERLINK("http://141.218.60.56/~jnz1568/getInfo.php?workbook=16_15.xlsx&amp;sheet=A0&amp;row=81&amp;col=13&amp;number=&amp;sourceID=53","")</f>
        <v/>
      </c>
      <c r="N81" s="4" t="str">
        <f>HYPERLINK("http://141.218.60.56/~jnz1568/getInfo.php?workbook=16_15.xlsx&amp;sheet=A0&amp;row=81&amp;col=14&amp;number=&amp;sourceID=53","")</f>
        <v/>
      </c>
      <c r="O81" s="4" t="str">
        <f>HYPERLINK("http://141.218.60.56/~jnz1568/getInfo.php?workbook=16_15.xlsx&amp;sheet=A0&amp;row=81&amp;col=15&amp;number=&amp;sourceID=55","")</f>
        <v/>
      </c>
      <c r="P81" s="4" t="str">
        <f>HYPERLINK("http://141.218.60.56/~jnz1568/getInfo.php?workbook=16_15.xlsx&amp;sheet=A0&amp;row=81&amp;col=16&amp;number=&amp;sourceID=55","")</f>
        <v/>
      </c>
      <c r="Q81" s="4" t="str">
        <f>HYPERLINK("http://141.218.60.56/~jnz1568/getInfo.php?workbook=16_15.xlsx&amp;sheet=A0&amp;row=81&amp;col=17&amp;number=&amp;sourceID=56","")</f>
        <v/>
      </c>
      <c r="R81" s="4" t="str">
        <f>HYPERLINK("http://141.218.60.56/~jnz1568/getInfo.php?workbook=16_15.xlsx&amp;sheet=A0&amp;row=81&amp;col=18&amp;number=&amp;sourceID=56","")</f>
        <v/>
      </c>
      <c r="S81" s="4" t="str">
        <f>HYPERLINK("http://141.218.60.56/~jnz1568/getInfo.php?workbook=16_15.xlsx&amp;sheet=A0&amp;row=81&amp;col=19&amp;number=&amp;sourceID=57","")</f>
        <v/>
      </c>
      <c r="T81" s="4" t="str">
        <f>HYPERLINK("http://141.218.60.56/~jnz1568/getInfo.php?workbook=16_15.xlsx&amp;sheet=A0&amp;row=81&amp;col=20&amp;number=&amp;sourceID=57","")</f>
        <v/>
      </c>
      <c r="U81" s="4" t="str">
        <f>HYPERLINK("http://141.218.60.56/~jnz1568/getInfo.php?workbook=16_15.xlsx&amp;sheet=A0&amp;row=81&amp;col=21&amp;number=&amp;sourceID=47","")</f>
        <v/>
      </c>
      <c r="V81" s="4" t="str">
        <f>HYPERLINK("http://141.218.60.56/~jnz1568/getInfo.php?workbook=16_15.xlsx&amp;sheet=A0&amp;row=81&amp;col=22&amp;number=&amp;sourceID=47","")</f>
        <v/>
      </c>
    </row>
    <row r="82" spans="1:22">
      <c r="A82" s="3">
        <v>16</v>
      </c>
      <c r="B82" s="3">
        <v>15</v>
      </c>
      <c r="C82" s="3">
        <v>14</v>
      </c>
      <c r="D82" s="3">
        <v>6</v>
      </c>
      <c r="E82" s="3">
        <f>((1/(INDEX(E0!J$4:J$73,C82,1)-INDEX(E0!J$4:J$73,D82,1))))*100000000</f>
        <v>0</v>
      </c>
      <c r="F82" s="4" t="str">
        <f>HYPERLINK("http://141.218.60.56/~jnz1568/getInfo.php?workbook=16_15.xlsx&amp;sheet=A0&amp;row=82&amp;col=6&amp;number=&amp;sourceID=54","")</f>
        <v/>
      </c>
      <c r="G82" s="4" t="str">
        <f>HYPERLINK("http://141.218.60.56/~jnz1568/getInfo.php?workbook=16_15.xlsx&amp;sheet=A0&amp;row=82&amp;col=7&amp;number=4.8414&amp;sourceID=54","4.8414")</f>
        <v>4.8414</v>
      </c>
      <c r="H82" s="4" t="str">
        <f>HYPERLINK("http://141.218.60.56/~jnz1568/getInfo.php?workbook=16_15.xlsx&amp;sheet=A0&amp;row=82&amp;col=8&amp;number=0.00036717&amp;sourceID=54","0.00036717")</f>
        <v>0.00036717</v>
      </c>
      <c r="I82" s="4" t="str">
        <f>HYPERLINK("http://141.218.60.56/~jnz1568/getInfo.php?workbook=16_15.xlsx&amp;sheet=A0&amp;row=82&amp;col=9&amp;number=&amp;sourceID=54","")</f>
        <v/>
      </c>
      <c r="J82" s="4" t="str">
        <f>HYPERLINK("http://141.218.60.56/~jnz1568/getInfo.php?workbook=16_15.xlsx&amp;sheet=A0&amp;row=82&amp;col=10&amp;number=4.6598&amp;sourceID=54","4.6598")</f>
        <v>4.6598</v>
      </c>
      <c r="K82" s="4" t="str">
        <f>HYPERLINK("http://141.218.60.56/~jnz1568/getInfo.php?workbook=16_15.xlsx&amp;sheet=A0&amp;row=82&amp;col=11&amp;number=0.00035647&amp;sourceID=54","0.00035647")</f>
        <v>0.00035647</v>
      </c>
      <c r="L82" s="4" t="str">
        <f>HYPERLINK("http://141.218.60.56/~jnz1568/getInfo.php?workbook=16_15.xlsx&amp;sheet=A0&amp;row=82&amp;col=12&amp;number=&amp;sourceID=53","")</f>
        <v/>
      </c>
      <c r="M82" s="4" t="str">
        <f>HYPERLINK("http://141.218.60.56/~jnz1568/getInfo.php?workbook=16_15.xlsx&amp;sheet=A0&amp;row=82&amp;col=13&amp;number=&amp;sourceID=53","")</f>
        <v/>
      </c>
      <c r="N82" s="4" t="str">
        <f>HYPERLINK("http://141.218.60.56/~jnz1568/getInfo.php?workbook=16_15.xlsx&amp;sheet=A0&amp;row=82&amp;col=14&amp;number=&amp;sourceID=53","")</f>
        <v/>
      </c>
      <c r="O82" s="4" t="str">
        <f>HYPERLINK("http://141.218.60.56/~jnz1568/getInfo.php?workbook=16_15.xlsx&amp;sheet=A0&amp;row=82&amp;col=15&amp;number=&amp;sourceID=55","")</f>
        <v/>
      </c>
      <c r="P82" s="4" t="str">
        <f>HYPERLINK("http://141.218.60.56/~jnz1568/getInfo.php?workbook=16_15.xlsx&amp;sheet=A0&amp;row=82&amp;col=16&amp;number=&amp;sourceID=55","")</f>
        <v/>
      </c>
      <c r="Q82" s="4" t="str">
        <f>HYPERLINK("http://141.218.60.56/~jnz1568/getInfo.php?workbook=16_15.xlsx&amp;sheet=A0&amp;row=82&amp;col=17&amp;number=&amp;sourceID=56","")</f>
        <v/>
      </c>
      <c r="R82" s="4" t="str">
        <f>HYPERLINK("http://141.218.60.56/~jnz1568/getInfo.php?workbook=16_15.xlsx&amp;sheet=A0&amp;row=82&amp;col=18&amp;number=&amp;sourceID=56","")</f>
        <v/>
      </c>
      <c r="S82" s="4" t="str">
        <f>HYPERLINK("http://141.218.60.56/~jnz1568/getInfo.php?workbook=16_15.xlsx&amp;sheet=A0&amp;row=82&amp;col=19&amp;number=&amp;sourceID=57","")</f>
        <v/>
      </c>
      <c r="T82" s="4" t="str">
        <f>HYPERLINK("http://141.218.60.56/~jnz1568/getInfo.php?workbook=16_15.xlsx&amp;sheet=A0&amp;row=82&amp;col=20&amp;number=&amp;sourceID=57","")</f>
        <v/>
      </c>
      <c r="U82" s="4" t="str">
        <f>HYPERLINK("http://141.218.60.56/~jnz1568/getInfo.php?workbook=16_15.xlsx&amp;sheet=A0&amp;row=82&amp;col=21&amp;number=&amp;sourceID=47","")</f>
        <v/>
      </c>
      <c r="V82" s="4" t="str">
        <f>HYPERLINK("http://141.218.60.56/~jnz1568/getInfo.php?workbook=16_15.xlsx&amp;sheet=A0&amp;row=82&amp;col=22&amp;number=&amp;sourceID=47","")</f>
        <v/>
      </c>
    </row>
    <row r="83" spans="1:22">
      <c r="A83" s="3">
        <v>16</v>
      </c>
      <c r="B83" s="3">
        <v>15</v>
      </c>
      <c r="C83" s="3">
        <v>14</v>
      </c>
      <c r="D83" s="3">
        <v>7</v>
      </c>
      <c r="E83" s="3">
        <f>((1/(INDEX(E0!J$4:J$73,C83,1)-INDEX(E0!J$4:J$73,D83,1))))*100000000</f>
        <v>0</v>
      </c>
      <c r="F83" s="4" t="str">
        <f>HYPERLINK("http://141.218.60.56/~jnz1568/getInfo.php?workbook=16_15.xlsx&amp;sheet=A0&amp;row=83&amp;col=6&amp;number=&amp;sourceID=54","")</f>
        <v/>
      </c>
      <c r="G83" s="4" t="str">
        <f>HYPERLINK("http://141.218.60.56/~jnz1568/getInfo.php?workbook=16_15.xlsx&amp;sheet=A0&amp;row=83&amp;col=7&amp;number=2.3407&amp;sourceID=54","2.3407")</f>
        <v>2.3407</v>
      </c>
      <c r="H83" s="4" t="str">
        <f>HYPERLINK("http://141.218.60.56/~jnz1568/getInfo.php?workbook=16_15.xlsx&amp;sheet=A0&amp;row=83&amp;col=8&amp;number=0.0060882&amp;sourceID=54","0.0060882")</f>
        <v>0.0060882</v>
      </c>
      <c r="I83" s="4" t="str">
        <f>HYPERLINK("http://141.218.60.56/~jnz1568/getInfo.php?workbook=16_15.xlsx&amp;sheet=A0&amp;row=83&amp;col=9&amp;number=&amp;sourceID=54","")</f>
        <v/>
      </c>
      <c r="J83" s="4" t="str">
        <f>HYPERLINK("http://141.218.60.56/~jnz1568/getInfo.php?workbook=16_15.xlsx&amp;sheet=A0&amp;row=83&amp;col=10&amp;number=2.252&amp;sourceID=54","2.252")</f>
        <v>2.252</v>
      </c>
      <c r="K83" s="4" t="str">
        <f>HYPERLINK("http://141.218.60.56/~jnz1568/getInfo.php?workbook=16_15.xlsx&amp;sheet=A0&amp;row=83&amp;col=11&amp;number=0.0059338&amp;sourceID=54","0.0059338")</f>
        <v>0.0059338</v>
      </c>
      <c r="L83" s="4" t="str">
        <f>HYPERLINK("http://141.218.60.56/~jnz1568/getInfo.php?workbook=16_15.xlsx&amp;sheet=A0&amp;row=83&amp;col=12&amp;number=&amp;sourceID=53","")</f>
        <v/>
      </c>
      <c r="M83" s="4" t="str">
        <f>HYPERLINK("http://141.218.60.56/~jnz1568/getInfo.php?workbook=16_15.xlsx&amp;sheet=A0&amp;row=83&amp;col=13&amp;number=&amp;sourceID=53","")</f>
        <v/>
      </c>
      <c r="N83" s="4" t="str">
        <f>HYPERLINK("http://141.218.60.56/~jnz1568/getInfo.php?workbook=16_15.xlsx&amp;sheet=A0&amp;row=83&amp;col=14&amp;number=&amp;sourceID=53","")</f>
        <v/>
      </c>
      <c r="O83" s="4" t="str">
        <f>HYPERLINK("http://141.218.60.56/~jnz1568/getInfo.php?workbook=16_15.xlsx&amp;sheet=A0&amp;row=83&amp;col=15&amp;number=&amp;sourceID=55","")</f>
        <v/>
      </c>
      <c r="P83" s="4" t="str">
        <f>HYPERLINK("http://141.218.60.56/~jnz1568/getInfo.php?workbook=16_15.xlsx&amp;sheet=A0&amp;row=83&amp;col=16&amp;number=&amp;sourceID=55","")</f>
        <v/>
      </c>
      <c r="Q83" s="4" t="str">
        <f>HYPERLINK("http://141.218.60.56/~jnz1568/getInfo.php?workbook=16_15.xlsx&amp;sheet=A0&amp;row=83&amp;col=17&amp;number=&amp;sourceID=56","")</f>
        <v/>
      </c>
      <c r="R83" s="4" t="str">
        <f>HYPERLINK("http://141.218.60.56/~jnz1568/getInfo.php?workbook=16_15.xlsx&amp;sheet=A0&amp;row=83&amp;col=18&amp;number=&amp;sourceID=56","")</f>
        <v/>
      </c>
      <c r="S83" s="4" t="str">
        <f>HYPERLINK("http://141.218.60.56/~jnz1568/getInfo.php?workbook=16_15.xlsx&amp;sheet=A0&amp;row=83&amp;col=19&amp;number=&amp;sourceID=57","")</f>
        <v/>
      </c>
      <c r="T83" s="4" t="str">
        <f>HYPERLINK("http://141.218.60.56/~jnz1568/getInfo.php?workbook=16_15.xlsx&amp;sheet=A0&amp;row=83&amp;col=20&amp;number=&amp;sourceID=57","")</f>
        <v/>
      </c>
      <c r="U83" s="4" t="str">
        <f>HYPERLINK("http://141.218.60.56/~jnz1568/getInfo.php?workbook=16_15.xlsx&amp;sheet=A0&amp;row=83&amp;col=21&amp;number=&amp;sourceID=47","")</f>
        <v/>
      </c>
      <c r="V83" s="4" t="str">
        <f>HYPERLINK("http://141.218.60.56/~jnz1568/getInfo.php?workbook=16_15.xlsx&amp;sheet=A0&amp;row=83&amp;col=22&amp;number=&amp;sourceID=47","")</f>
        <v/>
      </c>
    </row>
    <row r="84" spans="1:22">
      <c r="A84" s="3">
        <v>16</v>
      </c>
      <c r="B84" s="3">
        <v>15</v>
      </c>
      <c r="C84" s="3">
        <v>14</v>
      </c>
      <c r="D84" s="3">
        <v>8</v>
      </c>
      <c r="E84" s="3">
        <f>((1/(INDEX(E0!J$4:J$73,C84,1)-INDEX(E0!J$4:J$73,D84,1))))*100000000</f>
        <v>0</v>
      </c>
      <c r="F84" s="4" t="str">
        <f>HYPERLINK("http://141.218.60.56/~jnz1568/getInfo.php?workbook=16_15.xlsx&amp;sheet=A0&amp;row=84&amp;col=6&amp;number=&amp;sourceID=54","")</f>
        <v/>
      </c>
      <c r="G84" s="4" t="str">
        <f>HYPERLINK("http://141.218.60.56/~jnz1568/getInfo.php?workbook=16_15.xlsx&amp;sheet=A0&amp;row=84&amp;col=7&amp;number=0.3552&amp;sourceID=54","0.3552")</f>
        <v>0.3552</v>
      </c>
      <c r="H84" s="4" t="str">
        <f>HYPERLINK("http://141.218.60.56/~jnz1568/getInfo.php?workbook=16_15.xlsx&amp;sheet=A0&amp;row=84&amp;col=8&amp;number=0.00050547&amp;sourceID=54","0.00050547")</f>
        <v>0.00050547</v>
      </c>
      <c r="I84" s="4" t="str">
        <f>HYPERLINK("http://141.218.60.56/~jnz1568/getInfo.php?workbook=16_15.xlsx&amp;sheet=A0&amp;row=84&amp;col=9&amp;number=&amp;sourceID=54","")</f>
        <v/>
      </c>
      <c r="J84" s="4" t="str">
        <f>HYPERLINK("http://141.218.60.56/~jnz1568/getInfo.php?workbook=16_15.xlsx&amp;sheet=A0&amp;row=84&amp;col=10&amp;number=0.34067&amp;sourceID=54","0.34067")</f>
        <v>0.34067</v>
      </c>
      <c r="K84" s="4" t="str">
        <f>HYPERLINK("http://141.218.60.56/~jnz1568/getInfo.php?workbook=16_15.xlsx&amp;sheet=A0&amp;row=84&amp;col=11&amp;number=0.00049176&amp;sourceID=54","0.00049176")</f>
        <v>0.00049176</v>
      </c>
      <c r="L84" s="4" t="str">
        <f>HYPERLINK("http://141.218.60.56/~jnz1568/getInfo.php?workbook=16_15.xlsx&amp;sheet=A0&amp;row=84&amp;col=12&amp;number=&amp;sourceID=53","")</f>
        <v/>
      </c>
      <c r="M84" s="4" t="str">
        <f>HYPERLINK("http://141.218.60.56/~jnz1568/getInfo.php?workbook=16_15.xlsx&amp;sheet=A0&amp;row=84&amp;col=13&amp;number=&amp;sourceID=53","")</f>
        <v/>
      </c>
      <c r="N84" s="4" t="str">
        <f>HYPERLINK("http://141.218.60.56/~jnz1568/getInfo.php?workbook=16_15.xlsx&amp;sheet=A0&amp;row=84&amp;col=14&amp;number=&amp;sourceID=53","")</f>
        <v/>
      </c>
      <c r="O84" s="4" t="str">
        <f>HYPERLINK("http://141.218.60.56/~jnz1568/getInfo.php?workbook=16_15.xlsx&amp;sheet=A0&amp;row=84&amp;col=15&amp;number=&amp;sourceID=55","")</f>
        <v/>
      </c>
      <c r="P84" s="4" t="str">
        <f>HYPERLINK("http://141.218.60.56/~jnz1568/getInfo.php?workbook=16_15.xlsx&amp;sheet=A0&amp;row=84&amp;col=16&amp;number=&amp;sourceID=55","")</f>
        <v/>
      </c>
      <c r="Q84" s="4" t="str">
        <f>HYPERLINK("http://141.218.60.56/~jnz1568/getInfo.php?workbook=16_15.xlsx&amp;sheet=A0&amp;row=84&amp;col=17&amp;number=&amp;sourceID=56","")</f>
        <v/>
      </c>
      <c r="R84" s="4" t="str">
        <f>HYPERLINK("http://141.218.60.56/~jnz1568/getInfo.php?workbook=16_15.xlsx&amp;sheet=A0&amp;row=84&amp;col=18&amp;number=&amp;sourceID=56","")</f>
        <v/>
      </c>
      <c r="S84" s="4" t="str">
        <f>HYPERLINK("http://141.218.60.56/~jnz1568/getInfo.php?workbook=16_15.xlsx&amp;sheet=A0&amp;row=84&amp;col=19&amp;number=&amp;sourceID=57","")</f>
        <v/>
      </c>
      <c r="T84" s="4" t="str">
        <f>HYPERLINK("http://141.218.60.56/~jnz1568/getInfo.php?workbook=16_15.xlsx&amp;sheet=A0&amp;row=84&amp;col=20&amp;number=&amp;sourceID=57","")</f>
        <v/>
      </c>
      <c r="U84" s="4" t="str">
        <f>HYPERLINK("http://141.218.60.56/~jnz1568/getInfo.php?workbook=16_15.xlsx&amp;sheet=A0&amp;row=84&amp;col=21&amp;number=&amp;sourceID=47","")</f>
        <v/>
      </c>
      <c r="V84" s="4" t="str">
        <f>HYPERLINK("http://141.218.60.56/~jnz1568/getInfo.php?workbook=16_15.xlsx&amp;sheet=A0&amp;row=84&amp;col=22&amp;number=&amp;sourceID=47","")</f>
        <v/>
      </c>
    </row>
    <row r="85" spans="1:22">
      <c r="A85" s="3">
        <v>16</v>
      </c>
      <c r="B85" s="3">
        <v>15</v>
      </c>
      <c r="C85" s="3">
        <v>14</v>
      </c>
      <c r="D85" s="3">
        <v>9</v>
      </c>
      <c r="E85" s="3">
        <f>((1/(INDEX(E0!J$4:J$73,C85,1)-INDEX(E0!J$4:J$73,D85,1))))*100000000</f>
        <v>0</v>
      </c>
      <c r="F85" s="4" t="str">
        <f>HYPERLINK("http://141.218.60.56/~jnz1568/getInfo.php?workbook=16_15.xlsx&amp;sheet=A0&amp;row=85&amp;col=6&amp;number=&amp;sourceID=54","")</f>
        <v/>
      </c>
      <c r="G85" s="4" t="str">
        <f>HYPERLINK("http://141.218.60.56/~jnz1568/getInfo.php?workbook=16_15.xlsx&amp;sheet=A0&amp;row=85&amp;col=7&amp;number=2.9626e-05&amp;sourceID=54","2.9626e-05")</f>
        <v>2.9626e-05</v>
      </c>
      <c r="H85" s="4" t="str">
        <f>HYPERLINK("http://141.218.60.56/~jnz1568/getInfo.php?workbook=16_15.xlsx&amp;sheet=A0&amp;row=85&amp;col=8&amp;number=2.1823e-06&amp;sourceID=54","2.1823e-06")</f>
        <v>2.1823e-06</v>
      </c>
      <c r="I85" s="4" t="str">
        <f>HYPERLINK("http://141.218.60.56/~jnz1568/getInfo.php?workbook=16_15.xlsx&amp;sheet=A0&amp;row=85&amp;col=9&amp;number=&amp;sourceID=54","")</f>
        <v/>
      </c>
      <c r="J85" s="4" t="str">
        <f>HYPERLINK("http://141.218.60.56/~jnz1568/getInfo.php?workbook=16_15.xlsx&amp;sheet=A0&amp;row=85&amp;col=10&amp;number=3.6951e-05&amp;sourceID=54","3.6951e-05")</f>
        <v>3.6951e-05</v>
      </c>
      <c r="K85" s="4" t="str">
        <f>HYPERLINK("http://141.218.60.56/~jnz1568/getInfo.php?workbook=16_15.xlsx&amp;sheet=A0&amp;row=85&amp;col=11&amp;number=2.371e-06&amp;sourceID=54","2.371e-06")</f>
        <v>2.371e-06</v>
      </c>
      <c r="L85" s="4" t="str">
        <f>HYPERLINK("http://141.218.60.56/~jnz1568/getInfo.php?workbook=16_15.xlsx&amp;sheet=A0&amp;row=85&amp;col=12&amp;number=&amp;sourceID=53","")</f>
        <v/>
      </c>
      <c r="M85" s="4" t="str">
        <f>HYPERLINK("http://141.218.60.56/~jnz1568/getInfo.php?workbook=16_15.xlsx&amp;sheet=A0&amp;row=85&amp;col=13&amp;number=&amp;sourceID=53","")</f>
        <v/>
      </c>
      <c r="N85" s="4" t="str">
        <f>HYPERLINK("http://141.218.60.56/~jnz1568/getInfo.php?workbook=16_15.xlsx&amp;sheet=A0&amp;row=85&amp;col=14&amp;number=&amp;sourceID=53","")</f>
        <v/>
      </c>
      <c r="O85" s="4" t="str">
        <f>HYPERLINK("http://141.218.60.56/~jnz1568/getInfo.php?workbook=16_15.xlsx&amp;sheet=A0&amp;row=85&amp;col=15&amp;number=&amp;sourceID=55","")</f>
        <v/>
      </c>
      <c r="P85" s="4" t="str">
        <f>HYPERLINK("http://141.218.60.56/~jnz1568/getInfo.php?workbook=16_15.xlsx&amp;sheet=A0&amp;row=85&amp;col=16&amp;number=&amp;sourceID=55","")</f>
        <v/>
      </c>
      <c r="Q85" s="4" t="str">
        <f>HYPERLINK("http://141.218.60.56/~jnz1568/getInfo.php?workbook=16_15.xlsx&amp;sheet=A0&amp;row=85&amp;col=17&amp;number=&amp;sourceID=56","")</f>
        <v/>
      </c>
      <c r="R85" s="4" t="str">
        <f>HYPERLINK("http://141.218.60.56/~jnz1568/getInfo.php?workbook=16_15.xlsx&amp;sheet=A0&amp;row=85&amp;col=18&amp;number=&amp;sourceID=56","")</f>
        <v/>
      </c>
      <c r="S85" s="4" t="str">
        <f>HYPERLINK("http://141.218.60.56/~jnz1568/getInfo.php?workbook=16_15.xlsx&amp;sheet=A0&amp;row=85&amp;col=19&amp;number=&amp;sourceID=57","")</f>
        <v/>
      </c>
      <c r="T85" s="4" t="str">
        <f>HYPERLINK("http://141.218.60.56/~jnz1568/getInfo.php?workbook=16_15.xlsx&amp;sheet=A0&amp;row=85&amp;col=20&amp;number=&amp;sourceID=57","")</f>
        <v/>
      </c>
      <c r="U85" s="4" t="str">
        <f>HYPERLINK("http://141.218.60.56/~jnz1568/getInfo.php?workbook=16_15.xlsx&amp;sheet=A0&amp;row=85&amp;col=21&amp;number=&amp;sourceID=47","")</f>
        <v/>
      </c>
      <c r="V85" s="4" t="str">
        <f>HYPERLINK("http://141.218.60.56/~jnz1568/getInfo.php?workbook=16_15.xlsx&amp;sheet=A0&amp;row=85&amp;col=22&amp;number=&amp;sourceID=47","")</f>
        <v/>
      </c>
    </row>
    <row r="86" spans="1:22">
      <c r="A86" s="3">
        <v>16</v>
      </c>
      <c r="B86" s="3">
        <v>15</v>
      </c>
      <c r="C86" s="3">
        <v>14</v>
      </c>
      <c r="D86" s="3">
        <v>10</v>
      </c>
      <c r="E86" s="3">
        <f>((1/(INDEX(E0!J$4:J$73,C86,1)-INDEX(E0!J$4:J$73,D86,1))))*100000000</f>
        <v>0</v>
      </c>
      <c r="F86" s="4" t="str">
        <f>HYPERLINK("http://141.218.60.56/~jnz1568/getInfo.php?workbook=16_15.xlsx&amp;sheet=A0&amp;row=86&amp;col=6&amp;number=&amp;sourceID=54","")</f>
        <v/>
      </c>
      <c r="G86" s="4" t="str">
        <f>HYPERLINK("http://141.218.60.56/~jnz1568/getInfo.php?workbook=16_15.xlsx&amp;sheet=A0&amp;row=86&amp;col=7&amp;number=1.1399e-05&amp;sourceID=54","1.1399e-05")</f>
        <v>1.1399e-05</v>
      </c>
      <c r="H86" s="4" t="str">
        <f>HYPERLINK("http://141.218.60.56/~jnz1568/getInfo.php?workbook=16_15.xlsx&amp;sheet=A0&amp;row=86&amp;col=8&amp;number=5.0059e-07&amp;sourceID=54","5.0059e-07")</f>
        <v>5.0059e-07</v>
      </c>
      <c r="I86" s="4" t="str">
        <f>HYPERLINK("http://141.218.60.56/~jnz1568/getInfo.php?workbook=16_15.xlsx&amp;sheet=A0&amp;row=86&amp;col=9&amp;number=&amp;sourceID=54","")</f>
        <v/>
      </c>
      <c r="J86" s="4" t="str">
        <f>HYPERLINK("http://141.218.60.56/~jnz1568/getInfo.php?workbook=16_15.xlsx&amp;sheet=A0&amp;row=86&amp;col=10&amp;number=1.8066e-05&amp;sourceID=54","1.8066e-05")</f>
        <v>1.8066e-05</v>
      </c>
      <c r="K86" s="4" t="str">
        <f>HYPERLINK("http://141.218.60.56/~jnz1568/getInfo.php?workbook=16_15.xlsx&amp;sheet=A0&amp;row=86&amp;col=11&amp;number=4.0486e-07&amp;sourceID=54","4.0486e-07")</f>
        <v>4.0486e-07</v>
      </c>
      <c r="L86" s="4" t="str">
        <f>HYPERLINK("http://141.218.60.56/~jnz1568/getInfo.php?workbook=16_15.xlsx&amp;sheet=A0&amp;row=86&amp;col=12&amp;number=&amp;sourceID=53","")</f>
        <v/>
      </c>
      <c r="M86" s="4" t="str">
        <f>HYPERLINK("http://141.218.60.56/~jnz1568/getInfo.php?workbook=16_15.xlsx&amp;sheet=A0&amp;row=86&amp;col=13&amp;number=&amp;sourceID=53","")</f>
        <v/>
      </c>
      <c r="N86" s="4" t="str">
        <f>HYPERLINK("http://141.218.60.56/~jnz1568/getInfo.php?workbook=16_15.xlsx&amp;sheet=A0&amp;row=86&amp;col=14&amp;number=&amp;sourceID=53","")</f>
        <v/>
      </c>
      <c r="O86" s="4" t="str">
        <f>HYPERLINK("http://141.218.60.56/~jnz1568/getInfo.php?workbook=16_15.xlsx&amp;sheet=A0&amp;row=86&amp;col=15&amp;number=&amp;sourceID=55","")</f>
        <v/>
      </c>
      <c r="P86" s="4" t="str">
        <f>HYPERLINK("http://141.218.60.56/~jnz1568/getInfo.php?workbook=16_15.xlsx&amp;sheet=A0&amp;row=86&amp;col=16&amp;number=&amp;sourceID=55","")</f>
        <v/>
      </c>
      <c r="Q86" s="4" t="str">
        <f>HYPERLINK("http://141.218.60.56/~jnz1568/getInfo.php?workbook=16_15.xlsx&amp;sheet=A0&amp;row=86&amp;col=17&amp;number=&amp;sourceID=56","")</f>
        <v/>
      </c>
      <c r="R86" s="4" t="str">
        <f>HYPERLINK("http://141.218.60.56/~jnz1568/getInfo.php?workbook=16_15.xlsx&amp;sheet=A0&amp;row=86&amp;col=18&amp;number=&amp;sourceID=56","")</f>
        <v/>
      </c>
      <c r="S86" s="4" t="str">
        <f>HYPERLINK("http://141.218.60.56/~jnz1568/getInfo.php?workbook=16_15.xlsx&amp;sheet=A0&amp;row=86&amp;col=19&amp;number=&amp;sourceID=57","")</f>
        <v/>
      </c>
      <c r="T86" s="4" t="str">
        <f>HYPERLINK("http://141.218.60.56/~jnz1568/getInfo.php?workbook=16_15.xlsx&amp;sheet=A0&amp;row=86&amp;col=20&amp;number=&amp;sourceID=57","")</f>
        <v/>
      </c>
      <c r="U86" s="4" t="str">
        <f>HYPERLINK("http://141.218.60.56/~jnz1568/getInfo.php?workbook=16_15.xlsx&amp;sheet=A0&amp;row=86&amp;col=21&amp;number=&amp;sourceID=47","")</f>
        <v/>
      </c>
      <c r="V86" s="4" t="str">
        <f>HYPERLINK("http://141.218.60.56/~jnz1568/getInfo.php?workbook=16_15.xlsx&amp;sheet=A0&amp;row=86&amp;col=22&amp;number=&amp;sourceID=47","")</f>
        <v/>
      </c>
    </row>
    <row r="87" spans="1:22">
      <c r="A87" s="3">
        <v>16</v>
      </c>
      <c r="B87" s="3">
        <v>15</v>
      </c>
      <c r="C87" s="3">
        <v>14</v>
      </c>
      <c r="D87" s="3">
        <v>11</v>
      </c>
      <c r="E87" s="3">
        <f>((1/(INDEX(E0!J$4:J$73,C87,1)-INDEX(E0!J$4:J$73,D87,1))))*100000000</f>
        <v>0</v>
      </c>
      <c r="F87" s="4" t="str">
        <f>HYPERLINK("http://141.218.60.56/~jnz1568/getInfo.php?workbook=16_15.xlsx&amp;sheet=A0&amp;row=87&amp;col=6&amp;number=&amp;sourceID=54","")</f>
        <v/>
      </c>
      <c r="G87" s="4" t="str">
        <f>HYPERLINK("http://141.218.60.56/~jnz1568/getInfo.php?workbook=16_15.xlsx&amp;sheet=A0&amp;row=87&amp;col=7&amp;number=2.9533e-06&amp;sourceID=54","2.9533e-06")</f>
        <v>2.9533e-06</v>
      </c>
      <c r="H87" s="4" t="str">
        <f>HYPERLINK("http://141.218.60.56/~jnz1568/getInfo.php?workbook=16_15.xlsx&amp;sheet=A0&amp;row=87&amp;col=8&amp;number=1.2743e-06&amp;sourceID=54","1.2743e-06")</f>
        <v>1.2743e-06</v>
      </c>
      <c r="I87" s="4" t="str">
        <f>HYPERLINK("http://141.218.60.56/~jnz1568/getInfo.php?workbook=16_15.xlsx&amp;sheet=A0&amp;row=87&amp;col=9&amp;number=&amp;sourceID=54","")</f>
        <v/>
      </c>
      <c r="J87" s="4" t="str">
        <f>HYPERLINK("http://141.218.60.56/~jnz1568/getInfo.php?workbook=16_15.xlsx&amp;sheet=A0&amp;row=87&amp;col=10&amp;number=7.4465e-06&amp;sourceID=54","7.4465e-06")</f>
        <v>7.4465e-06</v>
      </c>
      <c r="K87" s="4" t="str">
        <f>HYPERLINK("http://141.218.60.56/~jnz1568/getInfo.php?workbook=16_15.xlsx&amp;sheet=A0&amp;row=87&amp;col=11&amp;number=1.4795e-06&amp;sourceID=54","1.4795e-06")</f>
        <v>1.4795e-06</v>
      </c>
      <c r="L87" s="4" t="str">
        <f>HYPERLINK("http://141.218.60.56/~jnz1568/getInfo.php?workbook=16_15.xlsx&amp;sheet=A0&amp;row=87&amp;col=12&amp;number=&amp;sourceID=53","")</f>
        <v/>
      </c>
      <c r="M87" s="4" t="str">
        <f>HYPERLINK("http://141.218.60.56/~jnz1568/getInfo.php?workbook=16_15.xlsx&amp;sheet=A0&amp;row=87&amp;col=13&amp;number=&amp;sourceID=53","")</f>
        <v/>
      </c>
      <c r="N87" s="4" t="str">
        <f>HYPERLINK("http://141.218.60.56/~jnz1568/getInfo.php?workbook=16_15.xlsx&amp;sheet=A0&amp;row=87&amp;col=14&amp;number=&amp;sourceID=53","")</f>
        <v/>
      </c>
      <c r="O87" s="4" t="str">
        <f>HYPERLINK("http://141.218.60.56/~jnz1568/getInfo.php?workbook=16_15.xlsx&amp;sheet=A0&amp;row=87&amp;col=15&amp;number=&amp;sourceID=55","")</f>
        <v/>
      </c>
      <c r="P87" s="4" t="str">
        <f>HYPERLINK("http://141.218.60.56/~jnz1568/getInfo.php?workbook=16_15.xlsx&amp;sheet=A0&amp;row=87&amp;col=16&amp;number=&amp;sourceID=55","")</f>
        <v/>
      </c>
      <c r="Q87" s="4" t="str">
        <f>HYPERLINK("http://141.218.60.56/~jnz1568/getInfo.php?workbook=16_15.xlsx&amp;sheet=A0&amp;row=87&amp;col=17&amp;number=&amp;sourceID=56","")</f>
        <v/>
      </c>
      <c r="R87" s="4" t="str">
        <f>HYPERLINK("http://141.218.60.56/~jnz1568/getInfo.php?workbook=16_15.xlsx&amp;sheet=A0&amp;row=87&amp;col=18&amp;number=&amp;sourceID=56","")</f>
        <v/>
      </c>
      <c r="S87" s="4" t="str">
        <f>HYPERLINK("http://141.218.60.56/~jnz1568/getInfo.php?workbook=16_15.xlsx&amp;sheet=A0&amp;row=87&amp;col=19&amp;number=&amp;sourceID=57","")</f>
        <v/>
      </c>
      <c r="T87" s="4" t="str">
        <f>HYPERLINK("http://141.218.60.56/~jnz1568/getInfo.php?workbook=16_15.xlsx&amp;sheet=A0&amp;row=87&amp;col=20&amp;number=&amp;sourceID=57","")</f>
        <v/>
      </c>
      <c r="U87" s="4" t="str">
        <f>HYPERLINK("http://141.218.60.56/~jnz1568/getInfo.php?workbook=16_15.xlsx&amp;sheet=A0&amp;row=87&amp;col=21&amp;number=&amp;sourceID=47","")</f>
        <v/>
      </c>
      <c r="V87" s="4" t="str">
        <f>HYPERLINK("http://141.218.60.56/~jnz1568/getInfo.php?workbook=16_15.xlsx&amp;sheet=A0&amp;row=87&amp;col=22&amp;number=&amp;sourceID=47","")</f>
        <v/>
      </c>
    </row>
    <row r="88" spans="1:22">
      <c r="A88" s="3">
        <v>16</v>
      </c>
      <c r="B88" s="3">
        <v>15</v>
      </c>
      <c r="C88" s="3">
        <v>14</v>
      </c>
      <c r="D88" s="3">
        <v>12</v>
      </c>
      <c r="E88" s="3">
        <f>((1/(INDEX(E0!J$4:J$73,C88,1)-INDEX(E0!J$4:J$73,D88,1))))*100000000</f>
        <v>0</v>
      </c>
      <c r="F88" s="4" t="str">
        <f>HYPERLINK("http://141.218.60.56/~jnz1568/getInfo.php?workbook=16_15.xlsx&amp;sheet=A0&amp;row=88&amp;col=6&amp;number=&amp;sourceID=54","")</f>
        <v/>
      </c>
      <c r="G88" s="4" t="str">
        <f>HYPERLINK("http://141.218.60.56/~jnz1568/getInfo.php?workbook=16_15.xlsx&amp;sheet=A0&amp;row=88&amp;col=7&amp;number=2.6553e-06&amp;sourceID=54","2.6553e-06")</f>
        <v>2.6553e-06</v>
      </c>
      <c r="H88" s="4" t="str">
        <f>HYPERLINK("http://141.218.60.56/~jnz1568/getInfo.php?workbook=16_15.xlsx&amp;sheet=A0&amp;row=88&amp;col=8&amp;number=1.8089e-07&amp;sourceID=54","1.8089e-07")</f>
        <v>1.8089e-07</v>
      </c>
      <c r="I88" s="4" t="str">
        <f>HYPERLINK("http://141.218.60.56/~jnz1568/getInfo.php?workbook=16_15.xlsx&amp;sheet=A0&amp;row=88&amp;col=9&amp;number=&amp;sourceID=54","")</f>
        <v/>
      </c>
      <c r="J88" s="4" t="str">
        <f>HYPERLINK("http://141.218.60.56/~jnz1568/getInfo.php?workbook=16_15.xlsx&amp;sheet=A0&amp;row=88&amp;col=10&amp;number=6.9026e-06&amp;sourceID=54","6.9026e-06")</f>
        <v>6.9026e-06</v>
      </c>
      <c r="K88" s="4" t="str">
        <f>HYPERLINK("http://141.218.60.56/~jnz1568/getInfo.php?workbook=16_15.xlsx&amp;sheet=A0&amp;row=88&amp;col=11&amp;number=2.1316e-07&amp;sourceID=54","2.1316e-07")</f>
        <v>2.1316e-07</v>
      </c>
      <c r="L88" s="4" t="str">
        <f>HYPERLINK("http://141.218.60.56/~jnz1568/getInfo.php?workbook=16_15.xlsx&amp;sheet=A0&amp;row=88&amp;col=12&amp;number=&amp;sourceID=53","")</f>
        <v/>
      </c>
      <c r="M88" s="4" t="str">
        <f>HYPERLINK("http://141.218.60.56/~jnz1568/getInfo.php?workbook=16_15.xlsx&amp;sheet=A0&amp;row=88&amp;col=13&amp;number=&amp;sourceID=53","")</f>
        <v/>
      </c>
      <c r="N88" s="4" t="str">
        <f>HYPERLINK("http://141.218.60.56/~jnz1568/getInfo.php?workbook=16_15.xlsx&amp;sheet=A0&amp;row=88&amp;col=14&amp;number=&amp;sourceID=53","")</f>
        <v/>
      </c>
      <c r="O88" s="4" t="str">
        <f>HYPERLINK("http://141.218.60.56/~jnz1568/getInfo.php?workbook=16_15.xlsx&amp;sheet=A0&amp;row=88&amp;col=15&amp;number=&amp;sourceID=55","")</f>
        <v/>
      </c>
      <c r="P88" s="4" t="str">
        <f>HYPERLINK("http://141.218.60.56/~jnz1568/getInfo.php?workbook=16_15.xlsx&amp;sheet=A0&amp;row=88&amp;col=16&amp;number=&amp;sourceID=55","")</f>
        <v/>
      </c>
      <c r="Q88" s="4" t="str">
        <f>HYPERLINK("http://141.218.60.56/~jnz1568/getInfo.php?workbook=16_15.xlsx&amp;sheet=A0&amp;row=88&amp;col=17&amp;number=&amp;sourceID=56","")</f>
        <v/>
      </c>
      <c r="R88" s="4" t="str">
        <f>HYPERLINK("http://141.218.60.56/~jnz1568/getInfo.php?workbook=16_15.xlsx&amp;sheet=A0&amp;row=88&amp;col=18&amp;number=&amp;sourceID=56","")</f>
        <v/>
      </c>
      <c r="S88" s="4" t="str">
        <f>HYPERLINK("http://141.218.60.56/~jnz1568/getInfo.php?workbook=16_15.xlsx&amp;sheet=A0&amp;row=88&amp;col=19&amp;number=&amp;sourceID=57","")</f>
        <v/>
      </c>
      <c r="T88" s="4" t="str">
        <f>HYPERLINK("http://141.218.60.56/~jnz1568/getInfo.php?workbook=16_15.xlsx&amp;sheet=A0&amp;row=88&amp;col=20&amp;number=&amp;sourceID=57","")</f>
        <v/>
      </c>
      <c r="U88" s="4" t="str">
        <f>HYPERLINK("http://141.218.60.56/~jnz1568/getInfo.php?workbook=16_15.xlsx&amp;sheet=A0&amp;row=88&amp;col=21&amp;number=&amp;sourceID=47","")</f>
        <v/>
      </c>
      <c r="V88" s="4" t="str">
        <f>HYPERLINK("http://141.218.60.56/~jnz1568/getInfo.php?workbook=16_15.xlsx&amp;sheet=A0&amp;row=88&amp;col=22&amp;number=&amp;sourceID=47","")</f>
        <v/>
      </c>
    </row>
    <row r="89" spans="1:22">
      <c r="A89" s="3">
        <v>16</v>
      </c>
      <c r="B89" s="3">
        <v>15</v>
      </c>
      <c r="C89" s="3">
        <v>14</v>
      </c>
      <c r="D89" s="3">
        <v>13</v>
      </c>
      <c r="E89" s="3">
        <f>((1/(INDEX(E0!J$4:J$73,C89,1)-INDEX(E0!J$4:J$73,D89,1))))*100000000</f>
        <v>0</v>
      </c>
      <c r="F89" s="4" t="str">
        <f>HYPERLINK("http://141.218.60.56/~jnz1568/getInfo.php?workbook=16_15.xlsx&amp;sheet=A0&amp;row=89&amp;col=6&amp;number=&amp;sourceID=54","")</f>
        <v/>
      </c>
      <c r="G89" s="4" t="str">
        <f>HYPERLINK("http://141.218.60.56/~jnz1568/getInfo.php?workbook=16_15.xlsx&amp;sheet=A0&amp;row=89&amp;col=7&amp;number=2.681e-12&amp;sourceID=54","2.681e-12")</f>
        <v>2.681e-12</v>
      </c>
      <c r="H89" s="4" t="str">
        <f>HYPERLINK("http://141.218.60.56/~jnz1568/getInfo.php?workbook=16_15.xlsx&amp;sheet=A0&amp;row=89&amp;col=8&amp;number=0.00032386&amp;sourceID=54","0.00032386")</f>
        <v>0.00032386</v>
      </c>
      <c r="I89" s="4" t="str">
        <f>HYPERLINK("http://141.218.60.56/~jnz1568/getInfo.php?workbook=16_15.xlsx&amp;sheet=A0&amp;row=89&amp;col=9&amp;number=&amp;sourceID=54","")</f>
        <v/>
      </c>
      <c r="J89" s="4" t="str">
        <f>HYPERLINK("http://141.218.60.56/~jnz1568/getInfo.php?workbook=16_15.xlsx&amp;sheet=A0&amp;row=89&amp;col=10&amp;number=2.435e-12&amp;sourceID=54","2.435e-12")</f>
        <v>2.435e-12</v>
      </c>
      <c r="K89" s="4" t="str">
        <f>HYPERLINK("http://141.218.60.56/~jnz1568/getInfo.php?workbook=16_15.xlsx&amp;sheet=A0&amp;row=89&amp;col=11&amp;number=0.00032187&amp;sourceID=54","0.00032187")</f>
        <v>0.00032187</v>
      </c>
      <c r="L89" s="4" t="str">
        <f>HYPERLINK("http://141.218.60.56/~jnz1568/getInfo.php?workbook=16_15.xlsx&amp;sheet=A0&amp;row=89&amp;col=12&amp;number=&amp;sourceID=53","")</f>
        <v/>
      </c>
      <c r="M89" s="4" t="str">
        <f>HYPERLINK("http://141.218.60.56/~jnz1568/getInfo.php?workbook=16_15.xlsx&amp;sheet=A0&amp;row=89&amp;col=13&amp;number=&amp;sourceID=53","")</f>
        <v/>
      </c>
      <c r="N89" s="4" t="str">
        <f>HYPERLINK("http://141.218.60.56/~jnz1568/getInfo.php?workbook=16_15.xlsx&amp;sheet=A0&amp;row=89&amp;col=14&amp;number=&amp;sourceID=53","")</f>
        <v/>
      </c>
      <c r="O89" s="4" t="str">
        <f>HYPERLINK("http://141.218.60.56/~jnz1568/getInfo.php?workbook=16_15.xlsx&amp;sheet=A0&amp;row=89&amp;col=15&amp;number=&amp;sourceID=55","")</f>
        <v/>
      </c>
      <c r="P89" s="4" t="str">
        <f>HYPERLINK("http://141.218.60.56/~jnz1568/getInfo.php?workbook=16_15.xlsx&amp;sheet=A0&amp;row=89&amp;col=16&amp;number=&amp;sourceID=55","")</f>
        <v/>
      </c>
      <c r="Q89" s="4" t="str">
        <f>HYPERLINK("http://141.218.60.56/~jnz1568/getInfo.php?workbook=16_15.xlsx&amp;sheet=A0&amp;row=89&amp;col=17&amp;number=&amp;sourceID=56","")</f>
        <v/>
      </c>
      <c r="R89" s="4" t="str">
        <f>HYPERLINK("http://141.218.60.56/~jnz1568/getInfo.php?workbook=16_15.xlsx&amp;sheet=A0&amp;row=89&amp;col=18&amp;number=&amp;sourceID=56","")</f>
        <v/>
      </c>
      <c r="S89" s="4" t="str">
        <f>HYPERLINK("http://141.218.60.56/~jnz1568/getInfo.php?workbook=16_15.xlsx&amp;sheet=A0&amp;row=89&amp;col=19&amp;number=&amp;sourceID=57","")</f>
        <v/>
      </c>
      <c r="T89" s="4" t="str">
        <f>HYPERLINK("http://141.218.60.56/~jnz1568/getInfo.php?workbook=16_15.xlsx&amp;sheet=A0&amp;row=89&amp;col=20&amp;number=&amp;sourceID=57","")</f>
        <v/>
      </c>
      <c r="U89" s="4" t="str">
        <f>HYPERLINK("http://141.218.60.56/~jnz1568/getInfo.php?workbook=16_15.xlsx&amp;sheet=A0&amp;row=89&amp;col=21&amp;number=&amp;sourceID=47","")</f>
        <v/>
      </c>
      <c r="V89" s="4" t="str">
        <f>HYPERLINK("http://141.218.60.56/~jnz1568/getInfo.php?workbook=16_15.xlsx&amp;sheet=A0&amp;row=89&amp;col=22&amp;number=&amp;sourceID=47","")</f>
        <v/>
      </c>
    </row>
    <row r="90" spans="1:22">
      <c r="A90" s="3">
        <v>16</v>
      </c>
      <c r="B90" s="3">
        <v>15</v>
      </c>
      <c r="C90" s="3">
        <v>15</v>
      </c>
      <c r="D90" s="3">
        <v>1</v>
      </c>
      <c r="E90" s="3">
        <f>((1/(INDEX(E0!J$4:J$73,C90,1)-INDEX(E0!J$4:J$73,D90,1))))*100000000</f>
        <v>0</v>
      </c>
      <c r="F90" s="4" t="str">
        <f>HYPERLINK("http://141.218.60.56/~jnz1568/getInfo.php?workbook=16_15.xlsx&amp;sheet=A0&amp;row=90&amp;col=6&amp;number=111.66&amp;sourceID=54","111.66")</f>
        <v>111.66</v>
      </c>
      <c r="G90" s="4" t="str">
        <f>HYPERLINK("http://141.218.60.56/~jnz1568/getInfo.php?workbook=16_15.xlsx&amp;sheet=A0&amp;row=90&amp;col=7&amp;number=&amp;sourceID=54","")</f>
        <v/>
      </c>
      <c r="H90" s="4" t="str">
        <f>HYPERLINK("http://141.218.60.56/~jnz1568/getInfo.php?workbook=16_15.xlsx&amp;sheet=A0&amp;row=90&amp;col=8&amp;number=&amp;sourceID=54","")</f>
        <v/>
      </c>
      <c r="I90" s="4" t="str">
        <f>HYPERLINK("http://141.218.60.56/~jnz1568/getInfo.php?workbook=16_15.xlsx&amp;sheet=A0&amp;row=90&amp;col=9&amp;number=556.13&amp;sourceID=54","556.13")</f>
        <v>556.13</v>
      </c>
      <c r="J90" s="4" t="str">
        <f>HYPERLINK("http://141.218.60.56/~jnz1568/getInfo.php?workbook=16_15.xlsx&amp;sheet=A0&amp;row=90&amp;col=10&amp;number=&amp;sourceID=54","")</f>
        <v/>
      </c>
      <c r="K90" s="4" t="str">
        <f>HYPERLINK("http://141.218.60.56/~jnz1568/getInfo.php?workbook=16_15.xlsx&amp;sheet=A0&amp;row=90&amp;col=11&amp;number=&amp;sourceID=54","")</f>
        <v/>
      </c>
      <c r="L90" s="4" t="str">
        <f>HYPERLINK("http://141.218.60.56/~jnz1568/getInfo.php?workbook=16_15.xlsx&amp;sheet=A0&amp;row=90&amp;col=12&amp;number=627.99972035&amp;sourceID=53","627.99972035")</f>
        <v>627.99972035</v>
      </c>
      <c r="M90" s="4" t="str">
        <f>HYPERLINK("http://141.218.60.56/~jnz1568/getInfo.php?workbook=16_15.xlsx&amp;sheet=A0&amp;row=90&amp;col=13&amp;number=&amp;sourceID=53","")</f>
        <v/>
      </c>
      <c r="N90" s="4" t="str">
        <f>HYPERLINK("http://141.218.60.56/~jnz1568/getInfo.php?workbook=16_15.xlsx&amp;sheet=A0&amp;row=90&amp;col=14&amp;number=&amp;sourceID=53","")</f>
        <v/>
      </c>
      <c r="O90" s="4" t="str">
        <f>HYPERLINK("http://141.218.60.56/~jnz1568/getInfo.php?workbook=16_15.xlsx&amp;sheet=A0&amp;row=90&amp;col=15&amp;number=&amp;sourceID=55","")</f>
        <v/>
      </c>
      <c r="P90" s="4" t="str">
        <f>HYPERLINK("http://141.218.60.56/~jnz1568/getInfo.php?workbook=16_15.xlsx&amp;sheet=A0&amp;row=90&amp;col=16&amp;number=&amp;sourceID=55","")</f>
        <v/>
      </c>
      <c r="Q90" s="4" t="str">
        <f>HYPERLINK("http://141.218.60.56/~jnz1568/getInfo.php?workbook=16_15.xlsx&amp;sheet=A0&amp;row=90&amp;col=17&amp;number=&amp;sourceID=56","")</f>
        <v/>
      </c>
      <c r="R90" s="4" t="str">
        <f>HYPERLINK("http://141.218.60.56/~jnz1568/getInfo.php?workbook=16_15.xlsx&amp;sheet=A0&amp;row=90&amp;col=18&amp;number=&amp;sourceID=56","")</f>
        <v/>
      </c>
      <c r="S90" s="4" t="str">
        <f>HYPERLINK("http://141.218.60.56/~jnz1568/getInfo.php?workbook=16_15.xlsx&amp;sheet=A0&amp;row=90&amp;col=19&amp;number=&amp;sourceID=57","")</f>
        <v/>
      </c>
      <c r="T90" s="4" t="str">
        <f>HYPERLINK("http://141.218.60.56/~jnz1568/getInfo.php?workbook=16_15.xlsx&amp;sheet=A0&amp;row=90&amp;col=20&amp;number=&amp;sourceID=57","")</f>
        <v/>
      </c>
      <c r="U90" s="4" t="str">
        <f>HYPERLINK("http://141.218.60.56/~jnz1568/getInfo.php?workbook=16_15.xlsx&amp;sheet=A0&amp;row=90&amp;col=21&amp;number=&amp;sourceID=47","")</f>
        <v/>
      </c>
      <c r="V90" s="4" t="str">
        <f>HYPERLINK("http://141.218.60.56/~jnz1568/getInfo.php?workbook=16_15.xlsx&amp;sheet=A0&amp;row=90&amp;col=22&amp;number=&amp;sourceID=47","")</f>
        <v/>
      </c>
    </row>
    <row r="91" spans="1:22">
      <c r="A91" s="3">
        <v>16</v>
      </c>
      <c r="B91" s="3">
        <v>15</v>
      </c>
      <c r="C91" s="3">
        <v>15</v>
      </c>
      <c r="D91" s="3">
        <v>2</v>
      </c>
      <c r="E91" s="3">
        <f>((1/(INDEX(E0!J$4:J$73,C91,1)-INDEX(E0!J$4:J$73,D91,1))))*100000000</f>
        <v>0</v>
      </c>
      <c r="F91" s="4" t="str">
        <f>HYPERLINK("http://141.218.60.56/~jnz1568/getInfo.php?workbook=16_15.xlsx&amp;sheet=A0&amp;row=91&amp;col=6&amp;number=135570&amp;sourceID=54","135570")</f>
        <v>135570</v>
      </c>
      <c r="G91" s="4" t="str">
        <f>HYPERLINK("http://141.218.60.56/~jnz1568/getInfo.php?workbook=16_15.xlsx&amp;sheet=A0&amp;row=91&amp;col=7&amp;number=&amp;sourceID=54","")</f>
        <v/>
      </c>
      <c r="H91" s="4" t="str">
        <f>HYPERLINK("http://141.218.60.56/~jnz1568/getInfo.php?workbook=16_15.xlsx&amp;sheet=A0&amp;row=91&amp;col=8&amp;number=&amp;sourceID=54","")</f>
        <v/>
      </c>
      <c r="I91" s="4" t="str">
        <f>HYPERLINK("http://141.218.60.56/~jnz1568/getInfo.php?workbook=16_15.xlsx&amp;sheet=A0&amp;row=91&amp;col=9&amp;number=138450&amp;sourceID=54","138450")</f>
        <v>138450</v>
      </c>
      <c r="J91" s="4" t="str">
        <f>HYPERLINK("http://141.218.60.56/~jnz1568/getInfo.php?workbook=16_15.xlsx&amp;sheet=A0&amp;row=91&amp;col=10&amp;number=&amp;sourceID=54","")</f>
        <v/>
      </c>
      <c r="K91" s="4" t="str">
        <f>HYPERLINK("http://141.218.60.56/~jnz1568/getInfo.php?workbook=16_15.xlsx&amp;sheet=A0&amp;row=91&amp;col=11&amp;number=&amp;sourceID=54","")</f>
        <v/>
      </c>
      <c r="L91" s="4" t="str">
        <f>HYPERLINK("http://141.218.60.56/~jnz1568/getInfo.php?workbook=16_15.xlsx&amp;sheet=A0&amp;row=91&amp;col=12&amp;number=159265.292531&amp;sourceID=53","159265.292531")</f>
        <v>159265.292531</v>
      </c>
      <c r="M91" s="4" t="str">
        <f>HYPERLINK("http://141.218.60.56/~jnz1568/getInfo.php?workbook=16_15.xlsx&amp;sheet=A0&amp;row=91&amp;col=13&amp;number=&amp;sourceID=53","")</f>
        <v/>
      </c>
      <c r="N91" s="4" t="str">
        <f>HYPERLINK("http://141.218.60.56/~jnz1568/getInfo.php?workbook=16_15.xlsx&amp;sheet=A0&amp;row=91&amp;col=14&amp;number=&amp;sourceID=53","")</f>
        <v/>
      </c>
      <c r="O91" s="4" t="str">
        <f>HYPERLINK("http://141.218.60.56/~jnz1568/getInfo.php?workbook=16_15.xlsx&amp;sheet=A0&amp;row=91&amp;col=15&amp;number=&amp;sourceID=55","")</f>
        <v/>
      </c>
      <c r="P91" s="4" t="str">
        <f>HYPERLINK("http://141.218.60.56/~jnz1568/getInfo.php?workbook=16_15.xlsx&amp;sheet=A0&amp;row=91&amp;col=16&amp;number=&amp;sourceID=55","")</f>
        <v/>
      </c>
      <c r="Q91" s="4" t="str">
        <f>HYPERLINK("http://141.218.60.56/~jnz1568/getInfo.php?workbook=16_15.xlsx&amp;sheet=A0&amp;row=91&amp;col=17&amp;number=&amp;sourceID=56","")</f>
        <v/>
      </c>
      <c r="R91" s="4" t="str">
        <f>HYPERLINK("http://141.218.60.56/~jnz1568/getInfo.php?workbook=16_15.xlsx&amp;sheet=A0&amp;row=91&amp;col=18&amp;number=&amp;sourceID=56","")</f>
        <v/>
      </c>
      <c r="S91" s="4" t="str">
        <f>HYPERLINK("http://141.218.60.56/~jnz1568/getInfo.php?workbook=16_15.xlsx&amp;sheet=A0&amp;row=91&amp;col=19&amp;number=&amp;sourceID=57","")</f>
        <v/>
      </c>
      <c r="T91" s="4" t="str">
        <f>HYPERLINK("http://141.218.60.56/~jnz1568/getInfo.php?workbook=16_15.xlsx&amp;sheet=A0&amp;row=91&amp;col=20&amp;number=&amp;sourceID=57","")</f>
        <v/>
      </c>
      <c r="U91" s="4" t="str">
        <f>HYPERLINK("http://141.218.60.56/~jnz1568/getInfo.php?workbook=16_15.xlsx&amp;sheet=A0&amp;row=91&amp;col=21&amp;number=&amp;sourceID=47","")</f>
        <v/>
      </c>
      <c r="V91" s="4" t="str">
        <f>HYPERLINK("http://141.218.60.56/~jnz1568/getInfo.php?workbook=16_15.xlsx&amp;sheet=A0&amp;row=91&amp;col=22&amp;number=&amp;sourceID=47","")</f>
        <v/>
      </c>
    </row>
    <row r="92" spans="1:22">
      <c r="A92" s="3">
        <v>16</v>
      </c>
      <c r="B92" s="3">
        <v>15</v>
      </c>
      <c r="C92" s="3">
        <v>15</v>
      </c>
      <c r="D92" s="3">
        <v>3</v>
      </c>
      <c r="E92" s="3">
        <f>((1/(INDEX(E0!J$4:J$73,C92,1)-INDEX(E0!J$4:J$73,D92,1))))*100000000</f>
        <v>0</v>
      </c>
      <c r="F92" s="4" t="str">
        <f>HYPERLINK("http://141.218.60.56/~jnz1568/getInfo.php?workbook=16_15.xlsx&amp;sheet=A0&amp;row=92&amp;col=6&amp;number=9058.6&amp;sourceID=54","9058.6")</f>
        <v>9058.6</v>
      </c>
      <c r="G92" s="4" t="str">
        <f>HYPERLINK("http://141.218.60.56/~jnz1568/getInfo.php?workbook=16_15.xlsx&amp;sheet=A0&amp;row=92&amp;col=7&amp;number=&amp;sourceID=54","")</f>
        <v/>
      </c>
      <c r="H92" s="4" t="str">
        <f>HYPERLINK("http://141.218.60.56/~jnz1568/getInfo.php?workbook=16_15.xlsx&amp;sheet=A0&amp;row=92&amp;col=8&amp;number=&amp;sourceID=54","")</f>
        <v/>
      </c>
      <c r="I92" s="4" t="str">
        <f>HYPERLINK("http://141.218.60.56/~jnz1568/getInfo.php?workbook=16_15.xlsx&amp;sheet=A0&amp;row=92&amp;col=9&amp;number=8920.7&amp;sourceID=54","8920.7")</f>
        <v>8920.7</v>
      </c>
      <c r="J92" s="4" t="str">
        <f>HYPERLINK("http://141.218.60.56/~jnz1568/getInfo.php?workbook=16_15.xlsx&amp;sheet=A0&amp;row=92&amp;col=10&amp;number=&amp;sourceID=54","")</f>
        <v/>
      </c>
      <c r="K92" s="4" t="str">
        <f>HYPERLINK("http://141.218.60.56/~jnz1568/getInfo.php?workbook=16_15.xlsx&amp;sheet=A0&amp;row=92&amp;col=11&amp;number=&amp;sourceID=54","")</f>
        <v/>
      </c>
      <c r="L92" s="4" t="str">
        <f>HYPERLINK("http://141.218.60.56/~jnz1568/getInfo.php?workbook=16_15.xlsx&amp;sheet=A0&amp;row=92&amp;col=12&amp;number=9642.78809999&amp;sourceID=53","9642.78809999")</f>
        <v>9642.78809999</v>
      </c>
      <c r="M92" s="4" t="str">
        <f>HYPERLINK("http://141.218.60.56/~jnz1568/getInfo.php?workbook=16_15.xlsx&amp;sheet=A0&amp;row=92&amp;col=13&amp;number=&amp;sourceID=53","")</f>
        <v/>
      </c>
      <c r="N92" s="4" t="str">
        <f>HYPERLINK("http://141.218.60.56/~jnz1568/getInfo.php?workbook=16_15.xlsx&amp;sheet=A0&amp;row=92&amp;col=14&amp;number=&amp;sourceID=53","")</f>
        <v/>
      </c>
      <c r="O92" s="4" t="str">
        <f>HYPERLINK("http://141.218.60.56/~jnz1568/getInfo.php?workbook=16_15.xlsx&amp;sheet=A0&amp;row=92&amp;col=15&amp;number=&amp;sourceID=55","")</f>
        <v/>
      </c>
      <c r="P92" s="4" t="str">
        <f>HYPERLINK("http://141.218.60.56/~jnz1568/getInfo.php?workbook=16_15.xlsx&amp;sheet=A0&amp;row=92&amp;col=16&amp;number=&amp;sourceID=55","")</f>
        <v/>
      </c>
      <c r="Q92" s="4" t="str">
        <f>HYPERLINK("http://141.218.60.56/~jnz1568/getInfo.php?workbook=16_15.xlsx&amp;sheet=A0&amp;row=92&amp;col=17&amp;number=&amp;sourceID=56","")</f>
        <v/>
      </c>
      <c r="R92" s="4" t="str">
        <f>HYPERLINK("http://141.218.60.56/~jnz1568/getInfo.php?workbook=16_15.xlsx&amp;sheet=A0&amp;row=92&amp;col=18&amp;number=&amp;sourceID=56","")</f>
        <v/>
      </c>
      <c r="S92" s="4" t="str">
        <f>HYPERLINK("http://141.218.60.56/~jnz1568/getInfo.php?workbook=16_15.xlsx&amp;sheet=A0&amp;row=92&amp;col=19&amp;number=&amp;sourceID=57","")</f>
        <v/>
      </c>
      <c r="T92" s="4" t="str">
        <f>HYPERLINK("http://141.218.60.56/~jnz1568/getInfo.php?workbook=16_15.xlsx&amp;sheet=A0&amp;row=92&amp;col=20&amp;number=&amp;sourceID=57","")</f>
        <v/>
      </c>
      <c r="U92" s="4" t="str">
        <f>HYPERLINK("http://141.218.60.56/~jnz1568/getInfo.php?workbook=16_15.xlsx&amp;sheet=A0&amp;row=92&amp;col=21&amp;number=&amp;sourceID=47","")</f>
        <v/>
      </c>
      <c r="V92" s="4" t="str">
        <f>HYPERLINK("http://141.218.60.56/~jnz1568/getInfo.php?workbook=16_15.xlsx&amp;sheet=A0&amp;row=92&amp;col=22&amp;number=&amp;sourceID=47","")</f>
        <v/>
      </c>
    </row>
    <row r="93" spans="1:22">
      <c r="A93" s="3">
        <v>16</v>
      </c>
      <c r="B93" s="3">
        <v>15</v>
      </c>
      <c r="C93" s="3">
        <v>15</v>
      </c>
      <c r="D93" s="3">
        <v>4</v>
      </c>
      <c r="E93" s="3">
        <f>((1/(INDEX(E0!J$4:J$73,C93,1)-INDEX(E0!J$4:J$73,D93,1))))*100000000</f>
        <v>0</v>
      </c>
      <c r="F93" s="4" t="str">
        <f>HYPERLINK("http://141.218.60.56/~jnz1568/getInfo.php?workbook=16_15.xlsx&amp;sheet=A0&amp;row=93&amp;col=6&amp;number=17718&amp;sourceID=54","17718")</f>
        <v>17718</v>
      </c>
      <c r="G93" s="4" t="str">
        <f>HYPERLINK("http://141.218.60.56/~jnz1568/getInfo.php?workbook=16_15.xlsx&amp;sheet=A0&amp;row=93&amp;col=7&amp;number=&amp;sourceID=54","")</f>
        <v/>
      </c>
      <c r="H93" s="4" t="str">
        <f>HYPERLINK("http://141.218.60.56/~jnz1568/getInfo.php?workbook=16_15.xlsx&amp;sheet=A0&amp;row=93&amp;col=8&amp;number=&amp;sourceID=54","")</f>
        <v/>
      </c>
      <c r="I93" s="4" t="str">
        <f>HYPERLINK("http://141.218.60.56/~jnz1568/getInfo.php?workbook=16_15.xlsx&amp;sheet=A0&amp;row=93&amp;col=9&amp;number=18100&amp;sourceID=54","18100")</f>
        <v>18100</v>
      </c>
      <c r="J93" s="4" t="str">
        <f>HYPERLINK("http://141.218.60.56/~jnz1568/getInfo.php?workbook=16_15.xlsx&amp;sheet=A0&amp;row=93&amp;col=10&amp;number=&amp;sourceID=54","")</f>
        <v/>
      </c>
      <c r="K93" s="4" t="str">
        <f>HYPERLINK("http://141.218.60.56/~jnz1568/getInfo.php?workbook=16_15.xlsx&amp;sheet=A0&amp;row=93&amp;col=11&amp;number=&amp;sourceID=54","")</f>
        <v/>
      </c>
      <c r="L93" s="4" t="str">
        <f>HYPERLINK("http://141.218.60.56/~jnz1568/getInfo.php?workbook=16_15.xlsx&amp;sheet=A0&amp;row=93&amp;col=12&amp;number=36921.5611158&amp;sourceID=53","36921.5611158")</f>
        <v>36921.5611158</v>
      </c>
      <c r="M93" s="4" t="str">
        <f>HYPERLINK("http://141.218.60.56/~jnz1568/getInfo.php?workbook=16_15.xlsx&amp;sheet=A0&amp;row=93&amp;col=13&amp;number=&amp;sourceID=53","")</f>
        <v/>
      </c>
      <c r="N93" s="4" t="str">
        <f>HYPERLINK("http://141.218.60.56/~jnz1568/getInfo.php?workbook=16_15.xlsx&amp;sheet=A0&amp;row=93&amp;col=14&amp;number=&amp;sourceID=53","")</f>
        <v/>
      </c>
      <c r="O93" s="4" t="str">
        <f>HYPERLINK("http://141.218.60.56/~jnz1568/getInfo.php?workbook=16_15.xlsx&amp;sheet=A0&amp;row=93&amp;col=15&amp;number=&amp;sourceID=55","")</f>
        <v/>
      </c>
      <c r="P93" s="4" t="str">
        <f>HYPERLINK("http://141.218.60.56/~jnz1568/getInfo.php?workbook=16_15.xlsx&amp;sheet=A0&amp;row=93&amp;col=16&amp;number=&amp;sourceID=55","")</f>
        <v/>
      </c>
      <c r="Q93" s="4" t="str">
        <f>HYPERLINK("http://141.218.60.56/~jnz1568/getInfo.php?workbook=16_15.xlsx&amp;sheet=A0&amp;row=93&amp;col=17&amp;number=&amp;sourceID=56","")</f>
        <v/>
      </c>
      <c r="R93" s="4" t="str">
        <f>HYPERLINK("http://141.218.60.56/~jnz1568/getInfo.php?workbook=16_15.xlsx&amp;sheet=A0&amp;row=93&amp;col=18&amp;number=&amp;sourceID=56","")</f>
        <v/>
      </c>
      <c r="S93" s="4" t="str">
        <f>HYPERLINK("http://141.218.60.56/~jnz1568/getInfo.php?workbook=16_15.xlsx&amp;sheet=A0&amp;row=93&amp;col=19&amp;number=&amp;sourceID=57","")</f>
        <v/>
      </c>
      <c r="T93" s="4" t="str">
        <f>HYPERLINK("http://141.218.60.56/~jnz1568/getInfo.php?workbook=16_15.xlsx&amp;sheet=A0&amp;row=93&amp;col=20&amp;number=&amp;sourceID=57","")</f>
        <v/>
      </c>
      <c r="U93" s="4" t="str">
        <f>HYPERLINK("http://141.218.60.56/~jnz1568/getInfo.php?workbook=16_15.xlsx&amp;sheet=A0&amp;row=93&amp;col=21&amp;number=&amp;sourceID=47","")</f>
        <v/>
      </c>
      <c r="V93" s="4" t="str">
        <f>HYPERLINK("http://141.218.60.56/~jnz1568/getInfo.php?workbook=16_15.xlsx&amp;sheet=A0&amp;row=93&amp;col=22&amp;number=&amp;sourceID=47","")</f>
        <v/>
      </c>
    </row>
    <row r="94" spans="1:22">
      <c r="A94" s="3">
        <v>16</v>
      </c>
      <c r="B94" s="3">
        <v>15</v>
      </c>
      <c r="C94" s="3">
        <v>15</v>
      </c>
      <c r="D94" s="3">
        <v>5</v>
      </c>
      <c r="E94" s="3">
        <f>((1/(INDEX(E0!J$4:J$73,C94,1)-INDEX(E0!J$4:J$73,D94,1))))*100000000</f>
        <v>0</v>
      </c>
      <c r="F94" s="4" t="str">
        <f>HYPERLINK("http://141.218.60.56/~jnz1568/getInfo.php?workbook=16_15.xlsx&amp;sheet=A0&amp;row=94&amp;col=6&amp;number=1660.4&amp;sourceID=54","1660.4")</f>
        <v>1660.4</v>
      </c>
      <c r="G94" s="4" t="str">
        <f>HYPERLINK("http://141.218.60.56/~jnz1568/getInfo.php?workbook=16_15.xlsx&amp;sheet=A0&amp;row=94&amp;col=7&amp;number=&amp;sourceID=54","")</f>
        <v/>
      </c>
      <c r="H94" s="4" t="str">
        <f>HYPERLINK("http://141.218.60.56/~jnz1568/getInfo.php?workbook=16_15.xlsx&amp;sheet=A0&amp;row=94&amp;col=8&amp;number=&amp;sourceID=54","")</f>
        <v/>
      </c>
      <c r="I94" s="4" t="str">
        <f>HYPERLINK("http://141.218.60.56/~jnz1568/getInfo.php?workbook=16_15.xlsx&amp;sheet=A0&amp;row=94&amp;col=9&amp;number=1651.3&amp;sourceID=54","1651.3")</f>
        <v>1651.3</v>
      </c>
      <c r="J94" s="4" t="str">
        <f>HYPERLINK("http://141.218.60.56/~jnz1568/getInfo.php?workbook=16_15.xlsx&amp;sheet=A0&amp;row=94&amp;col=10&amp;number=&amp;sourceID=54","")</f>
        <v/>
      </c>
      <c r="K94" s="4" t="str">
        <f>HYPERLINK("http://141.218.60.56/~jnz1568/getInfo.php?workbook=16_15.xlsx&amp;sheet=A0&amp;row=94&amp;col=11&amp;number=&amp;sourceID=54","")</f>
        <v/>
      </c>
      <c r="L94" s="4" t="str">
        <f>HYPERLINK("http://141.218.60.56/~jnz1568/getInfo.php?workbook=16_15.xlsx&amp;sheet=A0&amp;row=94&amp;col=12&amp;number=4512.31797319&amp;sourceID=53","4512.31797319")</f>
        <v>4512.31797319</v>
      </c>
      <c r="M94" s="4" t="str">
        <f>HYPERLINK("http://141.218.60.56/~jnz1568/getInfo.php?workbook=16_15.xlsx&amp;sheet=A0&amp;row=94&amp;col=13&amp;number=&amp;sourceID=53","")</f>
        <v/>
      </c>
      <c r="N94" s="4" t="str">
        <f>HYPERLINK("http://141.218.60.56/~jnz1568/getInfo.php?workbook=16_15.xlsx&amp;sheet=A0&amp;row=94&amp;col=14&amp;number=&amp;sourceID=53","")</f>
        <v/>
      </c>
      <c r="O94" s="4" t="str">
        <f>HYPERLINK("http://141.218.60.56/~jnz1568/getInfo.php?workbook=16_15.xlsx&amp;sheet=A0&amp;row=94&amp;col=15&amp;number=&amp;sourceID=55","")</f>
        <v/>
      </c>
      <c r="P94" s="4" t="str">
        <f>HYPERLINK("http://141.218.60.56/~jnz1568/getInfo.php?workbook=16_15.xlsx&amp;sheet=A0&amp;row=94&amp;col=16&amp;number=&amp;sourceID=55","")</f>
        <v/>
      </c>
      <c r="Q94" s="4" t="str">
        <f>HYPERLINK("http://141.218.60.56/~jnz1568/getInfo.php?workbook=16_15.xlsx&amp;sheet=A0&amp;row=94&amp;col=17&amp;number=&amp;sourceID=56","")</f>
        <v/>
      </c>
      <c r="R94" s="4" t="str">
        <f>HYPERLINK("http://141.218.60.56/~jnz1568/getInfo.php?workbook=16_15.xlsx&amp;sheet=A0&amp;row=94&amp;col=18&amp;number=&amp;sourceID=56","")</f>
        <v/>
      </c>
      <c r="S94" s="4" t="str">
        <f>HYPERLINK("http://141.218.60.56/~jnz1568/getInfo.php?workbook=16_15.xlsx&amp;sheet=A0&amp;row=94&amp;col=19&amp;number=&amp;sourceID=57","")</f>
        <v/>
      </c>
      <c r="T94" s="4" t="str">
        <f>HYPERLINK("http://141.218.60.56/~jnz1568/getInfo.php?workbook=16_15.xlsx&amp;sheet=A0&amp;row=94&amp;col=20&amp;number=&amp;sourceID=57","")</f>
        <v/>
      </c>
      <c r="U94" s="4" t="str">
        <f>HYPERLINK("http://141.218.60.56/~jnz1568/getInfo.php?workbook=16_15.xlsx&amp;sheet=A0&amp;row=94&amp;col=21&amp;number=&amp;sourceID=47","")</f>
        <v/>
      </c>
      <c r="V94" s="4" t="str">
        <f>HYPERLINK("http://141.218.60.56/~jnz1568/getInfo.php?workbook=16_15.xlsx&amp;sheet=A0&amp;row=94&amp;col=22&amp;number=&amp;sourceID=47","")</f>
        <v/>
      </c>
    </row>
    <row r="95" spans="1:22">
      <c r="A95" s="3">
        <v>16</v>
      </c>
      <c r="B95" s="3">
        <v>15</v>
      </c>
      <c r="C95" s="3">
        <v>15</v>
      </c>
      <c r="D95" s="3">
        <v>6</v>
      </c>
      <c r="E95" s="3">
        <f>((1/(INDEX(E0!J$4:J$73,C95,1)-INDEX(E0!J$4:J$73,D95,1))))*100000000</f>
        <v>0</v>
      </c>
      <c r="F95" s="4" t="str">
        <f>HYPERLINK("http://141.218.60.56/~jnz1568/getInfo.php?workbook=16_15.xlsx&amp;sheet=A0&amp;row=95&amp;col=6&amp;number=&amp;sourceID=54","")</f>
        <v/>
      </c>
      <c r="G95" s="4" t="str">
        <f>HYPERLINK("http://141.218.60.56/~jnz1568/getInfo.php?workbook=16_15.xlsx&amp;sheet=A0&amp;row=95&amp;col=7&amp;number=0.0067851&amp;sourceID=54","0.0067851")</f>
        <v>0.0067851</v>
      </c>
      <c r="H95" s="4" t="str">
        <f>HYPERLINK("http://141.218.60.56/~jnz1568/getInfo.php?workbook=16_15.xlsx&amp;sheet=A0&amp;row=95&amp;col=8&amp;number=1.9225e-05&amp;sourceID=54","1.9225e-05")</f>
        <v>1.9225e-05</v>
      </c>
      <c r="I95" s="4" t="str">
        <f>HYPERLINK("http://141.218.60.56/~jnz1568/getInfo.php?workbook=16_15.xlsx&amp;sheet=A0&amp;row=95&amp;col=9&amp;number=&amp;sourceID=54","")</f>
        <v/>
      </c>
      <c r="J95" s="4" t="str">
        <f>HYPERLINK("http://141.218.60.56/~jnz1568/getInfo.php?workbook=16_15.xlsx&amp;sheet=A0&amp;row=95&amp;col=10&amp;number=0.0063986&amp;sourceID=54","0.0063986")</f>
        <v>0.0063986</v>
      </c>
      <c r="K95" s="4" t="str">
        <f>HYPERLINK("http://141.218.60.56/~jnz1568/getInfo.php?workbook=16_15.xlsx&amp;sheet=A0&amp;row=95&amp;col=11&amp;number=1.8456e-05&amp;sourceID=54","1.8456e-05")</f>
        <v>1.8456e-05</v>
      </c>
      <c r="L95" s="4" t="str">
        <f>HYPERLINK("http://141.218.60.56/~jnz1568/getInfo.php?workbook=16_15.xlsx&amp;sheet=A0&amp;row=95&amp;col=12&amp;number=&amp;sourceID=53","")</f>
        <v/>
      </c>
      <c r="M95" s="4" t="str">
        <f>HYPERLINK("http://141.218.60.56/~jnz1568/getInfo.php?workbook=16_15.xlsx&amp;sheet=A0&amp;row=95&amp;col=13&amp;number=&amp;sourceID=53","")</f>
        <v/>
      </c>
      <c r="N95" s="4" t="str">
        <f>HYPERLINK("http://141.218.60.56/~jnz1568/getInfo.php?workbook=16_15.xlsx&amp;sheet=A0&amp;row=95&amp;col=14&amp;number=&amp;sourceID=53","")</f>
        <v/>
      </c>
      <c r="O95" s="4" t="str">
        <f>HYPERLINK("http://141.218.60.56/~jnz1568/getInfo.php?workbook=16_15.xlsx&amp;sheet=A0&amp;row=95&amp;col=15&amp;number=&amp;sourceID=55","")</f>
        <v/>
      </c>
      <c r="P95" s="4" t="str">
        <f>HYPERLINK("http://141.218.60.56/~jnz1568/getInfo.php?workbook=16_15.xlsx&amp;sheet=A0&amp;row=95&amp;col=16&amp;number=&amp;sourceID=55","")</f>
        <v/>
      </c>
      <c r="Q95" s="4" t="str">
        <f>HYPERLINK("http://141.218.60.56/~jnz1568/getInfo.php?workbook=16_15.xlsx&amp;sheet=A0&amp;row=95&amp;col=17&amp;number=&amp;sourceID=56","")</f>
        <v/>
      </c>
      <c r="R95" s="4" t="str">
        <f>HYPERLINK("http://141.218.60.56/~jnz1568/getInfo.php?workbook=16_15.xlsx&amp;sheet=A0&amp;row=95&amp;col=18&amp;number=&amp;sourceID=56","")</f>
        <v/>
      </c>
      <c r="S95" s="4" t="str">
        <f>HYPERLINK("http://141.218.60.56/~jnz1568/getInfo.php?workbook=16_15.xlsx&amp;sheet=A0&amp;row=95&amp;col=19&amp;number=&amp;sourceID=57","")</f>
        <v/>
      </c>
      <c r="T95" s="4" t="str">
        <f>HYPERLINK("http://141.218.60.56/~jnz1568/getInfo.php?workbook=16_15.xlsx&amp;sheet=A0&amp;row=95&amp;col=20&amp;number=&amp;sourceID=57","")</f>
        <v/>
      </c>
      <c r="U95" s="4" t="str">
        <f>HYPERLINK("http://141.218.60.56/~jnz1568/getInfo.php?workbook=16_15.xlsx&amp;sheet=A0&amp;row=95&amp;col=21&amp;number=&amp;sourceID=47","")</f>
        <v/>
      </c>
      <c r="V95" s="4" t="str">
        <f>HYPERLINK("http://141.218.60.56/~jnz1568/getInfo.php?workbook=16_15.xlsx&amp;sheet=A0&amp;row=95&amp;col=22&amp;number=&amp;sourceID=47","")</f>
        <v/>
      </c>
    </row>
    <row r="96" spans="1:22">
      <c r="A96" s="3">
        <v>16</v>
      </c>
      <c r="B96" s="3">
        <v>15</v>
      </c>
      <c r="C96" s="3">
        <v>15</v>
      </c>
      <c r="D96" s="3">
        <v>7</v>
      </c>
      <c r="E96" s="3">
        <f>((1/(INDEX(E0!J$4:J$73,C96,1)-INDEX(E0!J$4:J$73,D96,1))))*100000000</f>
        <v>0</v>
      </c>
      <c r="F96" s="4" t="str">
        <f>HYPERLINK("http://141.218.60.56/~jnz1568/getInfo.php?workbook=16_15.xlsx&amp;sheet=A0&amp;row=96&amp;col=6&amp;number=&amp;sourceID=54","")</f>
        <v/>
      </c>
      <c r="G96" s="4" t="str">
        <f>HYPERLINK("http://141.218.60.56/~jnz1568/getInfo.php?workbook=16_15.xlsx&amp;sheet=A0&amp;row=96&amp;col=7&amp;number=0.14796&amp;sourceID=54","0.14796")</f>
        <v>0.14796</v>
      </c>
      <c r="H96" s="4" t="str">
        <f>HYPERLINK("http://141.218.60.56/~jnz1568/getInfo.php?workbook=16_15.xlsx&amp;sheet=A0&amp;row=96&amp;col=8&amp;number=4.2852e-05&amp;sourceID=54","4.2852e-05")</f>
        <v>4.2852e-05</v>
      </c>
      <c r="I96" s="4" t="str">
        <f>HYPERLINK("http://141.218.60.56/~jnz1568/getInfo.php?workbook=16_15.xlsx&amp;sheet=A0&amp;row=96&amp;col=9&amp;number=&amp;sourceID=54","")</f>
        <v/>
      </c>
      <c r="J96" s="4" t="str">
        <f>HYPERLINK("http://141.218.60.56/~jnz1568/getInfo.php?workbook=16_15.xlsx&amp;sheet=A0&amp;row=96&amp;col=10&amp;number=0.12828&amp;sourceID=54","0.12828")</f>
        <v>0.12828</v>
      </c>
      <c r="K96" s="4" t="str">
        <f>HYPERLINK("http://141.218.60.56/~jnz1568/getInfo.php?workbook=16_15.xlsx&amp;sheet=A0&amp;row=96&amp;col=11&amp;number=3.9121e-05&amp;sourceID=54","3.9121e-05")</f>
        <v>3.9121e-05</v>
      </c>
      <c r="L96" s="4" t="str">
        <f>HYPERLINK("http://141.218.60.56/~jnz1568/getInfo.php?workbook=16_15.xlsx&amp;sheet=A0&amp;row=96&amp;col=12&amp;number=&amp;sourceID=53","")</f>
        <v/>
      </c>
      <c r="M96" s="4" t="str">
        <f>HYPERLINK("http://141.218.60.56/~jnz1568/getInfo.php?workbook=16_15.xlsx&amp;sheet=A0&amp;row=96&amp;col=13&amp;number=&amp;sourceID=53","")</f>
        <v/>
      </c>
      <c r="N96" s="4" t="str">
        <f>HYPERLINK("http://141.218.60.56/~jnz1568/getInfo.php?workbook=16_15.xlsx&amp;sheet=A0&amp;row=96&amp;col=14&amp;number=&amp;sourceID=53","")</f>
        <v/>
      </c>
      <c r="O96" s="4" t="str">
        <f>HYPERLINK("http://141.218.60.56/~jnz1568/getInfo.php?workbook=16_15.xlsx&amp;sheet=A0&amp;row=96&amp;col=15&amp;number=&amp;sourceID=55","")</f>
        <v/>
      </c>
      <c r="P96" s="4" t="str">
        <f>HYPERLINK("http://141.218.60.56/~jnz1568/getInfo.php?workbook=16_15.xlsx&amp;sheet=A0&amp;row=96&amp;col=16&amp;number=&amp;sourceID=55","")</f>
        <v/>
      </c>
      <c r="Q96" s="4" t="str">
        <f>HYPERLINK("http://141.218.60.56/~jnz1568/getInfo.php?workbook=16_15.xlsx&amp;sheet=A0&amp;row=96&amp;col=17&amp;number=&amp;sourceID=56","")</f>
        <v/>
      </c>
      <c r="R96" s="4" t="str">
        <f>HYPERLINK("http://141.218.60.56/~jnz1568/getInfo.php?workbook=16_15.xlsx&amp;sheet=A0&amp;row=96&amp;col=18&amp;number=&amp;sourceID=56","")</f>
        <v/>
      </c>
      <c r="S96" s="4" t="str">
        <f>HYPERLINK("http://141.218.60.56/~jnz1568/getInfo.php?workbook=16_15.xlsx&amp;sheet=A0&amp;row=96&amp;col=19&amp;number=&amp;sourceID=57","")</f>
        <v/>
      </c>
      <c r="T96" s="4" t="str">
        <f>HYPERLINK("http://141.218.60.56/~jnz1568/getInfo.php?workbook=16_15.xlsx&amp;sheet=A0&amp;row=96&amp;col=20&amp;number=&amp;sourceID=57","")</f>
        <v/>
      </c>
      <c r="U96" s="4" t="str">
        <f>HYPERLINK("http://141.218.60.56/~jnz1568/getInfo.php?workbook=16_15.xlsx&amp;sheet=A0&amp;row=96&amp;col=21&amp;number=&amp;sourceID=47","")</f>
        <v/>
      </c>
      <c r="V96" s="4" t="str">
        <f>HYPERLINK("http://141.218.60.56/~jnz1568/getInfo.php?workbook=16_15.xlsx&amp;sheet=A0&amp;row=96&amp;col=22&amp;number=&amp;sourceID=47","")</f>
        <v/>
      </c>
    </row>
    <row r="97" spans="1:22">
      <c r="A97" s="3">
        <v>16</v>
      </c>
      <c r="B97" s="3">
        <v>15</v>
      </c>
      <c r="C97" s="3">
        <v>15</v>
      </c>
      <c r="D97" s="3">
        <v>8</v>
      </c>
      <c r="E97" s="3">
        <f>((1/(INDEX(E0!J$4:J$73,C97,1)-INDEX(E0!J$4:J$73,D97,1))))*100000000</f>
        <v>0</v>
      </c>
      <c r="F97" s="4" t="str">
        <f>HYPERLINK("http://141.218.60.56/~jnz1568/getInfo.php?workbook=16_15.xlsx&amp;sheet=A0&amp;row=97&amp;col=6&amp;number=&amp;sourceID=54","")</f>
        <v/>
      </c>
      <c r="G97" s="4" t="str">
        <f>HYPERLINK("http://141.218.60.56/~jnz1568/getInfo.php?workbook=16_15.xlsx&amp;sheet=A0&amp;row=97&amp;col=7&amp;number=0.47248&amp;sourceID=54","0.47248")</f>
        <v>0.47248</v>
      </c>
      <c r="H97" s="4" t="str">
        <f>HYPERLINK("http://141.218.60.56/~jnz1568/getInfo.php?workbook=16_15.xlsx&amp;sheet=A0&amp;row=97&amp;col=8&amp;number=9.3126e-07&amp;sourceID=54","9.3126e-07")</f>
        <v>9.3126e-07</v>
      </c>
      <c r="I97" s="4" t="str">
        <f>HYPERLINK("http://141.218.60.56/~jnz1568/getInfo.php?workbook=16_15.xlsx&amp;sheet=A0&amp;row=97&amp;col=9&amp;number=&amp;sourceID=54","")</f>
        <v/>
      </c>
      <c r="J97" s="4" t="str">
        <f>HYPERLINK("http://141.218.60.56/~jnz1568/getInfo.php?workbook=16_15.xlsx&amp;sheet=A0&amp;row=97&amp;col=10&amp;number=0.41043&amp;sourceID=54","0.41043")</f>
        <v>0.41043</v>
      </c>
      <c r="K97" s="4" t="str">
        <f>HYPERLINK("http://141.218.60.56/~jnz1568/getInfo.php?workbook=16_15.xlsx&amp;sheet=A0&amp;row=97&amp;col=11&amp;number=7.8842e-07&amp;sourceID=54","7.8842e-07")</f>
        <v>7.8842e-07</v>
      </c>
      <c r="L97" s="4" t="str">
        <f>HYPERLINK("http://141.218.60.56/~jnz1568/getInfo.php?workbook=16_15.xlsx&amp;sheet=A0&amp;row=97&amp;col=12&amp;number=&amp;sourceID=53","")</f>
        <v/>
      </c>
      <c r="M97" s="4" t="str">
        <f>HYPERLINK("http://141.218.60.56/~jnz1568/getInfo.php?workbook=16_15.xlsx&amp;sheet=A0&amp;row=97&amp;col=13&amp;number=&amp;sourceID=53","")</f>
        <v/>
      </c>
      <c r="N97" s="4" t="str">
        <f>HYPERLINK("http://141.218.60.56/~jnz1568/getInfo.php?workbook=16_15.xlsx&amp;sheet=A0&amp;row=97&amp;col=14&amp;number=&amp;sourceID=53","")</f>
        <v/>
      </c>
      <c r="O97" s="4" t="str">
        <f>HYPERLINK("http://141.218.60.56/~jnz1568/getInfo.php?workbook=16_15.xlsx&amp;sheet=A0&amp;row=97&amp;col=15&amp;number=&amp;sourceID=55","")</f>
        <v/>
      </c>
      <c r="P97" s="4" t="str">
        <f>HYPERLINK("http://141.218.60.56/~jnz1568/getInfo.php?workbook=16_15.xlsx&amp;sheet=A0&amp;row=97&amp;col=16&amp;number=&amp;sourceID=55","")</f>
        <v/>
      </c>
      <c r="Q97" s="4" t="str">
        <f>HYPERLINK("http://141.218.60.56/~jnz1568/getInfo.php?workbook=16_15.xlsx&amp;sheet=A0&amp;row=97&amp;col=17&amp;number=&amp;sourceID=56","")</f>
        <v/>
      </c>
      <c r="R97" s="4" t="str">
        <f>HYPERLINK("http://141.218.60.56/~jnz1568/getInfo.php?workbook=16_15.xlsx&amp;sheet=A0&amp;row=97&amp;col=18&amp;number=&amp;sourceID=56","")</f>
        <v/>
      </c>
      <c r="S97" s="4" t="str">
        <f>HYPERLINK("http://141.218.60.56/~jnz1568/getInfo.php?workbook=16_15.xlsx&amp;sheet=A0&amp;row=97&amp;col=19&amp;number=&amp;sourceID=57","")</f>
        <v/>
      </c>
      <c r="T97" s="4" t="str">
        <f>HYPERLINK("http://141.218.60.56/~jnz1568/getInfo.php?workbook=16_15.xlsx&amp;sheet=A0&amp;row=97&amp;col=20&amp;number=&amp;sourceID=57","")</f>
        <v/>
      </c>
      <c r="U97" s="4" t="str">
        <f>HYPERLINK("http://141.218.60.56/~jnz1568/getInfo.php?workbook=16_15.xlsx&amp;sheet=A0&amp;row=97&amp;col=21&amp;number=&amp;sourceID=47","")</f>
        <v/>
      </c>
      <c r="V97" s="4" t="str">
        <f>HYPERLINK("http://141.218.60.56/~jnz1568/getInfo.php?workbook=16_15.xlsx&amp;sheet=A0&amp;row=97&amp;col=22&amp;number=&amp;sourceID=47","")</f>
        <v/>
      </c>
    </row>
    <row r="98" spans="1:22">
      <c r="A98" s="3">
        <v>16</v>
      </c>
      <c r="B98" s="3">
        <v>15</v>
      </c>
      <c r="C98" s="3">
        <v>15</v>
      </c>
      <c r="D98" s="3">
        <v>9</v>
      </c>
      <c r="E98" s="3">
        <f>((1/(INDEX(E0!J$4:J$73,C98,1)-INDEX(E0!J$4:J$73,D98,1))))*100000000</f>
        <v>0</v>
      </c>
      <c r="F98" s="4" t="str">
        <f>HYPERLINK("http://141.218.60.56/~jnz1568/getInfo.php?workbook=16_15.xlsx&amp;sheet=A0&amp;row=98&amp;col=6&amp;number=&amp;sourceID=54","")</f>
        <v/>
      </c>
      <c r="G98" s="4" t="str">
        <f>HYPERLINK("http://141.218.60.56/~jnz1568/getInfo.php?workbook=16_15.xlsx&amp;sheet=A0&amp;row=98&amp;col=7&amp;number=3.7786e-05&amp;sourceID=54","3.7786e-05")</f>
        <v>3.7786e-05</v>
      </c>
      <c r="H98" s="4" t="str">
        <f>HYPERLINK("http://141.218.60.56/~jnz1568/getInfo.php?workbook=16_15.xlsx&amp;sheet=A0&amp;row=98&amp;col=8&amp;number=0.016374&amp;sourceID=54","0.016374")</f>
        <v>0.016374</v>
      </c>
      <c r="I98" s="4" t="str">
        <f>HYPERLINK("http://141.218.60.56/~jnz1568/getInfo.php?workbook=16_15.xlsx&amp;sheet=A0&amp;row=98&amp;col=9&amp;number=&amp;sourceID=54","")</f>
        <v/>
      </c>
      <c r="J98" s="4" t="str">
        <f>HYPERLINK("http://141.218.60.56/~jnz1568/getInfo.php?workbook=16_15.xlsx&amp;sheet=A0&amp;row=98&amp;col=10&amp;number=3.3363e-05&amp;sourceID=54","3.3363e-05")</f>
        <v>3.3363e-05</v>
      </c>
      <c r="K98" s="4" t="str">
        <f>HYPERLINK("http://141.218.60.56/~jnz1568/getInfo.php?workbook=16_15.xlsx&amp;sheet=A0&amp;row=98&amp;col=11&amp;number=0.015471&amp;sourceID=54","0.015471")</f>
        <v>0.015471</v>
      </c>
      <c r="L98" s="4" t="str">
        <f>HYPERLINK("http://141.218.60.56/~jnz1568/getInfo.php?workbook=16_15.xlsx&amp;sheet=A0&amp;row=98&amp;col=12&amp;number=&amp;sourceID=53","")</f>
        <v/>
      </c>
      <c r="M98" s="4" t="str">
        <f>HYPERLINK("http://141.218.60.56/~jnz1568/getInfo.php?workbook=16_15.xlsx&amp;sheet=A0&amp;row=98&amp;col=13&amp;number=&amp;sourceID=53","")</f>
        <v/>
      </c>
      <c r="N98" s="4" t="str">
        <f>HYPERLINK("http://141.218.60.56/~jnz1568/getInfo.php?workbook=16_15.xlsx&amp;sheet=A0&amp;row=98&amp;col=14&amp;number=&amp;sourceID=53","")</f>
        <v/>
      </c>
      <c r="O98" s="4" t="str">
        <f>HYPERLINK("http://141.218.60.56/~jnz1568/getInfo.php?workbook=16_15.xlsx&amp;sheet=A0&amp;row=98&amp;col=15&amp;number=&amp;sourceID=55","")</f>
        <v/>
      </c>
      <c r="P98" s="4" t="str">
        <f>HYPERLINK("http://141.218.60.56/~jnz1568/getInfo.php?workbook=16_15.xlsx&amp;sheet=A0&amp;row=98&amp;col=16&amp;number=&amp;sourceID=55","")</f>
        <v/>
      </c>
      <c r="Q98" s="4" t="str">
        <f>HYPERLINK("http://141.218.60.56/~jnz1568/getInfo.php?workbook=16_15.xlsx&amp;sheet=A0&amp;row=98&amp;col=17&amp;number=&amp;sourceID=56","")</f>
        <v/>
      </c>
      <c r="R98" s="4" t="str">
        <f>HYPERLINK("http://141.218.60.56/~jnz1568/getInfo.php?workbook=16_15.xlsx&amp;sheet=A0&amp;row=98&amp;col=18&amp;number=&amp;sourceID=56","")</f>
        <v/>
      </c>
      <c r="S98" s="4" t="str">
        <f>HYPERLINK("http://141.218.60.56/~jnz1568/getInfo.php?workbook=16_15.xlsx&amp;sheet=A0&amp;row=98&amp;col=19&amp;number=&amp;sourceID=57","")</f>
        <v/>
      </c>
      <c r="T98" s="4" t="str">
        <f>HYPERLINK("http://141.218.60.56/~jnz1568/getInfo.php?workbook=16_15.xlsx&amp;sheet=A0&amp;row=98&amp;col=20&amp;number=&amp;sourceID=57","")</f>
        <v/>
      </c>
      <c r="U98" s="4" t="str">
        <f>HYPERLINK("http://141.218.60.56/~jnz1568/getInfo.php?workbook=16_15.xlsx&amp;sheet=A0&amp;row=98&amp;col=21&amp;number=&amp;sourceID=47","")</f>
        <v/>
      </c>
      <c r="V98" s="4" t="str">
        <f>HYPERLINK("http://141.218.60.56/~jnz1568/getInfo.php?workbook=16_15.xlsx&amp;sheet=A0&amp;row=98&amp;col=22&amp;number=&amp;sourceID=47","")</f>
        <v/>
      </c>
    </row>
    <row r="99" spans="1:22">
      <c r="A99" s="3">
        <v>16</v>
      </c>
      <c r="B99" s="3">
        <v>15</v>
      </c>
      <c r="C99" s="3">
        <v>15</v>
      </c>
      <c r="D99" s="3">
        <v>10</v>
      </c>
      <c r="E99" s="3">
        <f>((1/(INDEX(E0!J$4:J$73,C99,1)-INDEX(E0!J$4:J$73,D99,1))))*100000000</f>
        <v>0</v>
      </c>
      <c r="F99" s="4" t="str">
        <f>HYPERLINK("http://141.218.60.56/~jnz1568/getInfo.php?workbook=16_15.xlsx&amp;sheet=A0&amp;row=99&amp;col=6&amp;number=&amp;sourceID=54","")</f>
        <v/>
      </c>
      <c r="G99" s="4" t="str">
        <f>HYPERLINK("http://141.218.60.56/~jnz1568/getInfo.php?workbook=16_15.xlsx&amp;sheet=A0&amp;row=99&amp;col=7&amp;number=1.6625e-05&amp;sourceID=54","1.6625e-05")</f>
        <v>1.6625e-05</v>
      </c>
      <c r="H99" s="4" t="str">
        <f>HYPERLINK("http://141.218.60.56/~jnz1568/getInfo.php?workbook=16_15.xlsx&amp;sheet=A0&amp;row=99&amp;col=8&amp;number=0.004036&amp;sourceID=54","0.004036")</f>
        <v>0.004036</v>
      </c>
      <c r="I99" s="4" t="str">
        <f>HYPERLINK("http://141.218.60.56/~jnz1568/getInfo.php?workbook=16_15.xlsx&amp;sheet=A0&amp;row=99&amp;col=9&amp;number=&amp;sourceID=54","")</f>
        <v/>
      </c>
      <c r="J99" s="4" t="str">
        <f>HYPERLINK("http://141.218.60.56/~jnz1568/getInfo.php?workbook=16_15.xlsx&amp;sheet=A0&amp;row=99&amp;col=10&amp;number=1.4688e-05&amp;sourceID=54","1.4688e-05")</f>
        <v>1.4688e-05</v>
      </c>
      <c r="K99" s="4" t="str">
        <f>HYPERLINK("http://141.218.60.56/~jnz1568/getInfo.php?workbook=16_15.xlsx&amp;sheet=A0&amp;row=99&amp;col=11&amp;number=0.0038089&amp;sourceID=54","0.0038089")</f>
        <v>0.0038089</v>
      </c>
      <c r="L99" s="4" t="str">
        <f>HYPERLINK("http://141.218.60.56/~jnz1568/getInfo.php?workbook=16_15.xlsx&amp;sheet=A0&amp;row=99&amp;col=12&amp;number=&amp;sourceID=53","")</f>
        <v/>
      </c>
      <c r="M99" s="4" t="str">
        <f>HYPERLINK("http://141.218.60.56/~jnz1568/getInfo.php?workbook=16_15.xlsx&amp;sheet=A0&amp;row=99&amp;col=13&amp;number=&amp;sourceID=53","")</f>
        <v/>
      </c>
      <c r="N99" s="4" t="str">
        <f>HYPERLINK("http://141.218.60.56/~jnz1568/getInfo.php?workbook=16_15.xlsx&amp;sheet=A0&amp;row=99&amp;col=14&amp;number=&amp;sourceID=53","")</f>
        <v/>
      </c>
      <c r="O99" s="4" t="str">
        <f>HYPERLINK("http://141.218.60.56/~jnz1568/getInfo.php?workbook=16_15.xlsx&amp;sheet=A0&amp;row=99&amp;col=15&amp;number=&amp;sourceID=55","")</f>
        <v/>
      </c>
      <c r="P99" s="4" t="str">
        <f>HYPERLINK("http://141.218.60.56/~jnz1568/getInfo.php?workbook=16_15.xlsx&amp;sheet=A0&amp;row=99&amp;col=16&amp;number=&amp;sourceID=55","")</f>
        <v/>
      </c>
      <c r="Q99" s="4" t="str">
        <f>HYPERLINK("http://141.218.60.56/~jnz1568/getInfo.php?workbook=16_15.xlsx&amp;sheet=A0&amp;row=99&amp;col=17&amp;number=&amp;sourceID=56","")</f>
        <v/>
      </c>
      <c r="R99" s="4" t="str">
        <f>HYPERLINK("http://141.218.60.56/~jnz1568/getInfo.php?workbook=16_15.xlsx&amp;sheet=A0&amp;row=99&amp;col=18&amp;number=&amp;sourceID=56","")</f>
        <v/>
      </c>
      <c r="S99" s="4" t="str">
        <f>HYPERLINK("http://141.218.60.56/~jnz1568/getInfo.php?workbook=16_15.xlsx&amp;sheet=A0&amp;row=99&amp;col=19&amp;number=&amp;sourceID=57","")</f>
        <v/>
      </c>
      <c r="T99" s="4" t="str">
        <f>HYPERLINK("http://141.218.60.56/~jnz1568/getInfo.php?workbook=16_15.xlsx&amp;sheet=A0&amp;row=99&amp;col=20&amp;number=&amp;sourceID=57","")</f>
        <v/>
      </c>
      <c r="U99" s="4" t="str">
        <f>HYPERLINK("http://141.218.60.56/~jnz1568/getInfo.php?workbook=16_15.xlsx&amp;sheet=A0&amp;row=99&amp;col=21&amp;number=&amp;sourceID=47","")</f>
        <v/>
      </c>
      <c r="V99" s="4" t="str">
        <f>HYPERLINK("http://141.218.60.56/~jnz1568/getInfo.php?workbook=16_15.xlsx&amp;sheet=A0&amp;row=99&amp;col=22&amp;number=&amp;sourceID=47","")</f>
        <v/>
      </c>
    </row>
    <row r="100" spans="1:22">
      <c r="A100" s="3">
        <v>16</v>
      </c>
      <c r="B100" s="3">
        <v>15</v>
      </c>
      <c r="C100" s="3">
        <v>15</v>
      </c>
      <c r="D100" s="3">
        <v>11</v>
      </c>
      <c r="E100" s="3">
        <f>((1/(INDEX(E0!J$4:J$73,C100,1)-INDEX(E0!J$4:J$73,D100,1))))*100000000</f>
        <v>0</v>
      </c>
      <c r="F100" s="4" t="str">
        <f>HYPERLINK("http://141.218.60.56/~jnz1568/getInfo.php?workbook=16_15.xlsx&amp;sheet=A0&amp;row=100&amp;col=6&amp;number=&amp;sourceID=54","")</f>
        <v/>
      </c>
      <c r="G100" s="4" t="str">
        <f>HYPERLINK("http://141.218.60.56/~jnz1568/getInfo.php?workbook=16_15.xlsx&amp;sheet=A0&amp;row=100&amp;col=7&amp;number=9.1553e-07&amp;sourceID=54","9.1553e-07")</f>
        <v>9.1553e-07</v>
      </c>
      <c r="H100" s="4" t="str">
        <f>HYPERLINK("http://141.218.60.56/~jnz1568/getInfo.php?workbook=16_15.xlsx&amp;sheet=A0&amp;row=100&amp;col=8&amp;number=3.7764e-06&amp;sourceID=54","3.7764e-06")</f>
        <v>3.7764e-06</v>
      </c>
      <c r="I100" s="4" t="str">
        <f>HYPERLINK("http://141.218.60.56/~jnz1568/getInfo.php?workbook=16_15.xlsx&amp;sheet=A0&amp;row=100&amp;col=9&amp;number=&amp;sourceID=54","")</f>
        <v/>
      </c>
      <c r="J100" s="4" t="str">
        <f>HYPERLINK("http://141.218.60.56/~jnz1568/getInfo.php?workbook=16_15.xlsx&amp;sheet=A0&amp;row=100&amp;col=10&amp;number=8.3894e-07&amp;sourceID=54","8.3894e-07")</f>
        <v>8.3894e-07</v>
      </c>
      <c r="K100" s="4" t="str">
        <f>HYPERLINK("http://141.218.60.56/~jnz1568/getInfo.php?workbook=16_15.xlsx&amp;sheet=A0&amp;row=100&amp;col=11&amp;number=3.5174e-06&amp;sourceID=54","3.5174e-06")</f>
        <v>3.5174e-06</v>
      </c>
      <c r="L100" s="4" t="str">
        <f>HYPERLINK("http://141.218.60.56/~jnz1568/getInfo.php?workbook=16_15.xlsx&amp;sheet=A0&amp;row=100&amp;col=12&amp;number=&amp;sourceID=53","")</f>
        <v/>
      </c>
      <c r="M100" s="4" t="str">
        <f>HYPERLINK("http://141.218.60.56/~jnz1568/getInfo.php?workbook=16_15.xlsx&amp;sheet=A0&amp;row=100&amp;col=13&amp;number=&amp;sourceID=53","")</f>
        <v/>
      </c>
      <c r="N100" s="4" t="str">
        <f>HYPERLINK("http://141.218.60.56/~jnz1568/getInfo.php?workbook=16_15.xlsx&amp;sheet=A0&amp;row=100&amp;col=14&amp;number=&amp;sourceID=53","")</f>
        <v/>
      </c>
      <c r="O100" s="4" t="str">
        <f>HYPERLINK("http://141.218.60.56/~jnz1568/getInfo.php?workbook=16_15.xlsx&amp;sheet=A0&amp;row=100&amp;col=15&amp;number=&amp;sourceID=55","")</f>
        <v/>
      </c>
      <c r="P100" s="4" t="str">
        <f>HYPERLINK("http://141.218.60.56/~jnz1568/getInfo.php?workbook=16_15.xlsx&amp;sheet=A0&amp;row=100&amp;col=16&amp;number=&amp;sourceID=55","")</f>
        <v/>
      </c>
      <c r="Q100" s="4" t="str">
        <f>HYPERLINK("http://141.218.60.56/~jnz1568/getInfo.php?workbook=16_15.xlsx&amp;sheet=A0&amp;row=100&amp;col=17&amp;number=&amp;sourceID=56","")</f>
        <v/>
      </c>
      <c r="R100" s="4" t="str">
        <f>HYPERLINK("http://141.218.60.56/~jnz1568/getInfo.php?workbook=16_15.xlsx&amp;sheet=A0&amp;row=100&amp;col=18&amp;number=&amp;sourceID=56","")</f>
        <v/>
      </c>
      <c r="S100" s="4" t="str">
        <f>HYPERLINK("http://141.218.60.56/~jnz1568/getInfo.php?workbook=16_15.xlsx&amp;sheet=A0&amp;row=100&amp;col=19&amp;number=&amp;sourceID=57","")</f>
        <v/>
      </c>
      <c r="T100" s="4" t="str">
        <f>HYPERLINK("http://141.218.60.56/~jnz1568/getInfo.php?workbook=16_15.xlsx&amp;sheet=A0&amp;row=100&amp;col=20&amp;number=&amp;sourceID=57","")</f>
        <v/>
      </c>
      <c r="U100" s="4" t="str">
        <f>HYPERLINK("http://141.218.60.56/~jnz1568/getInfo.php?workbook=16_15.xlsx&amp;sheet=A0&amp;row=100&amp;col=21&amp;number=&amp;sourceID=47","")</f>
        <v/>
      </c>
      <c r="V100" s="4" t="str">
        <f>HYPERLINK("http://141.218.60.56/~jnz1568/getInfo.php?workbook=16_15.xlsx&amp;sheet=A0&amp;row=100&amp;col=22&amp;number=&amp;sourceID=47","")</f>
        <v/>
      </c>
    </row>
    <row r="101" spans="1:22">
      <c r="A101" s="3">
        <v>16</v>
      </c>
      <c r="B101" s="3">
        <v>15</v>
      </c>
      <c r="C101" s="3">
        <v>15</v>
      </c>
      <c r="D101" s="3">
        <v>12</v>
      </c>
      <c r="E101" s="3">
        <f>((1/(INDEX(E0!J$4:J$73,C101,1)-INDEX(E0!J$4:J$73,D101,1))))*100000000</f>
        <v>0</v>
      </c>
      <c r="F101" s="4" t="str">
        <f>HYPERLINK("http://141.218.60.56/~jnz1568/getInfo.php?workbook=16_15.xlsx&amp;sheet=A0&amp;row=101&amp;col=6&amp;number=&amp;sourceID=54","")</f>
        <v/>
      </c>
      <c r="G101" s="4" t="str">
        <f>HYPERLINK("http://141.218.60.56/~jnz1568/getInfo.php?workbook=16_15.xlsx&amp;sheet=A0&amp;row=101&amp;col=7&amp;number=5.8111e-07&amp;sourceID=54","5.8111e-07")</f>
        <v>5.8111e-07</v>
      </c>
      <c r="H101" s="4" t="str">
        <f>HYPERLINK("http://141.218.60.56/~jnz1568/getInfo.php?workbook=16_15.xlsx&amp;sheet=A0&amp;row=101&amp;col=8&amp;number=7.8443e-08&amp;sourceID=54","7.8443e-08")</f>
        <v>7.8443e-08</v>
      </c>
      <c r="I101" s="4" t="str">
        <f>HYPERLINK("http://141.218.60.56/~jnz1568/getInfo.php?workbook=16_15.xlsx&amp;sheet=A0&amp;row=101&amp;col=9&amp;number=&amp;sourceID=54","")</f>
        <v/>
      </c>
      <c r="J101" s="4" t="str">
        <f>HYPERLINK("http://141.218.60.56/~jnz1568/getInfo.php?workbook=16_15.xlsx&amp;sheet=A0&amp;row=101&amp;col=10&amp;number=5.2714e-07&amp;sourceID=54","5.2714e-07")</f>
        <v>5.2714e-07</v>
      </c>
      <c r="K101" s="4" t="str">
        <f>HYPERLINK("http://141.218.60.56/~jnz1568/getInfo.php?workbook=16_15.xlsx&amp;sheet=A0&amp;row=101&amp;col=11&amp;number=5.8123e-08&amp;sourceID=54","5.8123e-08")</f>
        <v>5.8123e-08</v>
      </c>
      <c r="L101" s="4" t="str">
        <f>HYPERLINK("http://141.218.60.56/~jnz1568/getInfo.php?workbook=16_15.xlsx&amp;sheet=A0&amp;row=101&amp;col=12&amp;number=&amp;sourceID=53","")</f>
        <v/>
      </c>
      <c r="M101" s="4" t="str">
        <f>HYPERLINK("http://141.218.60.56/~jnz1568/getInfo.php?workbook=16_15.xlsx&amp;sheet=A0&amp;row=101&amp;col=13&amp;number=&amp;sourceID=53","")</f>
        <v/>
      </c>
      <c r="N101" s="4" t="str">
        <f>HYPERLINK("http://141.218.60.56/~jnz1568/getInfo.php?workbook=16_15.xlsx&amp;sheet=A0&amp;row=101&amp;col=14&amp;number=&amp;sourceID=53","")</f>
        <v/>
      </c>
      <c r="O101" s="4" t="str">
        <f>HYPERLINK("http://141.218.60.56/~jnz1568/getInfo.php?workbook=16_15.xlsx&amp;sheet=A0&amp;row=101&amp;col=15&amp;number=&amp;sourceID=55","")</f>
        <v/>
      </c>
      <c r="P101" s="4" t="str">
        <f>HYPERLINK("http://141.218.60.56/~jnz1568/getInfo.php?workbook=16_15.xlsx&amp;sheet=A0&amp;row=101&amp;col=16&amp;number=&amp;sourceID=55","")</f>
        <v/>
      </c>
      <c r="Q101" s="4" t="str">
        <f>HYPERLINK("http://141.218.60.56/~jnz1568/getInfo.php?workbook=16_15.xlsx&amp;sheet=A0&amp;row=101&amp;col=17&amp;number=&amp;sourceID=56","")</f>
        <v/>
      </c>
      <c r="R101" s="4" t="str">
        <f>HYPERLINK("http://141.218.60.56/~jnz1568/getInfo.php?workbook=16_15.xlsx&amp;sheet=A0&amp;row=101&amp;col=18&amp;number=&amp;sourceID=56","")</f>
        <v/>
      </c>
      <c r="S101" s="4" t="str">
        <f>HYPERLINK("http://141.218.60.56/~jnz1568/getInfo.php?workbook=16_15.xlsx&amp;sheet=A0&amp;row=101&amp;col=19&amp;number=&amp;sourceID=57","")</f>
        <v/>
      </c>
      <c r="T101" s="4" t="str">
        <f>HYPERLINK("http://141.218.60.56/~jnz1568/getInfo.php?workbook=16_15.xlsx&amp;sheet=A0&amp;row=101&amp;col=20&amp;number=&amp;sourceID=57","")</f>
        <v/>
      </c>
      <c r="U101" s="4" t="str">
        <f>HYPERLINK("http://141.218.60.56/~jnz1568/getInfo.php?workbook=16_15.xlsx&amp;sheet=A0&amp;row=101&amp;col=21&amp;number=&amp;sourceID=47","")</f>
        <v/>
      </c>
      <c r="V101" s="4" t="str">
        <f>HYPERLINK("http://141.218.60.56/~jnz1568/getInfo.php?workbook=16_15.xlsx&amp;sheet=A0&amp;row=101&amp;col=22&amp;number=&amp;sourceID=47","")</f>
        <v/>
      </c>
    </row>
    <row r="102" spans="1:22">
      <c r="A102" s="3">
        <v>16</v>
      </c>
      <c r="B102" s="3">
        <v>15</v>
      </c>
      <c r="C102" s="3">
        <v>15</v>
      </c>
      <c r="D102" s="3">
        <v>13</v>
      </c>
      <c r="E102" s="3">
        <f>((1/(INDEX(E0!J$4:J$73,C102,1)-INDEX(E0!J$4:J$73,D102,1))))*100000000</f>
        <v>0</v>
      </c>
      <c r="F102" s="4" t="str">
        <f>HYPERLINK("http://141.218.60.56/~jnz1568/getInfo.php?workbook=16_15.xlsx&amp;sheet=A0&amp;row=102&amp;col=6&amp;number=&amp;sourceID=54","")</f>
        <v/>
      </c>
      <c r="G102" s="4" t="str">
        <f>HYPERLINK("http://141.218.60.56/~jnz1568/getInfo.php?workbook=16_15.xlsx&amp;sheet=A0&amp;row=102&amp;col=7&amp;number=7.9149e-06&amp;sourceID=54","7.9149e-06")</f>
        <v>7.9149e-06</v>
      </c>
      <c r="H102" s="4" t="str">
        <f>HYPERLINK("http://141.218.60.56/~jnz1568/getInfo.php?workbook=16_15.xlsx&amp;sheet=A0&amp;row=102&amp;col=8&amp;number=1.1558e-08&amp;sourceID=54","1.1558e-08")</f>
        <v>1.1558e-08</v>
      </c>
      <c r="I102" s="4" t="str">
        <f>HYPERLINK("http://141.218.60.56/~jnz1568/getInfo.php?workbook=16_15.xlsx&amp;sheet=A0&amp;row=102&amp;col=9&amp;number=&amp;sourceID=54","")</f>
        <v/>
      </c>
      <c r="J102" s="4" t="str">
        <f>HYPERLINK("http://141.218.60.56/~jnz1568/getInfo.php?workbook=16_15.xlsx&amp;sheet=A0&amp;row=102&amp;col=10&amp;number=2.1398e-07&amp;sourceID=54","2.1398e-07")</f>
        <v>2.1398e-07</v>
      </c>
      <c r="K102" s="4" t="str">
        <f>HYPERLINK("http://141.218.60.56/~jnz1568/getInfo.php?workbook=16_15.xlsx&amp;sheet=A0&amp;row=102&amp;col=11&amp;number=1.1138e-08&amp;sourceID=54","1.1138e-08")</f>
        <v>1.1138e-08</v>
      </c>
      <c r="L102" s="4" t="str">
        <f>HYPERLINK("http://141.218.60.56/~jnz1568/getInfo.php?workbook=16_15.xlsx&amp;sheet=A0&amp;row=102&amp;col=12&amp;number=&amp;sourceID=53","")</f>
        <v/>
      </c>
      <c r="M102" s="4" t="str">
        <f>HYPERLINK("http://141.218.60.56/~jnz1568/getInfo.php?workbook=16_15.xlsx&amp;sheet=A0&amp;row=102&amp;col=13&amp;number=&amp;sourceID=53","")</f>
        <v/>
      </c>
      <c r="N102" s="4" t="str">
        <f>HYPERLINK("http://141.218.60.56/~jnz1568/getInfo.php?workbook=16_15.xlsx&amp;sheet=A0&amp;row=102&amp;col=14&amp;number=&amp;sourceID=53","")</f>
        <v/>
      </c>
      <c r="O102" s="4" t="str">
        <f>HYPERLINK("http://141.218.60.56/~jnz1568/getInfo.php?workbook=16_15.xlsx&amp;sheet=A0&amp;row=102&amp;col=15&amp;number=&amp;sourceID=55","")</f>
        <v/>
      </c>
      <c r="P102" s="4" t="str">
        <f>HYPERLINK("http://141.218.60.56/~jnz1568/getInfo.php?workbook=16_15.xlsx&amp;sheet=A0&amp;row=102&amp;col=16&amp;number=&amp;sourceID=55","")</f>
        <v/>
      </c>
      <c r="Q102" s="4" t="str">
        <f>HYPERLINK("http://141.218.60.56/~jnz1568/getInfo.php?workbook=16_15.xlsx&amp;sheet=A0&amp;row=102&amp;col=17&amp;number=&amp;sourceID=56","")</f>
        <v/>
      </c>
      <c r="R102" s="4" t="str">
        <f>HYPERLINK("http://141.218.60.56/~jnz1568/getInfo.php?workbook=16_15.xlsx&amp;sheet=A0&amp;row=102&amp;col=18&amp;number=&amp;sourceID=56","")</f>
        <v/>
      </c>
      <c r="S102" s="4" t="str">
        <f>HYPERLINK("http://141.218.60.56/~jnz1568/getInfo.php?workbook=16_15.xlsx&amp;sheet=A0&amp;row=102&amp;col=19&amp;number=&amp;sourceID=57","")</f>
        <v/>
      </c>
      <c r="T102" s="4" t="str">
        <f>HYPERLINK("http://141.218.60.56/~jnz1568/getInfo.php?workbook=16_15.xlsx&amp;sheet=A0&amp;row=102&amp;col=20&amp;number=&amp;sourceID=57","")</f>
        <v/>
      </c>
      <c r="U102" s="4" t="str">
        <f>HYPERLINK("http://141.218.60.56/~jnz1568/getInfo.php?workbook=16_15.xlsx&amp;sheet=A0&amp;row=102&amp;col=21&amp;number=&amp;sourceID=47","")</f>
        <v/>
      </c>
      <c r="V102" s="4" t="str">
        <f>HYPERLINK("http://141.218.60.56/~jnz1568/getInfo.php?workbook=16_15.xlsx&amp;sheet=A0&amp;row=102&amp;col=22&amp;number=&amp;sourceID=47","")</f>
        <v/>
      </c>
    </row>
    <row r="103" spans="1:22">
      <c r="A103" s="3">
        <v>16</v>
      </c>
      <c r="B103" s="3">
        <v>15</v>
      </c>
      <c r="C103" s="3">
        <v>15</v>
      </c>
      <c r="D103" s="3">
        <v>14</v>
      </c>
      <c r="E103" s="3">
        <f>((1/(INDEX(E0!J$4:J$73,C103,1)-INDEX(E0!J$4:J$73,D103,1))))*100000000</f>
        <v>0</v>
      </c>
      <c r="F103" s="4" t="str">
        <f>HYPERLINK("http://141.218.60.56/~jnz1568/getInfo.php?workbook=16_15.xlsx&amp;sheet=A0&amp;row=103&amp;col=6&amp;number=&amp;sourceID=54","")</f>
        <v/>
      </c>
      <c r="G103" s="4" t="str">
        <f>HYPERLINK("http://141.218.60.56/~jnz1568/getInfo.php?workbook=16_15.xlsx&amp;sheet=A0&amp;row=103&amp;col=7&amp;number=9.3887e-07&amp;sourceID=54","9.3887e-07")</f>
        <v>9.3887e-07</v>
      </c>
      <c r="H103" s="4" t="str">
        <f>HYPERLINK("http://141.218.60.56/~jnz1568/getInfo.php?workbook=16_15.xlsx&amp;sheet=A0&amp;row=103&amp;col=8&amp;number=4.9089e-08&amp;sourceID=54","4.9089e-08")</f>
        <v>4.9089e-08</v>
      </c>
      <c r="I103" s="4" t="str">
        <f>HYPERLINK("http://141.218.60.56/~jnz1568/getInfo.php?workbook=16_15.xlsx&amp;sheet=A0&amp;row=103&amp;col=9&amp;number=&amp;sourceID=54","")</f>
        <v/>
      </c>
      <c r="J103" s="4" t="str">
        <f>HYPERLINK("http://141.218.60.56/~jnz1568/getInfo.php?workbook=16_15.xlsx&amp;sheet=A0&amp;row=103&amp;col=10&amp;number=5.7099e-09&amp;sourceID=54","5.7099e-09")</f>
        <v>5.7099e-09</v>
      </c>
      <c r="K103" s="4" t="str">
        <f>HYPERLINK("http://141.218.60.56/~jnz1568/getInfo.php?workbook=16_15.xlsx&amp;sheet=A0&amp;row=103&amp;col=11&amp;number=1.8951e-08&amp;sourceID=54","1.8951e-08")</f>
        <v>1.8951e-08</v>
      </c>
      <c r="L103" s="4" t="str">
        <f>HYPERLINK("http://141.218.60.56/~jnz1568/getInfo.php?workbook=16_15.xlsx&amp;sheet=A0&amp;row=103&amp;col=12&amp;number=&amp;sourceID=53","")</f>
        <v/>
      </c>
      <c r="M103" s="4" t="str">
        <f>HYPERLINK("http://141.218.60.56/~jnz1568/getInfo.php?workbook=16_15.xlsx&amp;sheet=A0&amp;row=103&amp;col=13&amp;number=&amp;sourceID=53","")</f>
        <v/>
      </c>
      <c r="N103" s="4" t="str">
        <f>HYPERLINK("http://141.218.60.56/~jnz1568/getInfo.php?workbook=16_15.xlsx&amp;sheet=A0&amp;row=103&amp;col=14&amp;number=&amp;sourceID=53","")</f>
        <v/>
      </c>
      <c r="O103" s="4" t="str">
        <f>HYPERLINK("http://141.218.60.56/~jnz1568/getInfo.php?workbook=16_15.xlsx&amp;sheet=A0&amp;row=103&amp;col=15&amp;number=&amp;sourceID=55","")</f>
        <v/>
      </c>
      <c r="P103" s="4" t="str">
        <f>HYPERLINK("http://141.218.60.56/~jnz1568/getInfo.php?workbook=16_15.xlsx&amp;sheet=A0&amp;row=103&amp;col=16&amp;number=&amp;sourceID=55","")</f>
        <v/>
      </c>
      <c r="Q103" s="4" t="str">
        <f>HYPERLINK("http://141.218.60.56/~jnz1568/getInfo.php?workbook=16_15.xlsx&amp;sheet=A0&amp;row=103&amp;col=17&amp;number=&amp;sourceID=56","")</f>
        <v/>
      </c>
      <c r="R103" s="4" t="str">
        <f>HYPERLINK("http://141.218.60.56/~jnz1568/getInfo.php?workbook=16_15.xlsx&amp;sheet=A0&amp;row=103&amp;col=18&amp;number=&amp;sourceID=56","")</f>
        <v/>
      </c>
      <c r="S103" s="4" t="str">
        <f>HYPERLINK("http://141.218.60.56/~jnz1568/getInfo.php?workbook=16_15.xlsx&amp;sheet=A0&amp;row=103&amp;col=19&amp;number=&amp;sourceID=57","")</f>
        <v/>
      </c>
      <c r="T103" s="4" t="str">
        <f>HYPERLINK("http://141.218.60.56/~jnz1568/getInfo.php?workbook=16_15.xlsx&amp;sheet=A0&amp;row=103&amp;col=20&amp;number=&amp;sourceID=57","")</f>
        <v/>
      </c>
      <c r="U103" s="4" t="str">
        <f>HYPERLINK("http://141.218.60.56/~jnz1568/getInfo.php?workbook=16_15.xlsx&amp;sheet=A0&amp;row=103&amp;col=21&amp;number=&amp;sourceID=47","")</f>
        <v/>
      </c>
      <c r="V103" s="4" t="str">
        <f>HYPERLINK("http://141.218.60.56/~jnz1568/getInfo.php?workbook=16_15.xlsx&amp;sheet=A0&amp;row=103&amp;col=22&amp;number=&amp;sourceID=47","")</f>
        <v/>
      </c>
    </row>
    <row r="104" spans="1:22">
      <c r="A104" s="3">
        <v>16</v>
      </c>
      <c r="B104" s="3">
        <v>15</v>
      </c>
      <c r="C104" s="3">
        <v>16</v>
      </c>
      <c r="D104" s="3">
        <v>1</v>
      </c>
      <c r="E104" s="3">
        <f>((1/(INDEX(E0!J$4:J$73,C104,1)-INDEX(E0!J$4:J$73,D104,1))))*100000000</f>
        <v>0</v>
      </c>
      <c r="F104" s="4" t="str">
        <f>HYPERLINK("http://141.218.60.56/~jnz1568/getInfo.php?workbook=16_15.xlsx&amp;sheet=A0&amp;row=104&amp;col=6&amp;number=1068400000&amp;sourceID=54","1068400000")</f>
        <v>1068400000</v>
      </c>
      <c r="G104" s="4" t="str">
        <f>HYPERLINK("http://141.218.60.56/~jnz1568/getInfo.php?workbook=16_15.xlsx&amp;sheet=A0&amp;row=104&amp;col=7&amp;number=&amp;sourceID=54","")</f>
        <v/>
      </c>
      <c r="H104" s="4" t="str">
        <f>HYPERLINK("http://141.218.60.56/~jnz1568/getInfo.php?workbook=16_15.xlsx&amp;sheet=A0&amp;row=104&amp;col=8&amp;number=&amp;sourceID=54","")</f>
        <v/>
      </c>
      <c r="I104" s="4" t="str">
        <f>HYPERLINK("http://141.218.60.56/~jnz1568/getInfo.php?workbook=16_15.xlsx&amp;sheet=A0&amp;row=104&amp;col=9&amp;number=1088800000&amp;sourceID=54","1088800000")</f>
        <v>1088800000</v>
      </c>
      <c r="J104" s="4" t="str">
        <f>HYPERLINK("http://141.218.60.56/~jnz1568/getInfo.php?workbook=16_15.xlsx&amp;sheet=A0&amp;row=104&amp;col=10&amp;number=&amp;sourceID=54","")</f>
        <v/>
      </c>
      <c r="K104" s="4" t="str">
        <f>HYPERLINK("http://141.218.60.56/~jnz1568/getInfo.php?workbook=16_15.xlsx&amp;sheet=A0&amp;row=104&amp;col=11&amp;number=&amp;sourceID=54","")</f>
        <v/>
      </c>
      <c r="L104" s="4" t="str">
        <f>HYPERLINK("http://141.218.60.56/~jnz1568/getInfo.php?workbook=16_15.xlsx&amp;sheet=A0&amp;row=104&amp;col=12&amp;number=1050410269.62&amp;sourceID=53","1050410269.62")</f>
        <v>1050410269.62</v>
      </c>
      <c r="M104" s="4" t="str">
        <f>HYPERLINK("http://141.218.60.56/~jnz1568/getInfo.php?workbook=16_15.xlsx&amp;sheet=A0&amp;row=104&amp;col=13&amp;number=&amp;sourceID=53","")</f>
        <v/>
      </c>
      <c r="N104" s="4" t="str">
        <f>HYPERLINK("http://141.218.60.56/~jnz1568/getInfo.php?workbook=16_15.xlsx&amp;sheet=A0&amp;row=104&amp;col=14&amp;number=&amp;sourceID=53","")</f>
        <v/>
      </c>
      <c r="O104" s="4" t="str">
        <f>HYPERLINK("http://141.218.60.56/~jnz1568/getInfo.php?workbook=16_15.xlsx&amp;sheet=A0&amp;row=104&amp;col=15&amp;number=&amp;sourceID=55","")</f>
        <v/>
      </c>
      <c r="P104" s="4" t="str">
        <f>HYPERLINK("http://141.218.60.56/~jnz1568/getInfo.php?workbook=16_15.xlsx&amp;sheet=A0&amp;row=104&amp;col=16&amp;number=&amp;sourceID=55","")</f>
        <v/>
      </c>
      <c r="Q104" s="4" t="str">
        <f>HYPERLINK("http://141.218.60.56/~jnz1568/getInfo.php?workbook=16_15.xlsx&amp;sheet=A0&amp;row=104&amp;col=17&amp;number=&amp;sourceID=56","")</f>
        <v/>
      </c>
      <c r="R104" s="4" t="str">
        <f>HYPERLINK("http://141.218.60.56/~jnz1568/getInfo.php?workbook=16_15.xlsx&amp;sheet=A0&amp;row=104&amp;col=18&amp;number=&amp;sourceID=56","")</f>
        <v/>
      </c>
      <c r="S104" s="4" t="str">
        <f>HYPERLINK("http://141.218.60.56/~jnz1568/getInfo.php?workbook=16_15.xlsx&amp;sheet=A0&amp;row=104&amp;col=19&amp;number=&amp;sourceID=57","")</f>
        <v/>
      </c>
      <c r="T104" s="4" t="str">
        <f>HYPERLINK("http://141.218.60.56/~jnz1568/getInfo.php?workbook=16_15.xlsx&amp;sheet=A0&amp;row=104&amp;col=20&amp;number=&amp;sourceID=57","")</f>
        <v/>
      </c>
      <c r="U104" s="4" t="str">
        <f>HYPERLINK("http://141.218.60.56/~jnz1568/getInfo.php?workbook=16_15.xlsx&amp;sheet=A0&amp;row=104&amp;col=21&amp;number=&amp;sourceID=47","")</f>
        <v/>
      </c>
      <c r="V104" s="4" t="str">
        <f>HYPERLINK("http://141.218.60.56/~jnz1568/getInfo.php?workbook=16_15.xlsx&amp;sheet=A0&amp;row=104&amp;col=22&amp;number=&amp;sourceID=47","")</f>
        <v/>
      </c>
    </row>
    <row r="105" spans="1:22">
      <c r="A105" s="3">
        <v>16</v>
      </c>
      <c r="B105" s="3">
        <v>15</v>
      </c>
      <c r="C105" s="3">
        <v>16</v>
      </c>
      <c r="D105" s="3">
        <v>2</v>
      </c>
      <c r="E105" s="3">
        <f>((1/(INDEX(E0!J$4:J$73,C105,1)-INDEX(E0!J$4:J$73,D105,1))))*100000000</f>
        <v>0</v>
      </c>
      <c r="F105" s="4" t="str">
        <f>HYPERLINK("http://141.218.60.56/~jnz1568/getInfo.php?workbook=16_15.xlsx&amp;sheet=A0&amp;row=105&amp;col=6&amp;number=33313&amp;sourceID=54","33313")</f>
        <v>33313</v>
      </c>
      <c r="G105" s="4" t="str">
        <f>HYPERLINK("http://141.218.60.56/~jnz1568/getInfo.php?workbook=16_15.xlsx&amp;sheet=A0&amp;row=105&amp;col=7&amp;number=&amp;sourceID=54","")</f>
        <v/>
      </c>
      <c r="H105" s="4" t="str">
        <f>HYPERLINK("http://141.218.60.56/~jnz1568/getInfo.php?workbook=16_15.xlsx&amp;sheet=A0&amp;row=105&amp;col=8&amp;number=&amp;sourceID=54","")</f>
        <v/>
      </c>
      <c r="I105" s="4" t="str">
        <f>HYPERLINK("http://141.218.60.56/~jnz1568/getInfo.php?workbook=16_15.xlsx&amp;sheet=A0&amp;row=105&amp;col=9&amp;number=39103&amp;sourceID=54","39103")</f>
        <v>39103</v>
      </c>
      <c r="J105" s="4" t="str">
        <f>HYPERLINK("http://141.218.60.56/~jnz1568/getInfo.php?workbook=16_15.xlsx&amp;sheet=A0&amp;row=105&amp;col=10&amp;number=&amp;sourceID=54","")</f>
        <v/>
      </c>
      <c r="K105" s="4" t="str">
        <f>HYPERLINK("http://141.218.60.56/~jnz1568/getInfo.php?workbook=16_15.xlsx&amp;sheet=A0&amp;row=105&amp;col=11&amp;number=&amp;sourceID=54","")</f>
        <v/>
      </c>
      <c r="L105" s="4" t="str">
        <f>HYPERLINK("http://141.218.60.56/~jnz1568/getInfo.php?workbook=16_15.xlsx&amp;sheet=A0&amp;row=105&amp;col=12&amp;number=53974.9428618&amp;sourceID=53","53974.9428618")</f>
        <v>53974.9428618</v>
      </c>
      <c r="M105" s="4" t="str">
        <f>HYPERLINK("http://141.218.60.56/~jnz1568/getInfo.php?workbook=16_15.xlsx&amp;sheet=A0&amp;row=105&amp;col=13&amp;number=&amp;sourceID=53","")</f>
        <v/>
      </c>
      <c r="N105" s="4" t="str">
        <f>HYPERLINK("http://141.218.60.56/~jnz1568/getInfo.php?workbook=16_15.xlsx&amp;sheet=A0&amp;row=105&amp;col=14&amp;number=&amp;sourceID=53","")</f>
        <v/>
      </c>
      <c r="O105" s="4" t="str">
        <f>HYPERLINK("http://141.218.60.56/~jnz1568/getInfo.php?workbook=16_15.xlsx&amp;sheet=A0&amp;row=105&amp;col=15&amp;number=&amp;sourceID=55","")</f>
        <v/>
      </c>
      <c r="P105" s="4" t="str">
        <f>HYPERLINK("http://141.218.60.56/~jnz1568/getInfo.php?workbook=16_15.xlsx&amp;sheet=A0&amp;row=105&amp;col=16&amp;number=&amp;sourceID=55","")</f>
        <v/>
      </c>
      <c r="Q105" s="4" t="str">
        <f>HYPERLINK("http://141.218.60.56/~jnz1568/getInfo.php?workbook=16_15.xlsx&amp;sheet=A0&amp;row=105&amp;col=17&amp;number=&amp;sourceID=56","")</f>
        <v/>
      </c>
      <c r="R105" s="4" t="str">
        <f>HYPERLINK("http://141.218.60.56/~jnz1568/getInfo.php?workbook=16_15.xlsx&amp;sheet=A0&amp;row=105&amp;col=18&amp;number=&amp;sourceID=56","")</f>
        <v/>
      </c>
      <c r="S105" s="4" t="str">
        <f>HYPERLINK("http://141.218.60.56/~jnz1568/getInfo.php?workbook=16_15.xlsx&amp;sheet=A0&amp;row=105&amp;col=19&amp;number=&amp;sourceID=57","")</f>
        <v/>
      </c>
      <c r="T105" s="4" t="str">
        <f>HYPERLINK("http://141.218.60.56/~jnz1568/getInfo.php?workbook=16_15.xlsx&amp;sheet=A0&amp;row=105&amp;col=20&amp;number=&amp;sourceID=57","")</f>
        <v/>
      </c>
      <c r="U105" s="4" t="str">
        <f>HYPERLINK("http://141.218.60.56/~jnz1568/getInfo.php?workbook=16_15.xlsx&amp;sheet=A0&amp;row=105&amp;col=21&amp;number=&amp;sourceID=47","")</f>
        <v/>
      </c>
      <c r="V105" s="4" t="str">
        <f>HYPERLINK("http://141.218.60.56/~jnz1568/getInfo.php?workbook=16_15.xlsx&amp;sheet=A0&amp;row=105&amp;col=22&amp;number=&amp;sourceID=47","")</f>
        <v/>
      </c>
    </row>
    <row r="106" spans="1:22">
      <c r="A106" s="3">
        <v>16</v>
      </c>
      <c r="B106" s="3">
        <v>15</v>
      </c>
      <c r="C106" s="3">
        <v>16</v>
      </c>
      <c r="D106" s="3">
        <v>3</v>
      </c>
      <c r="E106" s="3">
        <f>((1/(INDEX(E0!J$4:J$73,C106,1)-INDEX(E0!J$4:J$73,D106,1))))*100000000</f>
        <v>0</v>
      </c>
      <c r="F106" s="4" t="str">
        <f>HYPERLINK("http://141.218.60.56/~jnz1568/getInfo.php?workbook=16_15.xlsx&amp;sheet=A0&amp;row=106&amp;col=6&amp;number=550280&amp;sourceID=54","550280")</f>
        <v>550280</v>
      </c>
      <c r="G106" s="4" t="str">
        <f>HYPERLINK("http://141.218.60.56/~jnz1568/getInfo.php?workbook=16_15.xlsx&amp;sheet=A0&amp;row=106&amp;col=7&amp;number=&amp;sourceID=54","")</f>
        <v/>
      </c>
      <c r="H106" s="4" t="str">
        <f>HYPERLINK("http://141.218.60.56/~jnz1568/getInfo.php?workbook=16_15.xlsx&amp;sheet=A0&amp;row=106&amp;col=8&amp;number=&amp;sourceID=54","")</f>
        <v/>
      </c>
      <c r="I106" s="4" t="str">
        <f>HYPERLINK("http://141.218.60.56/~jnz1568/getInfo.php?workbook=16_15.xlsx&amp;sheet=A0&amp;row=106&amp;col=9&amp;number=617510&amp;sourceID=54","617510")</f>
        <v>617510</v>
      </c>
      <c r="J106" s="4" t="str">
        <f>HYPERLINK("http://141.218.60.56/~jnz1568/getInfo.php?workbook=16_15.xlsx&amp;sheet=A0&amp;row=106&amp;col=10&amp;number=&amp;sourceID=54","")</f>
        <v/>
      </c>
      <c r="K106" s="4" t="str">
        <f>HYPERLINK("http://141.218.60.56/~jnz1568/getInfo.php?workbook=16_15.xlsx&amp;sheet=A0&amp;row=106&amp;col=11&amp;number=&amp;sourceID=54","")</f>
        <v/>
      </c>
      <c r="L106" s="4" t="str">
        <f>HYPERLINK("http://141.218.60.56/~jnz1568/getInfo.php?workbook=16_15.xlsx&amp;sheet=A0&amp;row=106&amp;col=12&amp;number=823467.624644&amp;sourceID=53","823467.624644")</f>
        <v>823467.624644</v>
      </c>
      <c r="M106" s="4" t="str">
        <f>HYPERLINK("http://141.218.60.56/~jnz1568/getInfo.php?workbook=16_15.xlsx&amp;sheet=A0&amp;row=106&amp;col=13&amp;number=&amp;sourceID=53","")</f>
        <v/>
      </c>
      <c r="N106" s="4" t="str">
        <f>HYPERLINK("http://141.218.60.56/~jnz1568/getInfo.php?workbook=16_15.xlsx&amp;sheet=A0&amp;row=106&amp;col=14&amp;number=&amp;sourceID=53","")</f>
        <v/>
      </c>
      <c r="O106" s="4" t="str">
        <f>HYPERLINK("http://141.218.60.56/~jnz1568/getInfo.php?workbook=16_15.xlsx&amp;sheet=A0&amp;row=106&amp;col=15&amp;number=&amp;sourceID=55","")</f>
        <v/>
      </c>
      <c r="P106" s="4" t="str">
        <f>HYPERLINK("http://141.218.60.56/~jnz1568/getInfo.php?workbook=16_15.xlsx&amp;sheet=A0&amp;row=106&amp;col=16&amp;number=&amp;sourceID=55","")</f>
        <v/>
      </c>
      <c r="Q106" s="4" t="str">
        <f>HYPERLINK("http://141.218.60.56/~jnz1568/getInfo.php?workbook=16_15.xlsx&amp;sheet=A0&amp;row=106&amp;col=17&amp;number=&amp;sourceID=56","")</f>
        <v/>
      </c>
      <c r="R106" s="4" t="str">
        <f>HYPERLINK("http://141.218.60.56/~jnz1568/getInfo.php?workbook=16_15.xlsx&amp;sheet=A0&amp;row=106&amp;col=18&amp;number=&amp;sourceID=56","")</f>
        <v/>
      </c>
      <c r="S106" s="4" t="str">
        <f>HYPERLINK("http://141.218.60.56/~jnz1568/getInfo.php?workbook=16_15.xlsx&amp;sheet=A0&amp;row=106&amp;col=19&amp;number=&amp;sourceID=57","")</f>
        <v/>
      </c>
      <c r="T106" s="4" t="str">
        <f>HYPERLINK("http://141.218.60.56/~jnz1568/getInfo.php?workbook=16_15.xlsx&amp;sheet=A0&amp;row=106&amp;col=20&amp;number=&amp;sourceID=57","")</f>
        <v/>
      </c>
      <c r="U106" s="4" t="str">
        <f>HYPERLINK("http://141.218.60.56/~jnz1568/getInfo.php?workbook=16_15.xlsx&amp;sheet=A0&amp;row=106&amp;col=21&amp;number=&amp;sourceID=47","")</f>
        <v/>
      </c>
      <c r="V106" s="4" t="str">
        <f>HYPERLINK("http://141.218.60.56/~jnz1568/getInfo.php?workbook=16_15.xlsx&amp;sheet=A0&amp;row=106&amp;col=22&amp;number=&amp;sourceID=47","")</f>
        <v/>
      </c>
    </row>
    <row r="107" spans="1:22">
      <c r="A107" s="3">
        <v>16</v>
      </c>
      <c r="B107" s="3">
        <v>15</v>
      </c>
      <c r="C107" s="3">
        <v>16</v>
      </c>
      <c r="D107" s="3">
        <v>5</v>
      </c>
      <c r="E107" s="3">
        <f>((1/(INDEX(E0!J$4:J$73,C107,1)-INDEX(E0!J$4:J$73,D107,1))))*100000000</f>
        <v>0</v>
      </c>
      <c r="F107" s="4" t="str">
        <f>HYPERLINK("http://141.218.60.56/~jnz1568/getInfo.php?workbook=16_15.xlsx&amp;sheet=A0&amp;row=107&amp;col=6&amp;number=41.775&amp;sourceID=54","41.775")</f>
        <v>41.775</v>
      </c>
      <c r="G107" s="4" t="str">
        <f>HYPERLINK("http://141.218.60.56/~jnz1568/getInfo.php?workbook=16_15.xlsx&amp;sheet=A0&amp;row=107&amp;col=7&amp;number=&amp;sourceID=54","")</f>
        <v/>
      </c>
      <c r="H107" s="4" t="str">
        <f>HYPERLINK("http://141.218.60.56/~jnz1568/getInfo.php?workbook=16_15.xlsx&amp;sheet=A0&amp;row=107&amp;col=8&amp;number=&amp;sourceID=54","")</f>
        <v/>
      </c>
      <c r="I107" s="4" t="str">
        <f>HYPERLINK("http://141.218.60.56/~jnz1568/getInfo.php?workbook=16_15.xlsx&amp;sheet=A0&amp;row=107&amp;col=9&amp;number=19.137&amp;sourceID=54","19.137")</f>
        <v>19.137</v>
      </c>
      <c r="J107" s="4" t="str">
        <f>HYPERLINK("http://141.218.60.56/~jnz1568/getInfo.php?workbook=16_15.xlsx&amp;sheet=A0&amp;row=107&amp;col=10&amp;number=&amp;sourceID=54","")</f>
        <v/>
      </c>
      <c r="K107" s="4" t="str">
        <f>HYPERLINK("http://141.218.60.56/~jnz1568/getInfo.php?workbook=16_15.xlsx&amp;sheet=A0&amp;row=107&amp;col=11&amp;number=&amp;sourceID=54","")</f>
        <v/>
      </c>
      <c r="L107" s="4" t="str">
        <f>HYPERLINK("http://141.218.60.56/~jnz1568/getInfo.php?workbook=16_15.xlsx&amp;sheet=A0&amp;row=107&amp;col=12&amp;number=99.8874712628&amp;sourceID=53","99.8874712628")</f>
        <v>99.8874712628</v>
      </c>
      <c r="M107" s="4" t="str">
        <f>HYPERLINK("http://141.218.60.56/~jnz1568/getInfo.php?workbook=16_15.xlsx&amp;sheet=A0&amp;row=107&amp;col=13&amp;number=&amp;sourceID=53","")</f>
        <v/>
      </c>
      <c r="N107" s="4" t="str">
        <f>HYPERLINK("http://141.218.60.56/~jnz1568/getInfo.php?workbook=16_15.xlsx&amp;sheet=A0&amp;row=107&amp;col=14&amp;number=&amp;sourceID=53","")</f>
        <v/>
      </c>
      <c r="O107" s="4" t="str">
        <f>HYPERLINK("http://141.218.60.56/~jnz1568/getInfo.php?workbook=16_15.xlsx&amp;sheet=A0&amp;row=107&amp;col=15&amp;number=&amp;sourceID=55","")</f>
        <v/>
      </c>
      <c r="P107" s="4" t="str">
        <f>HYPERLINK("http://141.218.60.56/~jnz1568/getInfo.php?workbook=16_15.xlsx&amp;sheet=A0&amp;row=107&amp;col=16&amp;number=&amp;sourceID=55","")</f>
        <v/>
      </c>
      <c r="Q107" s="4" t="str">
        <f>HYPERLINK("http://141.218.60.56/~jnz1568/getInfo.php?workbook=16_15.xlsx&amp;sheet=A0&amp;row=107&amp;col=17&amp;number=&amp;sourceID=56","")</f>
        <v/>
      </c>
      <c r="R107" s="4" t="str">
        <f>HYPERLINK("http://141.218.60.56/~jnz1568/getInfo.php?workbook=16_15.xlsx&amp;sheet=A0&amp;row=107&amp;col=18&amp;number=&amp;sourceID=56","")</f>
        <v/>
      </c>
      <c r="S107" s="4" t="str">
        <f>HYPERLINK("http://141.218.60.56/~jnz1568/getInfo.php?workbook=16_15.xlsx&amp;sheet=A0&amp;row=107&amp;col=19&amp;number=&amp;sourceID=57","")</f>
        <v/>
      </c>
      <c r="T107" s="4" t="str">
        <f>HYPERLINK("http://141.218.60.56/~jnz1568/getInfo.php?workbook=16_15.xlsx&amp;sheet=A0&amp;row=107&amp;col=20&amp;number=&amp;sourceID=57","")</f>
        <v/>
      </c>
      <c r="U107" s="4" t="str">
        <f>HYPERLINK("http://141.218.60.56/~jnz1568/getInfo.php?workbook=16_15.xlsx&amp;sheet=A0&amp;row=107&amp;col=21&amp;number=&amp;sourceID=47","")</f>
        <v/>
      </c>
      <c r="V107" s="4" t="str">
        <f>HYPERLINK("http://141.218.60.56/~jnz1568/getInfo.php?workbook=16_15.xlsx&amp;sheet=A0&amp;row=107&amp;col=22&amp;number=&amp;sourceID=47","")</f>
        <v/>
      </c>
    </row>
    <row r="108" spans="1:22">
      <c r="A108" s="3">
        <v>16</v>
      </c>
      <c r="B108" s="3">
        <v>15</v>
      </c>
      <c r="C108" s="3">
        <v>16</v>
      </c>
      <c r="D108" s="3">
        <v>6</v>
      </c>
      <c r="E108" s="3">
        <f>((1/(INDEX(E0!J$4:J$73,C108,1)-INDEX(E0!J$4:J$73,D108,1))))*100000000</f>
        <v>0</v>
      </c>
      <c r="F108" s="4" t="str">
        <f>HYPERLINK("http://141.218.60.56/~jnz1568/getInfo.php?workbook=16_15.xlsx&amp;sheet=A0&amp;row=108&amp;col=6&amp;number=&amp;sourceID=54","")</f>
        <v/>
      </c>
      <c r="G108" s="4" t="str">
        <f>HYPERLINK("http://141.218.60.56/~jnz1568/getInfo.php?workbook=16_15.xlsx&amp;sheet=A0&amp;row=108&amp;col=7&amp;number=2.305&amp;sourceID=54","2.305")</f>
        <v>2.305</v>
      </c>
      <c r="H108" s="4" t="str">
        <f>HYPERLINK("http://141.218.60.56/~jnz1568/getInfo.php?workbook=16_15.xlsx&amp;sheet=A0&amp;row=108&amp;col=8&amp;number=0.012352&amp;sourceID=54","0.012352")</f>
        <v>0.012352</v>
      </c>
      <c r="I108" s="4" t="str">
        <f>HYPERLINK("http://141.218.60.56/~jnz1568/getInfo.php?workbook=16_15.xlsx&amp;sheet=A0&amp;row=108&amp;col=9&amp;number=&amp;sourceID=54","")</f>
        <v/>
      </c>
      <c r="J108" s="4" t="str">
        <f>HYPERLINK("http://141.218.60.56/~jnz1568/getInfo.php?workbook=16_15.xlsx&amp;sheet=A0&amp;row=108&amp;col=10&amp;number=2.2169&amp;sourceID=54","2.2169")</f>
        <v>2.2169</v>
      </c>
      <c r="K108" s="4" t="str">
        <f>HYPERLINK("http://141.218.60.56/~jnz1568/getInfo.php?workbook=16_15.xlsx&amp;sheet=A0&amp;row=108&amp;col=11&amp;number=0.011998&amp;sourceID=54","0.011998")</f>
        <v>0.011998</v>
      </c>
      <c r="L108" s="4" t="str">
        <f>HYPERLINK("http://141.218.60.56/~jnz1568/getInfo.php?workbook=16_15.xlsx&amp;sheet=A0&amp;row=108&amp;col=12&amp;number=&amp;sourceID=53","")</f>
        <v/>
      </c>
      <c r="M108" s="4" t="str">
        <f>HYPERLINK("http://141.218.60.56/~jnz1568/getInfo.php?workbook=16_15.xlsx&amp;sheet=A0&amp;row=108&amp;col=13&amp;number=&amp;sourceID=53","")</f>
        <v/>
      </c>
      <c r="N108" s="4" t="str">
        <f>HYPERLINK("http://141.218.60.56/~jnz1568/getInfo.php?workbook=16_15.xlsx&amp;sheet=A0&amp;row=108&amp;col=14&amp;number=&amp;sourceID=53","")</f>
        <v/>
      </c>
      <c r="O108" s="4" t="str">
        <f>HYPERLINK("http://141.218.60.56/~jnz1568/getInfo.php?workbook=16_15.xlsx&amp;sheet=A0&amp;row=108&amp;col=15&amp;number=&amp;sourceID=55","")</f>
        <v/>
      </c>
      <c r="P108" s="4" t="str">
        <f>HYPERLINK("http://141.218.60.56/~jnz1568/getInfo.php?workbook=16_15.xlsx&amp;sheet=A0&amp;row=108&amp;col=16&amp;number=&amp;sourceID=55","")</f>
        <v/>
      </c>
      <c r="Q108" s="4" t="str">
        <f>HYPERLINK("http://141.218.60.56/~jnz1568/getInfo.php?workbook=16_15.xlsx&amp;sheet=A0&amp;row=108&amp;col=17&amp;number=&amp;sourceID=56","")</f>
        <v/>
      </c>
      <c r="R108" s="4" t="str">
        <f>HYPERLINK("http://141.218.60.56/~jnz1568/getInfo.php?workbook=16_15.xlsx&amp;sheet=A0&amp;row=108&amp;col=18&amp;number=&amp;sourceID=56","")</f>
        <v/>
      </c>
      <c r="S108" s="4" t="str">
        <f>HYPERLINK("http://141.218.60.56/~jnz1568/getInfo.php?workbook=16_15.xlsx&amp;sheet=A0&amp;row=108&amp;col=19&amp;number=&amp;sourceID=57","")</f>
        <v/>
      </c>
      <c r="T108" s="4" t="str">
        <f>HYPERLINK("http://141.218.60.56/~jnz1568/getInfo.php?workbook=16_15.xlsx&amp;sheet=A0&amp;row=108&amp;col=20&amp;number=&amp;sourceID=57","")</f>
        <v/>
      </c>
      <c r="U108" s="4" t="str">
        <f>HYPERLINK("http://141.218.60.56/~jnz1568/getInfo.php?workbook=16_15.xlsx&amp;sheet=A0&amp;row=108&amp;col=21&amp;number=&amp;sourceID=47","")</f>
        <v/>
      </c>
      <c r="V108" s="4" t="str">
        <f>HYPERLINK("http://141.218.60.56/~jnz1568/getInfo.php?workbook=16_15.xlsx&amp;sheet=A0&amp;row=108&amp;col=22&amp;number=&amp;sourceID=47","")</f>
        <v/>
      </c>
    </row>
    <row r="109" spans="1:22">
      <c r="A109" s="3">
        <v>16</v>
      </c>
      <c r="B109" s="3">
        <v>15</v>
      </c>
      <c r="C109" s="3">
        <v>16</v>
      </c>
      <c r="D109" s="3">
        <v>7</v>
      </c>
      <c r="E109" s="3">
        <f>((1/(INDEX(E0!J$4:J$73,C109,1)-INDEX(E0!J$4:J$73,D109,1))))*100000000</f>
        <v>0</v>
      </c>
      <c r="F109" s="4" t="str">
        <f>HYPERLINK("http://141.218.60.56/~jnz1568/getInfo.php?workbook=16_15.xlsx&amp;sheet=A0&amp;row=109&amp;col=6&amp;number=&amp;sourceID=54","")</f>
        <v/>
      </c>
      <c r="G109" s="4" t="str">
        <f>HYPERLINK("http://141.218.60.56/~jnz1568/getInfo.php?workbook=16_15.xlsx&amp;sheet=A0&amp;row=109&amp;col=7&amp;number=3.2889&amp;sourceID=54","3.2889")</f>
        <v>3.2889</v>
      </c>
      <c r="H109" s="4" t="str">
        <f>HYPERLINK("http://141.218.60.56/~jnz1568/getInfo.php?workbook=16_15.xlsx&amp;sheet=A0&amp;row=109&amp;col=8&amp;number=0.00041745&amp;sourceID=54","0.00041745")</f>
        <v>0.00041745</v>
      </c>
      <c r="I109" s="4" t="str">
        <f>HYPERLINK("http://141.218.60.56/~jnz1568/getInfo.php?workbook=16_15.xlsx&amp;sheet=A0&amp;row=109&amp;col=9&amp;number=&amp;sourceID=54","")</f>
        <v/>
      </c>
      <c r="J109" s="4" t="str">
        <f>HYPERLINK("http://141.218.60.56/~jnz1568/getInfo.php?workbook=16_15.xlsx&amp;sheet=A0&amp;row=109&amp;col=10&amp;number=3.1864&amp;sourceID=54","3.1864")</f>
        <v>3.1864</v>
      </c>
      <c r="K109" s="4" t="str">
        <f>HYPERLINK("http://141.218.60.56/~jnz1568/getInfo.php?workbook=16_15.xlsx&amp;sheet=A0&amp;row=109&amp;col=11&amp;number=0.00040597&amp;sourceID=54","0.00040597")</f>
        <v>0.00040597</v>
      </c>
      <c r="L109" s="4" t="str">
        <f>HYPERLINK("http://141.218.60.56/~jnz1568/getInfo.php?workbook=16_15.xlsx&amp;sheet=A0&amp;row=109&amp;col=12&amp;number=&amp;sourceID=53","")</f>
        <v/>
      </c>
      <c r="M109" s="4" t="str">
        <f>HYPERLINK("http://141.218.60.56/~jnz1568/getInfo.php?workbook=16_15.xlsx&amp;sheet=A0&amp;row=109&amp;col=13&amp;number=&amp;sourceID=53","")</f>
        <v/>
      </c>
      <c r="N109" s="4" t="str">
        <f>HYPERLINK("http://141.218.60.56/~jnz1568/getInfo.php?workbook=16_15.xlsx&amp;sheet=A0&amp;row=109&amp;col=14&amp;number=&amp;sourceID=53","")</f>
        <v/>
      </c>
      <c r="O109" s="4" t="str">
        <f>HYPERLINK("http://141.218.60.56/~jnz1568/getInfo.php?workbook=16_15.xlsx&amp;sheet=A0&amp;row=109&amp;col=15&amp;number=&amp;sourceID=55","")</f>
        <v/>
      </c>
      <c r="P109" s="4" t="str">
        <f>HYPERLINK("http://141.218.60.56/~jnz1568/getInfo.php?workbook=16_15.xlsx&amp;sheet=A0&amp;row=109&amp;col=16&amp;number=&amp;sourceID=55","")</f>
        <v/>
      </c>
      <c r="Q109" s="4" t="str">
        <f>HYPERLINK("http://141.218.60.56/~jnz1568/getInfo.php?workbook=16_15.xlsx&amp;sheet=A0&amp;row=109&amp;col=17&amp;number=&amp;sourceID=56","")</f>
        <v/>
      </c>
      <c r="R109" s="4" t="str">
        <f>HYPERLINK("http://141.218.60.56/~jnz1568/getInfo.php?workbook=16_15.xlsx&amp;sheet=A0&amp;row=109&amp;col=18&amp;number=&amp;sourceID=56","")</f>
        <v/>
      </c>
      <c r="S109" s="4" t="str">
        <f>HYPERLINK("http://141.218.60.56/~jnz1568/getInfo.php?workbook=16_15.xlsx&amp;sheet=A0&amp;row=109&amp;col=19&amp;number=&amp;sourceID=57","")</f>
        <v/>
      </c>
      <c r="T109" s="4" t="str">
        <f>HYPERLINK("http://141.218.60.56/~jnz1568/getInfo.php?workbook=16_15.xlsx&amp;sheet=A0&amp;row=109&amp;col=20&amp;number=&amp;sourceID=57","")</f>
        <v/>
      </c>
      <c r="U109" s="4" t="str">
        <f>HYPERLINK("http://141.218.60.56/~jnz1568/getInfo.php?workbook=16_15.xlsx&amp;sheet=A0&amp;row=109&amp;col=21&amp;number=&amp;sourceID=47","")</f>
        <v/>
      </c>
      <c r="V109" s="4" t="str">
        <f>HYPERLINK("http://141.218.60.56/~jnz1568/getInfo.php?workbook=16_15.xlsx&amp;sheet=A0&amp;row=109&amp;col=22&amp;number=&amp;sourceID=47","")</f>
        <v/>
      </c>
    </row>
    <row r="110" spans="1:22">
      <c r="A110" s="3">
        <v>16</v>
      </c>
      <c r="B110" s="3">
        <v>15</v>
      </c>
      <c r="C110" s="3">
        <v>16</v>
      </c>
      <c r="D110" s="3">
        <v>8</v>
      </c>
      <c r="E110" s="3">
        <f>((1/(INDEX(E0!J$4:J$73,C110,1)-INDEX(E0!J$4:J$73,D110,1))))*100000000</f>
        <v>0</v>
      </c>
      <c r="F110" s="4" t="str">
        <f>HYPERLINK("http://141.218.60.56/~jnz1568/getInfo.php?workbook=16_15.xlsx&amp;sheet=A0&amp;row=110&amp;col=6&amp;number=&amp;sourceID=54","")</f>
        <v/>
      </c>
      <c r="G110" s="4" t="str">
        <f>HYPERLINK("http://141.218.60.56/~jnz1568/getInfo.php?workbook=16_15.xlsx&amp;sheet=A0&amp;row=110&amp;col=7&amp;number=2.279&amp;sourceID=54","2.279")</f>
        <v>2.279</v>
      </c>
      <c r="H110" s="4" t="str">
        <f>HYPERLINK("http://141.218.60.56/~jnz1568/getInfo.php?workbook=16_15.xlsx&amp;sheet=A0&amp;row=110&amp;col=8&amp;number=&amp;sourceID=54","")</f>
        <v/>
      </c>
      <c r="I110" s="4" t="str">
        <f>HYPERLINK("http://141.218.60.56/~jnz1568/getInfo.php?workbook=16_15.xlsx&amp;sheet=A0&amp;row=110&amp;col=9&amp;number=&amp;sourceID=54","")</f>
        <v/>
      </c>
      <c r="J110" s="4" t="str">
        <f>HYPERLINK("http://141.218.60.56/~jnz1568/getInfo.php?workbook=16_15.xlsx&amp;sheet=A0&amp;row=110&amp;col=10&amp;number=2.1801&amp;sourceID=54","2.1801")</f>
        <v>2.1801</v>
      </c>
      <c r="K110" s="4" t="str">
        <f>HYPERLINK("http://141.218.60.56/~jnz1568/getInfo.php?workbook=16_15.xlsx&amp;sheet=A0&amp;row=110&amp;col=11&amp;number=&amp;sourceID=54","")</f>
        <v/>
      </c>
      <c r="L110" s="4" t="str">
        <f>HYPERLINK("http://141.218.60.56/~jnz1568/getInfo.php?workbook=16_15.xlsx&amp;sheet=A0&amp;row=110&amp;col=12&amp;number=&amp;sourceID=53","")</f>
        <v/>
      </c>
      <c r="M110" s="4" t="str">
        <f>HYPERLINK("http://141.218.60.56/~jnz1568/getInfo.php?workbook=16_15.xlsx&amp;sheet=A0&amp;row=110&amp;col=13&amp;number=&amp;sourceID=53","")</f>
        <v/>
      </c>
      <c r="N110" s="4" t="str">
        <f>HYPERLINK("http://141.218.60.56/~jnz1568/getInfo.php?workbook=16_15.xlsx&amp;sheet=A0&amp;row=110&amp;col=14&amp;number=&amp;sourceID=53","")</f>
        <v/>
      </c>
      <c r="O110" s="4" t="str">
        <f>HYPERLINK("http://141.218.60.56/~jnz1568/getInfo.php?workbook=16_15.xlsx&amp;sheet=A0&amp;row=110&amp;col=15&amp;number=&amp;sourceID=55","")</f>
        <v/>
      </c>
      <c r="P110" s="4" t="str">
        <f>HYPERLINK("http://141.218.60.56/~jnz1568/getInfo.php?workbook=16_15.xlsx&amp;sheet=A0&amp;row=110&amp;col=16&amp;number=&amp;sourceID=55","")</f>
        <v/>
      </c>
      <c r="Q110" s="4" t="str">
        <f>HYPERLINK("http://141.218.60.56/~jnz1568/getInfo.php?workbook=16_15.xlsx&amp;sheet=A0&amp;row=110&amp;col=17&amp;number=&amp;sourceID=56","")</f>
        <v/>
      </c>
      <c r="R110" s="4" t="str">
        <f>HYPERLINK("http://141.218.60.56/~jnz1568/getInfo.php?workbook=16_15.xlsx&amp;sheet=A0&amp;row=110&amp;col=18&amp;number=&amp;sourceID=56","")</f>
        <v/>
      </c>
      <c r="S110" s="4" t="str">
        <f>HYPERLINK("http://141.218.60.56/~jnz1568/getInfo.php?workbook=16_15.xlsx&amp;sheet=A0&amp;row=110&amp;col=19&amp;number=&amp;sourceID=57","")</f>
        <v/>
      </c>
      <c r="T110" s="4" t="str">
        <f>HYPERLINK("http://141.218.60.56/~jnz1568/getInfo.php?workbook=16_15.xlsx&amp;sheet=A0&amp;row=110&amp;col=20&amp;number=&amp;sourceID=57","")</f>
        <v/>
      </c>
      <c r="U110" s="4" t="str">
        <f>HYPERLINK("http://141.218.60.56/~jnz1568/getInfo.php?workbook=16_15.xlsx&amp;sheet=A0&amp;row=110&amp;col=21&amp;number=&amp;sourceID=47","")</f>
        <v/>
      </c>
      <c r="V110" s="4" t="str">
        <f>HYPERLINK("http://141.218.60.56/~jnz1568/getInfo.php?workbook=16_15.xlsx&amp;sheet=A0&amp;row=110&amp;col=22&amp;number=&amp;sourceID=47","")</f>
        <v/>
      </c>
    </row>
    <row r="111" spans="1:22">
      <c r="A111" s="3">
        <v>16</v>
      </c>
      <c r="B111" s="3">
        <v>15</v>
      </c>
      <c r="C111" s="3">
        <v>16</v>
      </c>
      <c r="D111" s="3">
        <v>9</v>
      </c>
      <c r="E111" s="3">
        <f>((1/(INDEX(E0!J$4:J$73,C111,1)-INDEX(E0!J$4:J$73,D111,1))))*100000000</f>
        <v>0</v>
      </c>
      <c r="F111" s="4" t="str">
        <f>HYPERLINK("http://141.218.60.56/~jnz1568/getInfo.php?workbook=16_15.xlsx&amp;sheet=A0&amp;row=111&amp;col=6&amp;number=&amp;sourceID=54","")</f>
        <v/>
      </c>
      <c r="G111" s="4" t="str">
        <f>HYPERLINK("http://141.218.60.56/~jnz1568/getInfo.php?workbook=16_15.xlsx&amp;sheet=A0&amp;row=111&amp;col=7&amp;number=1.7503e-05&amp;sourceID=54","1.7503e-05")</f>
        <v>1.7503e-05</v>
      </c>
      <c r="H111" s="4" t="str">
        <f>HYPERLINK("http://141.218.60.56/~jnz1568/getInfo.php?workbook=16_15.xlsx&amp;sheet=A0&amp;row=111&amp;col=8&amp;number=1.7579e-06&amp;sourceID=54","1.7579e-06")</f>
        <v>1.7579e-06</v>
      </c>
      <c r="I111" s="4" t="str">
        <f>HYPERLINK("http://141.218.60.56/~jnz1568/getInfo.php?workbook=16_15.xlsx&amp;sheet=A0&amp;row=111&amp;col=9&amp;number=&amp;sourceID=54","")</f>
        <v/>
      </c>
      <c r="J111" s="4" t="str">
        <f>HYPERLINK("http://141.218.60.56/~jnz1568/getInfo.php?workbook=16_15.xlsx&amp;sheet=A0&amp;row=111&amp;col=10&amp;number=2.1172e-05&amp;sourceID=54","2.1172e-05")</f>
        <v>2.1172e-05</v>
      </c>
      <c r="K111" s="4" t="str">
        <f>HYPERLINK("http://141.218.60.56/~jnz1568/getInfo.php?workbook=16_15.xlsx&amp;sheet=A0&amp;row=111&amp;col=11&amp;number=2.692e-06&amp;sourceID=54","2.692e-06")</f>
        <v>2.692e-06</v>
      </c>
      <c r="L111" s="4" t="str">
        <f>HYPERLINK("http://141.218.60.56/~jnz1568/getInfo.php?workbook=16_15.xlsx&amp;sheet=A0&amp;row=111&amp;col=12&amp;number=&amp;sourceID=53","")</f>
        <v/>
      </c>
      <c r="M111" s="4" t="str">
        <f>HYPERLINK("http://141.218.60.56/~jnz1568/getInfo.php?workbook=16_15.xlsx&amp;sheet=A0&amp;row=111&amp;col=13&amp;number=&amp;sourceID=53","")</f>
        <v/>
      </c>
      <c r="N111" s="4" t="str">
        <f>HYPERLINK("http://141.218.60.56/~jnz1568/getInfo.php?workbook=16_15.xlsx&amp;sheet=A0&amp;row=111&amp;col=14&amp;number=&amp;sourceID=53","")</f>
        <v/>
      </c>
      <c r="O111" s="4" t="str">
        <f>HYPERLINK("http://141.218.60.56/~jnz1568/getInfo.php?workbook=16_15.xlsx&amp;sheet=A0&amp;row=111&amp;col=15&amp;number=&amp;sourceID=55","")</f>
        <v/>
      </c>
      <c r="P111" s="4" t="str">
        <f>HYPERLINK("http://141.218.60.56/~jnz1568/getInfo.php?workbook=16_15.xlsx&amp;sheet=A0&amp;row=111&amp;col=16&amp;number=&amp;sourceID=55","")</f>
        <v/>
      </c>
      <c r="Q111" s="4" t="str">
        <f>HYPERLINK("http://141.218.60.56/~jnz1568/getInfo.php?workbook=16_15.xlsx&amp;sheet=A0&amp;row=111&amp;col=17&amp;number=&amp;sourceID=56","")</f>
        <v/>
      </c>
      <c r="R111" s="4" t="str">
        <f>HYPERLINK("http://141.218.60.56/~jnz1568/getInfo.php?workbook=16_15.xlsx&amp;sheet=A0&amp;row=111&amp;col=18&amp;number=&amp;sourceID=56","")</f>
        <v/>
      </c>
      <c r="S111" s="4" t="str">
        <f>HYPERLINK("http://141.218.60.56/~jnz1568/getInfo.php?workbook=16_15.xlsx&amp;sheet=A0&amp;row=111&amp;col=19&amp;number=&amp;sourceID=57","")</f>
        <v/>
      </c>
      <c r="T111" s="4" t="str">
        <f>HYPERLINK("http://141.218.60.56/~jnz1568/getInfo.php?workbook=16_15.xlsx&amp;sheet=A0&amp;row=111&amp;col=20&amp;number=&amp;sourceID=57","")</f>
        <v/>
      </c>
      <c r="U111" s="4" t="str">
        <f>HYPERLINK("http://141.218.60.56/~jnz1568/getInfo.php?workbook=16_15.xlsx&amp;sheet=A0&amp;row=111&amp;col=21&amp;number=&amp;sourceID=47","")</f>
        <v/>
      </c>
      <c r="V111" s="4" t="str">
        <f>HYPERLINK("http://141.218.60.56/~jnz1568/getInfo.php?workbook=16_15.xlsx&amp;sheet=A0&amp;row=111&amp;col=22&amp;number=&amp;sourceID=47","")</f>
        <v/>
      </c>
    </row>
    <row r="112" spans="1:22">
      <c r="A112" s="3">
        <v>16</v>
      </c>
      <c r="B112" s="3">
        <v>15</v>
      </c>
      <c r="C112" s="3">
        <v>16</v>
      </c>
      <c r="D112" s="3">
        <v>10</v>
      </c>
      <c r="E112" s="3">
        <f>((1/(INDEX(E0!J$4:J$73,C112,1)-INDEX(E0!J$4:J$73,D112,1))))*100000000</f>
        <v>0</v>
      </c>
      <c r="F112" s="4" t="str">
        <f>HYPERLINK("http://141.218.60.56/~jnz1568/getInfo.php?workbook=16_15.xlsx&amp;sheet=A0&amp;row=112&amp;col=6&amp;number=&amp;sourceID=54","")</f>
        <v/>
      </c>
      <c r="G112" s="4" t="str">
        <f>HYPERLINK("http://141.218.60.56/~jnz1568/getInfo.php?workbook=16_15.xlsx&amp;sheet=A0&amp;row=112&amp;col=7&amp;number=7.4507e-05&amp;sourceID=54","7.4507e-05")</f>
        <v>7.4507e-05</v>
      </c>
      <c r="H112" s="4" t="str">
        <f>HYPERLINK("http://141.218.60.56/~jnz1568/getInfo.php?workbook=16_15.xlsx&amp;sheet=A0&amp;row=112&amp;col=8&amp;number=9.7051e-07&amp;sourceID=54","9.7051e-07")</f>
        <v>9.7051e-07</v>
      </c>
      <c r="I112" s="4" t="str">
        <f>HYPERLINK("http://141.218.60.56/~jnz1568/getInfo.php?workbook=16_15.xlsx&amp;sheet=A0&amp;row=112&amp;col=9&amp;number=&amp;sourceID=54","")</f>
        <v/>
      </c>
      <c r="J112" s="4" t="str">
        <f>HYPERLINK("http://141.218.60.56/~jnz1568/getInfo.php?workbook=16_15.xlsx&amp;sheet=A0&amp;row=112&amp;col=10&amp;number=9.0936e-05&amp;sourceID=54","9.0936e-05")</f>
        <v>9.0936e-05</v>
      </c>
      <c r="K112" s="4" t="str">
        <f>HYPERLINK("http://141.218.60.56/~jnz1568/getInfo.php?workbook=16_15.xlsx&amp;sheet=A0&amp;row=112&amp;col=11&amp;number=7.5096e-06&amp;sourceID=54","7.5096e-06")</f>
        <v>7.5096e-06</v>
      </c>
      <c r="L112" s="4" t="str">
        <f>HYPERLINK("http://141.218.60.56/~jnz1568/getInfo.php?workbook=16_15.xlsx&amp;sheet=A0&amp;row=112&amp;col=12&amp;number=&amp;sourceID=53","")</f>
        <v/>
      </c>
      <c r="M112" s="4" t="str">
        <f>HYPERLINK("http://141.218.60.56/~jnz1568/getInfo.php?workbook=16_15.xlsx&amp;sheet=A0&amp;row=112&amp;col=13&amp;number=&amp;sourceID=53","")</f>
        <v/>
      </c>
      <c r="N112" s="4" t="str">
        <f>HYPERLINK("http://141.218.60.56/~jnz1568/getInfo.php?workbook=16_15.xlsx&amp;sheet=A0&amp;row=112&amp;col=14&amp;number=&amp;sourceID=53","")</f>
        <v/>
      </c>
      <c r="O112" s="4" t="str">
        <f>HYPERLINK("http://141.218.60.56/~jnz1568/getInfo.php?workbook=16_15.xlsx&amp;sheet=A0&amp;row=112&amp;col=15&amp;number=&amp;sourceID=55","")</f>
        <v/>
      </c>
      <c r="P112" s="4" t="str">
        <f>HYPERLINK("http://141.218.60.56/~jnz1568/getInfo.php?workbook=16_15.xlsx&amp;sheet=A0&amp;row=112&amp;col=16&amp;number=&amp;sourceID=55","")</f>
        <v/>
      </c>
      <c r="Q112" s="4" t="str">
        <f>HYPERLINK("http://141.218.60.56/~jnz1568/getInfo.php?workbook=16_15.xlsx&amp;sheet=A0&amp;row=112&amp;col=17&amp;number=&amp;sourceID=56","")</f>
        <v/>
      </c>
      <c r="R112" s="4" t="str">
        <f>HYPERLINK("http://141.218.60.56/~jnz1568/getInfo.php?workbook=16_15.xlsx&amp;sheet=A0&amp;row=112&amp;col=18&amp;number=&amp;sourceID=56","")</f>
        <v/>
      </c>
      <c r="S112" s="4" t="str">
        <f>HYPERLINK("http://141.218.60.56/~jnz1568/getInfo.php?workbook=16_15.xlsx&amp;sheet=A0&amp;row=112&amp;col=19&amp;number=&amp;sourceID=57","")</f>
        <v/>
      </c>
      <c r="T112" s="4" t="str">
        <f>HYPERLINK("http://141.218.60.56/~jnz1568/getInfo.php?workbook=16_15.xlsx&amp;sheet=A0&amp;row=112&amp;col=20&amp;number=&amp;sourceID=57","")</f>
        <v/>
      </c>
      <c r="U112" s="4" t="str">
        <f>HYPERLINK("http://141.218.60.56/~jnz1568/getInfo.php?workbook=16_15.xlsx&amp;sheet=A0&amp;row=112&amp;col=21&amp;number=&amp;sourceID=47","")</f>
        <v/>
      </c>
      <c r="V112" s="4" t="str">
        <f>HYPERLINK("http://141.218.60.56/~jnz1568/getInfo.php?workbook=16_15.xlsx&amp;sheet=A0&amp;row=112&amp;col=22&amp;number=&amp;sourceID=47","")</f>
        <v/>
      </c>
    </row>
    <row r="113" spans="1:22">
      <c r="A113" s="3">
        <v>16</v>
      </c>
      <c r="B113" s="3">
        <v>15</v>
      </c>
      <c r="C113" s="3">
        <v>16</v>
      </c>
      <c r="D113" s="3">
        <v>11</v>
      </c>
      <c r="E113" s="3">
        <f>((1/(INDEX(E0!J$4:J$73,C113,1)-INDEX(E0!J$4:J$73,D113,1))))*100000000</f>
        <v>0</v>
      </c>
      <c r="F113" s="4" t="str">
        <f>HYPERLINK("http://141.218.60.56/~jnz1568/getInfo.php?workbook=16_15.xlsx&amp;sheet=A0&amp;row=113&amp;col=6&amp;number=&amp;sourceID=54","")</f>
        <v/>
      </c>
      <c r="G113" s="4" t="str">
        <f>HYPERLINK("http://141.218.60.56/~jnz1568/getInfo.php?workbook=16_15.xlsx&amp;sheet=A0&amp;row=113&amp;col=7&amp;number=7.4044e-07&amp;sourceID=54","7.4044e-07")</f>
        <v>7.4044e-07</v>
      </c>
      <c r="H113" s="4" t="str">
        <f>HYPERLINK("http://141.218.60.56/~jnz1568/getInfo.php?workbook=16_15.xlsx&amp;sheet=A0&amp;row=113&amp;col=8&amp;number=1.3201e-06&amp;sourceID=54","1.3201e-06")</f>
        <v>1.3201e-06</v>
      </c>
      <c r="I113" s="4" t="str">
        <f>HYPERLINK("http://141.218.60.56/~jnz1568/getInfo.php?workbook=16_15.xlsx&amp;sheet=A0&amp;row=113&amp;col=9&amp;number=&amp;sourceID=54","")</f>
        <v/>
      </c>
      <c r="J113" s="4" t="str">
        <f>HYPERLINK("http://141.218.60.56/~jnz1568/getInfo.php?workbook=16_15.xlsx&amp;sheet=A0&amp;row=113&amp;col=10&amp;number=1.4273e-06&amp;sourceID=54","1.4273e-06")</f>
        <v>1.4273e-06</v>
      </c>
      <c r="K113" s="4" t="str">
        <f>HYPERLINK("http://141.218.60.56/~jnz1568/getInfo.php?workbook=16_15.xlsx&amp;sheet=A0&amp;row=113&amp;col=11&amp;number=1.3258e-06&amp;sourceID=54","1.3258e-06")</f>
        <v>1.3258e-06</v>
      </c>
      <c r="L113" s="4" t="str">
        <f>HYPERLINK("http://141.218.60.56/~jnz1568/getInfo.php?workbook=16_15.xlsx&amp;sheet=A0&amp;row=113&amp;col=12&amp;number=&amp;sourceID=53","")</f>
        <v/>
      </c>
      <c r="M113" s="4" t="str">
        <f>HYPERLINK("http://141.218.60.56/~jnz1568/getInfo.php?workbook=16_15.xlsx&amp;sheet=A0&amp;row=113&amp;col=13&amp;number=&amp;sourceID=53","")</f>
        <v/>
      </c>
      <c r="N113" s="4" t="str">
        <f>HYPERLINK("http://141.218.60.56/~jnz1568/getInfo.php?workbook=16_15.xlsx&amp;sheet=A0&amp;row=113&amp;col=14&amp;number=&amp;sourceID=53","")</f>
        <v/>
      </c>
      <c r="O113" s="4" t="str">
        <f>HYPERLINK("http://141.218.60.56/~jnz1568/getInfo.php?workbook=16_15.xlsx&amp;sheet=A0&amp;row=113&amp;col=15&amp;number=&amp;sourceID=55","")</f>
        <v/>
      </c>
      <c r="P113" s="4" t="str">
        <f>HYPERLINK("http://141.218.60.56/~jnz1568/getInfo.php?workbook=16_15.xlsx&amp;sheet=A0&amp;row=113&amp;col=16&amp;number=&amp;sourceID=55","")</f>
        <v/>
      </c>
      <c r="Q113" s="4" t="str">
        <f>HYPERLINK("http://141.218.60.56/~jnz1568/getInfo.php?workbook=16_15.xlsx&amp;sheet=A0&amp;row=113&amp;col=17&amp;number=&amp;sourceID=56","")</f>
        <v/>
      </c>
      <c r="R113" s="4" t="str">
        <f>HYPERLINK("http://141.218.60.56/~jnz1568/getInfo.php?workbook=16_15.xlsx&amp;sheet=A0&amp;row=113&amp;col=18&amp;number=&amp;sourceID=56","")</f>
        <v/>
      </c>
      <c r="S113" s="4" t="str">
        <f>HYPERLINK("http://141.218.60.56/~jnz1568/getInfo.php?workbook=16_15.xlsx&amp;sheet=A0&amp;row=113&amp;col=19&amp;number=&amp;sourceID=57","")</f>
        <v/>
      </c>
      <c r="T113" s="4" t="str">
        <f>HYPERLINK("http://141.218.60.56/~jnz1568/getInfo.php?workbook=16_15.xlsx&amp;sheet=A0&amp;row=113&amp;col=20&amp;number=&amp;sourceID=57","")</f>
        <v/>
      </c>
      <c r="U113" s="4" t="str">
        <f>HYPERLINK("http://141.218.60.56/~jnz1568/getInfo.php?workbook=16_15.xlsx&amp;sheet=A0&amp;row=113&amp;col=21&amp;number=&amp;sourceID=47","")</f>
        <v/>
      </c>
      <c r="V113" s="4" t="str">
        <f>HYPERLINK("http://141.218.60.56/~jnz1568/getInfo.php?workbook=16_15.xlsx&amp;sheet=A0&amp;row=113&amp;col=22&amp;number=&amp;sourceID=47","")</f>
        <v/>
      </c>
    </row>
    <row r="114" spans="1:22">
      <c r="A114" s="3">
        <v>16</v>
      </c>
      <c r="B114" s="3">
        <v>15</v>
      </c>
      <c r="C114" s="3">
        <v>16</v>
      </c>
      <c r="D114" s="3">
        <v>12</v>
      </c>
      <c r="E114" s="3">
        <f>((1/(INDEX(E0!J$4:J$73,C114,1)-INDEX(E0!J$4:J$73,D114,1))))*100000000</f>
        <v>0</v>
      </c>
      <c r="F114" s="4" t="str">
        <f>HYPERLINK("http://141.218.60.56/~jnz1568/getInfo.php?workbook=16_15.xlsx&amp;sheet=A0&amp;row=114&amp;col=6&amp;number=&amp;sourceID=54","")</f>
        <v/>
      </c>
      <c r="G114" s="4" t="str">
        <f>HYPERLINK("http://141.218.60.56/~jnz1568/getInfo.php?workbook=16_15.xlsx&amp;sheet=A0&amp;row=114&amp;col=7&amp;number=1.2741e-07&amp;sourceID=54","1.2741e-07")</f>
        <v>1.2741e-07</v>
      </c>
      <c r="H114" s="4" t="str">
        <f>HYPERLINK("http://141.218.60.56/~jnz1568/getInfo.php?workbook=16_15.xlsx&amp;sheet=A0&amp;row=114&amp;col=8&amp;number=&amp;sourceID=54","")</f>
        <v/>
      </c>
      <c r="I114" s="4" t="str">
        <f>HYPERLINK("http://141.218.60.56/~jnz1568/getInfo.php?workbook=16_15.xlsx&amp;sheet=A0&amp;row=114&amp;col=9&amp;number=&amp;sourceID=54","")</f>
        <v/>
      </c>
      <c r="J114" s="4" t="str">
        <f>HYPERLINK("http://141.218.60.56/~jnz1568/getInfo.php?workbook=16_15.xlsx&amp;sheet=A0&amp;row=114&amp;col=10&amp;number=2.6684e-07&amp;sourceID=54","2.6684e-07")</f>
        <v>2.6684e-07</v>
      </c>
      <c r="K114" s="4" t="str">
        <f>HYPERLINK("http://141.218.60.56/~jnz1568/getInfo.php?workbook=16_15.xlsx&amp;sheet=A0&amp;row=114&amp;col=11&amp;number=&amp;sourceID=54","")</f>
        <v/>
      </c>
      <c r="L114" s="4" t="str">
        <f>HYPERLINK("http://141.218.60.56/~jnz1568/getInfo.php?workbook=16_15.xlsx&amp;sheet=A0&amp;row=114&amp;col=12&amp;number=&amp;sourceID=53","")</f>
        <v/>
      </c>
      <c r="M114" s="4" t="str">
        <f>HYPERLINK("http://141.218.60.56/~jnz1568/getInfo.php?workbook=16_15.xlsx&amp;sheet=A0&amp;row=114&amp;col=13&amp;number=&amp;sourceID=53","")</f>
        <v/>
      </c>
      <c r="N114" s="4" t="str">
        <f>HYPERLINK("http://141.218.60.56/~jnz1568/getInfo.php?workbook=16_15.xlsx&amp;sheet=A0&amp;row=114&amp;col=14&amp;number=&amp;sourceID=53","")</f>
        <v/>
      </c>
      <c r="O114" s="4" t="str">
        <f>HYPERLINK("http://141.218.60.56/~jnz1568/getInfo.php?workbook=16_15.xlsx&amp;sheet=A0&amp;row=114&amp;col=15&amp;number=&amp;sourceID=55","")</f>
        <v/>
      </c>
      <c r="P114" s="4" t="str">
        <f>HYPERLINK("http://141.218.60.56/~jnz1568/getInfo.php?workbook=16_15.xlsx&amp;sheet=A0&amp;row=114&amp;col=16&amp;number=&amp;sourceID=55","")</f>
        <v/>
      </c>
      <c r="Q114" s="4" t="str">
        <f>HYPERLINK("http://141.218.60.56/~jnz1568/getInfo.php?workbook=16_15.xlsx&amp;sheet=A0&amp;row=114&amp;col=17&amp;number=&amp;sourceID=56","")</f>
        <v/>
      </c>
      <c r="R114" s="4" t="str">
        <f>HYPERLINK("http://141.218.60.56/~jnz1568/getInfo.php?workbook=16_15.xlsx&amp;sheet=A0&amp;row=114&amp;col=18&amp;number=&amp;sourceID=56","")</f>
        <v/>
      </c>
      <c r="S114" s="4" t="str">
        <f>HYPERLINK("http://141.218.60.56/~jnz1568/getInfo.php?workbook=16_15.xlsx&amp;sheet=A0&amp;row=114&amp;col=19&amp;number=&amp;sourceID=57","")</f>
        <v/>
      </c>
      <c r="T114" s="4" t="str">
        <f>HYPERLINK("http://141.218.60.56/~jnz1568/getInfo.php?workbook=16_15.xlsx&amp;sheet=A0&amp;row=114&amp;col=20&amp;number=&amp;sourceID=57","")</f>
        <v/>
      </c>
      <c r="U114" s="4" t="str">
        <f>HYPERLINK("http://141.218.60.56/~jnz1568/getInfo.php?workbook=16_15.xlsx&amp;sheet=A0&amp;row=114&amp;col=21&amp;number=&amp;sourceID=47","")</f>
        <v/>
      </c>
      <c r="V114" s="4" t="str">
        <f>HYPERLINK("http://141.218.60.56/~jnz1568/getInfo.php?workbook=16_15.xlsx&amp;sheet=A0&amp;row=114&amp;col=22&amp;number=&amp;sourceID=47","")</f>
        <v/>
      </c>
    </row>
    <row r="115" spans="1:22">
      <c r="A115" s="3">
        <v>16</v>
      </c>
      <c r="B115" s="3">
        <v>15</v>
      </c>
      <c r="C115" s="3">
        <v>16</v>
      </c>
      <c r="D115" s="3">
        <v>13</v>
      </c>
      <c r="E115" s="3">
        <f>((1/(INDEX(E0!J$4:J$73,C115,1)-INDEX(E0!J$4:J$73,D115,1))))*100000000</f>
        <v>0</v>
      </c>
      <c r="F115" s="4" t="str">
        <f>HYPERLINK("http://141.218.60.56/~jnz1568/getInfo.php?workbook=16_15.xlsx&amp;sheet=A0&amp;row=115&amp;col=6&amp;number=&amp;sourceID=54","")</f>
        <v/>
      </c>
      <c r="G115" s="4" t="str">
        <f>HYPERLINK("http://141.218.60.56/~jnz1568/getInfo.php?workbook=16_15.xlsx&amp;sheet=A0&amp;row=115&amp;col=7&amp;number=2.0393e-09&amp;sourceID=54","2.0393e-09")</f>
        <v>2.0393e-09</v>
      </c>
      <c r="H115" s="4" t="str">
        <f>HYPERLINK("http://141.218.60.56/~jnz1568/getInfo.php?workbook=16_15.xlsx&amp;sheet=A0&amp;row=115&amp;col=8&amp;number=&amp;sourceID=54","")</f>
        <v/>
      </c>
      <c r="I115" s="4" t="str">
        <f>HYPERLINK("http://141.218.60.56/~jnz1568/getInfo.php?workbook=16_15.xlsx&amp;sheet=A0&amp;row=115&amp;col=9&amp;number=&amp;sourceID=54","")</f>
        <v/>
      </c>
      <c r="J115" s="4" t="str">
        <f>HYPERLINK("http://141.218.60.56/~jnz1568/getInfo.php?workbook=16_15.xlsx&amp;sheet=A0&amp;row=115&amp;col=10&amp;number=1.7285e-09&amp;sourceID=54","1.7285e-09")</f>
        <v>1.7285e-09</v>
      </c>
      <c r="K115" s="4" t="str">
        <f>HYPERLINK("http://141.218.60.56/~jnz1568/getInfo.php?workbook=16_15.xlsx&amp;sheet=A0&amp;row=115&amp;col=11&amp;number=&amp;sourceID=54","")</f>
        <v/>
      </c>
      <c r="L115" s="4" t="str">
        <f>HYPERLINK("http://141.218.60.56/~jnz1568/getInfo.php?workbook=16_15.xlsx&amp;sheet=A0&amp;row=115&amp;col=12&amp;number=&amp;sourceID=53","")</f>
        <v/>
      </c>
      <c r="M115" s="4" t="str">
        <f>HYPERLINK("http://141.218.60.56/~jnz1568/getInfo.php?workbook=16_15.xlsx&amp;sheet=A0&amp;row=115&amp;col=13&amp;number=&amp;sourceID=53","")</f>
        <v/>
      </c>
      <c r="N115" s="4" t="str">
        <f>HYPERLINK("http://141.218.60.56/~jnz1568/getInfo.php?workbook=16_15.xlsx&amp;sheet=A0&amp;row=115&amp;col=14&amp;number=&amp;sourceID=53","")</f>
        <v/>
      </c>
      <c r="O115" s="4" t="str">
        <f>HYPERLINK("http://141.218.60.56/~jnz1568/getInfo.php?workbook=16_15.xlsx&amp;sheet=A0&amp;row=115&amp;col=15&amp;number=&amp;sourceID=55","")</f>
        <v/>
      </c>
      <c r="P115" s="4" t="str">
        <f>HYPERLINK("http://141.218.60.56/~jnz1568/getInfo.php?workbook=16_15.xlsx&amp;sheet=A0&amp;row=115&amp;col=16&amp;number=&amp;sourceID=55","")</f>
        <v/>
      </c>
      <c r="Q115" s="4" t="str">
        <f>HYPERLINK("http://141.218.60.56/~jnz1568/getInfo.php?workbook=16_15.xlsx&amp;sheet=A0&amp;row=115&amp;col=17&amp;number=&amp;sourceID=56","")</f>
        <v/>
      </c>
      <c r="R115" s="4" t="str">
        <f>HYPERLINK("http://141.218.60.56/~jnz1568/getInfo.php?workbook=16_15.xlsx&amp;sheet=A0&amp;row=115&amp;col=18&amp;number=&amp;sourceID=56","")</f>
        <v/>
      </c>
      <c r="S115" s="4" t="str">
        <f>HYPERLINK("http://141.218.60.56/~jnz1568/getInfo.php?workbook=16_15.xlsx&amp;sheet=A0&amp;row=115&amp;col=19&amp;number=&amp;sourceID=57","")</f>
        <v/>
      </c>
      <c r="T115" s="4" t="str">
        <f>HYPERLINK("http://141.218.60.56/~jnz1568/getInfo.php?workbook=16_15.xlsx&amp;sheet=A0&amp;row=115&amp;col=20&amp;number=&amp;sourceID=57","")</f>
        <v/>
      </c>
      <c r="U115" s="4" t="str">
        <f>HYPERLINK("http://141.218.60.56/~jnz1568/getInfo.php?workbook=16_15.xlsx&amp;sheet=A0&amp;row=115&amp;col=21&amp;number=&amp;sourceID=47","")</f>
        <v/>
      </c>
      <c r="V115" s="4" t="str">
        <f>HYPERLINK("http://141.218.60.56/~jnz1568/getInfo.php?workbook=16_15.xlsx&amp;sheet=A0&amp;row=115&amp;col=22&amp;number=&amp;sourceID=47","")</f>
        <v/>
      </c>
    </row>
    <row r="116" spans="1:22">
      <c r="A116" s="3">
        <v>16</v>
      </c>
      <c r="B116" s="3">
        <v>15</v>
      </c>
      <c r="C116" s="3">
        <v>16</v>
      </c>
      <c r="D116" s="3">
        <v>14</v>
      </c>
      <c r="E116" s="3">
        <f>((1/(INDEX(E0!J$4:J$73,C116,1)-INDEX(E0!J$4:J$73,D116,1))))*100000000</f>
        <v>0</v>
      </c>
      <c r="F116" s="4" t="str">
        <f>HYPERLINK("http://141.218.60.56/~jnz1568/getInfo.php?workbook=16_15.xlsx&amp;sheet=A0&amp;row=116&amp;col=6&amp;number=&amp;sourceID=54","")</f>
        <v/>
      </c>
      <c r="G116" s="4" t="str">
        <f>HYPERLINK("http://141.218.60.56/~jnz1568/getInfo.php?workbook=16_15.xlsx&amp;sheet=A0&amp;row=116&amp;col=7&amp;number=2.7058e-10&amp;sourceID=54","2.7058e-10")</f>
        <v>2.7058e-10</v>
      </c>
      <c r="H116" s="4" t="str">
        <f>HYPERLINK("http://141.218.60.56/~jnz1568/getInfo.php?workbook=16_15.xlsx&amp;sheet=A0&amp;row=116&amp;col=8&amp;number=0.00094501&amp;sourceID=54","0.00094501")</f>
        <v>0.00094501</v>
      </c>
      <c r="I116" s="4" t="str">
        <f>HYPERLINK("http://141.218.60.56/~jnz1568/getInfo.php?workbook=16_15.xlsx&amp;sheet=A0&amp;row=116&amp;col=9&amp;number=&amp;sourceID=54","")</f>
        <v/>
      </c>
      <c r="J116" s="4" t="str">
        <f>HYPERLINK("http://141.218.60.56/~jnz1568/getInfo.php?workbook=16_15.xlsx&amp;sheet=A0&amp;row=116&amp;col=10&amp;number=3.1946e-10&amp;sourceID=54","3.1946e-10")</f>
        <v>3.1946e-10</v>
      </c>
      <c r="K116" s="4" t="str">
        <f>HYPERLINK("http://141.218.60.56/~jnz1568/getInfo.php?workbook=16_15.xlsx&amp;sheet=A0&amp;row=116&amp;col=11&amp;number=0.00095117&amp;sourceID=54","0.00095117")</f>
        <v>0.00095117</v>
      </c>
      <c r="L116" s="4" t="str">
        <f>HYPERLINK("http://141.218.60.56/~jnz1568/getInfo.php?workbook=16_15.xlsx&amp;sheet=A0&amp;row=116&amp;col=12&amp;number=&amp;sourceID=53","")</f>
        <v/>
      </c>
      <c r="M116" s="4" t="str">
        <f>HYPERLINK("http://141.218.60.56/~jnz1568/getInfo.php?workbook=16_15.xlsx&amp;sheet=A0&amp;row=116&amp;col=13&amp;number=&amp;sourceID=53","")</f>
        <v/>
      </c>
      <c r="N116" s="4" t="str">
        <f>HYPERLINK("http://141.218.60.56/~jnz1568/getInfo.php?workbook=16_15.xlsx&amp;sheet=A0&amp;row=116&amp;col=14&amp;number=&amp;sourceID=53","")</f>
        <v/>
      </c>
      <c r="O116" s="4" t="str">
        <f>HYPERLINK("http://141.218.60.56/~jnz1568/getInfo.php?workbook=16_15.xlsx&amp;sheet=A0&amp;row=116&amp;col=15&amp;number=&amp;sourceID=55","")</f>
        <v/>
      </c>
      <c r="P116" s="4" t="str">
        <f>HYPERLINK("http://141.218.60.56/~jnz1568/getInfo.php?workbook=16_15.xlsx&amp;sheet=A0&amp;row=116&amp;col=16&amp;number=&amp;sourceID=55","")</f>
        <v/>
      </c>
      <c r="Q116" s="4" t="str">
        <f>HYPERLINK("http://141.218.60.56/~jnz1568/getInfo.php?workbook=16_15.xlsx&amp;sheet=A0&amp;row=116&amp;col=17&amp;number=&amp;sourceID=56","")</f>
        <v/>
      </c>
      <c r="R116" s="4" t="str">
        <f>HYPERLINK("http://141.218.60.56/~jnz1568/getInfo.php?workbook=16_15.xlsx&amp;sheet=A0&amp;row=116&amp;col=18&amp;number=&amp;sourceID=56","")</f>
        <v/>
      </c>
      <c r="S116" s="4" t="str">
        <f>HYPERLINK("http://141.218.60.56/~jnz1568/getInfo.php?workbook=16_15.xlsx&amp;sheet=A0&amp;row=116&amp;col=19&amp;number=&amp;sourceID=57","")</f>
        <v/>
      </c>
      <c r="T116" s="4" t="str">
        <f>HYPERLINK("http://141.218.60.56/~jnz1568/getInfo.php?workbook=16_15.xlsx&amp;sheet=A0&amp;row=116&amp;col=20&amp;number=&amp;sourceID=57","")</f>
        <v/>
      </c>
      <c r="U116" s="4" t="str">
        <f>HYPERLINK("http://141.218.60.56/~jnz1568/getInfo.php?workbook=16_15.xlsx&amp;sheet=A0&amp;row=116&amp;col=21&amp;number=&amp;sourceID=47","")</f>
        <v/>
      </c>
      <c r="V116" s="4" t="str">
        <f>HYPERLINK("http://141.218.60.56/~jnz1568/getInfo.php?workbook=16_15.xlsx&amp;sheet=A0&amp;row=116&amp;col=22&amp;number=&amp;sourceID=47","")</f>
        <v/>
      </c>
    </row>
    <row r="117" spans="1:22">
      <c r="A117" s="3">
        <v>16</v>
      </c>
      <c r="B117" s="3">
        <v>15</v>
      </c>
      <c r="C117" s="3">
        <v>17</v>
      </c>
      <c r="D117" s="3">
        <v>1</v>
      </c>
      <c r="E117" s="3">
        <f>((1/(INDEX(E0!J$4:J$73,C117,1)-INDEX(E0!J$4:J$73,D117,1))))*100000000</f>
        <v>0</v>
      </c>
      <c r="F117" s="4" t="str">
        <f>HYPERLINK("http://141.218.60.56/~jnz1568/getInfo.php?workbook=16_15.xlsx&amp;sheet=A0&amp;row=117&amp;col=6&amp;number=3.9972&amp;sourceID=54","3.9972")</f>
        <v>3.9972</v>
      </c>
      <c r="G117" s="4" t="str">
        <f>HYPERLINK("http://141.218.60.56/~jnz1568/getInfo.php?workbook=16_15.xlsx&amp;sheet=A0&amp;row=117&amp;col=7&amp;number=&amp;sourceID=54","")</f>
        <v/>
      </c>
      <c r="H117" s="4" t="str">
        <f>HYPERLINK("http://141.218.60.56/~jnz1568/getInfo.php?workbook=16_15.xlsx&amp;sheet=A0&amp;row=117&amp;col=8&amp;number=&amp;sourceID=54","")</f>
        <v/>
      </c>
      <c r="I117" s="4" t="str">
        <f>HYPERLINK("http://141.218.60.56/~jnz1568/getInfo.php?workbook=16_15.xlsx&amp;sheet=A0&amp;row=117&amp;col=9&amp;number=102530&amp;sourceID=54","102530")</f>
        <v>102530</v>
      </c>
      <c r="J117" s="4" t="str">
        <f>HYPERLINK("http://141.218.60.56/~jnz1568/getInfo.php?workbook=16_15.xlsx&amp;sheet=A0&amp;row=117&amp;col=10&amp;number=&amp;sourceID=54","")</f>
        <v/>
      </c>
      <c r="K117" s="4" t="str">
        <f>HYPERLINK("http://141.218.60.56/~jnz1568/getInfo.php?workbook=16_15.xlsx&amp;sheet=A0&amp;row=117&amp;col=11&amp;number=&amp;sourceID=54","")</f>
        <v/>
      </c>
      <c r="L117" s="4" t="str">
        <f>HYPERLINK("http://141.218.60.56/~jnz1568/getInfo.php?workbook=16_15.xlsx&amp;sheet=A0&amp;row=117&amp;col=12&amp;number=169086.539051&amp;sourceID=53","169086.539051")</f>
        <v>169086.539051</v>
      </c>
      <c r="M117" s="4" t="str">
        <f>HYPERLINK("http://141.218.60.56/~jnz1568/getInfo.php?workbook=16_15.xlsx&amp;sheet=A0&amp;row=117&amp;col=13&amp;number=&amp;sourceID=53","")</f>
        <v/>
      </c>
      <c r="N117" s="4" t="str">
        <f>HYPERLINK("http://141.218.60.56/~jnz1568/getInfo.php?workbook=16_15.xlsx&amp;sheet=A0&amp;row=117&amp;col=14&amp;number=&amp;sourceID=53","")</f>
        <v/>
      </c>
      <c r="O117" s="4" t="str">
        <f>HYPERLINK("http://141.218.60.56/~jnz1568/getInfo.php?workbook=16_15.xlsx&amp;sheet=A0&amp;row=117&amp;col=15&amp;number=&amp;sourceID=55","")</f>
        <v/>
      </c>
      <c r="P117" s="4" t="str">
        <f>HYPERLINK("http://141.218.60.56/~jnz1568/getInfo.php?workbook=16_15.xlsx&amp;sheet=A0&amp;row=117&amp;col=16&amp;number=&amp;sourceID=55","")</f>
        <v/>
      </c>
      <c r="Q117" s="4" t="str">
        <f>HYPERLINK("http://141.218.60.56/~jnz1568/getInfo.php?workbook=16_15.xlsx&amp;sheet=A0&amp;row=117&amp;col=17&amp;number=&amp;sourceID=56","")</f>
        <v/>
      </c>
      <c r="R117" s="4" t="str">
        <f>HYPERLINK("http://141.218.60.56/~jnz1568/getInfo.php?workbook=16_15.xlsx&amp;sheet=A0&amp;row=117&amp;col=18&amp;number=&amp;sourceID=56","")</f>
        <v/>
      </c>
      <c r="S117" s="4" t="str">
        <f>HYPERLINK("http://141.218.60.56/~jnz1568/getInfo.php?workbook=16_15.xlsx&amp;sheet=A0&amp;row=117&amp;col=19&amp;number=&amp;sourceID=57","")</f>
        <v/>
      </c>
      <c r="T117" s="4" t="str">
        <f>HYPERLINK("http://141.218.60.56/~jnz1568/getInfo.php?workbook=16_15.xlsx&amp;sheet=A0&amp;row=117&amp;col=20&amp;number=&amp;sourceID=57","")</f>
        <v/>
      </c>
      <c r="U117" s="4" t="str">
        <f>HYPERLINK("http://141.218.60.56/~jnz1568/getInfo.php?workbook=16_15.xlsx&amp;sheet=A0&amp;row=117&amp;col=21&amp;number=&amp;sourceID=47","")</f>
        <v/>
      </c>
      <c r="V117" s="4" t="str">
        <f>HYPERLINK("http://141.218.60.56/~jnz1568/getInfo.php?workbook=16_15.xlsx&amp;sheet=A0&amp;row=117&amp;col=22&amp;number=&amp;sourceID=47","")</f>
        <v/>
      </c>
    </row>
    <row r="118" spans="1:22">
      <c r="A118" s="3">
        <v>16</v>
      </c>
      <c r="B118" s="3">
        <v>15</v>
      </c>
      <c r="C118" s="3">
        <v>17</v>
      </c>
      <c r="D118" s="3">
        <v>2</v>
      </c>
      <c r="E118" s="3">
        <f>((1/(INDEX(E0!J$4:J$73,C118,1)-INDEX(E0!J$4:J$73,D118,1))))*100000000</f>
        <v>0</v>
      </c>
      <c r="F118" s="4" t="str">
        <f>HYPERLINK("http://141.218.60.56/~jnz1568/getInfo.php?workbook=16_15.xlsx&amp;sheet=A0&amp;row=118&amp;col=6&amp;number=80656&amp;sourceID=54","80656")</f>
        <v>80656</v>
      </c>
      <c r="G118" s="4" t="str">
        <f>HYPERLINK("http://141.218.60.56/~jnz1568/getInfo.php?workbook=16_15.xlsx&amp;sheet=A0&amp;row=118&amp;col=7&amp;number=&amp;sourceID=54","")</f>
        <v/>
      </c>
      <c r="H118" s="4" t="str">
        <f>HYPERLINK("http://141.218.60.56/~jnz1568/getInfo.php?workbook=16_15.xlsx&amp;sheet=A0&amp;row=118&amp;col=8&amp;number=&amp;sourceID=54","")</f>
        <v/>
      </c>
      <c r="I118" s="4" t="str">
        <f>HYPERLINK("http://141.218.60.56/~jnz1568/getInfo.php?workbook=16_15.xlsx&amp;sheet=A0&amp;row=118&amp;col=9&amp;number=81647&amp;sourceID=54","81647")</f>
        <v>81647</v>
      </c>
      <c r="J118" s="4" t="str">
        <f>HYPERLINK("http://141.218.60.56/~jnz1568/getInfo.php?workbook=16_15.xlsx&amp;sheet=A0&amp;row=118&amp;col=10&amp;number=&amp;sourceID=54","")</f>
        <v/>
      </c>
      <c r="K118" s="4" t="str">
        <f>HYPERLINK("http://141.218.60.56/~jnz1568/getInfo.php?workbook=16_15.xlsx&amp;sheet=A0&amp;row=118&amp;col=11&amp;number=&amp;sourceID=54","")</f>
        <v/>
      </c>
      <c r="L118" s="4" t="str">
        <f>HYPERLINK("http://141.218.60.56/~jnz1568/getInfo.php?workbook=16_15.xlsx&amp;sheet=A0&amp;row=118&amp;col=12&amp;number=121614.764075&amp;sourceID=53","121614.764075")</f>
        <v>121614.764075</v>
      </c>
      <c r="M118" s="4" t="str">
        <f>HYPERLINK("http://141.218.60.56/~jnz1568/getInfo.php?workbook=16_15.xlsx&amp;sheet=A0&amp;row=118&amp;col=13&amp;number=&amp;sourceID=53","")</f>
        <v/>
      </c>
      <c r="N118" s="4" t="str">
        <f>HYPERLINK("http://141.218.60.56/~jnz1568/getInfo.php?workbook=16_15.xlsx&amp;sheet=A0&amp;row=118&amp;col=14&amp;number=&amp;sourceID=53","")</f>
        <v/>
      </c>
      <c r="O118" s="4" t="str">
        <f>HYPERLINK("http://141.218.60.56/~jnz1568/getInfo.php?workbook=16_15.xlsx&amp;sheet=A0&amp;row=118&amp;col=15&amp;number=&amp;sourceID=55","")</f>
        <v/>
      </c>
      <c r="P118" s="4" t="str">
        <f>HYPERLINK("http://141.218.60.56/~jnz1568/getInfo.php?workbook=16_15.xlsx&amp;sheet=A0&amp;row=118&amp;col=16&amp;number=&amp;sourceID=55","")</f>
        <v/>
      </c>
      <c r="Q118" s="4" t="str">
        <f>HYPERLINK("http://141.218.60.56/~jnz1568/getInfo.php?workbook=16_15.xlsx&amp;sheet=A0&amp;row=118&amp;col=17&amp;number=&amp;sourceID=56","")</f>
        <v/>
      </c>
      <c r="R118" s="4" t="str">
        <f>HYPERLINK("http://141.218.60.56/~jnz1568/getInfo.php?workbook=16_15.xlsx&amp;sheet=A0&amp;row=118&amp;col=18&amp;number=&amp;sourceID=56","")</f>
        <v/>
      </c>
      <c r="S118" s="4" t="str">
        <f>HYPERLINK("http://141.218.60.56/~jnz1568/getInfo.php?workbook=16_15.xlsx&amp;sheet=A0&amp;row=118&amp;col=19&amp;number=&amp;sourceID=57","")</f>
        <v/>
      </c>
      <c r="T118" s="4" t="str">
        <f>HYPERLINK("http://141.218.60.56/~jnz1568/getInfo.php?workbook=16_15.xlsx&amp;sheet=A0&amp;row=118&amp;col=20&amp;number=&amp;sourceID=57","")</f>
        <v/>
      </c>
      <c r="U118" s="4" t="str">
        <f>HYPERLINK("http://141.218.60.56/~jnz1568/getInfo.php?workbook=16_15.xlsx&amp;sheet=A0&amp;row=118&amp;col=21&amp;number=&amp;sourceID=47","")</f>
        <v/>
      </c>
      <c r="V118" s="4" t="str">
        <f>HYPERLINK("http://141.218.60.56/~jnz1568/getInfo.php?workbook=16_15.xlsx&amp;sheet=A0&amp;row=118&amp;col=22&amp;number=&amp;sourceID=47","")</f>
        <v/>
      </c>
    </row>
    <row r="119" spans="1:22">
      <c r="A119" s="3">
        <v>16</v>
      </c>
      <c r="B119" s="3">
        <v>15</v>
      </c>
      <c r="C119" s="3">
        <v>17</v>
      </c>
      <c r="D119" s="3">
        <v>3</v>
      </c>
      <c r="E119" s="3">
        <f>((1/(INDEX(E0!J$4:J$73,C119,1)-INDEX(E0!J$4:J$73,D119,1))))*100000000</f>
        <v>0</v>
      </c>
      <c r="F119" s="4" t="str">
        <f>HYPERLINK("http://141.218.60.56/~jnz1568/getInfo.php?workbook=16_15.xlsx&amp;sheet=A0&amp;row=119&amp;col=6&amp;number=101340&amp;sourceID=54","101340")</f>
        <v>101340</v>
      </c>
      <c r="G119" s="4" t="str">
        <f>HYPERLINK("http://141.218.60.56/~jnz1568/getInfo.php?workbook=16_15.xlsx&amp;sheet=A0&amp;row=119&amp;col=7&amp;number=&amp;sourceID=54","")</f>
        <v/>
      </c>
      <c r="H119" s="4" t="str">
        <f>HYPERLINK("http://141.218.60.56/~jnz1568/getInfo.php?workbook=16_15.xlsx&amp;sheet=A0&amp;row=119&amp;col=8&amp;number=&amp;sourceID=54","")</f>
        <v/>
      </c>
      <c r="I119" s="4" t="str">
        <f>HYPERLINK("http://141.218.60.56/~jnz1568/getInfo.php?workbook=16_15.xlsx&amp;sheet=A0&amp;row=119&amp;col=9&amp;number=108520&amp;sourceID=54","108520")</f>
        <v>108520</v>
      </c>
      <c r="J119" s="4" t="str">
        <f>HYPERLINK("http://141.218.60.56/~jnz1568/getInfo.php?workbook=16_15.xlsx&amp;sheet=A0&amp;row=119&amp;col=10&amp;number=&amp;sourceID=54","")</f>
        <v/>
      </c>
      <c r="K119" s="4" t="str">
        <f>HYPERLINK("http://141.218.60.56/~jnz1568/getInfo.php?workbook=16_15.xlsx&amp;sheet=A0&amp;row=119&amp;col=11&amp;number=&amp;sourceID=54","")</f>
        <v/>
      </c>
      <c r="L119" s="4" t="str">
        <f>HYPERLINK("http://141.218.60.56/~jnz1568/getInfo.php?workbook=16_15.xlsx&amp;sheet=A0&amp;row=119&amp;col=12&amp;number=132938.326498&amp;sourceID=53","132938.326498")</f>
        <v>132938.326498</v>
      </c>
      <c r="M119" s="4" t="str">
        <f>HYPERLINK("http://141.218.60.56/~jnz1568/getInfo.php?workbook=16_15.xlsx&amp;sheet=A0&amp;row=119&amp;col=13&amp;number=&amp;sourceID=53","")</f>
        <v/>
      </c>
      <c r="N119" s="4" t="str">
        <f>HYPERLINK("http://141.218.60.56/~jnz1568/getInfo.php?workbook=16_15.xlsx&amp;sheet=A0&amp;row=119&amp;col=14&amp;number=&amp;sourceID=53","")</f>
        <v/>
      </c>
      <c r="O119" s="4" t="str">
        <f>HYPERLINK("http://141.218.60.56/~jnz1568/getInfo.php?workbook=16_15.xlsx&amp;sheet=A0&amp;row=119&amp;col=15&amp;number=&amp;sourceID=55","")</f>
        <v/>
      </c>
      <c r="P119" s="4" t="str">
        <f>HYPERLINK("http://141.218.60.56/~jnz1568/getInfo.php?workbook=16_15.xlsx&amp;sheet=A0&amp;row=119&amp;col=16&amp;number=&amp;sourceID=55","")</f>
        <v/>
      </c>
      <c r="Q119" s="4" t="str">
        <f>HYPERLINK("http://141.218.60.56/~jnz1568/getInfo.php?workbook=16_15.xlsx&amp;sheet=A0&amp;row=119&amp;col=17&amp;number=&amp;sourceID=56","")</f>
        <v/>
      </c>
      <c r="R119" s="4" t="str">
        <f>HYPERLINK("http://141.218.60.56/~jnz1568/getInfo.php?workbook=16_15.xlsx&amp;sheet=A0&amp;row=119&amp;col=18&amp;number=&amp;sourceID=56","")</f>
        <v/>
      </c>
      <c r="S119" s="4" t="str">
        <f>HYPERLINK("http://141.218.60.56/~jnz1568/getInfo.php?workbook=16_15.xlsx&amp;sheet=A0&amp;row=119&amp;col=19&amp;number=&amp;sourceID=57","")</f>
        <v/>
      </c>
      <c r="T119" s="4" t="str">
        <f>HYPERLINK("http://141.218.60.56/~jnz1568/getInfo.php?workbook=16_15.xlsx&amp;sheet=A0&amp;row=119&amp;col=20&amp;number=&amp;sourceID=57","")</f>
        <v/>
      </c>
      <c r="U119" s="4" t="str">
        <f>HYPERLINK("http://141.218.60.56/~jnz1568/getInfo.php?workbook=16_15.xlsx&amp;sheet=A0&amp;row=119&amp;col=21&amp;number=&amp;sourceID=47","")</f>
        <v/>
      </c>
      <c r="V119" s="4" t="str">
        <f>HYPERLINK("http://141.218.60.56/~jnz1568/getInfo.php?workbook=16_15.xlsx&amp;sheet=A0&amp;row=119&amp;col=22&amp;number=&amp;sourceID=47","")</f>
        <v/>
      </c>
    </row>
    <row r="120" spans="1:22">
      <c r="A120" s="3">
        <v>16</v>
      </c>
      <c r="B120" s="3">
        <v>15</v>
      </c>
      <c r="C120" s="3">
        <v>17</v>
      </c>
      <c r="D120" s="3">
        <v>5</v>
      </c>
      <c r="E120" s="3">
        <f>((1/(INDEX(E0!J$4:J$73,C120,1)-INDEX(E0!J$4:J$73,D120,1))))*100000000</f>
        <v>0</v>
      </c>
      <c r="F120" s="4" t="str">
        <f>HYPERLINK("http://141.218.60.56/~jnz1568/getInfo.php?workbook=16_15.xlsx&amp;sheet=A0&amp;row=120&amp;col=6&amp;number=9383.7&amp;sourceID=54","9383.7")</f>
        <v>9383.7</v>
      </c>
      <c r="G120" s="4" t="str">
        <f>HYPERLINK("http://141.218.60.56/~jnz1568/getInfo.php?workbook=16_15.xlsx&amp;sheet=A0&amp;row=120&amp;col=7&amp;number=&amp;sourceID=54","")</f>
        <v/>
      </c>
      <c r="H120" s="4" t="str">
        <f>HYPERLINK("http://141.218.60.56/~jnz1568/getInfo.php?workbook=16_15.xlsx&amp;sheet=A0&amp;row=120&amp;col=8&amp;number=&amp;sourceID=54","")</f>
        <v/>
      </c>
      <c r="I120" s="4" t="str">
        <f>HYPERLINK("http://141.218.60.56/~jnz1568/getInfo.php?workbook=16_15.xlsx&amp;sheet=A0&amp;row=120&amp;col=9&amp;number=9512.2&amp;sourceID=54","9512.2")</f>
        <v>9512.2</v>
      </c>
      <c r="J120" s="4" t="str">
        <f>HYPERLINK("http://141.218.60.56/~jnz1568/getInfo.php?workbook=16_15.xlsx&amp;sheet=A0&amp;row=120&amp;col=10&amp;number=&amp;sourceID=54","")</f>
        <v/>
      </c>
      <c r="K120" s="4" t="str">
        <f>HYPERLINK("http://141.218.60.56/~jnz1568/getInfo.php?workbook=16_15.xlsx&amp;sheet=A0&amp;row=120&amp;col=11&amp;number=&amp;sourceID=54","")</f>
        <v/>
      </c>
      <c r="L120" s="4" t="str">
        <f>HYPERLINK("http://141.218.60.56/~jnz1568/getInfo.php?workbook=16_15.xlsx&amp;sheet=A0&amp;row=120&amp;col=12&amp;number=19370.2615895&amp;sourceID=53","19370.2615895")</f>
        <v>19370.2615895</v>
      </c>
      <c r="M120" s="4" t="str">
        <f>HYPERLINK("http://141.218.60.56/~jnz1568/getInfo.php?workbook=16_15.xlsx&amp;sheet=A0&amp;row=120&amp;col=13&amp;number=&amp;sourceID=53","")</f>
        <v/>
      </c>
      <c r="N120" s="4" t="str">
        <f>HYPERLINK("http://141.218.60.56/~jnz1568/getInfo.php?workbook=16_15.xlsx&amp;sheet=A0&amp;row=120&amp;col=14&amp;number=&amp;sourceID=53","")</f>
        <v/>
      </c>
      <c r="O120" s="4" t="str">
        <f>HYPERLINK("http://141.218.60.56/~jnz1568/getInfo.php?workbook=16_15.xlsx&amp;sheet=A0&amp;row=120&amp;col=15&amp;number=&amp;sourceID=55","")</f>
        <v/>
      </c>
      <c r="P120" s="4" t="str">
        <f>HYPERLINK("http://141.218.60.56/~jnz1568/getInfo.php?workbook=16_15.xlsx&amp;sheet=A0&amp;row=120&amp;col=16&amp;number=&amp;sourceID=55","")</f>
        <v/>
      </c>
      <c r="Q120" s="4" t="str">
        <f>HYPERLINK("http://141.218.60.56/~jnz1568/getInfo.php?workbook=16_15.xlsx&amp;sheet=A0&amp;row=120&amp;col=17&amp;number=&amp;sourceID=56","")</f>
        <v/>
      </c>
      <c r="R120" s="4" t="str">
        <f>HYPERLINK("http://141.218.60.56/~jnz1568/getInfo.php?workbook=16_15.xlsx&amp;sheet=A0&amp;row=120&amp;col=18&amp;number=&amp;sourceID=56","")</f>
        <v/>
      </c>
      <c r="S120" s="4" t="str">
        <f>HYPERLINK("http://141.218.60.56/~jnz1568/getInfo.php?workbook=16_15.xlsx&amp;sheet=A0&amp;row=120&amp;col=19&amp;number=&amp;sourceID=57","")</f>
        <v/>
      </c>
      <c r="T120" s="4" t="str">
        <f>HYPERLINK("http://141.218.60.56/~jnz1568/getInfo.php?workbook=16_15.xlsx&amp;sheet=A0&amp;row=120&amp;col=20&amp;number=&amp;sourceID=57","")</f>
        <v/>
      </c>
      <c r="U120" s="4" t="str">
        <f>HYPERLINK("http://141.218.60.56/~jnz1568/getInfo.php?workbook=16_15.xlsx&amp;sheet=A0&amp;row=120&amp;col=21&amp;number=&amp;sourceID=47","")</f>
        <v/>
      </c>
      <c r="V120" s="4" t="str">
        <f>HYPERLINK("http://141.218.60.56/~jnz1568/getInfo.php?workbook=16_15.xlsx&amp;sheet=A0&amp;row=120&amp;col=22&amp;number=&amp;sourceID=47","")</f>
        <v/>
      </c>
    </row>
    <row r="121" spans="1:22">
      <c r="A121" s="3">
        <v>16</v>
      </c>
      <c r="B121" s="3">
        <v>15</v>
      </c>
      <c r="C121" s="3">
        <v>17</v>
      </c>
      <c r="D121" s="3">
        <v>6</v>
      </c>
      <c r="E121" s="3">
        <f>((1/(INDEX(E0!J$4:J$73,C121,1)-INDEX(E0!J$4:J$73,D121,1))))*100000000</f>
        <v>0</v>
      </c>
      <c r="F121" s="4" t="str">
        <f>HYPERLINK("http://141.218.60.56/~jnz1568/getInfo.php?workbook=16_15.xlsx&amp;sheet=A0&amp;row=121&amp;col=6&amp;number=&amp;sourceID=54","")</f>
        <v/>
      </c>
      <c r="G121" s="4" t="str">
        <f>HYPERLINK("http://141.218.60.56/~jnz1568/getInfo.php?workbook=16_15.xlsx&amp;sheet=A0&amp;row=121&amp;col=7&amp;number=0.049804&amp;sourceID=54","0.049804")</f>
        <v>0.049804</v>
      </c>
      <c r="H121" s="4" t="str">
        <f>HYPERLINK("http://141.218.60.56/~jnz1568/getInfo.php?workbook=16_15.xlsx&amp;sheet=A0&amp;row=121&amp;col=8&amp;number=0.00037231&amp;sourceID=54","0.00037231")</f>
        <v>0.00037231</v>
      </c>
      <c r="I121" s="4" t="str">
        <f>HYPERLINK("http://141.218.60.56/~jnz1568/getInfo.php?workbook=16_15.xlsx&amp;sheet=A0&amp;row=121&amp;col=9&amp;number=&amp;sourceID=54","")</f>
        <v/>
      </c>
      <c r="J121" s="4" t="str">
        <f>HYPERLINK("http://141.218.60.56/~jnz1568/getInfo.php?workbook=16_15.xlsx&amp;sheet=A0&amp;row=121&amp;col=10&amp;number=0.050453&amp;sourceID=54","0.050453")</f>
        <v>0.050453</v>
      </c>
      <c r="K121" s="4" t="str">
        <f>HYPERLINK("http://141.218.60.56/~jnz1568/getInfo.php?workbook=16_15.xlsx&amp;sheet=A0&amp;row=121&amp;col=11&amp;number=0.00037917&amp;sourceID=54","0.00037917")</f>
        <v>0.00037917</v>
      </c>
      <c r="L121" s="4" t="str">
        <f>HYPERLINK("http://141.218.60.56/~jnz1568/getInfo.php?workbook=16_15.xlsx&amp;sheet=A0&amp;row=121&amp;col=12&amp;number=&amp;sourceID=53","")</f>
        <v/>
      </c>
      <c r="M121" s="4" t="str">
        <f>HYPERLINK("http://141.218.60.56/~jnz1568/getInfo.php?workbook=16_15.xlsx&amp;sheet=A0&amp;row=121&amp;col=13&amp;number=&amp;sourceID=53","")</f>
        <v/>
      </c>
      <c r="N121" s="4" t="str">
        <f>HYPERLINK("http://141.218.60.56/~jnz1568/getInfo.php?workbook=16_15.xlsx&amp;sheet=A0&amp;row=121&amp;col=14&amp;number=&amp;sourceID=53","")</f>
        <v/>
      </c>
      <c r="O121" s="4" t="str">
        <f>HYPERLINK("http://141.218.60.56/~jnz1568/getInfo.php?workbook=16_15.xlsx&amp;sheet=A0&amp;row=121&amp;col=15&amp;number=&amp;sourceID=55","")</f>
        <v/>
      </c>
      <c r="P121" s="4" t="str">
        <f>HYPERLINK("http://141.218.60.56/~jnz1568/getInfo.php?workbook=16_15.xlsx&amp;sheet=A0&amp;row=121&amp;col=16&amp;number=&amp;sourceID=55","")</f>
        <v/>
      </c>
      <c r="Q121" s="4" t="str">
        <f>HYPERLINK("http://141.218.60.56/~jnz1568/getInfo.php?workbook=16_15.xlsx&amp;sheet=A0&amp;row=121&amp;col=17&amp;number=&amp;sourceID=56","")</f>
        <v/>
      </c>
      <c r="R121" s="4" t="str">
        <f>HYPERLINK("http://141.218.60.56/~jnz1568/getInfo.php?workbook=16_15.xlsx&amp;sheet=A0&amp;row=121&amp;col=18&amp;number=&amp;sourceID=56","")</f>
        <v/>
      </c>
      <c r="S121" s="4" t="str">
        <f>HYPERLINK("http://141.218.60.56/~jnz1568/getInfo.php?workbook=16_15.xlsx&amp;sheet=A0&amp;row=121&amp;col=19&amp;number=&amp;sourceID=57","")</f>
        <v/>
      </c>
      <c r="T121" s="4" t="str">
        <f>HYPERLINK("http://141.218.60.56/~jnz1568/getInfo.php?workbook=16_15.xlsx&amp;sheet=A0&amp;row=121&amp;col=20&amp;number=&amp;sourceID=57","")</f>
        <v/>
      </c>
      <c r="U121" s="4" t="str">
        <f>HYPERLINK("http://141.218.60.56/~jnz1568/getInfo.php?workbook=16_15.xlsx&amp;sheet=A0&amp;row=121&amp;col=21&amp;number=&amp;sourceID=47","")</f>
        <v/>
      </c>
      <c r="V121" s="4" t="str">
        <f>HYPERLINK("http://141.218.60.56/~jnz1568/getInfo.php?workbook=16_15.xlsx&amp;sheet=A0&amp;row=121&amp;col=22&amp;number=&amp;sourceID=47","")</f>
        <v/>
      </c>
    </row>
    <row r="122" spans="1:22">
      <c r="A122" s="3">
        <v>16</v>
      </c>
      <c r="B122" s="3">
        <v>15</v>
      </c>
      <c r="C122" s="3">
        <v>17</v>
      </c>
      <c r="D122" s="3">
        <v>7</v>
      </c>
      <c r="E122" s="3">
        <f>((1/(INDEX(E0!J$4:J$73,C122,1)-INDEX(E0!J$4:J$73,D122,1))))*100000000</f>
        <v>0</v>
      </c>
      <c r="F122" s="4" t="str">
        <f>HYPERLINK("http://141.218.60.56/~jnz1568/getInfo.php?workbook=16_15.xlsx&amp;sheet=A0&amp;row=122&amp;col=6&amp;number=&amp;sourceID=54","")</f>
        <v/>
      </c>
      <c r="G122" s="4" t="str">
        <f>HYPERLINK("http://141.218.60.56/~jnz1568/getInfo.php?workbook=16_15.xlsx&amp;sheet=A0&amp;row=122&amp;col=7&amp;number=0.3547&amp;sourceID=54","0.3547")</f>
        <v>0.3547</v>
      </c>
      <c r="H122" s="4" t="str">
        <f>HYPERLINK("http://141.218.60.56/~jnz1568/getInfo.php?workbook=16_15.xlsx&amp;sheet=A0&amp;row=122&amp;col=8&amp;number=5.0202e-06&amp;sourceID=54","5.0202e-06")</f>
        <v>5.0202e-06</v>
      </c>
      <c r="I122" s="4" t="str">
        <f>HYPERLINK("http://141.218.60.56/~jnz1568/getInfo.php?workbook=16_15.xlsx&amp;sheet=A0&amp;row=122&amp;col=9&amp;number=&amp;sourceID=54","")</f>
        <v/>
      </c>
      <c r="J122" s="4" t="str">
        <f>HYPERLINK("http://141.218.60.56/~jnz1568/getInfo.php?workbook=16_15.xlsx&amp;sheet=A0&amp;row=122&amp;col=10&amp;number=0.28995&amp;sourceID=54","0.28995")</f>
        <v>0.28995</v>
      </c>
      <c r="K122" s="4" t="str">
        <f>HYPERLINK("http://141.218.60.56/~jnz1568/getInfo.php?workbook=16_15.xlsx&amp;sheet=A0&amp;row=122&amp;col=11&amp;number=5.2596e-06&amp;sourceID=54","5.2596e-06")</f>
        <v>5.2596e-06</v>
      </c>
      <c r="L122" s="4" t="str">
        <f>HYPERLINK("http://141.218.60.56/~jnz1568/getInfo.php?workbook=16_15.xlsx&amp;sheet=A0&amp;row=122&amp;col=12&amp;number=&amp;sourceID=53","")</f>
        <v/>
      </c>
      <c r="M122" s="4" t="str">
        <f>HYPERLINK("http://141.218.60.56/~jnz1568/getInfo.php?workbook=16_15.xlsx&amp;sheet=A0&amp;row=122&amp;col=13&amp;number=&amp;sourceID=53","")</f>
        <v/>
      </c>
      <c r="N122" s="4" t="str">
        <f>HYPERLINK("http://141.218.60.56/~jnz1568/getInfo.php?workbook=16_15.xlsx&amp;sheet=A0&amp;row=122&amp;col=14&amp;number=&amp;sourceID=53","")</f>
        <v/>
      </c>
      <c r="O122" s="4" t="str">
        <f>HYPERLINK("http://141.218.60.56/~jnz1568/getInfo.php?workbook=16_15.xlsx&amp;sheet=A0&amp;row=122&amp;col=15&amp;number=&amp;sourceID=55","")</f>
        <v/>
      </c>
      <c r="P122" s="4" t="str">
        <f>HYPERLINK("http://141.218.60.56/~jnz1568/getInfo.php?workbook=16_15.xlsx&amp;sheet=A0&amp;row=122&amp;col=16&amp;number=&amp;sourceID=55","")</f>
        <v/>
      </c>
      <c r="Q122" s="4" t="str">
        <f>HYPERLINK("http://141.218.60.56/~jnz1568/getInfo.php?workbook=16_15.xlsx&amp;sheet=A0&amp;row=122&amp;col=17&amp;number=&amp;sourceID=56","")</f>
        <v/>
      </c>
      <c r="R122" s="4" t="str">
        <f>HYPERLINK("http://141.218.60.56/~jnz1568/getInfo.php?workbook=16_15.xlsx&amp;sheet=A0&amp;row=122&amp;col=18&amp;number=&amp;sourceID=56","")</f>
        <v/>
      </c>
      <c r="S122" s="4" t="str">
        <f>HYPERLINK("http://141.218.60.56/~jnz1568/getInfo.php?workbook=16_15.xlsx&amp;sheet=A0&amp;row=122&amp;col=19&amp;number=&amp;sourceID=57","")</f>
        <v/>
      </c>
      <c r="T122" s="4" t="str">
        <f>HYPERLINK("http://141.218.60.56/~jnz1568/getInfo.php?workbook=16_15.xlsx&amp;sheet=A0&amp;row=122&amp;col=20&amp;number=&amp;sourceID=57","")</f>
        <v/>
      </c>
      <c r="U122" s="4" t="str">
        <f>HYPERLINK("http://141.218.60.56/~jnz1568/getInfo.php?workbook=16_15.xlsx&amp;sheet=A0&amp;row=122&amp;col=21&amp;number=&amp;sourceID=47","")</f>
        <v/>
      </c>
      <c r="V122" s="4" t="str">
        <f>HYPERLINK("http://141.218.60.56/~jnz1568/getInfo.php?workbook=16_15.xlsx&amp;sheet=A0&amp;row=122&amp;col=22&amp;number=&amp;sourceID=47","")</f>
        <v/>
      </c>
    </row>
    <row r="123" spans="1:22">
      <c r="A123" s="3">
        <v>16</v>
      </c>
      <c r="B123" s="3">
        <v>15</v>
      </c>
      <c r="C123" s="3">
        <v>17</v>
      </c>
      <c r="D123" s="3">
        <v>8</v>
      </c>
      <c r="E123" s="3">
        <f>((1/(INDEX(E0!J$4:J$73,C123,1)-INDEX(E0!J$4:J$73,D123,1))))*100000000</f>
        <v>0</v>
      </c>
      <c r="F123" s="4" t="str">
        <f>HYPERLINK("http://141.218.60.56/~jnz1568/getInfo.php?workbook=16_15.xlsx&amp;sheet=A0&amp;row=123&amp;col=6&amp;number=&amp;sourceID=54","")</f>
        <v/>
      </c>
      <c r="G123" s="4" t="str">
        <f>HYPERLINK("http://141.218.60.56/~jnz1568/getInfo.php?workbook=16_15.xlsx&amp;sheet=A0&amp;row=123&amp;col=7&amp;number=0.24625&amp;sourceID=54","0.24625")</f>
        <v>0.24625</v>
      </c>
      <c r="H123" s="4" t="str">
        <f>HYPERLINK("http://141.218.60.56/~jnz1568/getInfo.php?workbook=16_15.xlsx&amp;sheet=A0&amp;row=123&amp;col=8&amp;number=&amp;sourceID=54","")</f>
        <v/>
      </c>
      <c r="I123" s="4" t="str">
        <f>HYPERLINK("http://141.218.60.56/~jnz1568/getInfo.php?workbook=16_15.xlsx&amp;sheet=A0&amp;row=123&amp;col=9&amp;number=&amp;sourceID=54","")</f>
        <v/>
      </c>
      <c r="J123" s="4" t="str">
        <f>HYPERLINK("http://141.218.60.56/~jnz1568/getInfo.php?workbook=16_15.xlsx&amp;sheet=A0&amp;row=123&amp;col=10&amp;number=0.22636&amp;sourceID=54","0.22636")</f>
        <v>0.22636</v>
      </c>
      <c r="K123" s="4" t="str">
        <f>HYPERLINK("http://141.218.60.56/~jnz1568/getInfo.php?workbook=16_15.xlsx&amp;sheet=A0&amp;row=123&amp;col=11&amp;number=&amp;sourceID=54","")</f>
        <v/>
      </c>
      <c r="L123" s="4" t="str">
        <f>HYPERLINK("http://141.218.60.56/~jnz1568/getInfo.php?workbook=16_15.xlsx&amp;sheet=A0&amp;row=123&amp;col=12&amp;number=&amp;sourceID=53","")</f>
        <v/>
      </c>
      <c r="M123" s="4" t="str">
        <f>HYPERLINK("http://141.218.60.56/~jnz1568/getInfo.php?workbook=16_15.xlsx&amp;sheet=A0&amp;row=123&amp;col=13&amp;number=&amp;sourceID=53","")</f>
        <v/>
      </c>
      <c r="N123" s="4" t="str">
        <f>HYPERLINK("http://141.218.60.56/~jnz1568/getInfo.php?workbook=16_15.xlsx&amp;sheet=A0&amp;row=123&amp;col=14&amp;number=&amp;sourceID=53","")</f>
        <v/>
      </c>
      <c r="O123" s="4" t="str">
        <f>HYPERLINK("http://141.218.60.56/~jnz1568/getInfo.php?workbook=16_15.xlsx&amp;sheet=A0&amp;row=123&amp;col=15&amp;number=&amp;sourceID=55","")</f>
        <v/>
      </c>
      <c r="P123" s="4" t="str">
        <f>HYPERLINK("http://141.218.60.56/~jnz1568/getInfo.php?workbook=16_15.xlsx&amp;sheet=A0&amp;row=123&amp;col=16&amp;number=&amp;sourceID=55","")</f>
        <v/>
      </c>
      <c r="Q123" s="4" t="str">
        <f>HYPERLINK("http://141.218.60.56/~jnz1568/getInfo.php?workbook=16_15.xlsx&amp;sheet=A0&amp;row=123&amp;col=17&amp;number=&amp;sourceID=56","")</f>
        <v/>
      </c>
      <c r="R123" s="4" t="str">
        <f>HYPERLINK("http://141.218.60.56/~jnz1568/getInfo.php?workbook=16_15.xlsx&amp;sheet=A0&amp;row=123&amp;col=18&amp;number=&amp;sourceID=56","")</f>
        <v/>
      </c>
      <c r="S123" s="4" t="str">
        <f>HYPERLINK("http://141.218.60.56/~jnz1568/getInfo.php?workbook=16_15.xlsx&amp;sheet=A0&amp;row=123&amp;col=19&amp;number=&amp;sourceID=57","")</f>
        <v/>
      </c>
      <c r="T123" s="4" t="str">
        <f>HYPERLINK("http://141.218.60.56/~jnz1568/getInfo.php?workbook=16_15.xlsx&amp;sheet=A0&amp;row=123&amp;col=20&amp;number=&amp;sourceID=57","")</f>
        <v/>
      </c>
      <c r="U123" s="4" t="str">
        <f>HYPERLINK("http://141.218.60.56/~jnz1568/getInfo.php?workbook=16_15.xlsx&amp;sheet=A0&amp;row=123&amp;col=21&amp;number=&amp;sourceID=47","")</f>
        <v/>
      </c>
      <c r="V123" s="4" t="str">
        <f>HYPERLINK("http://141.218.60.56/~jnz1568/getInfo.php?workbook=16_15.xlsx&amp;sheet=A0&amp;row=123&amp;col=22&amp;number=&amp;sourceID=47","")</f>
        <v/>
      </c>
    </row>
    <row r="124" spans="1:22">
      <c r="A124" s="3">
        <v>16</v>
      </c>
      <c r="B124" s="3">
        <v>15</v>
      </c>
      <c r="C124" s="3">
        <v>17</v>
      </c>
      <c r="D124" s="3">
        <v>9</v>
      </c>
      <c r="E124" s="3">
        <f>((1/(INDEX(E0!J$4:J$73,C124,1)-INDEX(E0!J$4:J$73,D124,1))))*100000000</f>
        <v>0</v>
      </c>
      <c r="F124" s="4" t="str">
        <f>HYPERLINK("http://141.218.60.56/~jnz1568/getInfo.php?workbook=16_15.xlsx&amp;sheet=A0&amp;row=124&amp;col=6&amp;number=&amp;sourceID=54","")</f>
        <v/>
      </c>
      <c r="G124" s="4" t="str">
        <f>HYPERLINK("http://141.218.60.56/~jnz1568/getInfo.php?workbook=16_15.xlsx&amp;sheet=A0&amp;row=124&amp;col=7&amp;number=3.0665e-06&amp;sourceID=54","3.0665e-06")</f>
        <v>3.0665e-06</v>
      </c>
      <c r="H124" s="4" t="str">
        <f>HYPERLINK("http://141.218.60.56/~jnz1568/getInfo.php?workbook=16_15.xlsx&amp;sheet=A0&amp;row=124&amp;col=8&amp;number=0.0011507&amp;sourceID=54","0.0011507")</f>
        <v>0.0011507</v>
      </c>
      <c r="I124" s="4" t="str">
        <f>HYPERLINK("http://141.218.60.56/~jnz1568/getInfo.php?workbook=16_15.xlsx&amp;sheet=A0&amp;row=124&amp;col=9&amp;number=&amp;sourceID=54","")</f>
        <v/>
      </c>
      <c r="J124" s="4" t="str">
        <f>HYPERLINK("http://141.218.60.56/~jnz1568/getInfo.php?workbook=16_15.xlsx&amp;sheet=A0&amp;row=124&amp;col=10&amp;number=2.4952e-06&amp;sourceID=54","2.4952e-06")</f>
        <v>2.4952e-06</v>
      </c>
      <c r="K124" s="4" t="str">
        <f>HYPERLINK("http://141.218.60.56/~jnz1568/getInfo.php?workbook=16_15.xlsx&amp;sheet=A0&amp;row=124&amp;col=11&amp;number=0.0010866&amp;sourceID=54","0.0010866")</f>
        <v>0.0010866</v>
      </c>
      <c r="L124" s="4" t="str">
        <f>HYPERLINK("http://141.218.60.56/~jnz1568/getInfo.php?workbook=16_15.xlsx&amp;sheet=A0&amp;row=124&amp;col=12&amp;number=&amp;sourceID=53","")</f>
        <v/>
      </c>
      <c r="M124" s="4" t="str">
        <f>HYPERLINK("http://141.218.60.56/~jnz1568/getInfo.php?workbook=16_15.xlsx&amp;sheet=A0&amp;row=124&amp;col=13&amp;number=&amp;sourceID=53","")</f>
        <v/>
      </c>
      <c r="N124" s="4" t="str">
        <f>HYPERLINK("http://141.218.60.56/~jnz1568/getInfo.php?workbook=16_15.xlsx&amp;sheet=A0&amp;row=124&amp;col=14&amp;number=&amp;sourceID=53","")</f>
        <v/>
      </c>
      <c r="O124" s="4" t="str">
        <f>HYPERLINK("http://141.218.60.56/~jnz1568/getInfo.php?workbook=16_15.xlsx&amp;sheet=A0&amp;row=124&amp;col=15&amp;number=&amp;sourceID=55","")</f>
        <v/>
      </c>
      <c r="P124" s="4" t="str">
        <f>HYPERLINK("http://141.218.60.56/~jnz1568/getInfo.php?workbook=16_15.xlsx&amp;sheet=A0&amp;row=124&amp;col=16&amp;number=&amp;sourceID=55","")</f>
        <v/>
      </c>
      <c r="Q124" s="4" t="str">
        <f>HYPERLINK("http://141.218.60.56/~jnz1568/getInfo.php?workbook=16_15.xlsx&amp;sheet=A0&amp;row=124&amp;col=17&amp;number=&amp;sourceID=56","")</f>
        <v/>
      </c>
      <c r="R124" s="4" t="str">
        <f>HYPERLINK("http://141.218.60.56/~jnz1568/getInfo.php?workbook=16_15.xlsx&amp;sheet=A0&amp;row=124&amp;col=18&amp;number=&amp;sourceID=56","")</f>
        <v/>
      </c>
      <c r="S124" s="4" t="str">
        <f>HYPERLINK("http://141.218.60.56/~jnz1568/getInfo.php?workbook=16_15.xlsx&amp;sheet=A0&amp;row=124&amp;col=19&amp;number=&amp;sourceID=57","")</f>
        <v/>
      </c>
      <c r="T124" s="4" t="str">
        <f>HYPERLINK("http://141.218.60.56/~jnz1568/getInfo.php?workbook=16_15.xlsx&amp;sheet=A0&amp;row=124&amp;col=20&amp;number=&amp;sourceID=57","")</f>
        <v/>
      </c>
      <c r="U124" s="4" t="str">
        <f>HYPERLINK("http://141.218.60.56/~jnz1568/getInfo.php?workbook=16_15.xlsx&amp;sheet=A0&amp;row=124&amp;col=21&amp;number=&amp;sourceID=47","")</f>
        <v/>
      </c>
      <c r="V124" s="4" t="str">
        <f>HYPERLINK("http://141.218.60.56/~jnz1568/getInfo.php?workbook=16_15.xlsx&amp;sheet=A0&amp;row=124&amp;col=22&amp;number=&amp;sourceID=47","")</f>
        <v/>
      </c>
    </row>
    <row r="125" spans="1:22">
      <c r="A125" s="3">
        <v>16</v>
      </c>
      <c r="B125" s="3">
        <v>15</v>
      </c>
      <c r="C125" s="3">
        <v>17</v>
      </c>
      <c r="D125" s="3">
        <v>10</v>
      </c>
      <c r="E125" s="3">
        <f>((1/(INDEX(E0!J$4:J$73,C125,1)-INDEX(E0!J$4:J$73,D125,1))))*100000000</f>
        <v>0</v>
      </c>
      <c r="F125" s="4" t="str">
        <f>HYPERLINK("http://141.218.60.56/~jnz1568/getInfo.php?workbook=16_15.xlsx&amp;sheet=A0&amp;row=125&amp;col=6&amp;number=&amp;sourceID=54","")</f>
        <v/>
      </c>
      <c r="G125" s="4" t="str">
        <f>HYPERLINK("http://141.218.60.56/~jnz1568/getInfo.php?workbook=16_15.xlsx&amp;sheet=A0&amp;row=125&amp;col=7&amp;number=1.9748e-05&amp;sourceID=54","1.9748e-05")</f>
        <v>1.9748e-05</v>
      </c>
      <c r="H125" s="4" t="str">
        <f>HYPERLINK("http://141.218.60.56/~jnz1568/getInfo.php?workbook=16_15.xlsx&amp;sheet=A0&amp;row=125&amp;col=8&amp;number=0.036104&amp;sourceID=54","0.036104")</f>
        <v>0.036104</v>
      </c>
      <c r="I125" s="4" t="str">
        <f>HYPERLINK("http://141.218.60.56/~jnz1568/getInfo.php?workbook=16_15.xlsx&amp;sheet=A0&amp;row=125&amp;col=9&amp;number=&amp;sourceID=54","")</f>
        <v/>
      </c>
      <c r="J125" s="4" t="str">
        <f>HYPERLINK("http://141.218.60.56/~jnz1568/getInfo.php?workbook=16_15.xlsx&amp;sheet=A0&amp;row=125&amp;col=10&amp;number=1.6731e-05&amp;sourceID=54","1.6731e-05")</f>
        <v>1.6731e-05</v>
      </c>
      <c r="K125" s="4" t="str">
        <f>HYPERLINK("http://141.218.60.56/~jnz1568/getInfo.php?workbook=16_15.xlsx&amp;sheet=A0&amp;row=125&amp;col=11&amp;number=0.034114&amp;sourceID=54","0.034114")</f>
        <v>0.034114</v>
      </c>
      <c r="L125" s="4" t="str">
        <f>HYPERLINK("http://141.218.60.56/~jnz1568/getInfo.php?workbook=16_15.xlsx&amp;sheet=A0&amp;row=125&amp;col=12&amp;number=&amp;sourceID=53","")</f>
        <v/>
      </c>
      <c r="M125" s="4" t="str">
        <f>HYPERLINK("http://141.218.60.56/~jnz1568/getInfo.php?workbook=16_15.xlsx&amp;sheet=A0&amp;row=125&amp;col=13&amp;number=&amp;sourceID=53","")</f>
        <v/>
      </c>
      <c r="N125" s="4" t="str">
        <f>HYPERLINK("http://141.218.60.56/~jnz1568/getInfo.php?workbook=16_15.xlsx&amp;sheet=A0&amp;row=125&amp;col=14&amp;number=&amp;sourceID=53","")</f>
        <v/>
      </c>
      <c r="O125" s="4" t="str">
        <f>HYPERLINK("http://141.218.60.56/~jnz1568/getInfo.php?workbook=16_15.xlsx&amp;sheet=A0&amp;row=125&amp;col=15&amp;number=&amp;sourceID=55","")</f>
        <v/>
      </c>
      <c r="P125" s="4" t="str">
        <f>HYPERLINK("http://141.218.60.56/~jnz1568/getInfo.php?workbook=16_15.xlsx&amp;sheet=A0&amp;row=125&amp;col=16&amp;number=&amp;sourceID=55","")</f>
        <v/>
      </c>
      <c r="Q125" s="4" t="str">
        <f>HYPERLINK("http://141.218.60.56/~jnz1568/getInfo.php?workbook=16_15.xlsx&amp;sheet=A0&amp;row=125&amp;col=17&amp;number=&amp;sourceID=56","")</f>
        <v/>
      </c>
      <c r="R125" s="4" t="str">
        <f>HYPERLINK("http://141.218.60.56/~jnz1568/getInfo.php?workbook=16_15.xlsx&amp;sheet=A0&amp;row=125&amp;col=18&amp;number=&amp;sourceID=56","")</f>
        <v/>
      </c>
      <c r="S125" s="4" t="str">
        <f>HYPERLINK("http://141.218.60.56/~jnz1568/getInfo.php?workbook=16_15.xlsx&amp;sheet=A0&amp;row=125&amp;col=19&amp;number=&amp;sourceID=57","")</f>
        <v/>
      </c>
      <c r="T125" s="4" t="str">
        <f>HYPERLINK("http://141.218.60.56/~jnz1568/getInfo.php?workbook=16_15.xlsx&amp;sheet=A0&amp;row=125&amp;col=20&amp;number=&amp;sourceID=57","")</f>
        <v/>
      </c>
      <c r="U125" s="4" t="str">
        <f>HYPERLINK("http://141.218.60.56/~jnz1568/getInfo.php?workbook=16_15.xlsx&amp;sheet=A0&amp;row=125&amp;col=21&amp;number=&amp;sourceID=47","")</f>
        <v/>
      </c>
      <c r="V125" s="4" t="str">
        <f>HYPERLINK("http://141.218.60.56/~jnz1568/getInfo.php?workbook=16_15.xlsx&amp;sheet=A0&amp;row=125&amp;col=22&amp;number=&amp;sourceID=47","")</f>
        <v/>
      </c>
    </row>
    <row r="126" spans="1:22">
      <c r="A126" s="3">
        <v>16</v>
      </c>
      <c r="B126" s="3">
        <v>15</v>
      </c>
      <c r="C126" s="3">
        <v>17</v>
      </c>
      <c r="D126" s="3">
        <v>11</v>
      </c>
      <c r="E126" s="3">
        <f>((1/(INDEX(E0!J$4:J$73,C126,1)-INDEX(E0!J$4:J$73,D126,1))))*100000000</f>
        <v>0</v>
      </c>
      <c r="F126" s="4" t="str">
        <f>HYPERLINK("http://141.218.60.56/~jnz1568/getInfo.php?workbook=16_15.xlsx&amp;sheet=A0&amp;row=126&amp;col=6&amp;number=&amp;sourceID=54","")</f>
        <v/>
      </c>
      <c r="G126" s="4" t="str">
        <f>HYPERLINK("http://141.218.60.56/~jnz1568/getInfo.php?workbook=16_15.xlsx&amp;sheet=A0&amp;row=126&amp;col=7&amp;number=2.2657e-07&amp;sourceID=54","2.2657e-07")</f>
        <v>2.2657e-07</v>
      </c>
      <c r="H126" s="4" t="str">
        <f>HYPERLINK("http://141.218.60.56/~jnz1568/getInfo.php?workbook=16_15.xlsx&amp;sheet=A0&amp;row=126&amp;col=8&amp;number=6.4666e-06&amp;sourceID=54","6.4666e-06")</f>
        <v>6.4666e-06</v>
      </c>
      <c r="I126" s="4" t="str">
        <f>HYPERLINK("http://141.218.60.56/~jnz1568/getInfo.php?workbook=16_15.xlsx&amp;sheet=A0&amp;row=126&amp;col=9&amp;number=&amp;sourceID=54","")</f>
        <v/>
      </c>
      <c r="J126" s="4" t="str">
        <f>HYPERLINK("http://141.218.60.56/~jnz1568/getInfo.php?workbook=16_15.xlsx&amp;sheet=A0&amp;row=126&amp;col=10&amp;number=2.012e-07&amp;sourceID=54","2.012e-07")</f>
        <v>2.012e-07</v>
      </c>
      <c r="K126" s="4" t="str">
        <f>HYPERLINK("http://141.218.60.56/~jnz1568/getInfo.php?workbook=16_15.xlsx&amp;sheet=A0&amp;row=126&amp;col=11&amp;number=5.8935e-06&amp;sourceID=54","5.8935e-06")</f>
        <v>5.8935e-06</v>
      </c>
      <c r="L126" s="4" t="str">
        <f>HYPERLINK("http://141.218.60.56/~jnz1568/getInfo.php?workbook=16_15.xlsx&amp;sheet=A0&amp;row=126&amp;col=12&amp;number=&amp;sourceID=53","")</f>
        <v/>
      </c>
      <c r="M126" s="4" t="str">
        <f>HYPERLINK("http://141.218.60.56/~jnz1568/getInfo.php?workbook=16_15.xlsx&amp;sheet=A0&amp;row=126&amp;col=13&amp;number=&amp;sourceID=53","")</f>
        <v/>
      </c>
      <c r="N126" s="4" t="str">
        <f>HYPERLINK("http://141.218.60.56/~jnz1568/getInfo.php?workbook=16_15.xlsx&amp;sheet=A0&amp;row=126&amp;col=14&amp;number=&amp;sourceID=53","")</f>
        <v/>
      </c>
      <c r="O126" s="4" t="str">
        <f>HYPERLINK("http://141.218.60.56/~jnz1568/getInfo.php?workbook=16_15.xlsx&amp;sheet=A0&amp;row=126&amp;col=15&amp;number=&amp;sourceID=55","")</f>
        <v/>
      </c>
      <c r="P126" s="4" t="str">
        <f>HYPERLINK("http://141.218.60.56/~jnz1568/getInfo.php?workbook=16_15.xlsx&amp;sheet=A0&amp;row=126&amp;col=16&amp;number=&amp;sourceID=55","")</f>
        <v/>
      </c>
      <c r="Q126" s="4" t="str">
        <f>HYPERLINK("http://141.218.60.56/~jnz1568/getInfo.php?workbook=16_15.xlsx&amp;sheet=A0&amp;row=126&amp;col=17&amp;number=&amp;sourceID=56","")</f>
        <v/>
      </c>
      <c r="R126" s="4" t="str">
        <f>HYPERLINK("http://141.218.60.56/~jnz1568/getInfo.php?workbook=16_15.xlsx&amp;sheet=A0&amp;row=126&amp;col=18&amp;number=&amp;sourceID=56","")</f>
        <v/>
      </c>
      <c r="S126" s="4" t="str">
        <f>HYPERLINK("http://141.218.60.56/~jnz1568/getInfo.php?workbook=16_15.xlsx&amp;sheet=A0&amp;row=126&amp;col=19&amp;number=&amp;sourceID=57","")</f>
        <v/>
      </c>
      <c r="T126" s="4" t="str">
        <f>HYPERLINK("http://141.218.60.56/~jnz1568/getInfo.php?workbook=16_15.xlsx&amp;sheet=A0&amp;row=126&amp;col=20&amp;number=&amp;sourceID=57","")</f>
        <v/>
      </c>
      <c r="U126" s="4" t="str">
        <f>HYPERLINK("http://141.218.60.56/~jnz1568/getInfo.php?workbook=16_15.xlsx&amp;sheet=A0&amp;row=126&amp;col=21&amp;number=&amp;sourceID=47","")</f>
        <v/>
      </c>
      <c r="V126" s="4" t="str">
        <f>HYPERLINK("http://141.218.60.56/~jnz1568/getInfo.php?workbook=16_15.xlsx&amp;sheet=A0&amp;row=126&amp;col=22&amp;number=&amp;sourceID=47","")</f>
        <v/>
      </c>
    </row>
    <row r="127" spans="1:22">
      <c r="A127" s="3">
        <v>16</v>
      </c>
      <c r="B127" s="3">
        <v>15</v>
      </c>
      <c r="C127" s="3">
        <v>17</v>
      </c>
      <c r="D127" s="3">
        <v>12</v>
      </c>
      <c r="E127" s="3">
        <f>((1/(INDEX(E0!J$4:J$73,C127,1)-INDEX(E0!J$4:J$73,D127,1))))*100000000</f>
        <v>0</v>
      </c>
      <c r="F127" s="4" t="str">
        <f>HYPERLINK("http://141.218.60.56/~jnz1568/getInfo.php?workbook=16_15.xlsx&amp;sheet=A0&amp;row=127&amp;col=6&amp;number=&amp;sourceID=54","")</f>
        <v/>
      </c>
      <c r="G127" s="4" t="str">
        <f>HYPERLINK("http://141.218.60.56/~jnz1568/getInfo.php?workbook=16_15.xlsx&amp;sheet=A0&amp;row=127&amp;col=7&amp;number=7.7325e-07&amp;sourceID=54","7.7325e-07")</f>
        <v>7.7325e-07</v>
      </c>
      <c r="H127" s="4" t="str">
        <f>HYPERLINK("http://141.218.60.56/~jnz1568/getInfo.php?workbook=16_15.xlsx&amp;sheet=A0&amp;row=127&amp;col=8&amp;number=&amp;sourceID=54","")</f>
        <v/>
      </c>
      <c r="I127" s="4" t="str">
        <f>HYPERLINK("http://141.218.60.56/~jnz1568/getInfo.php?workbook=16_15.xlsx&amp;sheet=A0&amp;row=127&amp;col=9&amp;number=&amp;sourceID=54","")</f>
        <v/>
      </c>
      <c r="J127" s="4" t="str">
        <f>HYPERLINK("http://141.218.60.56/~jnz1568/getInfo.php?workbook=16_15.xlsx&amp;sheet=A0&amp;row=127&amp;col=10&amp;number=6.7472e-07&amp;sourceID=54","6.7472e-07")</f>
        <v>6.7472e-07</v>
      </c>
      <c r="K127" s="4" t="str">
        <f>HYPERLINK("http://141.218.60.56/~jnz1568/getInfo.php?workbook=16_15.xlsx&amp;sheet=A0&amp;row=127&amp;col=11&amp;number=&amp;sourceID=54","")</f>
        <v/>
      </c>
      <c r="L127" s="4" t="str">
        <f>HYPERLINK("http://141.218.60.56/~jnz1568/getInfo.php?workbook=16_15.xlsx&amp;sheet=A0&amp;row=127&amp;col=12&amp;number=&amp;sourceID=53","")</f>
        <v/>
      </c>
      <c r="M127" s="4" t="str">
        <f>HYPERLINK("http://141.218.60.56/~jnz1568/getInfo.php?workbook=16_15.xlsx&amp;sheet=A0&amp;row=127&amp;col=13&amp;number=&amp;sourceID=53","")</f>
        <v/>
      </c>
      <c r="N127" s="4" t="str">
        <f>HYPERLINK("http://141.218.60.56/~jnz1568/getInfo.php?workbook=16_15.xlsx&amp;sheet=A0&amp;row=127&amp;col=14&amp;number=&amp;sourceID=53","")</f>
        <v/>
      </c>
      <c r="O127" s="4" t="str">
        <f>HYPERLINK("http://141.218.60.56/~jnz1568/getInfo.php?workbook=16_15.xlsx&amp;sheet=A0&amp;row=127&amp;col=15&amp;number=&amp;sourceID=55","")</f>
        <v/>
      </c>
      <c r="P127" s="4" t="str">
        <f>HYPERLINK("http://141.218.60.56/~jnz1568/getInfo.php?workbook=16_15.xlsx&amp;sheet=A0&amp;row=127&amp;col=16&amp;number=&amp;sourceID=55","")</f>
        <v/>
      </c>
      <c r="Q127" s="4" t="str">
        <f>HYPERLINK("http://141.218.60.56/~jnz1568/getInfo.php?workbook=16_15.xlsx&amp;sheet=A0&amp;row=127&amp;col=17&amp;number=&amp;sourceID=56","")</f>
        <v/>
      </c>
      <c r="R127" s="4" t="str">
        <f>HYPERLINK("http://141.218.60.56/~jnz1568/getInfo.php?workbook=16_15.xlsx&amp;sheet=A0&amp;row=127&amp;col=18&amp;number=&amp;sourceID=56","")</f>
        <v/>
      </c>
      <c r="S127" s="4" t="str">
        <f>HYPERLINK("http://141.218.60.56/~jnz1568/getInfo.php?workbook=16_15.xlsx&amp;sheet=A0&amp;row=127&amp;col=19&amp;number=&amp;sourceID=57","")</f>
        <v/>
      </c>
      <c r="T127" s="4" t="str">
        <f>HYPERLINK("http://141.218.60.56/~jnz1568/getInfo.php?workbook=16_15.xlsx&amp;sheet=A0&amp;row=127&amp;col=20&amp;number=&amp;sourceID=57","")</f>
        <v/>
      </c>
      <c r="U127" s="4" t="str">
        <f>HYPERLINK("http://141.218.60.56/~jnz1568/getInfo.php?workbook=16_15.xlsx&amp;sheet=A0&amp;row=127&amp;col=21&amp;number=&amp;sourceID=47","")</f>
        <v/>
      </c>
      <c r="V127" s="4" t="str">
        <f>HYPERLINK("http://141.218.60.56/~jnz1568/getInfo.php?workbook=16_15.xlsx&amp;sheet=A0&amp;row=127&amp;col=22&amp;number=&amp;sourceID=47","")</f>
        <v/>
      </c>
    </row>
    <row r="128" spans="1:22">
      <c r="A128" s="3">
        <v>16</v>
      </c>
      <c r="B128" s="3">
        <v>15</v>
      </c>
      <c r="C128" s="3">
        <v>17</v>
      </c>
      <c r="D128" s="3">
        <v>13</v>
      </c>
      <c r="E128" s="3">
        <f>((1/(INDEX(E0!J$4:J$73,C128,1)-INDEX(E0!J$4:J$73,D128,1))))*100000000</f>
        <v>0</v>
      </c>
      <c r="F128" s="4" t="str">
        <f>HYPERLINK("http://141.218.60.56/~jnz1568/getInfo.php?workbook=16_15.xlsx&amp;sheet=A0&amp;row=128&amp;col=6&amp;number=&amp;sourceID=54","")</f>
        <v/>
      </c>
      <c r="G128" s="4" t="str">
        <f>HYPERLINK("http://141.218.60.56/~jnz1568/getInfo.php?workbook=16_15.xlsx&amp;sheet=A0&amp;row=128&amp;col=7&amp;number=6.0088e-06&amp;sourceID=54","6.0088e-06")</f>
        <v>6.0088e-06</v>
      </c>
      <c r="H128" s="4" t="str">
        <f>HYPERLINK("http://141.218.60.56/~jnz1568/getInfo.php?workbook=16_15.xlsx&amp;sheet=A0&amp;row=128&amp;col=8&amp;number=&amp;sourceID=54","")</f>
        <v/>
      </c>
      <c r="I128" s="4" t="str">
        <f>HYPERLINK("http://141.218.60.56/~jnz1568/getInfo.php?workbook=16_15.xlsx&amp;sheet=A0&amp;row=128&amp;col=9&amp;number=&amp;sourceID=54","")</f>
        <v/>
      </c>
      <c r="J128" s="4" t="str">
        <f>HYPERLINK("http://141.218.60.56/~jnz1568/getInfo.php?workbook=16_15.xlsx&amp;sheet=A0&amp;row=128&amp;col=10&amp;number=2.5681e-07&amp;sourceID=54","2.5681e-07")</f>
        <v>2.5681e-07</v>
      </c>
      <c r="K128" s="4" t="str">
        <f>HYPERLINK("http://141.218.60.56/~jnz1568/getInfo.php?workbook=16_15.xlsx&amp;sheet=A0&amp;row=128&amp;col=11&amp;number=&amp;sourceID=54","")</f>
        <v/>
      </c>
      <c r="L128" s="4" t="str">
        <f>HYPERLINK("http://141.218.60.56/~jnz1568/getInfo.php?workbook=16_15.xlsx&amp;sheet=A0&amp;row=128&amp;col=12&amp;number=&amp;sourceID=53","")</f>
        <v/>
      </c>
      <c r="M128" s="4" t="str">
        <f>HYPERLINK("http://141.218.60.56/~jnz1568/getInfo.php?workbook=16_15.xlsx&amp;sheet=A0&amp;row=128&amp;col=13&amp;number=&amp;sourceID=53","")</f>
        <v/>
      </c>
      <c r="N128" s="4" t="str">
        <f>HYPERLINK("http://141.218.60.56/~jnz1568/getInfo.php?workbook=16_15.xlsx&amp;sheet=A0&amp;row=128&amp;col=14&amp;number=&amp;sourceID=53","")</f>
        <v/>
      </c>
      <c r="O128" s="4" t="str">
        <f>HYPERLINK("http://141.218.60.56/~jnz1568/getInfo.php?workbook=16_15.xlsx&amp;sheet=A0&amp;row=128&amp;col=15&amp;number=&amp;sourceID=55","")</f>
        <v/>
      </c>
      <c r="P128" s="4" t="str">
        <f>HYPERLINK("http://141.218.60.56/~jnz1568/getInfo.php?workbook=16_15.xlsx&amp;sheet=A0&amp;row=128&amp;col=16&amp;number=&amp;sourceID=55","")</f>
        <v/>
      </c>
      <c r="Q128" s="4" t="str">
        <f>HYPERLINK("http://141.218.60.56/~jnz1568/getInfo.php?workbook=16_15.xlsx&amp;sheet=A0&amp;row=128&amp;col=17&amp;number=&amp;sourceID=56","")</f>
        <v/>
      </c>
      <c r="R128" s="4" t="str">
        <f>HYPERLINK("http://141.218.60.56/~jnz1568/getInfo.php?workbook=16_15.xlsx&amp;sheet=A0&amp;row=128&amp;col=18&amp;number=&amp;sourceID=56","")</f>
        <v/>
      </c>
      <c r="S128" s="4" t="str">
        <f>HYPERLINK("http://141.218.60.56/~jnz1568/getInfo.php?workbook=16_15.xlsx&amp;sheet=A0&amp;row=128&amp;col=19&amp;number=&amp;sourceID=57","")</f>
        <v/>
      </c>
      <c r="T128" s="4" t="str">
        <f>HYPERLINK("http://141.218.60.56/~jnz1568/getInfo.php?workbook=16_15.xlsx&amp;sheet=A0&amp;row=128&amp;col=20&amp;number=&amp;sourceID=57","")</f>
        <v/>
      </c>
      <c r="U128" s="4" t="str">
        <f>HYPERLINK("http://141.218.60.56/~jnz1568/getInfo.php?workbook=16_15.xlsx&amp;sheet=A0&amp;row=128&amp;col=21&amp;number=&amp;sourceID=47","")</f>
        <v/>
      </c>
      <c r="V128" s="4" t="str">
        <f>HYPERLINK("http://141.218.60.56/~jnz1568/getInfo.php?workbook=16_15.xlsx&amp;sheet=A0&amp;row=128&amp;col=22&amp;number=&amp;sourceID=47","")</f>
        <v/>
      </c>
    </row>
    <row r="129" spans="1:22">
      <c r="A129" s="3">
        <v>16</v>
      </c>
      <c r="B129" s="3">
        <v>15</v>
      </c>
      <c r="C129" s="3">
        <v>17</v>
      </c>
      <c r="D129" s="3">
        <v>14</v>
      </c>
      <c r="E129" s="3">
        <f>((1/(INDEX(E0!J$4:J$73,C129,1)-INDEX(E0!J$4:J$73,D129,1))))*100000000</f>
        <v>0</v>
      </c>
      <c r="F129" s="4" t="str">
        <f>HYPERLINK("http://141.218.60.56/~jnz1568/getInfo.php?workbook=16_15.xlsx&amp;sheet=A0&amp;row=129&amp;col=6&amp;number=&amp;sourceID=54","")</f>
        <v/>
      </c>
      <c r="G129" s="4" t="str">
        <f>HYPERLINK("http://141.218.60.56/~jnz1568/getInfo.php?workbook=16_15.xlsx&amp;sheet=A0&amp;row=129&amp;col=7&amp;number=3.6371e-06&amp;sourceID=54","3.6371e-06")</f>
        <v>3.6371e-06</v>
      </c>
      <c r="H129" s="4" t="str">
        <f>HYPERLINK("http://141.218.60.56/~jnz1568/getInfo.php?workbook=16_15.xlsx&amp;sheet=A0&amp;row=129&amp;col=8&amp;number=4.0295e-09&amp;sourceID=54","4.0295e-09")</f>
        <v>4.0295e-09</v>
      </c>
      <c r="I129" s="4" t="str">
        <f>HYPERLINK("http://141.218.60.56/~jnz1568/getInfo.php?workbook=16_15.xlsx&amp;sheet=A0&amp;row=129&amp;col=9&amp;number=&amp;sourceID=54","")</f>
        <v/>
      </c>
      <c r="J129" s="4" t="str">
        <f>HYPERLINK("http://141.218.60.56/~jnz1568/getInfo.php?workbook=16_15.xlsx&amp;sheet=A0&amp;row=129&amp;col=10&amp;number=5.3787e-08&amp;sourceID=54","5.3787e-08")</f>
        <v>5.3787e-08</v>
      </c>
      <c r="K129" s="4" t="str">
        <f>HYPERLINK("http://141.218.60.56/~jnz1568/getInfo.php?workbook=16_15.xlsx&amp;sheet=A0&amp;row=129&amp;col=11&amp;number=1.2807e-07&amp;sourceID=54","1.2807e-07")</f>
        <v>1.2807e-07</v>
      </c>
      <c r="L129" s="4" t="str">
        <f>HYPERLINK("http://141.218.60.56/~jnz1568/getInfo.php?workbook=16_15.xlsx&amp;sheet=A0&amp;row=129&amp;col=12&amp;number=&amp;sourceID=53","")</f>
        <v/>
      </c>
      <c r="M129" s="4" t="str">
        <f>HYPERLINK("http://141.218.60.56/~jnz1568/getInfo.php?workbook=16_15.xlsx&amp;sheet=A0&amp;row=129&amp;col=13&amp;number=&amp;sourceID=53","")</f>
        <v/>
      </c>
      <c r="N129" s="4" t="str">
        <f>HYPERLINK("http://141.218.60.56/~jnz1568/getInfo.php?workbook=16_15.xlsx&amp;sheet=A0&amp;row=129&amp;col=14&amp;number=&amp;sourceID=53","")</f>
        <v/>
      </c>
      <c r="O129" s="4" t="str">
        <f>HYPERLINK("http://141.218.60.56/~jnz1568/getInfo.php?workbook=16_15.xlsx&amp;sheet=A0&amp;row=129&amp;col=15&amp;number=&amp;sourceID=55","")</f>
        <v/>
      </c>
      <c r="P129" s="4" t="str">
        <f>HYPERLINK("http://141.218.60.56/~jnz1568/getInfo.php?workbook=16_15.xlsx&amp;sheet=A0&amp;row=129&amp;col=16&amp;number=&amp;sourceID=55","")</f>
        <v/>
      </c>
      <c r="Q129" s="4" t="str">
        <f>HYPERLINK("http://141.218.60.56/~jnz1568/getInfo.php?workbook=16_15.xlsx&amp;sheet=A0&amp;row=129&amp;col=17&amp;number=&amp;sourceID=56","")</f>
        <v/>
      </c>
      <c r="R129" s="4" t="str">
        <f>HYPERLINK("http://141.218.60.56/~jnz1568/getInfo.php?workbook=16_15.xlsx&amp;sheet=A0&amp;row=129&amp;col=18&amp;number=&amp;sourceID=56","")</f>
        <v/>
      </c>
      <c r="S129" s="4" t="str">
        <f>HYPERLINK("http://141.218.60.56/~jnz1568/getInfo.php?workbook=16_15.xlsx&amp;sheet=A0&amp;row=129&amp;col=19&amp;number=&amp;sourceID=57","")</f>
        <v/>
      </c>
      <c r="T129" s="4" t="str">
        <f>HYPERLINK("http://141.218.60.56/~jnz1568/getInfo.php?workbook=16_15.xlsx&amp;sheet=A0&amp;row=129&amp;col=20&amp;number=&amp;sourceID=57","")</f>
        <v/>
      </c>
      <c r="U129" s="4" t="str">
        <f>HYPERLINK("http://141.218.60.56/~jnz1568/getInfo.php?workbook=16_15.xlsx&amp;sheet=A0&amp;row=129&amp;col=21&amp;number=&amp;sourceID=47","")</f>
        <v/>
      </c>
      <c r="V129" s="4" t="str">
        <f>HYPERLINK("http://141.218.60.56/~jnz1568/getInfo.php?workbook=16_15.xlsx&amp;sheet=A0&amp;row=129&amp;col=22&amp;number=&amp;sourceID=47","")</f>
        <v/>
      </c>
    </row>
    <row r="130" spans="1:22">
      <c r="A130" s="3">
        <v>16</v>
      </c>
      <c r="B130" s="3">
        <v>15</v>
      </c>
      <c r="C130" s="3">
        <v>17</v>
      </c>
      <c r="D130" s="3">
        <v>15</v>
      </c>
      <c r="E130" s="3">
        <f>((1/(INDEX(E0!J$4:J$73,C130,1)-INDEX(E0!J$4:J$73,D130,1))))*100000000</f>
        <v>0</v>
      </c>
      <c r="F130" s="4" t="str">
        <f>HYPERLINK("http://141.218.60.56/~jnz1568/getInfo.php?workbook=16_15.xlsx&amp;sheet=A0&amp;row=130&amp;col=6&amp;number=&amp;sourceID=54","")</f>
        <v/>
      </c>
      <c r="G130" s="4" t="str">
        <f>HYPERLINK("http://141.218.60.56/~jnz1568/getInfo.php?workbook=16_15.xlsx&amp;sheet=A0&amp;row=130&amp;col=7&amp;number=1.0666e-11&amp;sourceID=54","1.0666e-11")</f>
        <v>1.0666e-11</v>
      </c>
      <c r="H130" s="4" t="str">
        <f>HYPERLINK("http://141.218.60.56/~jnz1568/getInfo.php?workbook=16_15.xlsx&amp;sheet=A0&amp;row=130&amp;col=8&amp;number=8.0169e-05&amp;sourceID=54","8.0169e-05")</f>
        <v>8.0169e-05</v>
      </c>
      <c r="I130" s="4" t="str">
        <f>HYPERLINK("http://141.218.60.56/~jnz1568/getInfo.php?workbook=16_15.xlsx&amp;sheet=A0&amp;row=130&amp;col=9&amp;number=&amp;sourceID=54","")</f>
        <v/>
      </c>
      <c r="J130" s="4" t="str">
        <f>HYPERLINK("http://141.218.60.56/~jnz1568/getInfo.php?workbook=16_15.xlsx&amp;sheet=A0&amp;row=130&amp;col=10&amp;number=1.0688e-11&amp;sourceID=54","1.0688e-11")</f>
        <v>1.0688e-11</v>
      </c>
      <c r="K130" s="4" t="str">
        <f>HYPERLINK("http://141.218.60.56/~jnz1568/getInfo.php?workbook=16_15.xlsx&amp;sheet=A0&amp;row=130&amp;col=11&amp;number=8.036e-05&amp;sourceID=54","8.036e-05")</f>
        <v>8.036e-05</v>
      </c>
      <c r="L130" s="4" t="str">
        <f>HYPERLINK("http://141.218.60.56/~jnz1568/getInfo.php?workbook=16_15.xlsx&amp;sheet=A0&amp;row=130&amp;col=12&amp;number=&amp;sourceID=53","")</f>
        <v/>
      </c>
      <c r="M130" s="4" t="str">
        <f>HYPERLINK("http://141.218.60.56/~jnz1568/getInfo.php?workbook=16_15.xlsx&amp;sheet=A0&amp;row=130&amp;col=13&amp;number=&amp;sourceID=53","")</f>
        <v/>
      </c>
      <c r="N130" s="4" t="str">
        <f>HYPERLINK("http://141.218.60.56/~jnz1568/getInfo.php?workbook=16_15.xlsx&amp;sheet=A0&amp;row=130&amp;col=14&amp;number=&amp;sourceID=53","")</f>
        <v/>
      </c>
      <c r="O130" s="4" t="str">
        <f>HYPERLINK("http://141.218.60.56/~jnz1568/getInfo.php?workbook=16_15.xlsx&amp;sheet=A0&amp;row=130&amp;col=15&amp;number=&amp;sourceID=55","")</f>
        <v/>
      </c>
      <c r="P130" s="4" t="str">
        <f>HYPERLINK("http://141.218.60.56/~jnz1568/getInfo.php?workbook=16_15.xlsx&amp;sheet=A0&amp;row=130&amp;col=16&amp;number=&amp;sourceID=55","")</f>
        <v/>
      </c>
      <c r="Q130" s="4" t="str">
        <f>HYPERLINK("http://141.218.60.56/~jnz1568/getInfo.php?workbook=16_15.xlsx&amp;sheet=A0&amp;row=130&amp;col=17&amp;number=&amp;sourceID=56","")</f>
        <v/>
      </c>
      <c r="R130" s="4" t="str">
        <f>HYPERLINK("http://141.218.60.56/~jnz1568/getInfo.php?workbook=16_15.xlsx&amp;sheet=A0&amp;row=130&amp;col=18&amp;number=&amp;sourceID=56","")</f>
        <v/>
      </c>
      <c r="S130" s="4" t="str">
        <f>HYPERLINK("http://141.218.60.56/~jnz1568/getInfo.php?workbook=16_15.xlsx&amp;sheet=A0&amp;row=130&amp;col=19&amp;number=&amp;sourceID=57","")</f>
        <v/>
      </c>
      <c r="T130" s="4" t="str">
        <f>HYPERLINK("http://141.218.60.56/~jnz1568/getInfo.php?workbook=16_15.xlsx&amp;sheet=A0&amp;row=130&amp;col=20&amp;number=&amp;sourceID=57","")</f>
        <v/>
      </c>
      <c r="U130" s="4" t="str">
        <f>HYPERLINK("http://141.218.60.56/~jnz1568/getInfo.php?workbook=16_15.xlsx&amp;sheet=A0&amp;row=130&amp;col=21&amp;number=&amp;sourceID=47","")</f>
        <v/>
      </c>
      <c r="V130" s="4" t="str">
        <f>HYPERLINK("http://141.218.60.56/~jnz1568/getInfo.php?workbook=16_15.xlsx&amp;sheet=A0&amp;row=130&amp;col=22&amp;number=&amp;sourceID=47","")</f>
        <v/>
      </c>
    </row>
    <row r="131" spans="1:22">
      <c r="A131" s="3">
        <v>16</v>
      </c>
      <c r="B131" s="3">
        <v>15</v>
      </c>
      <c r="C131" s="3">
        <v>17</v>
      </c>
      <c r="D131" s="3">
        <v>16</v>
      </c>
      <c r="E131" s="3">
        <f>((1/(INDEX(E0!J$4:J$73,C131,1)-INDEX(E0!J$4:J$73,D131,1))))*100000000</f>
        <v>0</v>
      </c>
      <c r="F131" s="4" t="str">
        <f>HYPERLINK("http://141.218.60.56/~jnz1568/getInfo.php?workbook=16_15.xlsx&amp;sheet=A0&amp;row=131&amp;col=6&amp;number=&amp;sourceID=54","")</f>
        <v/>
      </c>
      <c r="G131" s="4" t="str">
        <f>HYPERLINK("http://141.218.60.56/~jnz1568/getInfo.php?workbook=16_15.xlsx&amp;sheet=A0&amp;row=131&amp;col=7&amp;number=7.4373e-08&amp;sourceID=54","7.4373e-08")</f>
        <v>7.4373e-08</v>
      </c>
      <c r="H131" s="4" t="str">
        <f>HYPERLINK("http://141.218.60.56/~jnz1568/getInfo.php?workbook=16_15.xlsx&amp;sheet=A0&amp;row=131&amp;col=8&amp;number=5.1031e-08&amp;sourceID=54","5.1031e-08")</f>
        <v>5.1031e-08</v>
      </c>
      <c r="I131" s="4" t="str">
        <f>HYPERLINK("http://141.218.60.56/~jnz1568/getInfo.php?workbook=16_15.xlsx&amp;sheet=A0&amp;row=131&amp;col=9&amp;number=&amp;sourceID=54","")</f>
        <v/>
      </c>
      <c r="J131" s="4" t="str">
        <f>HYPERLINK("http://141.218.60.56/~jnz1568/getInfo.php?workbook=16_15.xlsx&amp;sheet=A0&amp;row=131&amp;col=10&amp;number=2.379e-12&amp;sourceID=54","2.379e-12")</f>
        <v>2.379e-12</v>
      </c>
      <c r="K131" s="4" t="str">
        <f>HYPERLINK("http://141.218.60.56/~jnz1568/getInfo.php?workbook=16_15.xlsx&amp;sheet=A0&amp;row=131&amp;col=11&amp;number=6.9968e-09&amp;sourceID=54","6.9968e-09")</f>
        <v>6.9968e-09</v>
      </c>
      <c r="L131" s="4" t="str">
        <f>HYPERLINK("http://141.218.60.56/~jnz1568/getInfo.php?workbook=16_15.xlsx&amp;sheet=A0&amp;row=131&amp;col=12&amp;number=&amp;sourceID=53","")</f>
        <v/>
      </c>
      <c r="M131" s="4" t="str">
        <f>HYPERLINK("http://141.218.60.56/~jnz1568/getInfo.php?workbook=16_15.xlsx&amp;sheet=A0&amp;row=131&amp;col=13&amp;number=&amp;sourceID=53","")</f>
        <v/>
      </c>
      <c r="N131" s="4" t="str">
        <f>HYPERLINK("http://141.218.60.56/~jnz1568/getInfo.php?workbook=16_15.xlsx&amp;sheet=A0&amp;row=131&amp;col=14&amp;number=&amp;sourceID=53","")</f>
        <v/>
      </c>
      <c r="O131" s="4" t="str">
        <f>HYPERLINK("http://141.218.60.56/~jnz1568/getInfo.php?workbook=16_15.xlsx&amp;sheet=A0&amp;row=131&amp;col=15&amp;number=&amp;sourceID=55","")</f>
        <v/>
      </c>
      <c r="P131" s="4" t="str">
        <f>HYPERLINK("http://141.218.60.56/~jnz1568/getInfo.php?workbook=16_15.xlsx&amp;sheet=A0&amp;row=131&amp;col=16&amp;number=&amp;sourceID=55","")</f>
        <v/>
      </c>
      <c r="Q131" s="4" t="str">
        <f>HYPERLINK("http://141.218.60.56/~jnz1568/getInfo.php?workbook=16_15.xlsx&amp;sheet=A0&amp;row=131&amp;col=17&amp;number=&amp;sourceID=56","")</f>
        <v/>
      </c>
      <c r="R131" s="4" t="str">
        <f>HYPERLINK("http://141.218.60.56/~jnz1568/getInfo.php?workbook=16_15.xlsx&amp;sheet=A0&amp;row=131&amp;col=18&amp;number=&amp;sourceID=56","")</f>
        <v/>
      </c>
      <c r="S131" s="4" t="str">
        <f>HYPERLINK("http://141.218.60.56/~jnz1568/getInfo.php?workbook=16_15.xlsx&amp;sheet=A0&amp;row=131&amp;col=19&amp;number=&amp;sourceID=57","")</f>
        <v/>
      </c>
      <c r="T131" s="4" t="str">
        <f>HYPERLINK("http://141.218.60.56/~jnz1568/getInfo.php?workbook=16_15.xlsx&amp;sheet=A0&amp;row=131&amp;col=20&amp;number=&amp;sourceID=57","")</f>
        <v/>
      </c>
      <c r="U131" s="4" t="str">
        <f>HYPERLINK("http://141.218.60.56/~jnz1568/getInfo.php?workbook=16_15.xlsx&amp;sheet=A0&amp;row=131&amp;col=21&amp;number=&amp;sourceID=47","")</f>
        <v/>
      </c>
      <c r="V131" s="4" t="str">
        <f>HYPERLINK("http://141.218.60.56/~jnz1568/getInfo.php?workbook=16_15.xlsx&amp;sheet=A0&amp;row=131&amp;col=22&amp;number=&amp;sourceID=47","")</f>
        <v/>
      </c>
    </row>
    <row r="132" spans="1:22">
      <c r="A132" s="3">
        <v>16</v>
      </c>
      <c r="B132" s="3">
        <v>15</v>
      </c>
      <c r="C132" s="3">
        <v>18</v>
      </c>
      <c r="D132" s="3">
        <v>3</v>
      </c>
      <c r="E132" s="3">
        <f>((1/(INDEX(E0!J$4:J$73,C132,1)-INDEX(E0!J$4:J$73,D132,1))))*100000000</f>
        <v>0</v>
      </c>
      <c r="F132" s="4" t="str">
        <f>HYPERLINK("http://141.218.60.56/~jnz1568/getInfo.php?workbook=16_15.xlsx&amp;sheet=A0&amp;row=132&amp;col=6&amp;number=162830&amp;sourceID=54","162830")</f>
        <v>162830</v>
      </c>
      <c r="G132" s="4" t="str">
        <f>HYPERLINK("http://141.218.60.56/~jnz1568/getInfo.php?workbook=16_15.xlsx&amp;sheet=A0&amp;row=132&amp;col=7&amp;number=&amp;sourceID=54","")</f>
        <v/>
      </c>
      <c r="H132" s="4" t="str">
        <f>HYPERLINK("http://141.218.60.56/~jnz1568/getInfo.php?workbook=16_15.xlsx&amp;sheet=A0&amp;row=132&amp;col=8&amp;number=&amp;sourceID=54","")</f>
        <v/>
      </c>
      <c r="I132" s="4" t="str">
        <f>HYPERLINK("http://141.218.60.56/~jnz1568/getInfo.php?workbook=16_15.xlsx&amp;sheet=A0&amp;row=132&amp;col=9&amp;number=166920&amp;sourceID=54","166920")</f>
        <v>166920</v>
      </c>
      <c r="J132" s="4" t="str">
        <f>HYPERLINK("http://141.218.60.56/~jnz1568/getInfo.php?workbook=16_15.xlsx&amp;sheet=A0&amp;row=132&amp;col=10&amp;number=&amp;sourceID=54","")</f>
        <v/>
      </c>
      <c r="K132" s="4" t="str">
        <f>HYPERLINK("http://141.218.60.56/~jnz1568/getInfo.php?workbook=16_15.xlsx&amp;sheet=A0&amp;row=132&amp;col=11&amp;number=&amp;sourceID=54","")</f>
        <v/>
      </c>
      <c r="L132" s="4" t="str">
        <f>HYPERLINK("http://141.218.60.56/~jnz1568/getInfo.php?workbook=16_15.xlsx&amp;sheet=A0&amp;row=132&amp;col=12&amp;number=236952.27361&amp;sourceID=53","236952.27361")</f>
        <v>236952.27361</v>
      </c>
      <c r="M132" s="4" t="str">
        <f>HYPERLINK("http://141.218.60.56/~jnz1568/getInfo.php?workbook=16_15.xlsx&amp;sheet=A0&amp;row=132&amp;col=13&amp;number=&amp;sourceID=53","")</f>
        <v/>
      </c>
      <c r="N132" s="4" t="str">
        <f>HYPERLINK("http://141.218.60.56/~jnz1568/getInfo.php?workbook=16_15.xlsx&amp;sheet=A0&amp;row=132&amp;col=14&amp;number=&amp;sourceID=53","")</f>
        <v/>
      </c>
      <c r="O132" s="4" t="str">
        <f>HYPERLINK("http://141.218.60.56/~jnz1568/getInfo.php?workbook=16_15.xlsx&amp;sheet=A0&amp;row=132&amp;col=15&amp;number=&amp;sourceID=55","")</f>
        <v/>
      </c>
      <c r="P132" s="4" t="str">
        <f>HYPERLINK("http://141.218.60.56/~jnz1568/getInfo.php?workbook=16_15.xlsx&amp;sheet=A0&amp;row=132&amp;col=16&amp;number=&amp;sourceID=55","")</f>
        <v/>
      </c>
      <c r="Q132" s="4" t="str">
        <f>HYPERLINK("http://141.218.60.56/~jnz1568/getInfo.php?workbook=16_15.xlsx&amp;sheet=A0&amp;row=132&amp;col=17&amp;number=&amp;sourceID=56","")</f>
        <v/>
      </c>
      <c r="R132" s="4" t="str">
        <f>HYPERLINK("http://141.218.60.56/~jnz1568/getInfo.php?workbook=16_15.xlsx&amp;sheet=A0&amp;row=132&amp;col=18&amp;number=&amp;sourceID=56","")</f>
        <v/>
      </c>
      <c r="S132" s="4" t="str">
        <f>HYPERLINK("http://141.218.60.56/~jnz1568/getInfo.php?workbook=16_15.xlsx&amp;sheet=A0&amp;row=132&amp;col=19&amp;number=&amp;sourceID=57","")</f>
        <v/>
      </c>
      <c r="T132" s="4" t="str">
        <f>HYPERLINK("http://141.218.60.56/~jnz1568/getInfo.php?workbook=16_15.xlsx&amp;sheet=A0&amp;row=132&amp;col=20&amp;number=&amp;sourceID=57","")</f>
        <v/>
      </c>
      <c r="U132" s="4" t="str">
        <f>HYPERLINK("http://141.218.60.56/~jnz1568/getInfo.php?workbook=16_15.xlsx&amp;sheet=A0&amp;row=132&amp;col=21&amp;number=&amp;sourceID=47","")</f>
        <v/>
      </c>
      <c r="V132" s="4" t="str">
        <f>HYPERLINK("http://141.218.60.56/~jnz1568/getInfo.php?workbook=16_15.xlsx&amp;sheet=A0&amp;row=132&amp;col=22&amp;number=&amp;sourceID=47","")</f>
        <v/>
      </c>
    </row>
    <row r="133" spans="1:22">
      <c r="A133" s="3">
        <v>16</v>
      </c>
      <c r="B133" s="3">
        <v>15</v>
      </c>
      <c r="C133" s="3">
        <v>18</v>
      </c>
      <c r="D133" s="3">
        <v>6</v>
      </c>
      <c r="E133" s="3">
        <f>((1/(INDEX(E0!J$4:J$73,C133,1)-INDEX(E0!J$4:J$73,D133,1))))*100000000</f>
        <v>0</v>
      </c>
      <c r="F133" s="4" t="str">
        <f>HYPERLINK("http://141.218.60.56/~jnz1568/getInfo.php?workbook=16_15.xlsx&amp;sheet=A0&amp;row=133&amp;col=6&amp;number=&amp;sourceID=54","")</f>
        <v/>
      </c>
      <c r="G133" s="4" t="str">
        <f>HYPERLINK("http://141.218.60.56/~jnz1568/getInfo.php?workbook=16_15.xlsx&amp;sheet=A0&amp;row=133&amp;col=7&amp;number=0.21332&amp;sourceID=54","0.21332")</f>
        <v>0.21332</v>
      </c>
      <c r="H133" s="4" t="str">
        <f>HYPERLINK("http://141.218.60.56/~jnz1568/getInfo.php?workbook=16_15.xlsx&amp;sheet=A0&amp;row=133&amp;col=8&amp;number=0&amp;sourceID=54","0")</f>
        <v>0</v>
      </c>
      <c r="I133" s="4" t="str">
        <f>HYPERLINK("http://141.218.60.56/~jnz1568/getInfo.php?workbook=16_15.xlsx&amp;sheet=A0&amp;row=133&amp;col=9&amp;number=&amp;sourceID=54","")</f>
        <v/>
      </c>
      <c r="J133" s="4" t="str">
        <f>HYPERLINK("http://141.218.60.56/~jnz1568/getInfo.php?workbook=16_15.xlsx&amp;sheet=A0&amp;row=133&amp;col=10&amp;number=0.18768&amp;sourceID=54","0.18768")</f>
        <v>0.18768</v>
      </c>
      <c r="K133" s="4" t="str">
        <f>HYPERLINK("http://141.218.60.56/~jnz1568/getInfo.php?workbook=16_15.xlsx&amp;sheet=A0&amp;row=133&amp;col=11&amp;number=0&amp;sourceID=54","0")</f>
        <v>0</v>
      </c>
      <c r="L133" s="4" t="str">
        <f>HYPERLINK("http://141.218.60.56/~jnz1568/getInfo.php?workbook=16_15.xlsx&amp;sheet=A0&amp;row=133&amp;col=12&amp;number=&amp;sourceID=53","")</f>
        <v/>
      </c>
      <c r="M133" s="4" t="str">
        <f>HYPERLINK("http://141.218.60.56/~jnz1568/getInfo.php?workbook=16_15.xlsx&amp;sheet=A0&amp;row=133&amp;col=13&amp;number=&amp;sourceID=53","")</f>
        <v/>
      </c>
      <c r="N133" s="4" t="str">
        <f>HYPERLINK("http://141.218.60.56/~jnz1568/getInfo.php?workbook=16_15.xlsx&amp;sheet=A0&amp;row=133&amp;col=14&amp;number=&amp;sourceID=53","")</f>
        <v/>
      </c>
      <c r="O133" s="4" t="str">
        <f>HYPERLINK("http://141.218.60.56/~jnz1568/getInfo.php?workbook=16_15.xlsx&amp;sheet=A0&amp;row=133&amp;col=15&amp;number=&amp;sourceID=55","")</f>
        <v/>
      </c>
      <c r="P133" s="4" t="str">
        <f>HYPERLINK("http://141.218.60.56/~jnz1568/getInfo.php?workbook=16_15.xlsx&amp;sheet=A0&amp;row=133&amp;col=16&amp;number=&amp;sourceID=55","")</f>
        <v/>
      </c>
      <c r="Q133" s="4" t="str">
        <f>HYPERLINK("http://141.218.60.56/~jnz1568/getInfo.php?workbook=16_15.xlsx&amp;sheet=A0&amp;row=133&amp;col=17&amp;number=&amp;sourceID=56","")</f>
        <v/>
      </c>
      <c r="R133" s="4" t="str">
        <f>HYPERLINK("http://141.218.60.56/~jnz1568/getInfo.php?workbook=16_15.xlsx&amp;sheet=A0&amp;row=133&amp;col=18&amp;number=&amp;sourceID=56","")</f>
        <v/>
      </c>
      <c r="S133" s="4" t="str">
        <f>HYPERLINK("http://141.218.60.56/~jnz1568/getInfo.php?workbook=16_15.xlsx&amp;sheet=A0&amp;row=133&amp;col=19&amp;number=&amp;sourceID=57","")</f>
        <v/>
      </c>
      <c r="T133" s="4" t="str">
        <f>HYPERLINK("http://141.218.60.56/~jnz1568/getInfo.php?workbook=16_15.xlsx&amp;sheet=A0&amp;row=133&amp;col=20&amp;number=&amp;sourceID=57","")</f>
        <v/>
      </c>
      <c r="U133" s="4" t="str">
        <f>HYPERLINK("http://141.218.60.56/~jnz1568/getInfo.php?workbook=16_15.xlsx&amp;sheet=A0&amp;row=133&amp;col=21&amp;number=&amp;sourceID=47","")</f>
        <v/>
      </c>
      <c r="V133" s="4" t="str">
        <f>HYPERLINK("http://141.218.60.56/~jnz1568/getInfo.php?workbook=16_15.xlsx&amp;sheet=A0&amp;row=133&amp;col=22&amp;number=&amp;sourceID=47","")</f>
        <v/>
      </c>
    </row>
    <row r="134" spans="1:22">
      <c r="A134" s="3">
        <v>16</v>
      </c>
      <c r="B134" s="3">
        <v>15</v>
      </c>
      <c r="C134" s="3">
        <v>18</v>
      </c>
      <c r="D134" s="3">
        <v>7</v>
      </c>
      <c r="E134" s="3">
        <f>((1/(INDEX(E0!J$4:J$73,C134,1)-INDEX(E0!J$4:J$73,D134,1))))*100000000</f>
        <v>0</v>
      </c>
      <c r="F134" s="4" t="str">
        <f>HYPERLINK("http://141.218.60.56/~jnz1568/getInfo.php?workbook=16_15.xlsx&amp;sheet=A0&amp;row=134&amp;col=6&amp;number=&amp;sourceID=54","")</f>
        <v/>
      </c>
      <c r="G134" s="4" t="str">
        <f>HYPERLINK("http://141.218.60.56/~jnz1568/getInfo.php?workbook=16_15.xlsx&amp;sheet=A0&amp;row=134&amp;col=7&amp;number=0.47022&amp;sourceID=54","0.47022")</f>
        <v>0.47022</v>
      </c>
      <c r="H134" s="4" t="str">
        <f>HYPERLINK("http://141.218.60.56/~jnz1568/getInfo.php?workbook=16_15.xlsx&amp;sheet=A0&amp;row=134&amp;col=8&amp;number=&amp;sourceID=54","")</f>
        <v/>
      </c>
      <c r="I134" s="4" t="str">
        <f>HYPERLINK("http://141.218.60.56/~jnz1568/getInfo.php?workbook=16_15.xlsx&amp;sheet=A0&amp;row=134&amp;col=9&amp;number=&amp;sourceID=54","")</f>
        <v/>
      </c>
      <c r="J134" s="4" t="str">
        <f>HYPERLINK("http://141.218.60.56/~jnz1568/getInfo.php?workbook=16_15.xlsx&amp;sheet=A0&amp;row=134&amp;col=10&amp;number=0.40756&amp;sourceID=54","0.40756")</f>
        <v>0.40756</v>
      </c>
      <c r="K134" s="4" t="str">
        <f>HYPERLINK("http://141.218.60.56/~jnz1568/getInfo.php?workbook=16_15.xlsx&amp;sheet=A0&amp;row=134&amp;col=11&amp;number=&amp;sourceID=54","")</f>
        <v/>
      </c>
      <c r="L134" s="4" t="str">
        <f>HYPERLINK("http://141.218.60.56/~jnz1568/getInfo.php?workbook=16_15.xlsx&amp;sheet=A0&amp;row=134&amp;col=12&amp;number=&amp;sourceID=53","")</f>
        <v/>
      </c>
      <c r="M134" s="4" t="str">
        <f>HYPERLINK("http://141.218.60.56/~jnz1568/getInfo.php?workbook=16_15.xlsx&amp;sheet=A0&amp;row=134&amp;col=13&amp;number=&amp;sourceID=53","")</f>
        <v/>
      </c>
      <c r="N134" s="4" t="str">
        <f>HYPERLINK("http://141.218.60.56/~jnz1568/getInfo.php?workbook=16_15.xlsx&amp;sheet=A0&amp;row=134&amp;col=14&amp;number=&amp;sourceID=53","")</f>
        <v/>
      </c>
      <c r="O134" s="4" t="str">
        <f>HYPERLINK("http://141.218.60.56/~jnz1568/getInfo.php?workbook=16_15.xlsx&amp;sheet=A0&amp;row=134&amp;col=15&amp;number=&amp;sourceID=55","")</f>
        <v/>
      </c>
      <c r="P134" s="4" t="str">
        <f>HYPERLINK("http://141.218.60.56/~jnz1568/getInfo.php?workbook=16_15.xlsx&amp;sheet=A0&amp;row=134&amp;col=16&amp;number=&amp;sourceID=55","")</f>
        <v/>
      </c>
      <c r="Q134" s="4" t="str">
        <f>HYPERLINK("http://141.218.60.56/~jnz1568/getInfo.php?workbook=16_15.xlsx&amp;sheet=A0&amp;row=134&amp;col=17&amp;number=&amp;sourceID=56","")</f>
        <v/>
      </c>
      <c r="R134" s="4" t="str">
        <f>HYPERLINK("http://141.218.60.56/~jnz1568/getInfo.php?workbook=16_15.xlsx&amp;sheet=A0&amp;row=134&amp;col=18&amp;number=&amp;sourceID=56","")</f>
        <v/>
      </c>
      <c r="S134" s="4" t="str">
        <f>HYPERLINK("http://141.218.60.56/~jnz1568/getInfo.php?workbook=16_15.xlsx&amp;sheet=A0&amp;row=134&amp;col=19&amp;number=&amp;sourceID=57","")</f>
        <v/>
      </c>
      <c r="T134" s="4" t="str">
        <f>HYPERLINK("http://141.218.60.56/~jnz1568/getInfo.php?workbook=16_15.xlsx&amp;sheet=A0&amp;row=134&amp;col=20&amp;number=&amp;sourceID=57","")</f>
        <v/>
      </c>
      <c r="U134" s="4" t="str">
        <f>HYPERLINK("http://141.218.60.56/~jnz1568/getInfo.php?workbook=16_15.xlsx&amp;sheet=A0&amp;row=134&amp;col=21&amp;number=&amp;sourceID=47","")</f>
        <v/>
      </c>
      <c r="V134" s="4" t="str">
        <f>HYPERLINK("http://141.218.60.56/~jnz1568/getInfo.php?workbook=16_15.xlsx&amp;sheet=A0&amp;row=134&amp;col=22&amp;number=&amp;sourceID=47","")</f>
        <v/>
      </c>
    </row>
    <row r="135" spans="1:22">
      <c r="A135" s="3">
        <v>16</v>
      </c>
      <c r="B135" s="3">
        <v>15</v>
      </c>
      <c r="C135" s="3">
        <v>18</v>
      </c>
      <c r="D135" s="3">
        <v>9</v>
      </c>
      <c r="E135" s="3">
        <f>((1/(INDEX(E0!J$4:J$73,C135,1)-INDEX(E0!J$4:J$73,D135,1))))*100000000</f>
        <v>0</v>
      </c>
      <c r="F135" s="4" t="str">
        <f>HYPERLINK("http://141.218.60.56/~jnz1568/getInfo.php?workbook=16_15.xlsx&amp;sheet=A0&amp;row=135&amp;col=6&amp;number=&amp;sourceID=54","")</f>
        <v/>
      </c>
      <c r="G135" s="4" t="str">
        <f>HYPERLINK("http://141.218.60.56/~jnz1568/getInfo.php?workbook=16_15.xlsx&amp;sheet=A0&amp;row=135&amp;col=7&amp;number=4.8211e-06&amp;sourceID=54","4.8211e-06")</f>
        <v>4.8211e-06</v>
      </c>
      <c r="H135" s="4" t="str">
        <f>HYPERLINK("http://141.218.60.56/~jnz1568/getInfo.php?workbook=16_15.xlsx&amp;sheet=A0&amp;row=135&amp;col=8&amp;number=&amp;sourceID=54","")</f>
        <v/>
      </c>
      <c r="I135" s="4" t="str">
        <f>HYPERLINK("http://141.218.60.56/~jnz1568/getInfo.php?workbook=16_15.xlsx&amp;sheet=A0&amp;row=135&amp;col=9&amp;number=&amp;sourceID=54","")</f>
        <v/>
      </c>
      <c r="J135" s="4" t="str">
        <f>HYPERLINK("http://141.218.60.56/~jnz1568/getInfo.php?workbook=16_15.xlsx&amp;sheet=A0&amp;row=135&amp;col=10&amp;number=4.4395e-06&amp;sourceID=54","4.4395e-06")</f>
        <v>4.4395e-06</v>
      </c>
      <c r="K135" s="4" t="str">
        <f>HYPERLINK("http://141.218.60.56/~jnz1568/getInfo.php?workbook=16_15.xlsx&amp;sheet=A0&amp;row=135&amp;col=11&amp;number=&amp;sourceID=54","")</f>
        <v/>
      </c>
      <c r="L135" s="4" t="str">
        <f>HYPERLINK("http://141.218.60.56/~jnz1568/getInfo.php?workbook=16_15.xlsx&amp;sheet=A0&amp;row=135&amp;col=12&amp;number=&amp;sourceID=53","")</f>
        <v/>
      </c>
      <c r="M135" s="4" t="str">
        <f>HYPERLINK("http://141.218.60.56/~jnz1568/getInfo.php?workbook=16_15.xlsx&amp;sheet=A0&amp;row=135&amp;col=13&amp;number=&amp;sourceID=53","")</f>
        <v/>
      </c>
      <c r="N135" s="4" t="str">
        <f>HYPERLINK("http://141.218.60.56/~jnz1568/getInfo.php?workbook=16_15.xlsx&amp;sheet=A0&amp;row=135&amp;col=14&amp;number=&amp;sourceID=53","")</f>
        <v/>
      </c>
      <c r="O135" s="4" t="str">
        <f>HYPERLINK("http://141.218.60.56/~jnz1568/getInfo.php?workbook=16_15.xlsx&amp;sheet=A0&amp;row=135&amp;col=15&amp;number=&amp;sourceID=55","")</f>
        <v/>
      </c>
      <c r="P135" s="4" t="str">
        <f>HYPERLINK("http://141.218.60.56/~jnz1568/getInfo.php?workbook=16_15.xlsx&amp;sheet=A0&amp;row=135&amp;col=16&amp;number=&amp;sourceID=55","")</f>
        <v/>
      </c>
      <c r="Q135" s="4" t="str">
        <f>HYPERLINK("http://141.218.60.56/~jnz1568/getInfo.php?workbook=16_15.xlsx&amp;sheet=A0&amp;row=135&amp;col=17&amp;number=&amp;sourceID=56","")</f>
        <v/>
      </c>
      <c r="R135" s="4" t="str">
        <f>HYPERLINK("http://141.218.60.56/~jnz1568/getInfo.php?workbook=16_15.xlsx&amp;sheet=A0&amp;row=135&amp;col=18&amp;number=&amp;sourceID=56","")</f>
        <v/>
      </c>
      <c r="S135" s="4" t="str">
        <f>HYPERLINK("http://141.218.60.56/~jnz1568/getInfo.php?workbook=16_15.xlsx&amp;sheet=A0&amp;row=135&amp;col=19&amp;number=&amp;sourceID=57","")</f>
        <v/>
      </c>
      <c r="T135" s="4" t="str">
        <f>HYPERLINK("http://141.218.60.56/~jnz1568/getInfo.php?workbook=16_15.xlsx&amp;sheet=A0&amp;row=135&amp;col=20&amp;number=&amp;sourceID=57","")</f>
        <v/>
      </c>
      <c r="U135" s="4" t="str">
        <f>HYPERLINK("http://141.218.60.56/~jnz1568/getInfo.php?workbook=16_15.xlsx&amp;sheet=A0&amp;row=135&amp;col=21&amp;number=&amp;sourceID=47","")</f>
        <v/>
      </c>
      <c r="V135" s="4" t="str">
        <f>HYPERLINK("http://141.218.60.56/~jnz1568/getInfo.php?workbook=16_15.xlsx&amp;sheet=A0&amp;row=135&amp;col=22&amp;number=&amp;sourceID=47","")</f>
        <v/>
      </c>
    </row>
    <row r="136" spans="1:22">
      <c r="A136" s="3">
        <v>16</v>
      </c>
      <c r="B136" s="3">
        <v>15</v>
      </c>
      <c r="C136" s="3">
        <v>18</v>
      </c>
      <c r="D136" s="3">
        <v>10</v>
      </c>
      <c r="E136" s="3">
        <f>((1/(INDEX(E0!J$4:J$73,C136,1)-INDEX(E0!J$4:J$73,D136,1))))*100000000</f>
        <v>0</v>
      </c>
      <c r="F136" s="4" t="str">
        <f>HYPERLINK("http://141.218.60.56/~jnz1568/getInfo.php?workbook=16_15.xlsx&amp;sheet=A0&amp;row=136&amp;col=6&amp;number=&amp;sourceID=54","")</f>
        <v/>
      </c>
      <c r="G136" s="4" t="str">
        <f>HYPERLINK("http://141.218.60.56/~jnz1568/getInfo.php?workbook=16_15.xlsx&amp;sheet=A0&amp;row=136&amp;col=7&amp;number=1.312e-06&amp;sourceID=54","1.312e-06")</f>
        <v>1.312e-06</v>
      </c>
      <c r="H136" s="4" t="str">
        <f>HYPERLINK("http://141.218.60.56/~jnz1568/getInfo.php?workbook=16_15.xlsx&amp;sheet=A0&amp;row=136&amp;col=8&amp;number=0&amp;sourceID=54","0")</f>
        <v>0</v>
      </c>
      <c r="I136" s="4" t="str">
        <f>HYPERLINK("http://141.218.60.56/~jnz1568/getInfo.php?workbook=16_15.xlsx&amp;sheet=A0&amp;row=136&amp;col=9&amp;number=&amp;sourceID=54","")</f>
        <v/>
      </c>
      <c r="J136" s="4" t="str">
        <f>HYPERLINK("http://141.218.60.56/~jnz1568/getInfo.php?workbook=16_15.xlsx&amp;sheet=A0&amp;row=136&amp;col=10&amp;number=1.2517e-06&amp;sourceID=54","1.2517e-06")</f>
        <v>1.2517e-06</v>
      </c>
      <c r="K136" s="4" t="str">
        <f>HYPERLINK("http://141.218.60.56/~jnz1568/getInfo.php?workbook=16_15.xlsx&amp;sheet=A0&amp;row=136&amp;col=11&amp;number=0&amp;sourceID=54","0")</f>
        <v>0</v>
      </c>
      <c r="L136" s="4" t="str">
        <f>HYPERLINK("http://141.218.60.56/~jnz1568/getInfo.php?workbook=16_15.xlsx&amp;sheet=A0&amp;row=136&amp;col=12&amp;number=&amp;sourceID=53","")</f>
        <v/>
      </c>
      <c r="M136" s="4" t="str">
        <f>HYPERLINK("http://141.218.60.56/~jnz1568/getInfo.php?workbook=16_15.xlsx&amp;sheet=A0&amp;row=136&amp;col=13&amp;number=&amp;sourceID=53","")</f>
        <v/>
      </c>
      <c r="N136" s="4" t="str">
        <f>HYPERLINK("http://141.218.60.56/~jnz1568/getInfo.php?workbook=16_15.xlsx&amp;sheet=A0&amp;row=136&amp;col=14&amp;number=&amp;sourceID=53","")</f>
        <v/>
      </c>
      <c r="O136" s="4" t="str">
        <f>HYPERLINK("http://141.218.60.56/~jnz1568/getInfo.php?workbook=16_15.xlsx&amp;sheet=A0&amp;row=136&amp;col=15&amp;number=&amp;sourceID=55","")</f>
        <v/>
      </c>
      <c r="P136" s="4" t="str">
        <f>HYPERLINK("http://141.218.60.56/~jnz1568/getInfo.php?workbook=16_15.xlsx&amp;sheet=A0&amp;row=136&amp;col=16&amp;number=&amp;sourceID=55","")</f>
        <v/>
      </c>
      <c r="Q136" s="4" t="str">
        <f>HYPERLINK("http://141.218.60.56/~jnz1568/getInfo.php?workbook=16_15.xlsx&amp;sheet=A0&amp;row=136&amp;col=17&amp;number=&amp;sourceID=56","")</f>
        <v/>
      </c>
      <c r="R136" s="4" t="str">
        <f>HYPERLINK("http://141.218.60.56/~jnz1568/getInfo.php?workbook=16_15.xlsx&amp;sheet=A0&amp;row=136&amp;col=18&amp;number=&amp;sourceID=56","")</f>
        <v/>
      </c>
      <c r="S136" s="4" t="str">
        <f>HYPERLINK("http://141.218.60.56/~jnz1568/getInfo.php?workbook=16_15.xlsx&amp;sheet=A0&amp;row=136&amp;col=19&amp;number=&amp;sourceID=57","")</f>
        <v/>
      </c>
      <c r="T136" s="4" t="str">
        <f>HYPERLINK("http://141.218.60.56/~jnz1568/getInfo.php?workbook=16_15.xlsx&amp;sheet=A0&amp;row=136&amp;col=20&amp;number=&amp;sourceID=57","")</f>
        <v/>
      </c>
      <c r="U136" s="4" t="str">
        <f>HYPERLINK("http://141.218.60.56/~jnz1568/getInfo.php?workbook=16_15.xlsx&amp;sheet=A0&amp;row=136&amp;col=21&amp;number=&amp;sourceID=47","")</f>
        <v/>
      </c>
      <c r="V136" s="4" t="str">
        <f>HYPERLINK("http://141.218.60.56/~jnz1568/getInfo.php?workbook=16_15.xlsx&amp;sheet=A0&amp;row=136&amp;col=22&amp;number=&amp;sourceID=47","")</f>
        <v/>
      </c>
    </row>
    <row r="137" spans="1:22">
      <c r="A137" s="3">
        <v>16</v>
      </c>
      <c r="B137" s="3">
        <v>15</v>
      </c>
      <c r="C137" s="3">
        <v>18</v>
      </c>
      <c r="D137" s="3">
        <v>11</v>
      </c>
      <c r="E137" s="3">
        <f>((1/(INDEX(E0!J$4:J$73,C137,1)-INDEX(E0!J$4:J$73,D137,1))))*100000000</f>
        <v>0</v>
      </c>
      <c r="F137" s="4" t="str">
        <f>HYPERLINK("http://141.218.60.56/~jnz1568/getInfo.php?workbook=16_15.xlsx&amp;sheet=A0&amp;row=137&amp;col=6&amp;number=&amp;sourceID=54","")</f>
        <v/>
      </c>
      <c r="G137" s="4" t="str">
        <f>HYPERLINK("http://141.218.60.56/~jnz1568/getInfo.php?workbook=16_15.xlsx&amp;sheet=A0&amp;row=137&amp;col=7&amp;number=7.7764e-07&amp;sourceID=54","7.7764e-07")</f>
        <v>7.7764e-07</v>
      </c>
      <c r="H137" s="4" t="str">
        <f>HYPERLINK("http://141.218.60.56/~jnz1568/getInfo.php?workbook=16_15.xlsx&amp;sheet=A0&amp;row=137&amp;col=8&amp;number=&amp;sourceID=54","")</f>
        <v/>
      </c>
      <c r="I137" s="4" t="str">
        <f>HYPERLINK("http://141.218.60.56/~jnz1568/getInfo.php?workbook=16_15.xlsx&amp;sheet=A0&amp;row=137&amp;col=9&amp;number=&amp;sourceID=54","")</f>
        <v/>
      </c>
      <c r="J137" s="4" t="str">
        <f>HYPERLINK("http://141.218.60.56/~jnz1568/getInfo.php?workbook=16_15.xlsx&amp;sheet=A0&amp;row=137&amp;col=10&amp;number=6.9385e-07&amp;sourceID=54","6.9385e-07")</f>
        <v>6.9385e-07</v>
      </c>
      <c r="K137" s="4" t="str">
        <f>HYPERLINK("http://141.218.60.56/~jnz1568/getInfo.php?workbook=16_15.xlsx&amp;sheet=A0&amp;row=137&amp;col=11&amp;number=&amp;sourceID=54","")</f>
        <v/>
      </c>
      <c r="L137" s="4" t="str">
        <f>HYPERLINK("http://141.218.60.56/~jnz1568/getInfo.php?workbook=16_15.xlsx&amp;sheet=A0&amp;row=137&amp;col=12&amp;number=&amp;sourceID=53","")</f>
        <v/>
      </c>
      <c r="M137" s="4" t="str">
        <f>HYPERLINK("http://141.218.60.56/~jnz1568/getInfo.php?workbook=16_15.xlsx&amp;sheet=A0&amp;row=137&amp;col=13&amp;number=&amp;sourceID=53","")</f>
        <v/>
      </c>
      <c r="N137" s="4" t="str">
        <f>HYPERLINK("http://141.218.60.56/~jnz1568/getInfo.php?workbook=16_15.xlsx&amp;sheet=A0&amp;row=137&amp;col=14&amp;number=&amp;sourceID=53","")</f>
        <v/>
      </c>
      <c r="O137" s="4" t="str">
        <f>HYPERLINK("http://141.218.60.56/~jnz1568/getInfo.php?workbook=16_15.xlsx&amp;sheet=A0&amp;row=137&amp;col=15&amp;number=&amp;sourceID=55","")</f>
        <v/>
      </c>
      <c r="P137" s="4" t="str">
        <f>HYPERLINK("http://141.218.60.56/~jnz1568/getInfo.php?workbook=16_15.xlsx&amp;sheet=A0&amp;row=137&amp;col=16&amp;number=&amp;sourceID=55","")</f>
        <v/>
      </c>
      <c r="Q137" s="4" t="str">
        <f>HYPERLINK("http://141.218.60.56/~jnz1568/getInfo.php?workbook=16_15.xlsx&amp;sheet=A0&amp;row=137&amp;col=17&amp;number=&amp;sourceID=56","")</f>
        <v/>
      </c>
      <c r="R137" s="4" t="str">
        <f>HYPERLINK("http://141.218.60.56/~jnz1568/getInfo.php?workbook=16_15.xlsx&amp;sheet=A0&amp;row=137&amp;col=18&amp;number=&amp;sourceID=56","")</f>
        <v/>
      </c>
      <c r="S137" s="4" t="str">
        <f>HYPERLINK("http://141.218.60.56/~jnz1568/getInfo.php?workbook=16_15.xlsx&amp;sheet=A0&amp;row=137&amp;col=19&amp;number=&amp;sourceID=57","")</f>
        <v/>
      </c>
      <c r="T137" s="4" t="str">
        <f>HYPERLINK("http://141.218.60.56/~jnz1568/getInfo.php?workbook=16_15.xlsx&amp;sheet=A0&amp;row=137&amp;col=20&amp;number=&amp;sourceID=57","")</f>
        <v/>
      </c>
      <c r="U137" s="4" t="str">
        <f>HYPERLINK("http://141.218.60.56/~jnz1568/getInfo.php?workbook=16_15.xlsx&amp;sheet=A0&amp;row=137&amp;col=21&amp;number=&amp;sourceID=47","")</f>
        <v/>
      </c>
      <c r="V137" s="4" t="str">
        <f>HYPERLINK("http://141.218.60.56/~jnz1568/getInfo.php?workbook=16_15.xlsx&amp;sheet=A0&amp;row=137&amp;col=22&amp;number=&amp;sourceID=47","")</f>
        <v/>
      </c>
    </row>
    <row r="138" spans="1:22">
      <c r="A138" s="3">
        <v>16</v>
      </c>
      <c r="B138" s="3">
        <v>15</v>
      </c>
      <c r="C138" s="3">
        <v>18</v>
      </c>
      <c r="D138" s="3">
        <v>14</v>
      </c>
      <c r="E138" s="3">
        <f>((1/(INDEX(E0!J$4:J$73,C138,1)-INDEX(E0!J$4:J$73,D138,1))))*100000000</f>
        <v>0</v>
      </c>
      <c r="F138" s="4" t="str">
        <f>HYPERLINK("http://141.218.60.56/~jnz1568/getInfo.php?workbook=16_15.xlsx&amp;sheet=A0&amp;row=138&amp;col=6&amp;number=&amp;sourceID=54","")</f>
        <v/>
      </c>
      <c r="G138" s="4" t="str">
        <f>HYPERLINK("http://141.218.60.56/~jnz1568/getInfo.php?workbook=16_15.xlsx&amp;sheet=A0&amp;row=138&amp;col=7&amp;number=8.7125e-06&amp;sourceID=54","8.7125e-06")</f>
        <v>8.7125e-06</v>
      </c>
      <c r="H138" s="4" t="str">
        <f>HYPERLINK("http://141.218.60.56/~jnz1568/getInfo.php?workbook=16_15.xlsx&amp;sheet=A0&amp;row=138&amp;col=8&amp;number=&amp;sourceID=54","")</f>
        <v/>
      </c>
      <c r="I138" s="4" t="str">
        <f>HYPERLINK("http://141.218.60.56/~jnz1568/getInfo.php?workbook=16_15.xlsx&amp;sheet=A0&amp;row=138&amp;col=9&amp;number=&amp;sourceID=54","")</f>
        <v/>
      </c>
      <c r="J138" s="4" t="str">
        <f>HYPERLINK("http://141.218.60.56/~jnz1568/getInfo.php?workbook=16_15.xlsx&amp;sheet=A0&amp;row=138&amp;col=10&amp;number=2.9457e-07&amp;sourceID=54","2.9457e-07")</f>
        <v>2.9457e-07</v>
      </c>
      <c r="K138" s="4" t="str">
        <f>HYPERLINK("http://141.218.60.56/~jnz1568/getInfo.php?workbook=16_15.xlsx&amp;sheet=A0&amp;row=138&amp;col=11&amp;number=&amp;sourceID=54","")</f>
        <v/>
      </c>
      <c r="L138" s="4" t="str">
        <f>HYPERLINK("http://141.218.60.56/~jnz1568/getInfo.php?workbook=16_15.xlsx&amp;sheet=A0&amp;row=138&amp;col=12&amp;number=&amp;sourceID=53","")</f>
        <v/>
      </c>
      <c r="M138" s="4" t="str">
        <f>HYPERLINK("http://141.218.60.56/~jnz1568/getInfo.php?workbook=16_15.xlsx&amp;sheet=A0&amp;row=138&amp;col=13&amp;number=&amp;sourceID=53","")</f>
        <v/>
      </c>
      <c r="N138" s="4" t="str">
        <f>HYPERLINK("http://141.218.60.56/~jnz1568/getInfo.php?workbook=16_15.xlsx&amp;sheet=A0&amp;row=138&amp;col=14&amp;number=&amp;sourceID=53","")</f>
        <v/>
      </c>
      <c r="O138" s="4" t="str">
        <f>HYPERLINK("http://141.218.60.56/~jnz1568/getInfo.php?workbook=16_15.xlsx&amp;sheet=A0&amp;row=138&amp;col=15&amp;number=&amp;sourceID=55","")</f>
        <v/>
      </c>
      <c r="P138" s="4" t="str">
        <f>HYPERLINK("http://141.218.60.56/~jnz1568/getInfo.php?workbook=16_15.xlsx&amp;sheet=A0&amp;row=138&amp;col=16&amp;number=&amp;sourceID=55","")</f>
        <v/>
      </c>
      <c r="Q138" s="4" t="str">
        <f>HYPERLINK("http://141.218.60.56/~jnz1568/getInfo.php?workbook=16_15.xlsx&amp;sheet=A0&amp;row=138&amp;col=17&amp;number=&amp;sourceID=56","")</f>
        <v/>
      </c>
      <c r="R138" s="4" t="str">
        <f>HYPERLINK("http://141.218.60.56/~jnz1568/getInfo.php?workbook=16_15.xlsx&amp;sheet=A0&amp;row=138&amp;col=18&amp;number=&amp;sourceID=56","")</f>
        <v/>
      </c>
      <c r="S138" s="4" t="str">
        <f>HYPERLINK("http://141.218.60.56/~jnz1568/getInfo.php?workbook=16_15.xlsx&amp;sheet=A0&amp;row=138&amp;col=19&amp;number=&amp;sourceID=57","")</f>
        <v/>
      </c>
      <c r="T138" s="4" t="str">
        <f>HYPERLINK("http://141.218.60.56/~jnz1568/getInfo.php?workbook=16_15.xlsx&amp;sheet=A0&amp;row=138&amp;col=20&amp;number=&amp;sourceID=57","")</f>
        <v/>
      </c>
      <c r="U138" s="4" t="str">
        <f>HYPERLINK("http://141.218.60.56/~jnz1568/getInfo.php?workbook=16_15.xlsx&amp;sheet=A0&amp;row=138&amp;col=21&amp;number=&amp;sourceID=47","")</f>
        <v/>
      </c>
      <c r="V138" s="4" t="str">
        <f>HYPERLINK("http://141.218.60.56/~jnz1568/getInfo.php?workbook=16_15.xlsx&amp;sheet=A0&amp;row=138&amp;col=22&amp;number=&amp;sourceID=47","")</f>
        <v/>
      </c>
    </row>
    <row r="139" spans="1:22">
      <c r="A139" s="3">
        <v>16</v>
      </c>
      <c r="B139" s="3">
        <v>15</v>
      </c>
      <c r="C139" s="3">
        <v>18</v>
      </c>
      <c r="D139" s="3">
        <v>15</v>
      </c>
      <c r="E139" s="3">
        <f>((1/(INDEX(E0!J$4:J$73,C139,1)-INDEX(E0!J$4:J$73,D139,1))))*100000000</f>
        <v>0</v>
      </c>
      <c r="F139" s="4" t="str">
        <f>HYPERLINK("http://141.218.60.56/~jnz1568/getInfo.php?workbook=16_15.xlsx&amp;sheet=A0&amp;row=139&amp;col=6&amp;number=&amp;sourceID=54","")</f>
        <v/>
      </c>
      <c r="G139" s="4" t="str">
        <f>HYPERLINK("http://141.218.60.56/~jnz1568/getInfo.php?workbook=16_15.xlsx&amp;sheet=A0&amp;row=139&amp;col=7&amp;number=6.2978e-11&amp;sourceID=54","6.2978e-11")</f>
        <v>6.2978e-11</v>
      </c>
      <c r="H139" s="4" t="str">
        <f>HYPERLINK("http://141.218.60.56/~jnz1568/getInfo.php?workbook=16_15.xlsx&amp;sheet=A0&amp;row=139&amp;col=8&amp;number=&amp;sourceID=54","")</f>
        <v/>
      </c>
      <c r="I139" s="4" t="str">
        <f>HYPERLINK("http://141.218.60.56/~jnz1568/getInfo.php?workbook=16_15.xlsx&amp;sheet=A0&amp;row=139&amp;col=9&amp;number=&amp;sourceID=54","")</f>
        <v/>
      </c>
      <c r="J139" s="4" t="str">
        <f>HYPERLINK("http://141.218.60.56/~jnz1568/getInfo.php?workbook=16_15.xlsx&amp;sheet=A0&amp;row=139&amp;col=10&amp;number=6.2296e-11&amp;sourceID=54","6.2296e-11")</f>
        <v>6.2296e-11</v>
      </c>
      <c r="K139" s="4" t="str">
        <f>HYPERLINK("http://141.218.60.56/~jnz1568/getInfo.php?workbook=16_15.xlsx&amp;sheet=A0&amp;row=139&amp;col=11&amp;number=&amp;sourceID=54","")</f>
        <v/>
      </c>
      <c r="L139" s="4" t="str">
        <f>HYPERLINK("http://141.218.60.56/~jnz1568/getInfo.php?workbook=16_15.xlsx&amp;sheet=A0&amp;row=139&amp;col=12&amp;number=&amp;sourceID=53","")</f>
        <v/>
      </c>
      <c r="M139" s="4" t="str">
        <f>HYPERLINK("http://141.218.60.56/~jnz1568/getInfo.php?workbook=16_15.xlsx&amp;sheet=A0&amp;row=139&amp;col=13&amp;number=&amp;sourceID=53","")</f>
        <v/>
      </c>
      <c r="N139" s="4" t="str">
        <f>HYPERLINK("http://141.218.60.56/~jnz1568/getInfo.php?workbook=16_15.xlsx&amp;sheet=A0&amp;row=139&amp;col=14&amp;number=&amp;sourceID=53","")</f>
        <v/>
      </c>
      <c r="O139" s="4" t="str">
        <f>HYPERLINK("http://141.218.60.56/~jnz1568/getInfo.php?workbook=16_15.xlsx&amp;sheet=A0&amp;row=139&amp;col=15&amp;number=&amp;sourceID=55","")</f>
        <v/>
      </c>
      <c r="P139" s="4" t="str">
        <f>HYPERLINK("http://141.218.60.56/~jnz1568/getInfo.php?workbook=16_15.xlsx&amp;sheet=A0&amp;row=139&amp;col=16&amp;number=&amp;sourceID=55","")</f>
        <v/>
      </c>
      <c r="Q139" s="4" t="str">
        <f>HYPERLINK("http://141.218.60.56/~jnz1568/getInfo.php?workbook=16_15.xlsx&amp;sheet=A0&amp;row=139&amp;col=17&amp;number=&amp;sourceID=56","")</f>
        <v/>
      </c>
      <c r="R139" s="4" t="str">
        <f>HYPERLINK("http://141.218.60.56/~jnz1568/getInfo.php?workbook=16_15.xlsx&amp;sheet=A0&amp;row=139&amp;col=18&amp;number=&amp;sourceID=56","")</f>
        <v/>
      </c>
      <c r="S139" s="4" t="str">
        <f>HYPERLINK("http://141.218.60.56/~jnz1568/getInfo.php?workbook=16_15.xlsx&amp;sheet=A0&amp;row=139&amp;col=19&amp;number=&amp;sourceID=57","")</f>
        <v/>
      </c>
      <c r="T139" s="4" t="str">
        <f>HYPERLINK("http://141.218.60.56/~jnz1568/getInfo.php?workbook=16_15.xlsx&amp;sheet=A0&amp;row=139&amp;col=20&amp;number=&amp;sourceID=57","")</f>
        <v/>
      </c>
      <c r="U139" s="4" t="str">
        <f>HYPERLINK("http://141.218.60.56/~jnz1568/getInfo.php?workbook=16_15.xlsx&amp;sheet=A0&amp;row=139&amp;col=21&amp;number=&amp;sourceID=47","")</f>
        <v/>
      </c>
      <c r="V139" s="4" t="str">
        <f>HYPERLINK("http://141.218.60.56/~jnz1568/getInfo.php?workbook=16_15.xlsx&amp;sheet=A0&amp;row=139&amp;col=22&amp;number=&amp;sourceID=47","")</f>
        <v/>
      </c>
    </row>
    <row r="140" spans="1:22">
      <c r="A140" s="3">
        <v>16</v>
      </c>
      <c r="B140" s="3">
        <v>15</v>
      </c>
      <c r="C140" s="3">
        <v>18</v>
      </c>
      <c r="D140" s="3">
        <v>16</v>
      </c>
      <c r="E140" s="3">
        <f>((1/(INDEX(E0!J$4:J$73,C140,1)-INDEX(E0!J$4:J$73,D140,1))))*100000000</f>
        <v>0</v>
      </c>
      <c r="F140" s="4" t="str">
        <f>HYPERLINK("http://141.218.60.56/~jnz1568/getInfo.php?workbook=16_15.xlsx&amp;sheet=A0&amp;row=140&amp;col=6&amp;number=&amp;sourceID=54","")</f>
        <v/>
      </c>
      <c r="G140" s="4" t="str">
        <f>HYPERLINK("http://141.218.60.56/~jnz1568/getInfo.php?workbook=16_15.xlsx&amp;sheet=A0&amp;row=140&amp;col=7&amp;number=7.9981e-07&amp;sourceID=54","7.9981e-07")</f>
        <v>7.9981e-07</v>
      </c>
      <c r="H140" s="4" t="str">
        <f>HYPERLINK("http://141.218.60.56/~jnz1568/getInfo.php?workbook=16_15.xlsx&amp;sheet=A0&amp;row=140&amp;col=8&amp;number=5.9002e-08&amp;sourceID=54","5.9002e-08")</f>
        <v>5.9002e-08</v>
      </c>
      <c r="I140" s="4" t="str">
        <f>HYPERLINK("http://141.218.60.56/~jnz1568/getInfo.php?workbook=16_15.xlsx&amp;sheet=A0&amp;row=140&amp;col=9&amp;number=&amp;sourceID=54","")</f>
        <v/>
      </c>
      <c r="J140" s="4" t="str">
        <f>HYPERLINK("http://141.218.60.56/~jnz1568/getInfo.php?workbook=16_15.xlsx&amp;sheet=A0&amp;row=140&amp;col=10&amp;number=1.7972e-09&amp;sourceID=54","1.7972e-09")</f>
        <v>1.7972e-09</v>
      </c>
      <c r="K140" s="4" t="str">
        <f>HYPERLINK("http://141.218.60.56/~jnz1568/getInfo.php?workbook=16_15.xlsx&amp;sheet=A0&amp;row=140&amp;col=11&amp;number=1.0013e-07&amp;sourceID=54","1.0013e-07")</f>
        <v>1.0013e-07</v>
      </c>
      <c r="L140" s="4" t="str">
        <f>HYPERLINK("http://141.218.60.56/~jnz1568/getInfo.php?workbook=16_15.xlsx&amp;sheet=A0&amp;row=140&amp;col=12&amp;number=&amp;sourceID=53","")</f>
        <v/>
      </c>
      <c r="M140" s="4" t="str">
        <f>HYPERLINK("http://141.218.60.56/~jnz1568/getInfo.php?workbook=16_15.xlsx&amp;sheet=A0&amp;row=140&amp;col=13&amp;number=&amp;sourceID=53","")</f>
        <v/>
      </c>
      <c r="N140" s="4" t="str">
        <f>HYPERLINK("http://141.218.60.56/~jnz1568/getInfo.php?workbook=16_15.xlsx&amp;sheet=A0&amp;row=140&amp;col=14&amp;number=&amp;sourceID=53","")</f>
        <v/>
      </c>
      <c r="O140" s="4" t="str">
        <f>HYPERLINK("http://141.218.60.56/~jnz1568/getInfo.php?workbook=16_15.xlsx&amp;sheet=A0&amp;row=140&amp;col=15&amp;number=&amp;sourceID=55","")</f>
        <v/>
      </c>
      <c r="P140" s="4" t="str">
        <f>HYPERLINK("http://141.218.60.56/~jnz1568/getInfo.php?workbook=16_15.xlsx&amp;sheet=A0&amp;row=140&amp;col=16&amp;number=&amp;sourceID=55","")</f>
        <v/>
      </c>
      <c r="Q140" s="4" t="str">
        <f>HYPERLINK("http://141.218.60.56/~jnz1568/getInfo.php?workbook=16_15.xlsx&amp;sheet=A0&amp;row=140&amp;col=17&amp;number=&amp;sourceID=56","")</f>
        <v/>
      </c>
      <c r="R140" s="4" t="str">
        <f>HYPERLINK("http://141.218.60.56/~jnz1568/getInfo.php?workbook=16_15.xlsx&amp;sheet=A0&amp;row=140&amp;col=18&amp;number=&amp;sourceID=56","")</f>
        <v/>
      </c>
      <c r="S140" s="4" t="str">
        <f>HYPERLINK("http://141.218.60.56/~jnz1568/getInfo.php?workbook=16_15.xlsx&amp;sheet=A0&amp;row=140&amp;col=19&amp;number=&amp;sourceID=57","")</f>
        <v/>
      </c>
      <c r="T140" s="4" t="str">
        <f>HYPERLINK("http://141.218.60.56/~jnz1568/getInfo.php?workbook=16_15.xlsx&amp;sheet=A0&amp;row=140&amp;col=20&amp;number=&amp;sourceID=57","")</f>
        <v/>
      </c>
      <c r="U140" s="4" t="str">
        <f>HYPERLINK("http://141.218.60.56/~jnz1568/getInfo.php?workbook=16_15.xlsx&amp;sheet=A0&amp;row=140&amp;col=21&amp;number=&amp;sourceID=47","")</f>
        <v/>
      </c>
      <c r="V140" s="4" t="str">
        <f>HYPERLINK("http://141.218.60.56/~jnz1568/getInfo.php?workbook=16_15.xlsx&amp;sheet=A0&amp;row=140&amp;col=22&amp;number=&amp;sourceID=47","")</f>
        <v/>
      </c>
    </row>
    <row r="141" spans="1:22">
      <c r="A141" s="3">
        <v>16</v>
      </c>
      <c r="B141" s="3">
        <v>15</v>
      </c>
      <c r="C141" s="3">
        <v>18</v>
      </c>
      <c r="D141" s="3">
        <v>17</v>
      </c>
      <c r="E141" s="3">
        <f>((1/(INDEX(E0!J$4:J$73,C141,1)-INDEX(E0!J$4:J$73,D141,1))))*100000000</f>
        <v>0</v>
      </c>
      <c r="F141" s="4" t="str">
        <f>HYPERLINK("http://141.218.60.56/~jnz1568/getInfo.php?workbook=16_15.xlsx&amp;sheet=A0&amp;row=141&amp;col=6&amp;number=&amp;sourceID=54","")</f>
        <v/>
      </c>
      <c r="G141" s="4" t="str">
        <f>HYPERLINK("http://141.218.60.56/~jnz1568/getInfo.php?workbook=16_15.xlsx&amp;sheet=A0&amp;row=141&amp;col=7&amp;number=5.7377e-11&amp;sourceID=54","5.7377e-11")</f>
        <v>5.7377e-11</v>
      </c>
      <c r="H141" s="4" t="str">
        <f>HYPERLINK("http://141.218.60.56/~jnz1568/getInfo.php?workbook=16_15.xlsx&amp;sheet=A0&amp;row=141&amp;col=8&amp;number=0.00023534&amp;sourceID=54","0.00023534")</f>
        <v>0.00023534</v>
      </c>
      <c r="I141" s="4" t="str">
        <f>HYPERLINK("http://141.218.60.56/~jnz1568/getInfo.php?workbook=16_15.xlsx&amp;sheet=A0&amp;row=141&amp;col=9&amp;number=&amp;sourceID=54","")</f>
        <v/>
      </c>
      <c r="J141" s="4" t="str">
        <f>HYPERLINK("http://141.218.60.56/~jnz1568/getInfo.php?workbook=16_15.xlsx&amp;sheet=A0&amp;row=141&amp;col=10&amp;number=5.9577e-11&amp;sourceID=54","5.9577e-11")</f>
        <v>5.9577e-11</v>
      </c>
      <c r="K141" s="4" t="str">
        <f>HYPERLINK("http://141.218.60.56/~jnz1568/getInfo.php?workbook=16_15.xlsx&amp;sheet=A0&amp;row=141&amp;col=11&amp;number=0.00023497&amp;sourceID=54","0.00023497")</f>
        <v>0.00023497</v>
      </c>
      <c r="L141" s="4" t="str">
        <f>HYPERLINK("http://141.218.60.56/~jnz1568/getInfo.php?workbook=16_15.xlsx&amp;sheet=A0&amp;row=141&amp;col=12&amp;number=&amp;sourceID=53","")</f>
        <v/>
      </c>
      <c r="M141" s="4" t="str">
        <f>HYPERLINK("http://141.218.60.56/~jnz1568/getInfo.php?workbook=16_15.xlsx&amp;sheet=A0&amp;row=141&amp;col=13&amp;number=&amp;sourceID=53","")</f>
        <v/>
      </c>
      <c r="N141" s="4" t="str">
        <f>HYPERLINK("http://141.218.60.56/~jnz1568/getInfo.php?workbook=16_15.xlsx&amp;sheet=A0&amp;row=141&amp;col=14&amp;number=&amp;sourceID=53","")</f>
        <v/>
      </c>
      <c r="O141" s="4" t="str">
        <f>HYPERLINK("http://141.218.60.56/~jnz1568/getInfo.php?workbook=16_15.xlsx&amp;sheet=A0&amp;row=141&amp;col=15&amp;number=&amp;sourceID=55","")</f>
        <v/>
      </c>
      <c r="P141" s="4" t="str">
        <f>HYPERLINK("http://141.218.60.56/~jnz1568/getInfo.php?workbook=16_15.xlsx&amp;sheet=A0&amp;row=141&amp;col=16&amp;number=&amp;sourceID=55","")</f>
        <v/>
      </c>
      <c r="Q141" s="4" t="str">
        <f>HYPERLINK("http://141.218.60.56/~jnz1568/getInfo.php?workbook=16_15.xlsx&amp;sheet=A0&amp;row=141&amp;col=17&amp;number=&amp;sourceID=56","")</f>
        <v/>
      </c>
      <c r="R141" s="4" t="str">
        <f>HYPERLINK("http://141.218.60.56/~jnz1568/getInfo.php?workbook=16_15.xlsx&amp;sheet=A0&amp;row=141&amp;col=18&amp;number=&amp;sourceID=56","")</f>
        <v/>
      </c>
      <c r="S141" s="4" t="str">
        <f>HYPERLINK("http://141.218.60.56/~jnz1568/getInfo.php?workbook=16_15.xlsx&amp;sheet=A0&amp;row=141&amp;col=19&amp;number=&amp;sourceID=57","")</f>
        <v/>
      </c>
      <c r="T141" s="4" t="str">
        <f>HYPERLINK("http://141.218.60.56/~jnz1568/getInfo.php?workbook=16_15.xlsx&amp;sheet=A0&amp;row=141&amp;col=20&amp;number=&amp;sourceID=57","")</f>
        <v/>
      </c>
      <c r="U141" s="4" t="str">
        <f>HYPERLINK("http://141.218.60.56/~jnz1568/getInfo.php?workbook=16_15.xlsx&amp;sheet=A0&amp;row=141&amp;col=21&amp;number=&amp;sourceID=47","")</f>
        <v/>
      </c>
      <c r="V141" s="4" t="str">
        <f>HYPERLINK("http://141.218.60.56/~jnz1568/getInfo.php?workbook=16_15.xlsx&amp;sheet=A0&amp;row=141&amp;col=22&amp;number=&amp;sourceID=47","")</f>
        <v/>
      </c>
    </row>
    <row r="142" spans="1:22">
      <c r="A142" s="3">
        <v>16</v>
      </c>
      <c r="B142" s="3">
        <v>15</v>
      </c>
      <c r="C142" s="3">
        <v>19</v>
      </c>
      <c r="D142" s="3">
        <v>6</v>
      </c>
      <c r="E142" s="3">
        <f>((1/(INDEX(E0!J$4:J$73,C142,1)-INDEX(E0!J$4:J$73,D142,1))))*100000000</f>
        <v>0</v>
      </c>
      <c r="F142" s="4" t="str">
        <f>HYPERLINK("http://141.218.60.56/~jnz1568/getInfo.php?workbook=16_15.xlsx&amp;sheet=A0&amp;row=142&amp;col=6&amp;number=&amp;sourceID=54","")</f>
        <v/>
      </c>
      <c r="G142" s="4" t="str">
        <f>HYPERLINK("http://141.218.60.56/~jnz1568/getInfo.php?workbook=16_15.xlsx&amp;sheet=A0&amp;row=142&amp;col=7&amp;number=0.72605&amp;sourceID=54","0.72605")</f>
        <v>0.72605</v>
      </c>
      <c r="H142" s="4" t="str">
        <f>HYPERLINK("http://141.218.60.56/~jnz1568/getInfo.php?workbook=16_15.xlsx&amp;sheet=A0&amp;row=142&amp;col=8&amp;number=&amp;sourceID=54","")</f>
        <v/>
      </c>
      <c r="I142" s="4" t="str">
        <f>HYPERLINK("http://141.218.60.56/~jnz1568/getInfo.php?workbook=16_15.xlsx&amp;sheet=A0&amp;row=142&amp;col=9&amp;number=&amp;sourceID=54","")</f>
        <v/>
      </c>
      <c r="J142" s="4" t="str">
        <f>HYPERLINK("http://141.218.60.56/~jnz1568/getInfo.php?workbook=16_15.xlsx&amp;sheet=A0&amp;row=142&amp;col=10&amp;number=0.63359&amp;sourceID=54","0.63359")</f>
        <v>0.63359</v>
      </c>
      <c r="K142" s="4" t="str">
        <f>HYPERLINK("http://141.218.60.56/~jnz1568/getInfo.php?workbook=16_15.xlsx&amp;sheet=A0&amp;row=142&amp;col=11&amp;number=&amp;sourceID=54","")</f>
        <v/>
      </c>
      <c r="L142" s="4" t="str">
        <f>HYPERLINK("http://141.218.60.56/~jnz1568/getInfo.php?workbook=16_15.xlsx&amp;sheet=A0&amp;row=142&amp;col=12&amp;number=&amp;sourceID=53","")</f>
        <v/>
      </c>
      <c r="M142" s="4" t="str">
        <f>HYPERLINK("http://141.218.60.56/~jnz1568/getInfo.php?workbook=16_15.xlsx&amp;sheet=A0&amp;row=142&amp;col=13&amp;number=&amp;sourceID=53","")</f>
        <v/>
      </c>
      <c r="N142" s="4" t="str">
        <f>HYPERLINK("http://141.218.60.56/~jnz1568/getInfo.php?workbook=16_15.xlsx&amp;sheet=A0&amp;row=142&amp;col=14&amp;number=&amp;sourceID=53","")</f>
        <v/>
      </c>
      <c r="O142" s="4" t="str">
        <f>HYPERLINK("http://141.218.60.56/~jnz1568/getInfo.php?workbook=16_15.xlsx&amp;sheet=A0&amp;row=142&amp;col=15&amp;number=&amp;sourceID=55","")</f>
        <v/>
      </c>
      <c r="P142" s="4" t="str">
        <f>HYPERLINK("http://141.218.60.56/~jnz1568/getInfo.php?workbook=16_15.xlsx&amp;sheet=A0&amp;row=142&amp;col=16&amp;number=&amp;sourceID=55","")</f>
        <v/>
      </c>
      <c r="Q142" s="4" t="str">
        <f>HYPERLINK("http://141.218.60.56/~jnz1568/getInfo.php?workbook=16_15.xlsx&amp;sheet=A0&amp;row=142&amp;col=17&amp;number=&amp;sourceID=56","")</f>
        <v/>
      </c>
      <c r="R142" s="4" t="str">
        <f>HYPERLINK("http://141.218.60.56/~jnz1568/getInfo.php?workbook=16_15.xlsx&amp;sheet=A0&amp;row=142&amp;col=18&amp;number=&amp;sourceID=56","")</f>
        <v/>
      </c>
      <c r="S142" s="4" t="str">
        <f>HYPERLINK("http://141.218.60.56/~jnz1568/getInfo.php?workbook=16_15.xlsx&amp;sheet=A0&amp;row=142&amp;col=19&amp;number=&amp;sourceID=57","")</f>
        <v/>
      </c>
      <c r="T142" s="4" t="str">
        <f>HYPERLINK("http://141.218.60.56/~jnz1568/getInfo.php?workbook=16_15.xlsx&amp;sheet=A0&amp;row=142&amp;col=20&amp;number=&amp;sourceID=57","")</f>
        <v/>
      </c>
      <c r="U142" s="4" t="str">
        <f>HYPERLINK("http://141.218.60.56/~jnz1568/getInfo.php?workbook=16_15.xlsx&amp;sheet=A0&amp;row=142&amp;col=21&amp;number=&amp;sourceID=47","")</f>
        <v/>
      </c>
      <c r="V142" s="4" t="str">
        <f>HYPERLINK("http://141.218.60.56/~jnz1568/getInfo.php?workbook=16_15.xlsx&amp;sheet=A0&amp;row=142&amp;col=22&amp;number=&amp;sourceID=47","")</f>
        <v/>
      </c>
    </row>
    <row r="143" spans="1:22">
      <c r="A143" s="3">
        <v>16</v>
      </c>
      <c r="B143" s="3">
        <v>15</v>
      </c>
      <c r="C143" s="3">
        <v>19</v>
      </c>
      <c r="D143" s="3">
        <v>10</v>
      </c>
      <c r="E143" s="3">
        <f>((1/(INDEX(E0!J$4:J$73,C143,1)-INDEX(E0!J$4:J$73,D143,1))))*100000000</f>
        <v>0</v>
      </c>
      <c r="F143" s="4" t="str">
        <f>HYPERLINK("http://141.218.60.56/~jnz1568/getInfo.php?workbook=16_15.xlsx&amp;sheet=A0&amp;row=143&amp;col=6&amp;number=&amp;sourceID=54","")</f>
        <v/>
      </c>
      <c r="G143" s="4" t="str">
        <f>HYPERLINK("http://141.218.60.56/~jnz1568/getInfo.php?workbook=16_15.xlsx&amp;sheet=A0&amp;row=143&amp;col=7&amp;number=2.6934e-05&amp;sourceID=54","2.6934e-05")</f>
        <v>2.6934e-05</v>
      </c>
      <c r="H143" s="4" t="str">
        <f>HYPERLINK("http://141.218.60.56/~jnz1568/getInfo.php?workbook=16_15.xlsx&amp;sheet=A0&amp;row=143&amp;col=8&amp;number=&amp;sourceID=54","")</f>
        <v/>
      </c>
      <c r="I143" s="4" t="str">
        <f>HYPERLINK("http://141.218.60.56/~jnz1568/getInfo.php?workbook=16_15.xlsx&amp;sheet=A0&amp;row=143&amp;col=9&amp;number=&amp;sourceID=54","")</f>
        <v/>
      </c>
      <c r="J143" s="4" t="str">
        <f>HYPERLINK("http://141.218.60.56/~jnz1568/getInfo.php?workbook=16_15.xlsx&amp;sheet=A0&amp;row=143&amp;col=10&amp;number=2.5076e-05&amp;sourceID=54","2.5076e-05")</f>
        <v>2.5076e-05</v>
      </c>
      <c r="K143" s="4" t="str">
        <f>HYPERLINK("http://141.218.60.56/~jnz1568/getInfo.php?workbook=16_15.xlsx&amp;sheet=A0&amp;row=143&amp;col=11&amp;number=&amp;sourceID=54","")</f>
        <v/>
      </c>
      <c r="L143" s="4" t="str">
        <f>HYPERLINK("http://141.218.60.56/~jnz1568/getInfo.php?workbook=16_15.xlsx&amp;sheet=A0&amp;row=143&amp;col=12&amp;number=&amp;sourceID=53","")</f>
        <v/>
      </c>
      <c r="M143" s="4" t="str">
        <f>HYPERLINK("http://141.218.60.56/~jnz1568/getInfo.php?workbook=16_15.xlsx&amp;sheet=A0&amp;row=143&amp;col=13&amp;number=&amp;sourceID=53","")</f>
        <v/>
      </c>
      <c r="N143" s="4" t="str">
        <f>HYPERLINK("http://141.218.60.56/~jnz1568/getInfo.php?workbook=16_15.xlsx&amp;sheet=A0&amp;row=143&amp;col=14&amp;number=&amp;sourceID=53","")</f>
        <v/>
      </c>
      <c r="O143" s="4" t="str">
        <f>HYPERLINK("http://141.218.60.56/~jnz1568/getInfo.php?workbook=16_15.xlsx&amp;sheet=A0&amp;row=143&amp;col=15&amp;number=&amp;sourceID=55","")</f>
        <v/>
      </c>
      <c r="P143" s="4" t="str">
        <f>HYPERLINK("http://141.218.60.56/~jnz1568/getInfo.php?workbook=16_15.xlsx&amp;sheet=A0&amp;row=143&amp;col=16&amp;number=&amp;sourceID=55","")</f>
        <v/>
      </c>
      <c r="Q143" s="4" t="str">
        <f>HYPERLINK("http://141.218.60.56/~jnz1568/getInfo.php?workbook=16_15.xlsx&amp;sheet=A0&amp;row=143&amp;col=17&amp;number=&amp;sourceID=56","")</f>
        <v/>
      </c>
      <c r="R143" s="4" t="str">
        <f>HYPERLINK("http://141.218.60.56/~jnz1568/getInfo.php?workbook=16_15.xlsx&amp;sheet=A0&amp;row=143&amp;col=18&amp;number=&amp;sourceID=56","")</f>
        <v/>
      </c>
      <c r="S143" s="4" t="str">
        <f>HYPERLINK("http://141.218.60.56/~jnz1568/getInfo.php?workbook=16_15.xlsx&amp;sheet=A0&amp;row=143&amp;col=19&amp;number=&amp;sourceID=57","")</f>
        <v/>
      </c>
      <c r="T143" s="4" t="str">
        <f>HYPERLINK("http://141.218.60.56/~jnz1568/getInfo.php?workbook=16_15.xlsx&amp;sheet=A0&amp;row=143&amp;col=20&amp;number=&amp;sourceID=57","")</f>
        <v/>
      </c>
      <c r="U143" s="4" t="str">
        <f>HYPERLINK("http://141.218.60.56/~jnz1568/getInfo.php?workbook=16_15.xlsx&amp;sheet=A0&amp;row=143&amp;col=21&amp;number=&amp;sourceID=47","")</f>
        <v/>
      </c>
      <c r="V143" s="4" t="str">
        <f>HYPERLINK("http://141.218.60.56/~jnz1568/getInfo.php?workbook=16_15.xlsx&amp;sheet=A0&amp;row=143&amp;col=22&amp;number=&amp;sourceID=47","")</f>
        <v/>
      </c>
    </row>
    <row r="144" spans="1:22">
      <c r="A144" s="3">
        <v>16</v>
      </c>
      <c r="B144" s="3">
        <v>15</v>
      </c>
      <c r="C144" s="3">
        <v>19</v>
      </c>
      <c r="D144" s="3">
        <v>16</v>
      </c>
      <c r="E144" s="3">
        <f>((1/(INDEX(E0!J$4:J$73,C144,1)-INDEX(E0!J$4:J$73,D144,1))))*100000000</f>
        <v>0</v>
      </c>
      <c r="F144" s="4" t="str">
        <f>HYPERLINK("http://141.218.60.56/~jnz1568/getInfo.php?workbook=16_15.xlsx&amp;sheet=A0&amp;row=144&amp;col=6&amp;number=&amp;sourceID=54","")</f>
        <v/>
      </c>
      <c r="G144" s="4" t="str">
        <f>HYPERLINK("http://141.218.60.56/~jnz1568/getInfo.php?workbook=16_15.xlsx&amp;sheet=A0&amp;row=144&amp;col=7&amp;number=7.0518e-06&amp;sourceID=54","7.0518e-06")</f>
        <v>7.0518e-06</v>
      </c>
      <c r="H144" s="4" t="str">
        <f>HYPERLINK("http://141.218.60.56/~jnz1568/getInfo.php?workbook=16_15.xlsx&amp;sheet=A0&amp;row=144&amp;col=8&amp;number=&amp;sourceID=54","")</f>
        <v/>
      </c>
      <c r="I144" s="4" t="str">
        <f>HYPERLINK("http://141.218.60.56/~jnz1568/getInfo.php?workbook=16_15.xlsx&amp;sheet=A0&amp;row=144&amp;col=9&amp;number=&amp;sourceID=54","")</f>
        <v/>
      </c>
      <c r="J144" s="4" t="str">
        <f>HYPERLINK("http://141.218.60.56/~jnz1568/getInfo.php?workbook=16_15.xlsx&amp;sheet=A0&amp;row=144&amp;col=10&amp;number=1.1511e-07&amp;sourceID=54","1.1511e-07")</f>
        <v>1.1511e-07</v>
      </c>
      <c r="K144" s="4" t="str">
        <f>HYPERLINK("http://141.218.60.56/~jnz1568/getInfo.php?workbook=16_15.xlsx&amp;sheet=A0&amp;row=144&amp;col=11&amp;number=&amp;sourceID=54","")</f>
        <v/>
      </c>
      <c r="L144" s="4" t="str">
        <f>HYPERLINK("http://141.218.60.56/~jnz1568/getInfo.php?workbook=16_15.xlsx&amp;sheet=A0&amp;row=144&amp;col=12&amp;number=&amp;sourceID=53","")</f>
        <v/>
      </c>
      <c r="M144" s="4" t="str">
        <f>HYPERLINK("http://141.218.60.56/~jnz1568/getInfo.php?workbook=16_15.xlsx&amp;sheet=A0&amp;row=144&amp;col=13&amp;number=&amp;sourceID=53","")</f>
        <v/>
      </c>
      <c r="N144" s="4" t="str">
        <f>HYPERLINK("http://141.218.60.56/~jnz1568/getInfo.php?workbook=16_15.xlsx&amp;sheet=A0&amp;row=144&amp;col=14&amp;number=&amp;sourceID=53","")</f>
        <v/>
      </c>
      <c r="O144" s="4" t="str">
        <f>HYPERLINK("http://141.218.60.56/~jnz1568/getInfo.php?workbook=16_15.xlsx&amp;sheet=A0&amp;row=144&amp;col=15&amp;number=&amp;sourceID=55","")</f>
        <v/>
      </c>
      <c r="P144" s="4" t="str">
        <f>HYPERLINK("http://141.218.60.56/~jnz1568/getInfo.php?workbook=16_15.xlsx&amp;sheet=A0&amp;row=144&amp;col=16&amp;number=&amp;sourceID=55","")</f>
        <v/>
      </c>
      <c r="Q144" s="4" t="str">
        <f>HYPERLINK("http://141.218.60.56/~jnz1568/getInfo.php?workbook=16_15.xlsx&amp;sheet=A0&amp;row=144&amp;col=17&amp;number=&amp;sourceID=56","")</f>
        <v/>
      </c>
      <c r="R144" s="4" t="str">
        <f>HYPERLINK("http://141.218.60.56/~jnz1568/getInfo.php?workbook=16_15.xlsx&amp;sheet=A0&amp;row=144&amp;col=18&amp;number=&amp;sourceID=56","")</f>
        <v/>
      </c>
      <c r="S144" s="4" t="str">
        <f>HYPERLINK("http://141.218.60.56/~jnz1568/getInfo.php?workbook=16_15.xlsx&amp;sheet=A0&amp;row=144&amp;col=19&amp;number=&amp;sourceID=57","")</f>
        <v/>
      </c>
      <c r="T144" s="4" t="str">
        <f>HYPERLINK("http://141.218.60.56/~jnz1568/getInfo.php?workbook=16_15.xlsx&amp;sheet=A0&amp;row=144&amp;col=20&amp;number=&amp;sourceID=57","")</f>
        <v/>
      </c>
      <c r="U144" s="4" t="str">
        <f>HYPERLINK("http://141.218.60.56/~jnz1568/getInfo.php?workbook=16_15.xlsx&amp;sheet=A0&amp;row=144&amp;col=21&amp;number=&amp;sourceID=47","")</f>
        <v/>
      </c>
      <c r="V144" s="4" t="str">
        <f>HYPERLINK("http://141.218.60.56/~jnz1568/getInfo.php?workbook=16_15.xlsx&amp;sheet=A0&amp;row=144&amp;col=22&amp;number=&amp;sourceID=47","")</f>
        <v/>
      </c>
    </row>
    <row r="145" spans="1:22">
      <c r="A145" s="3">
        <v>16</v>
      </c>
      <c r="B145" s="3">
        <v>15</v>
      </c>
      <c r="C145" s="3">
        <v>19</v>
      </c>
      <c r="D145" s="3">
        <v>17</v>
      </c>
      <c r="E145" s="3">
        <f>((1/(INDEX(E0!J$4:J$73,C145,1)-INDEX(E0!J$4:J$73,D145,1))))*100000000</f>
        <v>0</v>
      </c>
      <c r="F145" s="4" t="str">
        <f>HYPERLINK("http://141.218.60.56/~jnz1568/getInfo.php?workbook=16_15.xlsx&amp;sheet=A0&amp;row=145&amp;col=6&amp;number=&amp;sourceID=54","")</f>
        <v/>
      </c>
      <c r="G145" s="4" t="str">
        <f>HYPERLINK("http://141.218.60.56/~jnz1568/getInfo.php?workbook=16_15.xlsx&amp;sheet=A0&amp;row=145&amp;col=7&amp;number=1.4078e-10&amp;sourceID=54","1.4078e-10")</f>
        <v>1.4078e-10</v>
      </c>
      <c r="H145" s="4" t="str">
        <f>HYPERLINK("http://141.218.60.56/~jnz1568/getInfo.php?workbook=16_15.xlsx&amp;sheet=A0&amp;row=145&amp;col=8&amp;number=&amp;sourceID=54","")</f>
        <v/>
      </c>
      <c r="I145" s="4" t="str">
        <f>HYPERLINK("http://141.218.60.56/~jnz1568/getInfo.php?workbook=16_15.xlsx&amp;sheet=A0&amp;row=145&amp;col=9&amp;number=&amp;sourceID=54","")</f>
        <v/>
      </c>
      <c r="J145" s="4" t="str">
        <f>HYPERLINK("http://141.218.60.56/~jnz1568/getInfo.php?workbook=16_15.xlsx&amp;sheet=A0&amp;row=145&amp;col=10&amp;number=9.8943e-11&amp;sourceID=54","9.8943e-11")</f>
        <v>9.8943e-11</v>
      </c>
      <c r="K145" s="4" t="str">
        <f>HYPERLINK("http://141.218.60.56/~jnz1568/getInfo.php?workbook=16_15.xlsx&amp;sheet=A0&amp;row=145&amp;col=11&amp;number=&amp;sourceID=54","")</f>
        <v/>
      </c>
      <c r="L145" s="4" t="str">
        <f>HYPERLINK("http://141.218.60.56/~jnz1568/getInfo.php?workbook=16_15.xlsx&amp;sheet=A0&amp;row=145&amp;col=12&amp;number=&amp;sourceID=53","")</f>
        <v/>
      </c>
      <c r="M145" s="4" t="str">
        <f>HYPERLINK("http://141.218.60.56/~jnz1568/getInfo.php?workbook=16_15.xlsx&amp;sheet=A0&amp;row=145&amp;col=13&amp;number=&amp;sourceID=53","")</f>
        <v/>
      </c>
      <c r="N145" s="4" t="str">
        <f>HYPERLINK("http://141.218.60.56/~jnz1568/getInfo.php?workbook=16_15.xlsx&amp;sheet=A0&amp;row=145&amp;col=14&amp;number=&amp;sourceID=53","")</f>
        <v/>
      </c>
      <c r="O145" s="4" t="str">
        <f>HYPERLINK("http://141.218.60.56/~jnz1568/getInfo.php?workbook=16_15.xlsx&amp;sheet=A0&amp;row=145&amp;col=15&amp;number=&amp;sourceID=55","")</f>
        <v/>
      </c>
      <c r="P145" s="4" t="str">
        <f>HYPERLINK("http://141.218.60.56/~jnz1568/getInfo.php?workbook=16_15.xlsx&amp;sheet=A0&amp;row=145&amp;col=16&amp;number=&amp;sourceID=55","")</f>
        <v/>
      </c>
      <c r="Q145" s="4" t="str">
        <f>HYPERLINK("http://141.218.60.56/~jnz1568/getInfo.php?workbook=16_15.xlsx&amp;sheet=A0&amp;row=145&amp;col=17&amp;number=&amp;sourceID=56","")</f>
        <v/>
      </c>
      <c r="R145" s="4" t="str">
        <f>HYPERLINK("http://141.218.60.56/~jnz1568/getInfo.php?workbook=16_15.xlsx&amp;sheet=A0&amp;row=145&amp;col=18&amp;number=&amp;sourceID=56","")</f>
        <v/>
      </c>
      <c r="S145" s="4" t="str">
        <f>HYPERLINK("http://141.218.60.56/~jnz1568/getInfo.php?workbook=16_15.xlsx&amp;sheet=A0&amp;row=145&amp;col=19&amp;number=&amp;sourceID=57","")</f>
        <v/>
      </c>
      <c r="T145" s="4" t="str">
        <f>HYPERLINK("http://141.218.60.56/~jnz1568/getInfo.php?workbook=16_15.xlsx&amp;sheet=A0&amp;row=145&amp;col=20&amp;number=&amp;sourceID=57","")</f>
        <v/>
      </c>
      <c r="U145" s="4" t="str">
        <f>HYPERLINK("http://141.218.60.56/~jnz1568/getInfo.php?workbook=16_15.xlsx&amp;sheet=A0&amp;row=145&amp;col=21&amp;number=&amp;sourceID=47","")</f>
        <v/>
      </c>
      <c r="V145" s="4" t="str">
        <f>HYPERLINK("http://141.218.60.56/~jnz1568/getInfo.php?workbook=16_15.xlsx&amp;sheet=A0&amp;row=145&amp;col=22&amp;number=&amp;sourceID=47","")</f>
        <v/>
      </c>
    </row>
    <row r="146" spans="1:22">
      <c r="A146" s="3">
        <v>16</v>
      </c>
      <c r="B146" s="3">
        <v>15</v>
      </c>
      <c r="C146" s="3">
        <v>19</v>
      </c>
      <c r="D146" s="3">
        <v>18</v>
      </c>
      <c r="E146" s="3">
        <f>((1/(INDEX(E0!J$4:J$73,C146,1)-INDEX(E0!J$4:J$73,D146,1))))*100000000</f>
        <v>0</v>
      </c>
      <c r="F146" s="4" t="str">
        <f>HYPERLINK("http://141.218.60.56/~jnz1568/getInfo.php?workbook=16_15.xlsx&amp;sheet=A0&amp;row=146&amp;col=6&amp;number=&amp;sourceID=54","")</f>
        <v/>
      </c>
      <c r="G146" s="4" t="str">
        <f>HYPERLINK("http://141.218.60.56/~jnz1568/getInfo.php?workbook=16_15.xlsx&amp;sheet=A0&amp;row=146&amp;col=7&amp;number=1.3566e-10&amp;sourceID=54","1.3566e-10")</f>
        <v>1.3566e-10</v>
      </c>
      <c r="H146" s="4" t="str">
        <f>HYPERLINK("http://141.218.60.56/~jnz1568/getInfo.php?workbook=16_15.xlsx&amp;sheet=A0&amp;row=146&amp;col=8&amp;number=0.00033395&amp;sourceID=54","0.00033395")</f>
        <v>0.00033395</v>
      </c>
      <c r="I146" s="4" t="str">
        <f>HYPERLINK("http://141.218.60.56/~jnz1568/getInfo.php?workbook=16_15.xlsx&amp;sheet=A0&amp;row=146&amp;col=9&amp;number=&amp;sourceID=54","")</f>
        <v/>
      </c>
      <c r="J146" s="4" t="str">
        <f>HYPERLINK("http://141.218.60.56/~jnz1568/getInfo.php?workbook=16_15.xlsx&amp;sheet=A0&amp;row=146&amp;col=10&amp;number=1.3549e-10&amp;sourceID=54","1.3549e-10")</f>
        <v>1.3549e-10</v>
      </c>
      <c r="K146" s="4" t="str">
        <f>HYPERLINK("http://141.218.60.56/~jnz1568/getInfo.php?workbook=16_15.xlsx&amp;sheet=A0&amp;row=146&amp;col=11&amp;number=0.000332&amp;sourceID=54","0.000332")</f>
        <v>0.000332</v>
      </c>
      <c r="L146" s="4" t="str">
        <f>HYPERLINK("http://141.218.60.56/~jnz1568/getInfo.php?workbook=16_15.xlsx&amp;sheet=A0&amp;row=146&amp;col=12&amp;number=&amp;sourceID=53","")</f>
        <v/>
      </c>
      <c r="M146" s="4" t="str">
        <f>HYPERLINK("http://141.218.60.56/~jnz1568/getInfo.php?workbook=16_15.xlsx&amp;sheet=A0&amp;row=146&amp;col=13&amp;number=&amp;sourceID=53","")</f>
        <v/>
      </c>
      <c r="N146" s="4" t="str">
        <f>HYPERLINK("http://141.218.60.56/~jnz1568/getInfo.php?workbook=16_15.xlsx&amp;sheet=A0&amp;row=146&amp;col=14&amp;number=&amp;sourceID=53","")</f>
        <v/>
      </c>
      <c r="O146" s="4" t="str">
        <f>HYPERLINK("http://141.218.60.56/~jnz1568/getInfo.php?workbook=16_15.xlsx&amp;sheet=A0&amp;row=146&amp;col=15&amp;number=&amp;sourceID=55","")</f>
        <v/>
      </c>
      <c r="P146" s="4" t="str">
        <f>HYPERLINK("http://141.218.60.56/~jnz1568/getInfo.php?workbook=16_15.xlsx&amp;sheet=A0&amp;row=146&amp;col=16&amp;number=&amp;sourceID=55","")</f>
        <v/>
      </c>
      <c r="Q146" s="4" t="str">
        <f>HYPERLINK("http://141.218.60.56/~jnz1568/getInfo.php?workbook=16_15.xlsx&amp;sheet=A0&amp;row=146&amp;col=17&amp;number=&amp;sourceID=56","")</f>
        <v/>
      </c>
      <c r="R146" s="4" t="str">
        <f>HYPERLINK("http://141.218.60.56/~jnz1568/getInfo.php?workbook=16_15.xlsx&amp;sheet=A0&amp;row=146&amp;col=18&amp;number=&amp;sourceID=56","")</f>
        <v/>
      </c>
      <c r="S146" s="4" t="str">
        <f>HYPERLINK("http://141.218.60.56/~jnz1568/getInfo.php?workbook=16_15.xlsx&amp;sheet=A0&amp;row=146&amp;col=19&amp;number=&amp;sourceID=57","")</f>
        <v/>
      </c>
      <c r="T146" s="4" t="str">
        <f>HYPERLINK("http://141.218.60.56/~jnz1568/getInfo.php?workbook=16_15.xlsx&amp;sheet=A0&amp;row=146&amp;col=20&amp;number=&amp;sourceID=57","")</f>
        <v/>
      </c>
      <c r="U146" s="4" t="str">
        <f>HYPERLINK("http://141.218.60.56/~jnz1568/getInfo.php?workbook=16_15.xlsx&amp;sheet=A0&amp;row=146&amp;col=21&amp;number=&amp;sourceID=47","")</f>
        <v/>
      </c>
      <c r="V146" s="4" t="str">
        <f>HYPERLINK("http://141.218.60.56/~jnz1568/getInfo.php?workbook=16_15.xlsx&amp;sheet=A0&amp;row=146&amp;col=22&amp;number=&amp;sourceID=47","")</f>
        <v/>
      </c>
    </row>
    <row r="147" spans="1:22">
      <c r="A147" s="3">
        <v>16</v>
      </c>
      <c r="B147" s="3">
        <v>15</v>
      </c>
      <c r="C147" s="3">
        <v>20</v>
      </c>
      <c r="D147" s="3">
        <v>1</v>
      </c>
      <c r="E147" s="3">
        <f>((1/(INDEX(E0!J$4:J$73,C147,1)-INDEX(E0!J$4:J$73,D147,1))))*100000000</f>
        <v>0</v>
      </c>
      <c r="F147" s="4" t="str">
        <f>HYPERLINK("http://141.218.60.56/~jnz1568/getInfo.php?workbook=16_15.xlsx&amp;sheet=A0&amp;row=147&amp;col=6&amp;number=758300&amp;sourceID=54","758300")</f>
        <v>758300</v>
      </c>
      <c r="G147" s="4" t="str">
        <f>HYPERLINK("http://141.218.60.56/~jnz1568/getInfo.php?workbook=16_15.xlsx&amp;sheet=A0&amp;row=147&amp;col=7&amp;number=&amp;sourceID=54","")</f>
        <v/>
      </c>
      <c r="H147" s="4" t="str">
        <f>HYPERLINK("http://141.218.60.56/~jnz1568/getInfo.php?workbook=16_15.xlsx&amp;sheet=A0&amp;row=147&amp;col=8&amp;number=&amp;sourceID=54","")</f>
        <v/>
      </c>
      <c r="I147" s="4" t="str">
        <f>HYPERLINK("http://141.218.60.56/~jnz1568/getInfo.php?workbook=16_15.xlsx&amp;sheet=A0&amp;row=147&amp;col=9&amp;number=383370&amp;sourceID=54","383370")</f>
        <v>383370</v>
      </c>
      <c r="J147" s="4" t="str">
        <f>HYPERLINK("http://141.218.60.56/~jnz1568/getInfo.php?workbook=16_15.xlsx&amp;sheet=A0&amp;row=147&amp;col=10&amp;number=&amp;sourceID=54","")</f>
        <v/>
      </c>
      <c r="K147" s="4" t="str">
        <f>HYPERLINK("http://141.218.60.56/~jnz1568/getInfo.php?workbook=16_15.xlsx&amp;sheet=A0&amp;row=147&amp;col=11&amp;number=&amp;sourceID=54","")</f>
        <v/>
      </c>
      <c r="L147" s="4" t="str">
        <f>HYPERLINK("http://141.218.60.56/~jnz1568/getInfo.php?workbook=16_15.xlsx&amp;sheet=A0&amp;row=147&amp;col=12&amp;number=846408.386177&amp;sourceID=53","846408.386177")</f>
        <v>846408.386177</v>
      </c>
      <c r="M147" s="4" t="str">
        <f>HYPERLINK("http://141.218.60.56/~jnz1568/getInfo.php?workbook=16_15.xlsx&amp;sheet=A0&amp;row=147&amp;col=13&amp;number=&amp;sourceID=53","")</f>
        <v/>
      </c>
      <c r="N147" s="4" t="str">
        <f>HYPERLINK("http://141.218.60.56/~jnz1568/getInfo.php?workbook=16_15.xlsx&amp;sheet=A0&amp;row=147&amp;col=14&amp;number=&amp;sourceID=53","")</f>
        <v/>
      </c>
      <c r="O147" s="4" t="str">
        <f>HYPERLINK("http://141.218.60.56/~jnz1568/getInfo.php?workbook=16_15.xlsx&amp;sheet=A0&amp;row=147&amp;col=15&amp;number=&amp;sourceID=55","")</f>
        <v/>
      </c>
      <c r="P147" s="4" t="str">
        <f>HYPERLINK("http://141.218.60.56/~jnz1568/getInfo.php?workbook=16_15.xlsx&amp;sheet=A0&amp;row=147&amp;col=16&amp;number=&amp;sourceID=55","")</f>
        <v/>
      </c>
      <c r="Q147" s="4" t="str">
        <f>HYPERLINK("http://141.218.60.56/~jnz1568/getInfo.php?workbook=16_15.xlsx&amp;sheet=A0&amp;row=147&amp;col=17&amp;number=&amp;sourceID=56","")</f>
        <v/>
      </c>
      <c r="R147" s="4" t="str">
        <f>HYPERLINK("http://141.218.60.56/~jnz1568/getInfo.php?workbook=16_15.xlsx&amp;sheet=A0&amp;row=147&amp;col=18&amp;number=&amp;sourceID=56","")</f>
        <v/>
      </c>
      <c r="S147" s="4" t="str">
        <f>HYPERLINK("http://141.218.60.56/~jnz1568/getInfo.php?workbook=16_15.xlsx&amp;sheet=A0&amp;row=147&amp;col=19&amp;number=&amp;sourceID=57","")</f>
        <v/>
      </c>
      <c r="T147" s="4" t="str">
        <f>HYPERLINK("http://141.218.60.56/~jnz1568/getInfo.php?workbook=16_15.xlsx&amp;sheet=A0&amp;row=147&amp;col=20&amp;number=&amp;sourceID=57","")</f>
        <v/>
      </c>
      <c r="U147" s="4" t="str">
        <f>HYPERLINK("http://141.218.60.56/~jnz1568/getInfo.php?workbook=16_15.xlsx&amp;sheet=A0&amp;row=147&amp;col=21&amp;number=&amp;sourceID=47","")</f>
        <v/>
      </c>
      <c r="V147" s="4" t="str">
        <f>HYPERLINK("http://141.218.60.56/~jnz1568/getInfo.php?workbook=16_15.xlsx&amp;sheet=A0&amp;row=147&amp;col=22&amp;number=&amp;sourceID=47","")</f>
        <v/>
      </c>
    </row>
    <row r="148" spans="1:22">
      <c r="A148" s="3">
        <v>16</v>
      </c>
      <c r="B148" s="3">
        <v>15</v>
      </c>
      <c r="C148" s="3">
        <v>20</v>
      </c>
      <c r="D148" s="3">
        <v>2</v>
      </c>
      <c r="E148" s="3">
        <f>((1/(INDEX(E0!J$4:J$73,C148,1)-INDEX(E0!J$4:J$73,D148,1))))*100000000</f>
        <v>0</v>
      </c>
      <c r="F148" s="4" t="str">
        <f>HYPERLINK("http://141.218.60.56/~jnz1568/getInfo.php?workbook=16_15.xlsx&amp;sheet=A0&amp;row=148&amp;col=6&amp;number=1617300000&amp;sourceID=54","1617300000")</f>
        <v>1617300000</v>
      </c>
      <c r="G148" s="4" t="str">
        <f>HYPERLINK("http://141.218.60.56/~jnz1568/getInfo.php?workbook=16_15.xlsx&amp;sheet=A0&amp;row=148&amp;col=7&amp;number=&amp;sourceID=54","")</f>
        <v/>
      </c>
      <c r="H148" s="4" t="str">
        <f>HYPERLINK("http://141.218.60.56/~jnz1568/getInfo.php?workbook=16_15.xlsx&amp;sheet=A0&amp;row=148&amp;col=8&amp;number=&amp;sourceID=54","")</f>
        <v/>
      </c>
      <c r="I148" s="4" t="str">
        <f>HYPERLINK("http://141.218.60.56/~jnz1568/getInfo.php?workbook=16_15.xlsx&amp;sheet=A0&amp;row=148&amp;col=9&amp;number=1664400000&amp;sourceID=54","1664400000")</f>
        <v>1664400000</v>
      </c>
      <c r="J148" s="4" t="str">
        <f>HYPERLINK("http://141.218.60.56/~jnz1568/getInfo.php?workbook=16_15.xlsx&amp;sheet=A0&amp;row=148&amp;col=10&amp;number=&amp;sourceID=54","")</f>
        <v/>
      </c>
      <c r="K148" s="4" t="str">
        <f>HYPERLINK("http://141.218.60.56/~jnz1568/getInfo.php?workbook=16_15.xlsx&amp;sheet=A0&amp;row=148&amp;col=11&amp;number=&amp;sourceID=54","")</f>
        <v/>
      </c>
      <c r="L148" s="4" t="str">
        <f>HYPERLINK("http://141.218.60.56/~jnz1568/getInfo.php?workbook=16_15.xlsx&amp;sheet=A0&amp;row=148&amp;col=12&amp;number=1701608019.29&amp;sourceID=53","1701608019.29")</f>
        <v>1701608019.29</v>
      </c>
      <c r="M148" s="4" t="str">
        <f>HYPERLINK("http://141.218.60.56/~jnz1568/getInfo.php?workbook=16_15.xlsx&amp;sheet=A0&amp;row=148&amp;col=13&amp;number=&amp;sourceID=53","")</f>
        <v/>
      </c>
      <c r="N148" s="4" t="str">
        <f>HYPERLINK("http://141.218.60.56/~jnz1568/getInfo.php?workbook=16_15.xlsx&amp;sheet=A0&amp;row=148&amp;col=14&amp;number=&amp;sourceID=53","")</f>
        <v/>
      </c>
      <c r="O148" s="4" t="str">
        <f>HYPERLINK("http://141.218.60.56/~jnz1568/getInfo.php?workbook=16_15.xlsx&amp;sheet=A0&amp;row=148&amp;col=15&amp;number=&amp;sourceID=55","")</f>
        <v/>
      </c>
      <c r="P148" s="4" t="str">
        <f>HYPERLINK("http://141.218.60.56/~jnz1568/getInfo.php?workbook=16_15.xlsx&amp;sheet=A0&amp;row=148&amp;col=16&amp;number=&amp;sourceID=55","")</f>
        <v/>
      </c>
      <c r="Q148" s="4" t="str">
        <f>HYPERLINK("http://141.218.60.56/~jnz1568/getInfo.php?workbook=16_15.xlsx&amp;sheet=A0&amp;row=148&amp;col=17&amp;number=&amp;sourceID=56","")</f>
        <v/>
      </c>
      <c r="R148" s="4" t="str">
        <f>HYPERLINK("http://141.218.60.56/~jnz1568/getInfo.php?workbook=16_15.xlsx&amp;sheet=A0&amp;row=148&amp;col=18&amp;number=&amp;sourceID=56","")</f>
        <v/>
      </c>
      <c r="S148" s="4" t="str">
        <f>HYPERLINK("http://141.218.60.56/~jnz1568/getInfo.php?workbook=16_15.xlsx&amp;sheet=A0&amp;row=148&amp;col=19&amp;number=&amp;sourceID=57","")</f>
        <v/>
      </c>
      <c r="T148" s="4" t="str">
        <f>HYPERLINK("http://141.218.60.56/~jnz1568/getInfo.php?workbook=16_15.xlsx&amp;sheet=A0&amp;row=148&amp;col=20&amp;number=&amp;sourceID=57","")</f>
        <v/>
      </c>
      <c r="U148" s="4" t="str">
        <f>HYPERLINK("http://141.218.60.56/~jnz1568/getInfo.php?workbook=16_15.xlsx&amp;sheet=A0&amp;row=148&amp;col=21&amp;number=&amp;sourceID=47","")</f>
        <v/>
      </c>
      <c r="V148" s="4" t="str">
        <f>HYPERLINK("http://141.218.60.56/~jnz1568/getInfo.php?workbook=16_15.xlsx&amp;sheet=A0&amp;row=148&amp;col=22&amp;number=&amp;sourceID=47","")</f>
        <v/>
      </c>
    </row>
    <row r="149" spans="1:22">
      <c r="A149" s="3">
        <v>16</v>
      </c>
      <c r="B149" s="3">
        <v>15</v>
      </c>
      <c r="C149" s="3">
        <v>20</v>
      </c>
      <c r="D149" s="3">
        <v>4</v>
      </c>
      <c r="E149" s="3">
        <f>((1/(INDEX(E0!J$4:J$73,C149,1)-INDEX(E0!J$4:J$73,D149,1))))*100000000</f>
        <v>0</v>
      </c>
      <c r="F149" s="4" t="str">
        <f>HYPERLINK("http://141.218.60.56/~jnz1568/getInfo.php?workbook=16_15.xlsx&amp;sheet=A0&amp;row=149&amp;col=6&amp;number=321070000&amp;sourceID=54","321070000")</f>
        <v>321070000</v>
      </c>
      <c r="G149" s="4" t="str">
        <f>HYPERLINK("http://141.218.60.56/~jnz1568/getInfo.php?workbook=16_15.xlsx&amp;sheet=A0&amp;row=149&amp;col=7&amp;number=&amp;sourceID=54","")</f>
        <v/>
      </c>
      <c r="H149" s="4" t="str">
        <f>HYPERLINK("http://141.218.60.56/~jnz1568/getInfo.php?workbook=16_15.xlsx&amp;sheet=A0&amp;row=149&amp;col=8&amp;number=&amp;sourceID=54","")</f>
        <v/>
      </c>
      <c r="I149" s="4" t="str">
        <f>HYPERLINK("http://141.218.60.56/~jnz1568/getInfo.php?workbook=16_15.xlsx&amp;sheet=A0&amp;row=149&amp;col=9&amp;number=329550000&amp;sourceID=54","329550000")</f>
        <v>329550000</v>
      </c>
      <c r="J149" s="4" t="str">
        <f>HYPERLINK("http://141.218.60.56/~jnz1568/getInfo.php?workbook=16_15.xlsx&amp;sheet=A0&amp;row=149&amp;col=10&amp;number=&amp;sourceID=54","")</f>
        <v/>
      </c>
      <c r="K149" s="4" t="str">
        <f>HYPERLINK("http://141.218.60.56/~jnz1568/getInfo.php?workbook=16_15.xlsx&amp;sheet=A0&amp;row=149&amp;col=11&amp;number=&amp;sourceID=54","")</f>
        <v/>
      </c>
      <c r="L149" s="4" t="str">
        <f>HYPERLINK("http://141.218.60.56/~jnz1568/getInfo.php?workbook=16_15.xlsx&amp;sheet=A0&amp;row=149&amp;col=12&amp;number=334664073.915&amp;sourceID=53","334664073.915")</f>
        <v>334664073.915</v>
      </c>
      <c r="M149" s="4" t="str">
        <f>HYPERLINK("http://141.218.60.56/~jnz1568/getInfo.php?workbook=16_15.xlsx&amp;sheet=A0&amp;row=149&amp;col=13&amp;number=&amp;sourceID=53","")</f>
        <v/>
      </c>
      <c r="N149" s="4" t="str">
        <f>HYPERLINK("http://141.218.60.56/~jnz1568/getInfo.php?workbook=16_15.xlsx&amp;sheet=A0&amp;row=149&amp;col=14&amp;number=&amp;sourceID=53","")</f>
        <v/>
      </c>
      <c r="O149" s="4" t="str">
        <f>HYPERLINK("http://141.218.60.56/~jnz1568/getInfo.php?workbook=16_15.xlsx&amp;sheet=A0&amp;row=149&amp;col=15&amp;number=&amp;sourceID=55","")</f>
        <v/>
      </c>
      <c r="P149" s="4" t="str">
        <f>HYPERLINK("http://141.218.60.56/~jnz1568/getInfo.php?workbook=16_15.xlsx&amp;sheet=A0&amp;row=149&amp;col=16&amp;number=&amp;sourceID=55","")</f>
        <v/>
      </c>
      <c r="Q149" s="4" t="str">
        <f>HYPERLINK("http://141.218.60.56/~jnz1568/getInfo.php?workbook=16_15.xlsx&amp;sheet=A0&amp;row=149&amp;col=17&amp;number=&amp;sourceID=56","")</f>
        <v/>
      </c>
      <c r="R149" s="4" t="str">
        <f>HYPERLINK("http://141.218.60.56/~jnz1568/getInfo.php?workbook=16_15.xlsx&amp;sheet=A0&amp;row=149&amp;col=18&amp;number=&amp;sourceID=56","")</f>
        <v/>
      </c>
      <c r="S149" s="4" t="str">
        <f>HYPERLINK("http://141.218.60.56/~jnz1568/getInfo.php?workbook=16_15.xlsx&amp;sheet=A0&amp;row=149&amp;col=19&amp;number=&amp;sourceID=57","")</f>
        <v/>
      </c>
      <c r="T149" s="4" t="str">
        <f>HYPERLINK("http://141.218.60.56/~jnz1568/getInfo.php?workbook=16_15.xlsx&amp;sheet=A0&amp;row=149&amp;col=20&amp;number=&amp;sourceID=57","")</f>
        <v/>
      </c>
      <c r="U149" s="4" t="str">
        <f>HYPERLINK("http://141.218.60.56/~jnz1568/getInfo.php?workbook=16_15.xlsx&amp;sheet=A0&amp;row=149&amp;col=21&amp;number=&amp;sourceID=47","")</f>
        <v/>
      </c>
      <c r="V149" s="4" t="str">
        <f>HYPERLINK("http://141.218.60.56/~jnz1568/getInfo.php?workbook=16_15.xlsx&amp;sheet=A0&amp;row=149&amp;col=22&amp;number=&amp;sourceID=47","")</f>
        <v/>
      </c>
    </row>
    <row r="150" spans="1:22">
      <c r="A150" s="3">
        <v>16</v>
      </c>
      <c r="B150" s="3">
        <v>15</v>
      </c>
      <c r="C150" s="3">
        <v>20</v>
      </c>
      <c r="D150" s="3">
        <v>5</v>
      </c>
      <c r="E150" s="3">
        <f>((1/(INDEX(E0!J$4:J$73,C150,1)-INDEX(E0!J$4:J$73,D150,1))))*100000000</f>
        <v>0</v>
      </c>
      <c r="F150" s="4" t="str">
        <f>HYPERLINK("http://141.218.60.56/~jnz1568/getInfo.php?workbook=16_15.xlsx&amp;sheet=A0&amp;row=150&amp;col=6&amp;number=135160000&amp;sourceID=54","135160000")</f>
        <v>135160000</v>
      </c>
      <c r="G150" s="4" t="str">
        <f>HYPERLINK("http://141.218.60.56/~jnz1568/getInfo.php?workbook=16_15.xlsx&amp;sheet=A0&amp;row=150&amp;col=7&amp;number=&amp;sourceID=54","")</f>
        <v/>
      </c>
      <c r="H150" s="4" t="str">
        <f>HYPERLINK("http://141.218.60.56/~jnz1568/getInfo.php?workbook=16_15.xlsx&amp;sheet=A0&amp;row=150&amp;col=8&amp;number=&amp;sourceID=54","")</f>
        <v/>
      </c>
      <c r="I150" s="4" t="str">
        <f>HYPERLINK("http://141.218.60.56/~jnz1568/getInfo.php?workbook=16_15.xlsx&amp;sheet=A0&amp;row=150&amp;col=9&amp;number=139820000&amp;sourceID=54","139820000")</f>
        <v>139820000</v>
      </c>
      <c r="J150" s="4" t="str">
        <f>HYPERLINK("http://141.218.60.56/~jnz1568/getInfo.php?workbook=16_15.xlsx&amp;sheet=A0&amp;row=150&amp;col=10&amp;number=&amp;sourceID=54","")</f>
        <v/>
      </c>
      <c r="K150" s="4" t="str">
        <f>HYPERLINK("http://141.218.60.56/~jnz1568/getInfo.php?workbook=16_15.xlsx&amp;sheet=A0&amp;row=150&amp;col=11&amp;number=&amp;sourceID=54","")</f>
        <v/>
      </c>
      <c r="L150" s="4" t="str">
        <f>HYPERLINK("http://141.218.60.56/~jnz1568/getInfo.php?workbook=16_15.xlsx&amp;sheet=A0&amp;row=150&amp;col=12&amp;number=141902065.408&amp;sourceID=53","141902065.408")</f>
        <v>141902065.408</v>
      </c>
      <c r="M150" s="4" t="str">
        <f>HYPERLINK("http://141.218.60.56/~jnz1568/getInfo.php?workbook=16_15.xlsx&amp;sheet=A0&amp;row=150&amp;col=13&amp;number=&amp;sourceID=53","")</f>
        <v/>
      </c>
      <c r="N150" s="4" t="str">
        <f>HYPERLINK("http://141.218.60.56/~jnz1568/getInfo.php?workbook=16_15.xlsx&amp;sheet=A0&amp;row=150&amp;col=14&amp;number=&amp;sourceID=53","")</f>
        <v/>
      </c>
      <c r="O150" s="4" t="str">
        <f>HYPERLINK("http://141.218.60.56/~jnz1568/getInfo.php?workbook=16_15.xlsx&amp;sheet=A0&amp;row=150&amp;col=15&amp;number=&amp;sourceID=55","")</f>
        <v/>
      </c>
      <c r="P150" s="4" t="str">
        <f>HYPERLINK("http://141.218.60.56/~jnz1568/getInfo.php?workbook=16_15.xlsx&amp;sheet=A0&amp;row=150&amp;col=16&amp;number=&amp;sourceID=55","")</f>
        <v/>
      </c>
      <c r="Q150" s="4" t="str">
        <f>HYPERLINK("http://141.218.60.56/~jnz1568/getInfo.php?workbook=16_15.xlsx&amp;sheet=A0&amp;row=150&amp;col=17&amp;number=&amp;sourceID=56","")</f>
        <v/>
      </c>
      <c r="R150" s="4" t="str">
        <f>HYPERLINK("http://141.218.60.56/~jnz1568/getInfo.php?workbook=16_15.xlsx&amp;sheet=A0&amp;row=150&amp;col=18&amp;number=&amp;sourceID=56","")</f>
        <v/>
      </c>
      <c r="S150" s="4" t="str">
        <f>HYPERLINK("http://141.218.60.56/~jnz1568/getInfo.php?workbook=16_15.xlsx&amp;sheet=A0&amp;row=150&amp;col=19&amp;number=&amp;sourceID=57","")</f>
        <v/>
      </c>
      <c r="T150" s="4" t="str">
        <f>HYPERLINK("http://141.218.60.56/~jnz1568/getInfo.php?workbook=16_15.xlsx&amp;sheet=A0&amp;row=150&amp;col=20&amp;number=&amp;sourceID=57","")</f>
        <v/>
      </c>
      <c r="U150" s="4" t="str">
        <f>HYPERLINK("http://141.218.60.56/~jnz1568/getInfo.php?workbook=16_15.xlsx&amp;sheet=A0&amp;row=150&amp;col=21&amp;number=&amp;sourceID=47","")</f>
        <v/>
      </c>
      <c r="V150" s="4" t="str">
        <f>HYPERLINK("http://141.218.60.56/~jnz1568/getInfo.php?workbook=16_15.xlsx&amp;sheet=A0&amp;row=150&amp;col=22&amp;number=&amp;sourceID=47","")</f>
        <v/>
      </c>
    </row>
    <row r="151" spans="1:22">
      <c r="A151" s="3">
        <v>16</v>
      </c>
      <c r="B151" s="3">
        <v>15</v>
      </c>
      <c r="C151" s="3">
        <v>20</v>
      </c>
      <c r="D151" s="3">
        <v>6</v>
      </c>
      <c r="E151" s="3">
        <f>((1/(INDEX(E0!J$4:J$73,C151,1)-INDEX(E0!J$4:J$73,D151,1))))*100000000</f>
        <v>0</v>
      </c>
      <c r="F151" s="4" t="str">
        <f>HYPERLINK("http://141.218.60.56/~jnz1568/getInfo.php?workbook=16_15.xlsx&amp;sheet=A0&amp;row=151&amp;col=6&amp;number=&amp;sourceID=54","")</f>
        <v/>
      </c>
      <c r="G151" s="4" t="str">
        <f>HYPERLINK("http://141.218.60.56/~jnz1568/getInfo.php?workbook=16_15.xlsx&amp;sheet=A0&amp;row=151&amp;col=7&amp;number=0.013656&amp;sourceID=54","0.013656")</f>
        <v>0.013656</v>
      </c>
      <c r="H151" s="4" t="str">
        <f>HYPERLINK("http://141.218.60.56/~jnz1568/getInfo.php?workbook=16_15.xlsx&amp;sheet=A0&amp;row=151&amp;col=8&amp;number=&amp;sourceID=54","")</f>
        <v/>
      </c>
      <c r="I151" s="4" t="str">
        <f>HYPERLINK("http://141.218.60.56/~jnz1568/getInfo.php?workbook=16_15.xlsx&amp;sheet=A0&amp;row=151&amp;col=9&amp;number=&amp;sourceID=54","")</f>
        <v/>
      </c>
      <c r="J151" s="4" t="str">
        <f>HYPERLINK("http://141.218.60.56/~jnz1568/getInfo.php?workbook=16_15.xlsx&amp;sheet=A0&amp;row=151&amp;col=10&amp;number=0.0078377&amp;sourceID=54","0.0078377")</f>
        <v>0.0078377</v>
      </c>
      <c r="K151" s="4" t="str">
        <f>HYPERLINK("http://141.218.60.56/~jnz1568/getInfo.php?workbook=16_15.xlsx&amp;sheet=A0&amp;row=151&amp;col=11&amp;number=&amp;sourceID=54","")</f>
        <v/>
      </c>
      <c r="L151" s="4" t="str">
        <f>HYPERLINK("http://141.218.60.56/~jnz1568/getInfo.php?workbook=16_15.xlsx&amp;sheet=A0&amp;row=151&amp;col=12&amp;number=&amp;sourceID=53","")</f>
        <v/>
      </c>
      <c r="M151" s="4" t="str">
        <f>HYPERLINK("http://141.218.60.56/~jnz1568/getInfo.php?workbook=16_15.xlsx&amp;sheet=A0&amp;row=151&amp;col=13&amp;number=&amp;sourceID=53","")</f>
        <v/>
      </c>
      <c r="N151" s="4" t="str">
        <f>HYPERLINK("http://141.218.60.56/~jnz1568/getInfo.php?workbook=16_15.xlsx&amp;sheet=A0&amp;row=151&amp;col=14&amp;number=&amp;sourceID=53","")</f>
        <v/>
      </c>
      <c r="O151" s="4" t="str">
        <f>HYPERLINK("http://141.218.60.56/~jnz1568/getInfo.php?workbook=16_15.xlsx&amp;sheet=A0&amp;row=151&amp;col=15&amp;number=&amp;sourceID=55","")</f>
        <v/>
      </c>
      <c r="P151" s="4" t="str">
        <f>HYPERLINK("http://141.218.60.56/~jnz1568/getInfo.php?workbook=16_15.xlsx&amp;sheet=A0&amp;row=151&amp;col=16&amp;number=&amp;sourceID=55","")</f>
        <v/>
      </c>
      <c r="Q151" s="4" t="str">
        <f>HYPERLINK("http://141.218.60.56/~jnz1568/getInfo.php?workbook=16_15.xlsx&amp;sheet=A0&amp;row=151&amp;col=17&amp;number=&amp;sourceID=56","")</f>
        <v/>
      </c>
      <c r="R151" s="4" t="str">
        <f>HYPERLINK("http://141.218.60.56/~jnz1568/getInfo.php?workbook=16_15.xlsx&amp;sheet=A0&amp;row=151&amp;col=18&amp;number=&amp;sourceID=56","")</f>
        <v/>
      </c>
      <c r="S151" s="4" t="str">
        <f>HYPERLINK("http://141.218.60.56/~jnz1568/getInfo.php?workbook=16_15.xlsx&amp;sheet=A0&amp;row=151&amp;col=19&amp;number=&amp;sourceID=57","")</f>
        <v/>
      </c>
      <c r="T151" s="4" t="str">
        <f>HYPERLINK("http://141.218.60.56/~jnz1568/getInfo.php?workbook=16_15.xlsx&amp;sheet=A0&amp;row=151&amp;col=20&amp;number=&amp;sourceID=57","")</f>
        <v/>
      </c>
      <c r="U151" s="4" t="str">
        <f>HYPERLINK("http://141.218.60.56/~jnz1568/getInfo.php?workbook=16_15.xlsx&amp;sheet=A0&amp;row=151&amp;col=21&amp;number=&amp;sourceID=47","")</f>
        <v/>
      </c>
      <c r="V151" s="4" t="str">
        <f>HYPERLINK("http://141.218.60.56/~jnz1568/getInfo.php?workbook=16_15.xlsx&amp;sheet=A0&amp;row=151&amp;col=22&amp;number=&amp;sourceID=47","")</f>
        <v/>
      </c>
    </row>
    <row r="152" spans="1:22">
      <c r="A152" s="3">
        <v>16</v>
      </c>
      <c r="B152" s="3">
        <v>15</v>
      </c>
      <c r="C152" s="3">
        <v>20</v>
      </c>
      <c r="D152" s="3">
        <v>7</v>
      </c>
      <c r="E152" s="3">
        <f>((1/(INDEX(E0!J$4:J$73,C152,1)-INDEX(E0!J$4:J$73,D152,1))))*100000000</f>
        <v>0</v>
      </c>
      <c r="F152" s="4" t="str">
        <f>HYPERLINK("http://141.218.60.56/~jnz1568/getInfo.php?workbook=16_15.xlsx&amp;sheet=A0&amp;row=152&amp;col=6&amp;number=&amp;sourceID=54","")</f>
        <v/>
      </c>
      <c r="G152" s="4" t="str">
        <f>HYPERLINK("http://141.218.60.56/~jnz1568/getInfo.php?workbook=16_15.xlsx&amp;sheet=A0&amp;row=152&amp;col=7&amp;number=0.00054263&amp;sourceID=54","0.00054263")</f>
        <v>0.00054263</v>
      </c>
      <c r="H152" s="4" t="str">
        <f>HYPERLINK("http://141.218.60.56/~jnz1568/getInfo.php?workbook=16_15.xlsx&amp;sheet=A0&amp;row=152&amp;col=8&amp;number=1.1668e-06&amp;sourceID=54","1.1668e-06")</f>
        <v>1.1668e-06</v>
      </c>
      <c r="I152" s="4" t="str">
        <f>HYPERLINK("http://141.218.60.56/~jnz1568/getInfo.php?workbook=16_15.xlsx&amp;sheet=A0&amp;row=152&amp;col=9&amp;number=&amp;sourceID=54","")</f>
        <v/>
      </c>
      <c r="J152" s="4" t="str">
        <f>HYPERLINK("http://141.218.60.56/~jnz1568/getInfo.php?workbook=16_15.xlsx&amp;sheet=A0&amp;row=152&amp;col=10&amp;number=0.00019734&amp;sourceID=54","0.00019734")</f>
        <v>0.00019734</v>
      </c>
      <c r="K152" s="4" t="str">
        <f>HYPERLINK("http://141.218.60.56/~jnz1568/getInfo.php?workbook=16_15.xlsx&amp;sheet=A0&amp;row=152&amp;col=11&amp;number=2.9868e-06&amp;sourceID=54","2.9868e-06")</f>
        <v>2.9868e-06</v>
      </c>
      <c r="L152" s="4" t="str">
        <f>HYPERLINK("http://141.218.60.56/~jnz1568/getInfo.php?workbook=16_15.xlsx&amp;sheet=A0&amp;row=152&amp;col=12&amp;number=&amp;sourceID=53","")</f>
        <v/>
      </c>
      <c r="M152" s="4" t="str">
        <f>HYPERLINK("http://141.218.60.56/~jnz1568/getInfo.php?workbook=16_15.xlsx&amp;sheet=A0&amp;row=152&amp;col=13&amp;number=&amp;sourceID=53","")</f>
        <v/>
      </c>
      <c r="N152" s="4" t="str">
        <f>HYPERLINK("http://141.218.60.56/~jnz1568/getInfo.php?workbook=16_15.xlsx&amp;sheet=A0&amp;row=152&amp;col=14&amp;number=&amp;sourceID=53","")</f>
        <v/>
      </c>
      <c r="O152" s="4" t="str">
        <f>HYPERLINK("http://141.218.60.56/~jnz1568/getInfo.php?workbook=16_15.xlsx&amp;sheet=A0&amp;row=152&amp;col=15&amp;number=&amp;sourceID=55","")</f>
        <v/>
      </c>
      <c r="P152" s="4" t="str">
        <f>HYPERLINK("http://141.218.60.56/~jnz1568/getInfo.php?workbook=16_15.xlsx&amp;sheet=A0&amp;row=152&amp;col=16&amp;number=&amp;sourceID=55","")</f>
        <v/>
      </c>
      <c r="Q152" s="4" t="str">
        <f>HYPERLINK("http://141.218.60.56/~jnz1568/getInfo.php?workbook=16_15.xlsx&amp;sheet=A0&amp;row=152&amp;col=17&amp;number=&amp;sourceID=56","")</f>
        <v/>
      </c>
      <c r="R152" s="4" t="str">
        <f>HYPERLINK("http://141.218.60.56/~jnz1568/getInfo.php?workbook=16_15.xlsx&amp;sheet=A0&amp;row=152&amp;col=18&amp;number=&amp;sourceID=56","")</f>
        <v/>
      </c>
      <c r="S152" s="4" t="str">
        <f>HYPERLINK("http://141.218.60.56/~jnz1568/getInfo.php?workbook=16_15.xlsx&amp;sheet=A0&amp;row=152&amp;col=19&amp;number=&amp;sourceID=57","")</f>
        <v/>
      </c>
      <c r="T152" s="4" t="str">
        <f>HYPERLINK("http://141.218.60.56/~jnz1568/getInfo.php?workbook=16_15.xlsx&amp;sheet=A0&amp;row=152&amp;col=20&amp;number=&amp;sourceID=57","")</f>
        <v/>
      </c>
      <c r="U152" s="4" t="str">
        <f>HYPERLINK("http://141.218.60.56/~jnz1568/getInfo.php?workbook=16_15.xlsx&amp;sheet=A0&amp;row=152&amp;col=21&amp;number=&amp;sourceID=47","")</f>
        <v/>
      </c>
      <c r="V152" s="4" t="str">
        <f>HYPERLINK("http://141.218.60.56/~jnz1568/getInfo.php?workbook=16_15.xlsx&amp;sheet=A0&amp;row=152&amp;col=22&amp;number=&amp;sourceID=47","")</f>
        <v/>
      </c>
    </row>
    <row r="153" spans="1:22">
      <c r="A153" s="3">
        <v>16</v>
      </c>
      <c r="B153" s="3">
        <v>15</v>
      </c>
      <c r="C153" s="3">
        <v>20</v>
      </c>
      <c r="D153" s="3">
        <v>8</v>
      </c>
      <c r="E153" s="3">
        <f>((1/(INDEX(E0!J$4:J$73,C153,1)-INDEX(E0!J$4:J$73,D153,1))))*100000000</f>
        <v>0</v>
      </c>
      <c r="F153" s="4" t="str">
        <f>HYPERLINK("http://141.218.60.56/~jnz1568/getInfo.php?workbook=16_15.xlsx&amp;sheet=A0&amp;row=153&amp;col=6&amp;number=&amp;sourceID=54","")</f>
        <v/>
      </c>
      <c r="G153" s="4" t="str">
        <f>HYPERLINK("http://141.218.60.56/~jnz1568/getInfo.php?workbook=16_15.xlsx&amp;sheet=A0&amp;row=153&amp;col=7&amp;number=&amp;sourceID=54","")</f>
        <v/>
      </c>
      <c r="H153" s="4" t="str">
        <f>HYPERLINK("http://141.218.60.56/~jnz1568/getInfo.php?workbook=16_15.xlsx&amp;sheet=A0&amp;row=153&amp;col=8&amp;number=5.05e-05&amp;sourceID=54","5.05e-05")</f>
        <v>5.05e-05</v>
      </c>
      <c r="I153" s="4" t="str">
        <f>HYPERLINK("http://141.218.60.56/~jnz1568/getInfo.php?workbook=16_15.xlsx&amp;sheet=A0&amp;row=153&amp;col=9&amp;number=&amp;sourceID=54","")</f>
        <v/>
      </c>
      <c r="J153" s="4" t="str">
        <f>HYPERLINK("http://141.218.60.56/~jnz1568/getInfo.php?workbook=16_15.xlsx&amp;sheet=A0&amp;row=153&amp;col=10&amp;number=&amp;sourceID=54","")</f>
        <v/>
      </c>
      <c r="K153" s="4" t="str">
        <f>HYPERLINK("http://141.218.60.56/~jnz1568/getInfo.php?workbook=16_15.xlsx&amp;sheet=A0&amp;row=153&amp;col=11&amp;number=3.9119e-05&amp;sourceID=54","3.9119e-05")</f>
        <v>3.9119e-05</v>
      </c>
      <c r="L153" s="4" t="str">
        <f>HYPERLINK("http://141.218.60.56/~jnz1568/getInfo.php?workbook=16_15.xlsx&amp;sheet=A0&amp;row=153&amp;col=12&amp;number=&amp;sourceID=53","")</f>
        <v/>
      </c>
      <c r="M153" s="4" t="str">
        <f>HYPERLINK("http://141.218.60.56/~jnz1568/getInfo.php?workbook=16_15.xlsx&amp;sheet=A0&amp;row=153&amp;col=13&amp;number=&amp;sourceID=53","")</f>
        <v/>
      </c>
      <c r="N153" s="4" t="str">
        <f>HYPERLINK("http://141.218.60.56/~jnz1568/getInfo.php?workbook=16_15.xlsx&amp;sheet=A0&amp;row=153&amp;col=14&amp;number=&amp;sourceID=53","")</f>
        <v/>
      </c>
      <c r="O153" s="4" t="str">
        <f>HYPERLINK("http://141.218.60.56/~jnz1568/getInfo.php?workbook=16_15.xlsx&amp;sheet=A0&amp;row=153&amp;col=15&amp;number=&amp;sourceID=55","")</f>
        <v/>
      </c>
      <c r="P153" s="4" t="str">
        <f>HYPERLINK("http://141.218.60.56/~jnz1568/getInfo.php?workbook=16_15.xlsx&amp;sheet=A0&amp;row=153&amp;col=16&amp;number=&amp;sourceID=55","")</f>
        <v/>
      </c>
      <c r="Q153" s="4" t="str">
        <f>HYPERLINK("http://141.218.60.56/~jnz1568/getInfo.php?workbook=16_15.xlsx&amp;sheet=A0&amp;row=153&amp;col=17&amp;number=&amp;sourceID=56","")</f>
        <v/>
      </c>
      <c r="R153" s="4" t="str">
        <f>HYPERLINK("http://141.218.60.56/~jnz1568/getInfo.php?workbook=16_15.xlsx&amp;sheet=A0&amp;row=153&amp;col=18&amp;number=&amp;sourceID=56","")</f>
        <v/>
      </c>
      <c r="S153" s="4" t="str">
        <f>HYPERLINK("http://141.218.60.56/~jnz1568/getInfo.php?workbook=16_15.xlsx&amp;sheet=A0&amp;row=153&amp;col=19&amp;number=&amp;sourceID=57","")</f>
        <v/>
      </c>
      <c r="T153" s="4" t="str">
        <f>HYPERLINK("http://141.218.60.56/~jnz1568/getInfo.php?workbook=16_15.xlsx&amp;sheet=A0&amp;row=153&amp;col=20&amp;number=&amp;sourceID=57","")</f>
        <v/>
      </c>
      <c r="U153" s="4" t="str">
        <f>HYPERLINK("http://141.218.60.56/~jnz1568/getInfo.php?workbook=16_15.xlsx&amp;sheet=A0&amp;row=153&amp;col=21&amp;number=&amp;sourceID=47","")</f>
        <v/>
      </c>
      <c r="V153" s="4" t="str">
        <f>HYPERLINK("http://141.218.60.56/~jnz1568/getInfo.php?workbook=16_15.xlsx&amp;sheet=A0&amp;row=153&amp;col=22&amp;number=&amp;sourceID=47","")</f>
        <v/>
      </c>
    </row>
    <row r="154" spans="1:22">
      <c r="A154" s="3">
        <v>16</v>
      </c>
      <c r="B154" s="3">
        <v>15</v>
      </c>
      <c r="C154" s="3">
        <v>20</v>
      </c>
      <c r="D154" s="3">
        <v>9</v>
      </c>
      <c r="E154" s="3">
        <f>((1/(INDEX(E0!J$4:J$73,C154,1)-INDEX(E0!J$4:J$73,D154,1))))*100000000</f>
        <v>0</v>
      </c>
      <c r="F154" s="4" t="str">
        <f>HYPERLINK("http://141.218.60.56/~jnz1568/getInfo.php?workbook=16_15.xlsx&amp;sheet=A0&amp;row=154&amp;col=6&amp;number=&amp;sourceID=54","")</f>
        <v/>
      </c>
      <c r="G154" s="4" t="str">
        <f>HYPERLINK("http://141.218.60.56/~jnz1568/getInfo.php?workbook=16_15.xlsx&amp;sheet=A0&amp;row=154&amp;col=7&amp;number=0.029239&amp;sourceID=54","0.029239")</f>
        <v>0.029239</v>
      </c>
      <c r="H154" s="4" t="str">
        <f>HYPERLINK("http://141.218.60.56/~jnz1568/getInfo.php?workbook=16_15.xlsx&amp;sheet=A0&amp;row=154&amp;col=8&amp;number=5.5433e-05&amp;sourceID=54","5.5433e-05")</f>
        <v>5.5433e-05</v>
      </c>
      <c r="I154" s="4" t="str">
        <f>HYPERLINK("http://141.218.60.56/~jnz1568/getInfo.php?workbook=16_15.xlsx&amp;sheet=A0&amp;row=154&amp;col=9&amp;number=&amp;sourceID=54","")</f>
        <v/>
      </c>
      <c r="J154" s="4" t="str">
        <f>HYPERLINK("http://141.218.60.56/~jnz1568/getInfo.php?workbook=16_15.xlsx&amp;sheet=A0&amp;row=154&amp;col=10&amp;number=0.031875&amp;sourceID=54","0.031875")</f>
        <v>0.031875</v>
      </c>
      <c r="K154" s="4" t="str">
        <f>HYPERLINK("http://141.218.60.56/~jnz1568/getInfo.php?workbook=16_15.xlsx&amp;sheet=A0&amp;row=154&amp;col=11&amp;number=6.7506e-05&amp;sourceID=54","6.7506e-05")</f>
        <v>6.7506e-05</v>
      </c>
      <c r="L154" s="4" t="str">
        <f>HYPERLINK("http://141.218.60.56/~jnz1568/getInfo.php?workbook=16_15.xlsx&amp;sheet=A0&amp;row=154&amp;col=12&amp;number=&amp;sourceID=53","")</f>
        <v/>
      </c>
      <c r="M154" s="4" t="str">
        <f>HYPERLINK("http://141.218.60.56/~jnz1568/getInfo.php?workbook=16_15.xlsx&amp;sheet=A0&amp;row=154&amp;col=13&amp;number=&amp;sourceID=53","")</f>
        <v/>
      </c>
      <c r="N154" s="4" t="str">
        <f>HYPERLINK("http://141.218.60.56/~jnz1568/getInfo.php?workbook=16_15.xlsx&amp;sheet=A0&amp;row=154&amp;col=14&amp;number=&amp;sourceID=53","")</f>
        <v/>
      </c>
      <c r="O154" s="4" t="str">
        <f>HYPERLINK("http://141.218.60.56/~jnz1568/getInfo.php?workbook=16_15.xlsx&amp;sheet=A0&amp;row=154&amp;col=15&amp;number=&amp;sourceID=55","")</f>
        <v/>
      </c>
      <c r="P154" s="4" t="str">
        <f>HYPERLINK("http://141.218.60.56/~jnz1568/getInfo.php?workbook=16_15.xlsx&amp;sheet=A0&amp;row=154&amp;col=16&amp;number=&amp;sourceID=55","")</f>
        <v/>
      </c>
      <c r="Q154" s="4" t="str">
        <f>HYPERLINK("http://141.218.60.56/~jnz1568/getInfo.php?workbook=16_15.xlsx&amp;sheet=A0&amp;row=154&amp;col=17&amp;number=&amp;sourceID=56","")</f>
        <v/>
      </c>
      <c r="R154" s="4" t="str">
        <f>HYPERLINK("http://141.218.60.56/~jnz1568/getInfo.php?workbook=16_15.xlsx&amp;sheet=A0&amp;row=154&amp;col=18&amp;number=&amp;sourceID=56","")</f>
        <v/>
      </c>
      <c r="S154" s="4" t="str">
        <f>HYPERLINK("http://141.218.60.56/~jnz1568/getInfo.php?workbook=16_15.xlsx&amp;sheet=A0&amp;row=154&amp;col=19&amp;number=&amp;sourceID=57","")</f>
        <v/>
      </c>
      <c r="T154" s="4" t="str">
        <f>HYPERLINK("http://141.218.60.56/~jnz1568/getInfo.php?workbook=16_15.xlsx&amp;sheet=A0&amp;row=154&amp;col=20&amp;number=&amp;sourceID=57","")</f>
        <v/>
      </c>
      <c r="U154" s="4" t="str">
        <f>HYPERLINK("http://141.218.60.56/~jnz1568/getInfo.php?workbook=16_15.xlsx&amp;sheet=A0&amp;row=154&amp;col=21&amp;number=&amp;sourceID=47","")</f>
        <v/>
      </c>
      <c r="V154" s="4" t="str">
        <f>HYPERLINK("http://141.218.60.56/~jnz1568/getInfo.php?workbook=16_15.xlsx&amp;sheet=A0&amp;row=154&amp;col=22&amp;number=&amp;sourceID=47","")</f>
        <v/>
      </c>
    </row>
    <row r="155" spans="1:22">
      <c r="A155" s="3">
        <v>16</v>
      </c>
      <c r="B155" s="3">
        <v>15</v>
      </c>
      <c r="C155" s="3">
        <v>20</v>
      </c>
      <c r="D155" s="3">
        <v>10</v>
      </c>
      <c r="E155" s="3">
        <f>((1/(INDEX(E0!J$4:J$73,C155,1)-INDEX(E0!J$4:J$73,D155,1))))*100000000</f>
        <v>0</v>
      </c>
      <c r="F155" s="4" t="str">
        <f>HYPERLINK("http://141.218.60.56/~jnz1568/getInfo.php?workbook=16_15.xlsx&amp;sheet=A0&amp;row=155&amp;col=6&amp;number=&amp;sourceID=54","")</f>
        <v/>
      </c>
      <c r="G155" s="4" t="str">
        <f>HYPERLINK("http://141.218.60.56/~jnz1568/getInfo.php?workbook=16_15.xlsx&amp;sheet=A0&amp;row=155&amp;col=7&amp;number=0.01172&amp;sourceID=54","0.01172")</f>
        <v>0.01172</v>
      </c>
      <c r="H155" s="4" t="str">
        <f>HYPERLINK("http://141.218.60.56/~jnz1568/getInfo.php?workbook=16_15.xlsx&amp;sheet=A0&amp;row=155&amp;col=8&amp;number=&amp;sourceID=54","")</f>
        <v/>
      </c>
      <c r="I155" s="4" t="str">
        <f>HYPERLINK("http://141.218.60.56/~jnz1568/getInfo.php?workbook=16_15.xlsx&amp;sheet=A0&amp;row=155&amp;col=9&amp;number=&amp;sourceID=54","")</f>
        <v/>
      </c>
      <c r="J155" s="4" t="str">
        <f>HYPERLINK("http://141.218.60.56/~jnz1568/getInfo.php?workbook=16_15.xlsx&amp;sheet=A0&amp;row=155&amp;col=10&amp;number=0.012101&amp;sourceID=54","0.012101")</f>
        <v>0.012101</v>
      </c>
      <c r="K155" s="4" t="str">
        <f>HYPERLINK("http://141.218.60.56/~jnz1568/getInfo.php?workbook=16_15.xlsx&amp;sheet=A0&amp;row=155&amp;col=11&amp;number=&amp;sourceID=54","")</f>
        <v/>
      </c>
      <c r="L155" s="4" t="str">
        <f>HYPERLINK("http://141.218.60.56/~jnz1568/getInfo.php?workbook=16_15.xlsx&amp;sheet=A0&amp;row=155&amp;col=12&amp;number=&amp;sourceID=53","")</f>
        <v/>
      </c>
      <c r="M155" s="4" t="str">
        <f>HYPERLINK("http://141.218.60.56/~jnz1568/getInfo.php?workbook=16_15.xlsx&amp;sheet=A0&amp;row=155&amp;col=13&amp;number=&amp;sourceID=53","")</f>
        <v/>
      </c>
      <c r="N155" s="4" t="str">
        <f>HYPERLINK("http://141.218.60.56/~jnz1568/getInfo.php?workbook=16_15.xlsx&amp;sheet=A0&amp;row=155&amp;col=14&amp;number=&amp;sourceID=53","")</f>
        <v/>
      </c>
      <c r="O155" s="4" t="str">
        <f>HYPERLINK("http://141.218.60.56/~jnz1568/getInfo.php?workbook=16_15.xlsx&amp;sheet=A0&amp;row=155&amp;col=15&amp;number=&amp;sourceID=55","")</f>
        <v/>
      </c>
      <c r="P155" s="4" t="str">
        <f>HYPERLINK("http://141.218.60.56/~jnz1568/getInfo.php?workbook=16_15.xlsx&amp;sheet=A0&amp;row=155&amp;col=16&amp;number=&amp;sourceID=55","")</f>
        <v/>
      </c>
      <c r="Q155" s="4" t="str">
        <f>HYPERLINK("http://141.218.60.56/~jnz1568/getInfo.php?workbook=16_15.xlsx&amp;sheet=A0&amp;row=155&amp;col=17&amp;number=&amp;sourceID=56","")</f>
        <v/>
      </c>
      <c r="R155" s="4" t="str">
        <f>HYPERLINK("http://141.218.60.56/~jnz1568/getInfo.php?workbook=16_15.xlsx&amp;sheet=A0&amp;row=155&amp;col=18&amp;number=&amp;sourceID=56","")</f>
        <v/>
      </c>
      <c r="S155" s="4" t="str">
        <f>HYPERLINK("http://141.218.60.56/~jnz1568/getInfo.php?workbook=16_15.xlsx&amp;sheet=A0&amp;row=155&amp;col=19&amp;number=&amp;sourceID=57","")</f>
        <v/>
      </c>
      <c r="T155" s="4" t="str">
        <f>HYPERLINK("http://141.218.60.56/~jnz1568/getInfo.php?workbook=16_15.xlsx&amp;sheet=A0&amp;row=155&amp;col=20&amp;number=&amp;sourceID=57","")</f>
        <v/>
      </c>
      <c r="U155" s="4" t="str">
        <f>HYPERLINK("http://141.218.60.56/~jnz1568/getInfo.php?workbook=16_15.xlsx&amp;sheet=A0&amp;row=155&amp;col=21&amp;number=&amp;sourceID=47","")</f>
        <v/>
      </c>
      <c r="V155" s="4" t="str">
        <f>HYPERLINK("http://141.218.60.56/~jnz1568/getInfo.php?workbook=16_15.xlsx&amp;sheet=A0&amp;row=155&amp;col=22&amp;number=&amp;sourceID=47","")</f>
        <v/>
      </c>
    </row>
    <row r="156" spans="1:22">
      <c r="A156" s="3">
        <v>16</v>
      </c>
      <c r="B156" s="3">
        <v>15</v>
      </c>
      <c r="C156" s="3">
        <v>20</v>
      </c>
      <c r="D156" s="3">
        <v>11</v>
      </c>
      <c r="E156" s="3">
        <f>((1/(INDEX(E0!J$4:J$73,C156,1)-INDEX(E0!J$4:J$73,D156,1))))*100000000</f>
        <v>0</v>
      </c>
      <c r="F156" s="4" t="str">
        <f>HYPERLINK("http://141.218.60.56/~jnz1568/getInfo.php?workbook=16_15.xlsx&amp;sheet=A0&amp;row=156&amp;col=6&amp;number=&amp;sourceID=54","")</f>
        <v/>
      </c>
      <c r="G156" s="4" t="str">
        <f>HYPERLINK("http://141.218.60.56/~jnz1568/getInfo.php?workbook=16_15.xlsx&amp;sheet=A0&amp;row=156&amp;col=7&amp;number=0.043607&amp;sourceID=54","0.043607")</f>
        <v>0.043607</v>
      </c>
      <c r="H156" s="4" t="str">
        <f>HYPERLINK("http://141.218.60.56/~jnz1568/getInfo.php?workbook=16_15.xlsx&amp;sheet=A0&amp;row=156&amp;col=8&amp;number=0.00011694&amp;sourceID=54","0.00011694")</f>
        <v>0.00011694</v>
      </c>
      <c r="I156" s="4" t="str">
        <f>HYPERLINK("http://141.218.60.56/~jnz1568/getInfo.php?workbook=16_15.xlsx&amp;sheet=A0&amp;row=156&amp;col=9&amp;number=&amp;sourceID=54","")</f>
        <v/>
      </c>
      <c r="J156" s="4" t="str">
        <f>HYPERLINK("http://141.218.60.56/~jnz1568/getInfo.php?workbook=16_15.xlsx&amp;sheet=A0&amp;row=156&amp;col=10&amp;number=0.055839&amp;sourceID=54","0.055839")</f>
        <v>0.055839</v>
      </c>
      <c r="K156" s="4" t="str">
        <f>HYPERLINK("http://141.218.60.56/~jnz1568/getInfo.php?workbook=16_15.xlsx&amp;sheet=A0&amp;row=156&amp;col=11&amp;number=0.00013465&amp;sourceID=54","0.00013465")</f>
        <v>0.00013465</v>
      </c>
      <c r="L156" s="4" t="str">
        <f>HYPERLINK("http://141.218.60.56/~jnz1568/getInfo.php?workbook=16_15.xlsx&amp;sheet=A0&amp;row=156&amp;col=12&amp;number=&amp;sourceID=53","")</f>
        <v/>
      </c>
      <c r="M156" s="4" t="str">
        <f>HYPERLINK("http://141.218.60.56/~jnz1568/getInfo.php?workbook=16_15.xlsx&amp;sheet=A0&amp;row=156&amp;col=13&amp;number=&amp;sourceID=53","")</f>
        <v/>
      </c>
      <c r="N156" s="4" t="str">
        <f>HYPERLINK("http://141.218.60.56/~jnz1568/getInfo.php?workbook=16_15.xlsx&amp;sheet=A0&amp;row=156&amp;col=14&amp;number=&amp;sourceID=53","")</f>
        <v/>
      </c>
      <c r="O156" s="4" t="str">
        <f>HYPERLINK("http://141.218.60.56/~jnz1568/getInfo.php?workbook=16_15.xlsx&amp;sheet=A0&amp;row=156&amp;col=15&amp;number=&amp;sourceID=55","")</f>
        <v/>
      </c>
      <c r="P156" s="4" t="str">
        <f>HYPERLINK("http://141.218.60.56/~jnz1568/getInfo.php?workbook=16_15.xlsx&amp;sheet=A0&amp;row=156&amp;col=16&amp;number=&amp;sourceID=55","")</f>
        <v/>
      </c>
      <c r="Q156" s="4" t="str">
        <f>HYPERLINK("http://141.218.60.56/~jnz1568/getInfo.php?workbook=16_15.xlsx&amp;sheet=A0&amp;row=156&amp;col=17&amp;number=&amp;sourceID=56","")</f>
        <v/>
      </c>
      <c r="R156" s="4" t="str">
        <f>HYPERLINK("http://141.218.60.56/~jnz1568/getInfo.php?workbook=16_15.xlsx&amp;sheet=A0&amp;row=156&amp;col=18&amp;number=&amp;sourceID=56","")</f>
        <v/>
      </c>
      <c r="S156" s="4" t="str">
        <f>HYPERLINK("http://141.218.60.56/~jnz1568/getInfo.php?workbook=16_15.xlsx&amp;sheet=A0&amp;row=156&amp;col=19&amp;number=&amp;sourceID=57","")</f>
        <v/>
      </c>
      <c r="T156" s="4" t="str">
        <f>HYPERLINK("http://141.218.60.56/~jnz1568/getInfo.php?workbook=16_15.xlsx&amp;sheet=A0&amp;row=156&amp;col=20&amp;number=&amp;sourceID=57","")</f>
        <v/>
      </c>
      <c r="U156" s="4" t="str">
        <f>HYPERLINK("http://141.218.60.56/~jnz1568/getInfo.php?workbook=16_15.xlsx&amp;sheet=A0&amp;row=156&amp;col=21&amp;number=&amp;sourceID=47","")</f>
        <v/>
      </c>
      <c r="V156" s="4" t="str">
        <f>HYPERLINK("http://141.218.60.56/~jnz1568/getInfo.php?workbook=16_15.xlsx&amp;sheet=A0&amp;row=156&amp;col=22&amp;number=&amp;sourceID=47","")</f>
        <v/>
      </c>
    </row>
    <row r="157" spans="1:22">
      <c r="A157" s="3">
        <v>16</v>
      </c>
      <c r="B157" s="3">
        <v>15</v>
      </c>
      <c r="C157" s="3">
        <v>20</v>
      </c>
      <c r="D157" s="3">
        <v>12</v>
      </c>
      <c r="E157" s="3">
        <f>((1/(INDEX(E0!J$4:J$73,C157,1)-INDEX(E0!J$4:J$73,D157,1))))*100000000</f>
        <v>0</v>
      </c>
      <c r="F157" s="4" t="str">
        <f>HYPERLINK("http://141.218.60.56/~jnz1568/getInfo.php?workbook=16_15.xlsx&amp;sheet=A0&amp;row=157&amp;col=6&amp;number=&amp;sourceID=54","")</f>
        <v/>
      </c>
      <c r="G157" s="4" t="str">
        <f>HYPERLINK("http://141.218.60.56/~jnz1568/getInfo.php?workbook=16_15.xlsx&amp;sheet=A0&amp;row=157&amp;col=7&amp;number=&amp;sourceID=54","")</f>
        <v/>
      </c>
      <c r="H157" s="4" t="str">
        <f>HYPERLINK("http://141.218.60.56/~jnz1568/getInfo.php?workbook=16_15.xlsx&amp;sheet=A0&amp;row=157&amp;col=8&amp;number=6.0339e-08&amp;sourceID=54","6.0339e-08")</f>
        <v>6.0339e-08</v>
      </c>
      <c r="I157" s="4" t="str">
        <f>HYPERLINK("http://141.218.60.56/~jnz1568/getInfo.php?workbook=16_15.xlsx&amp;sheet=A0&amp;row=157&amp;col=9&amp;number=&amp;sourceID=54","")</f>
        <v/>
      </c>
      <c r="J157" s="4" t="str">
        <f>HYPERLINK("http://141.218.60.56/~jnz1568/getInfo.php?workbook=16_15.xlsx&amp;sheet=A0&amp;row=157&amp;col=10&amp;number=&amp;sourceID=54","")</f>
        <v/>
      </c>
      <c r="K157" s="4" t="str">
        <f>HYPERLINK("http://141.218.60.56/~jnz1568/getInfo.php?workbook=16_15.xlsx&amp;sheet=A0&amp;row=157&amp;col=11&amp;number=2.75e-08&amp;sourceID=54","2.75e-08")</f>
        <v>2.75e-08</v>
      </c>
      <c r="L157" s="4" t="str">
        <f>HYPERLINK("http://141.218.60.56/~jnz1568/getInfo.php?workbook=16_15.xlsx&amp;sheet=A0&amp;row=157&amp;col=12&amp;number=&amp;sourceID=53","")</f>
        <v/>
      </c>
      <c r="M157" s="4" t="str">
        <f>HYPERLINK("http://141.218.60.56/~jnz1568/getInfo.php?workbook=16_15.xlsx&amp;sheet=A0&amp;row=157&amp;col=13&amp;number=&amp;sourceID=53","")</f>
        <v/>
      </c>
      <c r="N157" s="4" t="str">
        <f>HYPERLINK("http://141.218.60.56/~jnz1568/getInfo.php?workbook=16_15.xlsx&amp;sheet=A0&amp;row=157&amp;col=14&amp;number=&amp;sourceID=53","")</f>
        <v/>
      </c>
      <c r="O157" s="4" t="str">
        <f>HYPERLINK("http://141.218.60.56/~jnz1568/getInfo.php?workbook=16_15.xlsx&amp;sheet=A0&amp;row=157&amp;col=15&amp;number=&amp;sourceID=55","")</f>
        <v/>
      </c>
      <c r="P157" s="4" t="str">
        <f>HYPERLINK("http://141.218.60.56/~jnz1568/getInfo.php?workbook=16_15.xlsx&amp;sheet=A0&amp;row=157&amp;col=16&amp;number=&amp;sourceID=55","")</f>
        <v/>
      </c>
      <c r="Q157" s="4" t="str">
        <f>HYPERLINK("http://141.218.60.56/~jnz1568/getInfo.php?workbook=16_15.xlsx&amp;sheet=A0&amp;row=157&amp;col=17&amp;number=&amp;sourceID=56","")</f>
        <v/>
      </c>
      <c r="R157" s="4" t="str">
        <f>HYPERLINK("http://141.218.60.56/~jnz1568/getInfo.php?workbook=16_15.xlsx&amp;sheet=A0&amp;row=157&amp;col=18&amp;number=&amp;sourceID=56","")</f>
        <v/>
      </c>
      <c r="S157" s="4" t="str">
        <f>HYPERLINK("http://141.218.60.56/~jnz1568/getInfo.php?workbook=16_15.xlsx&amp;sheet=A0&amp;row=157&amp;col=19&amp;number=&amp;sourceID=57","")</f>
        <v/>
      </c>
      <c r="T157" s="4" t="str">
        <f>HYPERLINK("http://141.218.60.56/~jnz1568/getInfo.php?workbook=16_15.xlsx&amp;sheet=A0&amp;row=157&amp;col=20&amp;number=&amp;sourceID=57","")</f>
        <v/>
      </c>
      <c r="U157" s="4" t="str">
        <f>HYPERLINK("http://141.218.60.56/~jnz1568/getInfo.php?workbook=16_15.xlsx&amp;sheet=A0&amp;row=157&amp;col=21&amp;number=&amp;sourceID=47","")</f>
        <v/>
      </c>
      <c r="V157" s="4" t="str">
        <f>HYPERLINK("http://141.218.60.56/~jnz1568/getInfo.php?workbook=16_15.xlsx&amp;sheet=A0&amp;row=157&amp;col=22&amp;number=&amp;sourceID=47","")</f>
        <v/>
      </c>
    </row>
    <row r="158" spans="1:22">
      <c r="A158" s="3">
        <v>16</v>
      </c>
      <c r="B158" s="3">
        <v>15</v>
      </c>
      <c r="C158" s="3">
        <v>20</v>
      </c>
      <c r="D158" s="3">
        <v>13</v>
      </c>
      <c r="E158" s="3">
        <f>((1/(INDEX(E0!J$4:J$73,C158,1)-INDEX(E0!J$4:J$73,D158,1))))*100000000</f>
        <v>0</v>
      </c>
      <c r="F158" s="4" t="str">
        <f>HYPERLINK("http://141.218.60.56/~jnz1568/getInfo.php?workbook=16_15.xlsx&amp;sheet=A0&amp;row=158&amp;col=6&amp;number=&amp;sourceID=54","")</f>
        <v/>
      </c>
      <c r="G158" s="4" t="str">
        <f>HYPERLINK("http://141.218.60.56/~jnz1568/getInfo.php?workbook=16_15.xlsx&amp;sheet=A0&amp;row=158&amp;col=7&amp;number=&amp;sourceID=54","")</f>
        <v/>
      </c>
      <c r="H158" s="4" t="str">
        <f>HYPERLINK("http://141.218.60.56/~jnz1568/getInfo.php?workbook=16_15.xlsx&amp;sheet=A0&amp;row=158&amp;col=8&amp;number=0.0041303&amp;sourceID=54","0.0041303")</f>
        <v>0.0041303</v>
      </c>
      <c r="I158" s="4" t="str">
        <f>HYPERLINK("http://141.218.60.56/~jnz1568/getInfo.php?workbook=16_15.xlsx&amp;sheet=A0&amp;row=158&amp;col=9&amp;number=&amp;sourceID=54","")</f>
        <v/>
      </c>
      <c r="J158" s="4" t="str">
        <f>HYPERLINK("http://141.218.60.56/~jnz1568/getInfo.php?workbook=16_15.xlsx&amp;sheet=A0&amp;row=158&amp;col=10&amp;number=&amp;sourceID=54","")</f>
        <v/>
      </c>
      <c r="K158" s="4" t="str">
        <f>HYPERLINK("http://141.218.60.56/~jnz1568/getInfo.php?workbook=16_15.xlsx&amp;sheet=A0&amp;row=158&amp;col=11&amp;number=0.0014538&amp;sourceID=54","0.0014538")</f>
        <v>0.0014538</v>
      </c>
      <c r="L158" s="4" t="str">
        <f>HYPERLINK("http://141.218.60.56/~jnz1568/getInfo.php?workbook=16_15.xlsx&amp;sheet=A0&amp;row=158&amp;col=12&amp;number=&amp;sourceID=53","")</f>
        <v/>
      </c>
      <c r="M158" s="4" t="str">
        <f>HYPERLINK("http://141.218.60.56/~jnz1568/getInfo.php?workbook=16_15.xlsx&amp;sheet=A0&amp;row=158&amp;col=13&amp;number=&amp;sourceID=53","")</f>
        <v/>
      </c>
      <c r="N158" s="4" t="str">
        <f>HYPERLINK("http://141.218.60.56/~jnz1568/getInfo.php?workbook=16_15.xlsx&amp;sheet=A0&amp;row=158&amp;col=14&amp;number=&amp;sourceID=53","")</f>
        <v/>
      </c>
      <c r="O158" s="4" t="str">
        <f>HYPERLINK("http://141.218.60.56/~jnz1568/getInfo.php?workbook=16_15.xlsx&amp;sheet=A0&amp;row=158&amp;col=15&amp;number=&amp;sourceID=55","")</f>
        <v/>
      </c>
      <c r="P158" s="4" t="str">
        <f>HYPERLINK("http://141.218.60.56/~jnz1568/getInfo.php?workbook=16_15.xlsx&amp;sheet=A0&amp;row=158&amp;col=16&amp;number=&amp;sourceID=55","")</f>
        <v/>
      </c>
      <c r="Q158" s="4" t="str">
        <f>HYPERLINK("http://141.218.60.56/~jnz1568/getInfo.php?workbook=16_15.xlsx&amp;sheet=A0&amp;row=158&amp;col=17&amp;number=&amp;sourceID=56","")</f>
        <v/>
      </c>
      <c r="R158" s="4" t="str">
        <f>HYPERLINK("http://141.218.60.56/~jnz1568/getInfo.php?workbook=16_15.xlsx&amp;sheet=A0&amp;row=158&amp;col=18&amp;number=&amp;sourceID=56","")</f>
        <v/>
      </c>
      <c r="S158" s="4" t="str">
        <f>HYPERLINK("http://141.218.60.56/~jnz1568/getInfo.php?workbook=16_15.xlsx&amp;sheet=A0&amp;row=158&amp;col=19&amp;number=&amp;sourceID=57","")</f>
        <v/>
      </c>
      <c r="T158" s="4" t="str">
        <f>HYPERLINK("http://141.218.60.56/~jnz1568/getInfo.php?workbook=16_15.xlsx&amp;sheet=A0&amp;row=158&amp;col=20&amp;number=&amp;sourceID=57","")</f>
        <v/>
      </c>
      <c r="U158" s="4" t="str">
        <f>HYPERLINK("http://141.218.60.56/~jnz1568/getInfo.php?workbook=16_15.xlsx&amp;sheet=A0&amp;row=158&amp;col=21&amp;number=&amp;sourceID=47","")</f>
        <v/>
      </c>
      <c r="V158" s="4" t="str">
        <f>HYPERLINK("http://141.218.60.56/~jnz1568/getInfo.php?workbook=16_15.xlsx&amp;sheet=A0&amp;row=158&amp;col=22&amp;number=&amp;sourceID=47","")</f>
        <v/>
      </c>
    </row>
    <row r="159" spans="1:22">
      <c r="A159" s="3">
        <v>16</v>
      </c>
      <c r="B159" s="3">
        <v>15</v>
      </c>
      <c r="C159" s="3">
        <v>20</v>
      </c>
      <c r="D159" s="3">
        <v>14</v>
      </c>
      <c r="E159" s="3">
        <f>((1/(INDEX(E0!J$4:J$73,C159,1)-INDEX(E0!J$4:J$73,D159,1))))*100000000</f>
        <v>0</v>
      </c>
      <c r="F159" s="4" t="str">
        <f>HYPERLINK("http://141.218.60.56/~jnz1568/getInfo.php?workbook=16_15.xlsx&amp;sheet=A0&amp;row=159&amp;col=6&amp;number=&amp;sourceID=54","")</f>
        <v/>
      </c>
      <c r="G159" s="4" t="str">
        <f>HYPERLINK("http://141.218.60.56/~jnz1568/getInfo.php?workbook=16_15.xlsx&amp;sheet=A0&amp;row=159&amp;col=7&amp;number=2.2922e-07&amp;sourceID=54","2.2922e-07")</f>
        <v>2.2922e-07</v>
      </c>
      <c r="H159" s="4" t="str">
        <f>HYPERLINK("http://141.218.60.56/~jnz1568/getInfo.php?workbook=16_15.xlsx&amp;sheet=A0&amp;row=159&amp;col=8&amp;number=4.5749e-05&amp;sourceID=54","4.5749e-05")</f>
        <v>4.5749e-05</v>
      </c>
      <c r="I159" s="4" t="str">
        <f>HYPERLINK("http://141.218.60.56/~jnz1568/getInfo.php?workbook=16_15.xlsx&amp;sheet=A0&amp;row=159&amp;col=9&amp;number=&amp;sourceID=54","")</f>
        <v/>
      </c>
      <c r="J159" s="4" t="str">
        <f>HYPERLINK("http://141.218.60.56/~jnz1568/getInfo.php?workbook=16_15.xlsx&amp;sheet=A0&amp;row=159&amp;col=10&amp;number=2.0585e-07&amp;sourceID=54","2.0585e-07")</f>
        <v>2.0585e-07</v>
      </c>
      <c r="K159" s="4" t="str">
        <f>HYPERLINK("http://141.218.60.56/~jnz1568/getInfo.php?workbook=16_15.xlsx&amp;sheet=A0&amp;row=159&amp;col=11&amp;number=6.6581e-05&amp;sourceID=54","6.6581e-05")</f>
        <v>6.6581e-05</v>
      </c>
      <c r="L159" s="4" t="str">
        <f>HYPERLINK("http://141.218.60.56/~jnz1568/getInfo.php?workbook=16_15.xlsx&amp;sheet=A0&amp;row=159&amp;col=12&amp;number=&amp;sourceID=53","")</f>
        <v/>
      </c>
      <c r="M159" s="4" t="str">
        <f>HYPERLINK("http://141.218.60.56/~jnz1568/getInfo.php?workbook=16_15.xlsx&amp;sheet=A0&amp;row=159&amp;col=13&amp;number=&amp;sourceID=53","")</f>
        <v/>
      </c>
      <c r="N159" s="4" t="str">
        <f>HYPERLINK("http://141.218.60.56/~jnz1568/getInfo.php?workbook=16_15.xlsx&amp;sheet=A0&amp;row=159&amp;col=14&amp;number=&amp;sourceID=53","")</f>
        <v/>
      </c>
      <c r="O159" s="4" t="str">
        <f>HYPERLINK("http://141.218.60.56/~jnz1568/getInfo.php?workbook=16_15.xlsx&amp;sheet=A0&amp;row=159&amp;col=15&amp;number=&amp;sourceID=55","")</f>
        <v/>
      </c>
      <c r="P159" s="4" t="str">
        <f>HYPERLINK("http://141.218.60.56/~jnz1568/getInfo.php?workbook=16_15.xlsx&amp;sheet=A0&amp;row=159&amp;col=16&amp;number=&amp;sourceID=55","")</f>
        <v/>
      </c>
      <c r="Q159" s="4" t="str">
        <f>HYPERLINK("http://141.218.60.56/~jnz1568/getInfo.php?workbook=16_15.xlsx&amp;sheet=A0&amp;row=159&amp;col=17&amp;number=&amp;sourceID=56","")</f>
        <v/>
      </c>
      <c r="R159" s="4" t="str">
        <f>HYPERLINK("http://141.218.60.56/~jnz1568/getInfo.php?workbook=16_15.xlsx&amp;sheet=A0&amp;row=159&amp;col=18&amp;number=&amp;sourceID=56","")</f>
        <v/>
      </c>
      <c r="S159" s="4" t="str">
        <f>HYPERLINK("http://141.218.60.56/~jnz1568/getInfo.php?workbook=16_15.xlsx&amp;sheet=A0&amp;row=159&amp;col=19&amp;number=&amp;sourceID=57","")</f>
        <v/>
      </c>
      <c r="T159" s="4" t="str">
        <f>HYPERLINK("http://141.218.60.56/~jnz1568/getInfo.php?workbook=16_15.xlsx&amp;sheet=A0&amp;row=159&amp;col=20&amp;number=&amp;sourceID=57","")</f>
        <v/>
      </c>
      <c r="U159" s="4" t="str">
        <f>HYPERLINK("http://141.218.60.56/~jnz1568/getInfo.php?workbook=16_15.xlsx&amp;sheet=A0&amp;row=159&amp;col=21&amp;number=&amp;sourceID=47","")</f>
        <v/>
      </c>
      <c r="V159" s="4" t="str">
        <f>HYPERLINK("http://141.218.60.56/~jnz1568/getInfo.php?workbook=16_15.xlsx&amp;sheet=A0&amp;row=159&amp;col=22&amp;number=&amp;sourceID=47","")</f>
        <v/>
      </c>
    </row>
    <row r="160" spans="1:22">
      <c r="A160" s="3">
        <v>16</v>
      </c>
      <c r="B160" s="3">
        <v>15</v>
      </c>
      <c r="C160" s="3">
        <v>20</v>
      </c>
      <c r="D160" s="3">
        <v>15</v>
      </c>
      <c r="E160" s="3">
        <f>((1/(INDEX(E0!J$4:J$73,C160,1)-INDEX(E0!J$4:J$73,D160,1))))*100000000</f>
        <v>0</v>
      </c>
      <c r="F160" s="4" t="str">
        <f>HYPERLINK("http://141.218.60.56/~jnz1568/getInfo.php?workbook=16_15.xlsx&amp;sheet=A0&amp;row=160&amp;col=6&amp;number=&amp;sourceID=54","")</f>
        <v/>
      </c>
      <c r="G160" s="4" t="str">
        <f>HYPERLINK("http://141.218.60.56/~jnz1568/getInfo.php?workbook=16_15.xlsx&amp;sheet=A0&amp;row=160&amp;col=7&amp;number=2.7273e-07&amp;sourceID=54","2.7273e-07")</f>
        <v>2.7273e-07</v>
      </c>
      <c r="H160" s="4" t="str">
        <f>HYPERLINK("http://141.218.60.56/~jnz1568/getInfo.php?workbook=16_15.xlsx&amp;sheet=A0&amp;row=160&amp;col=8&amp;number=1.3402e-09&amp;sourceID=54","1.3402e-09")</f>
        <v>1.3402e-09</v>
      </c>
      <c r="I160" s="4" t="str">
        <f>HYPERLINK("http://141.218.60.56/~jnz1568/getInfo.php?workbook=16_15.xlsx&amp;sheet=A0&amp;row=160&amp;col=9&amp;number=&amp;sourceID=54","")</f>
        <v/>
      </c>
      <c r="J160" s="4" t="str">
        <f>HYPERLINK("http://141.218.60.56/~jnz1568/getInfo.php?workbook=16_15.xlsx&amp;sheet=A0&amp;row=160&amp;col=10&amp;number=3.4398e-07&amp;sourceID=54","3.4398e-07")</f>
        <v>3.4398e-07</v>
      </c>
      <c r="K160" s="4" t="str">
        <f>HYPERLINK("http://141.218.60.56/~jnz1568/getInfo.php?workbook=16_15.xlsx&amp;sheet=A0&amp;row=160&amp;col=11&amp;number=1.6156e-09&amp;sourceID=54","1.6156e-09")</f>
        <v>1.6156e-09</v>
      </c>
      <c r="L160" s="4" t="str">
        <f>HYPERLINK("http://141.218.60.56/~jnz1568/getInfo.php?workbook=16_15.xlsx&amp;sheet=A0&amp;row=160&amp;col=12&amp;number=&amp;sourceID=53","")</f>
        <v/>
      </c>
      <c r="M160" s="4" t="str">
        <f>HYPERLINK("http://141.218.60.56/~jnz1568/getInfo.php?workbook=16_15.xlsx&amp;sheet=A0&amp;row=160&amp;col=13&amp;number=&amp;sourceID=53","")</f>
        <v/>
      </c>
      <c r="N160" s="4" t="str">
        <f>HYPERLINK("http://141.218.60.56/~jnz1568/getInfo.php?workbook=16_15.xlsx&amp;sheet=A0&amp;row=160&amp;col=14&amp;number=&amp;sourceID=53","")</f>
        <v/>
      </c>
      <c r="O160" s="4" t="str">
        <f>HYPERLINK("http://141.218.60.56/~jnz1568/getInfo.php?workbook=16_15.xlsx&amp;sheet=A0&amp;row=160&amp;col=15&amp;number=&amp;sourceID=55","")</f>
        <v/>
      </c>
      <c r="P160" s="4" t="str">
        <f>HYPERLINK("http://141.218.60.56/~jnz1568/getInfo.php?workbook=16_15.xlsx&amp;sheet=A0&amp;row=160&amp;col=16&amp;number=&amp;sourceID=55","")</f>
        <v/>
      </c>
      <c r="Q160" s="4" t="str">
        <f>HYPERLINK("http://141.218.60.56/~jnz1568/getInfo.php?workbook=16_15.xlsx&amp;sheet=A0&amp;row=160&amp;col=17&amp;number=&amp;sourceID=56","")</f>
        <v/>
      </c>
      <c r="R160" s="4" t="str">
        <f>HYPERLINK("http://141.218.60.56/~jnz1568/getInfo.php?workbook=16_15.xlsx&amp;sheet=A0&amp;row=160&amp;col=18&amp;number=&amp;sourceID=56","")</f>
        <v/>
      </c>
      <c r="S160" s="4" t="str">
        <f>HYPERLINK("http://141.218.60.56/~jnz1568/getInfo.php?workbook=16_15.xlsx&amp;sheet=A0&amp;row=160&amp;col=19&amp;number=&amp;sourceID=57","")</f>
        <v/>
      </c>
      <c r="T160" s="4" t="str">
        <f>HYPERLINK("http://141.218.60.56/~jnz1568/getInfo.php?workbook=16_15.xlsx&amp;sheet=A0&amp;row=160&amp;col=20&amp;number=&amp;sourceID=57","")</f>
        <v/>
      </c>
      <c r="U160" s="4" t="str">
        <f>HYPERLINK("http://141.218.60.56/~jnz1568/getInfo.php?workbook=16_15.xlsx&amp;sheet=A0&amp;row=160&amp;col=21&amp;number=&amp;sourceID=47","")</f>
        <v/>
      </c>
      <c r="V160" s="4" t="str">
        <f>HYPERLINK("http://141.218.60.56/~jnz1568/getInfo.php?workbook=16_15.xlsx&amp;sheet=A0&amp;row=160&amp;col=22&amp;number=&amp;sourceID=47","")</f>
        <v/>
      </c>
    </row>
    <row r="161" spans="1:22">
      <c r="A161" s="3">
        <v>16</v>
      </c>
      <c r="B161" s="3">
        <v>15</v>
      </c>
      <c r="C161" s="3">
        <v>20</v>
      </c>
      <c r="D161" s="3">
        <v>16</v>
      </c>
      <c r="E161" s="3">
        <f>((1/(INDEX(E0!J$4:J$73,C161,1)-INDEX(E0!J$4:J$73,D161,1))))*100000000</f>
        <v>0</v>
      </c>
      <c r="F161" s="4" t="str">
        <f>HYPERLINK("http://141.218.60.56/~jnz1568/getInfo.php?workbook=16_15.xlsx&amp;sheet=A0&amp;row=161&amp;col=6&amp;number=&amp;sourceID=54","")</f>
        <v/>
      </c>
      <c r="G161" s="4" t="str">
        <f>HYPERLINK("http://141.218.60.56/~jnz1568/getInfo.php?workbook=16_15.xlsx&amp;sheet=A0&amp;row=161&amp;col=7&amp;number=2.7669e-09&amp;sourceID=54","2.7669e-09")</f>
        <v>2.7669e-09</v>
      </c>
      <c r="H161" s="4" t="str">
        <f>HYPERLINK("http://141.218.60.56/~jnz1568/getInfo.php?workbook=16_15.xlsx&amp;sheet=A0&amp;row=161&amp;col=8&amp;number=&amp;sourceID=54","")</f>
        <v/>
      </c>
      <c r="I161" s="4" t="str">
        <f>HYPERLINK("http://141.218.60.56/~jnz1568/getInfo.php?workbook=16_15.xlsx&amp;sheet=A0&amp;row=161&amp;col=9&amp;number=&amp;sourceID=54","")</f>
        <v/>
      </c>
      <c r="J161" s="4" t="str">
        <f>HYPERLINK("http://141.218.60.56/~jnz1568/getInfo.php?workbook=16_15.xlsx&amp;sheet=A0&amp;row=161&amp;col=10&amp;number=1.0418e-10&amp;sourceID=54","1.0418e-10")</f>
        <v>1.0418e-10</v>
      </c>
      <c r="K161" s="4" t="str">
        <f>HYPERLINK("http://141.218.60.56/~jnz1568/getInfo.php?workbook=16_15.xlsx&amp;sheet=A0&amp;row=161&amp;col=11&amp;number=&amp;sourceID=54","")</f>
        <v/>
      </c>
      <c r="L161" s="4" t="str">
        <f>HYPERLINK("http://141.218.60.56/~jnz1568/getInfo.php?workbook=16_15.xlsx&amp;sheet=A0&amp;row=161&amp;col=12&amp;number=&amp;sourceID=53","")</f>
        <v/>
      </c>
      <c r="M161" s="4" t="str">
        <f>HYPERLINK("http://141.218.60.56/~jnz1568/getInfo.php?workbook=16_15.xlsx&amp;sheet=A0&amp;row=161&amp;col=13&amp;number=&amp;sourceID=53","")</f>
        <v/>
      </c>
      <c r="N161" s="4" t="str">
        <f>HYPERLINK("http://141.218.60.56/~jnz1568/getInfo.php?workbook=16_15.xlsx&amp;sheet=A0&amp;row=161&amp;col=14&amp;number=&amp;sourceID=53","")</f>
        <v/>
      </c>
      <c r="O161" s="4" t="str">
        <f>HYPERLINK("http://141.218.60.56/~jnz1568/getInfo.php?workbook=16_15.xlsx&amp;sheet=A0&amp;row=161&amp;col=15&amp;number=&amp;sourceID=55","")</f>
        <v/>
      </c>
      <c r="P161" s="4" t="str">
        <f>HYPERLINK("http://141.218.60.56/~jnz1568/getInfo.php?workbook=16_15.xlsx&amp;sheet=A0&amp;row=161&amp;col=16&amp;number=&amp;sourceID=55","")</f>
        <v/>
      </c>
      <c r="Q161" s="4" t="str">
        <f>HYPERLINK("http://141.218.60.56/~jnz1568/getInfo.php?workbook=16_15.xlsx&amp;sheet=A0&amp;row=161&amp;col=17&amp;number=&amp;sourceID=56","")</f>
        <v/>
      </c>
      <c r="R161" s="4" t="str">
        <f>HYPERLINK("http://141.218.60.56/~jnz1568/getInfo.php?workbook=16_15.xlsx&amp;sheet=A0&amp;row=161&amp;col=18&amp;number=&amp;sourceID=56","")</f>
        <v/>
      </c>
      <c r="S161" s="4" t="str">
        <f>HYPERLINK("http://141.218.60.56/~jnz1568/getInfo.php?workbook=16_15.xlsx&amp;sheet=A0&amp;row=161&amp;col=19&amp;number=&amp;sourceID=57","")</f>
        <v/>
      </c>
      <c r="T161" s="4" t="str">
        <f>HYPERLINK("http://141.218.60.56/~jnz1568/getInfo.php?workbook=16_15.xlsx&amp;sheet=A0&amp;row=161&amp;col=20&amp;number=&amp;sourceID=57","")</f>
        <v/>
      </c>
      <c r="U161" s="4" t="str">
        <f>HYPERLINK("http://141.218.60.56/~jnz1568/getInfo.php?workbook=16_15.xlsx&amp;sheet=A0&amp;row=161&amp;col=21&amp;number=&amp;sourceID=47","")</f>
        <v/>
      </c>
      <c r="V161" s="4" t="str">
        <f>HYPERLINK("http://141.218.60.56/~jnz1568/getInfo.php?workbook=16_15.xlsx&amp;sheet=A0&amp;row=161&amp;col=22&amp;number=&amp;sourceID=47","")</f>
        <v/>
      </c>
    </row>
    <row r="162" spans="1:22">
      <c r="A162" s="3">
        <v>16</v>
      </c>
      <c r="B162" s="3">
        <v>15</v>
      </c>
      <c r="C162" s="3">
        <v>20</v>
      </c>
      <c r="D162" s="3">
        <v>17</v>
      </c>
      <c r="E162" s="3">
        <f>((1/(INDEX(E0!J$4:J$73,C162,1)-INDEX(E0!J$4:J$73,D162,1))))*100000000</f>
        <v>0</v>
      </c>
      <c r="F162" s="4" t="str">
        <f>HYPERLINK("http://141.218.60.56/~jnz1568/getInfo.php?workbook=16_15.xlsx&amp;sheet=A0&amp;row=162&amp;col=6&amp;number=&amp;sourceID=54","")</f>
        <v/>
      </c>
      <c r="G162" s="4" t="str">
        <f>HYPERLINK("http://141.218.60.56/~jnz1568/getInfo.php?workbook=16_15.xlsx&amp;sheet=A0&amp;row=162&amp;col=7&amp;number=2.1594e-07&amp;sourceID=54","2.1594e-07")</f>
        <v>2.1594e-07</v>
      </c>
      <c r="H162" s="4" t="str">
        <f>HYPERLINK("http://141.218.60.56/~jnz1568/getInfo.php?workbook=16_15.xlsx&amp;sheet=A0&amp;row=162&amp;col=8&amp;number=&amp;sourceID=54","")</f>
        <v/>
      </c>
      <c r="I162" s="4" t="str">
        <f>HYPERLINK("http://141.218.60.56/~jnz1568/getInfo.php?workbook=16_15.xlsx&amp;sheet=A0&amp;row=162&amp;col=9&amp;number=&amp;sourceID=54","")</f>
        <v/>
      </c>
      <c r="J162" s="4" t="str">
        <f>HYPERLINK("http://141.218.60.56/~jnz1568/getInfo.php?workbook=16_15.xlsx&amp;sheet=A0&amp;row=162&amp;col=10&amp;number=3.3756e-07&amp;sourceID=54","3.3756e-07")</f>
        <v>3.3756e-07</v>
      </c>
      <c r="K162" s="4" t="str">
        <f>HYPERLINK("http://141.218.60.56/~jnz1568/getInfo.php?workbook=16_15.xlsx&amp;sheet=A0&amp;row=162&amp;col=11&amp;number=&amp;sourceID=54","")</f>
        <v/>
      </c>
      <c r="L162" s="4" t="str">
        <f>HYPERLINK("http://141.218.60.56/~jnz1568/getInfo.php?workbook=16_15.xlsx&amp;sheet=A0&amp;row=162&amp;col=12&amp;number=&amp;sourceID=53","")</f>
        <v/>
      </c>
      <c r="M162" s="4" t="str">
        <f>HYPERLINK("http://141.218.60.56/~jnz1568/getInfo.php?workbook=16_15.xlsx&amp;sheet=A0&amp;row=162&amp;col=13&amp;number=&amp;sourceID=53","")</f>
        <v/>
      </c>
      <c r="N162" s="4" t="str">
        <f>HYPERLINK("http://141.218.60.56/~jnz1568/getInfo.php?workbook=16_15.xlsx&amp;sheet=A0&amp;row=162&amp;col=14&amp;number=&amp;sourceID=53","")</f>
        <v/>
      </c>
      <c r="O162" s="4" t="str">
        <f>HYPERLINK("http://141.218.60.56/~jnz1568/getInfo.php?workbook=16_15.xlsx&amp;sheet=A0&amp;row=162&amp;col=15&amp;number=&amp;sourceID=55","")</f>
        <v/>
      </c>
      <c r="P162" s="4" t="str">
        <f>HYPERLINK("http://141.218.60.56/~jnz1568/getInfo.php?workbook=16_15.xlsx&amp;sheet=A0&amp;row=162&amp;col=16&amp;number=&amp;sourceID=55","")</f>
        <v/>
      </c>
      <c r="Q162" s="4" t="str">
        <f>HYPERLINK("http://141.218.60.56/~jnz1568/getInfo.php?workbook=16_15.xlsx&amp;sheet=A0&amp;row=162&amp;col=17&amp;number=&amp;sourceID=56","")</f>
        <v/>
      </c>
      <c r="R162" s="4" t="str">
        <f>HYPERLINK("http://141.218.60.56/~jnz1568/getInfo.php?workbook=16_15.xlsx&amp;sheet=A0&amp;row=162&amp;col=18&amp;number=&amp;sourceID=56","")</f>
        <v/>
      </c>
      <c r="S162" s="4" t="str">
        <f>HYPERLINK("http://141.218.60.56/~jnz1568/getInfo.php?workbook=16_15.xlsx&amp;sheet=A0&amp;row=162&amp;col=19&amp;number=&amp;sourceID=57","")</f>
        <v/>
      </c>
      <c r="T162" s="4" t="str">
        <f>HYPERLINK("http://141.218.60.56/~jnz1568/getInfo.php?workbook=16_15.xlsx&amp;sheet=A0&amp;row=162&amp;col=20&amp;number=&amp;sourceID=57","")</f>
        <v/>
      </c>
      <c r="U162" s="4" t="str">
        <f>HYPERLINK("http://141.218.60.56/~jnz1568/getInfo.php?workbook=16_15.xlsx&amp;sheet=A0&amp;row=162&amp;col=21&amp;number=&amp;sourceID=47","")</f>
        <v/>
      </c>
      <c r="V162" s="4" t="str">
        <f>HYPERLINK("http://141.218.60.56/~jnz1568/getInfo.php?workbook=16_15.xlsx&amp;sheet=A0&amp;row=162&amp;col=22&amp;number=&amp;sourceID=47","")</f>
        <v/>
      </c>
    </row>
    <row r="163" spans="1:22">
      <c r="A163" s="3">
        <v>16</v>
      </c>
      <c r="B163" s="3">
        <v>15</v>
      </c>
      <c r="C163" s="3">
        <v>21</v>
      </c>
      <c r="D163" s="3">
        <v>1</v>
      </c>
      <c r="E163" s="3">
        <f>((1/(INDEX(E0!J$4:J$73,C163,1)-INDEX(E0!J$4:J$73,D163,1))))*100000000</f>
        <v>0</v>
      </c>
      <c r="F163" s="4" t="str">
        <f>HYPERLINK("http://141.218.60.56/~jnz1568/getInfo.php?workbook=16_15.xlsx&amp;sheet=A0&amp;row=163&amp;col=6&amp;number=1376400&amp;sourceID=54","1376400")</f>
        <v>1376400</v>
      </c>
      <c r="G163" s="4" t="str">
        <f>HYPERLINK("http://141.218.60.56/~jnz1568/getInfo.php?workbook=16_15.xlsx&amp;sheet=A0&amp;row=163&amp;col=7&amp;number=&amp;sourceID=54","")</f>
        <v/>
      </c>
      <c r="H163" s="4" t="str">
        <f>HYPERLINK("http://141.218.60.56/~jnz1568/getInfo.php?workbook=16_15.xlsx&amp;sheet=A0&amp;row=163&amp;col=8&amp;number=&amp;sourceID=54","")</f>
        <v/>
      </c>
      <c r="I163" s="4" t="str">
        <f>HYPERLINK("http://141.218.60.56/~jnz1568/getInfo.php?workbook=16_15.xlsx&amp;sheet=A0&amp;row=163&amp;col=9&amp;number=721540&amp;sourceID=54","721540")</f>
        <v>721540</v>
      </c>
      <c r="J163" s="4" t="str">
        <f>HYPERLINK("http://141.218.60.56/~jnz1568/getInfo.php?workbook=16_15.xlsx&amp;sheet=A0&amp;row=163&amp;col=10&amp;number=&amp;sourceID=54","")</f>
        <v/>
      </c>
      <c r="K163" s="4" t="str">
        <f>HYPERLINK("http://141.218.60.56/~jnz1568/getInfo.php?workbook=16_15.xlsx&amp;sheet=A0&amp;row=163&amp;col=11&amp;number=&amp;sourceID=54","")</f>
        <v/>
      </c>
      <c r="L163" s="4" t="str">
        <f>HYPERLINK("http://141.218.60.56/~jnz1568/getInfo.php?workbook=16_15.xlsx&amp;sheet=A0&amp;row=163&amp;col=12&amp;number=1546318.52573&amp;sourceID=53","1546318.52573")</f>
        <v>1546318.52573</v>
      </c>
      <c r="M163" s="4" t="str">
        <f>HYPERLINK("http://141.218.60.56/~jnz1568/getInfo.php?workbook=16_15.xlsx&amp;sheet=A0&amp;row=163&amp;col=13&amp;number=&amp;sourceID=53","")</f>
        <v/>
      </c>
      <c r="N163" s="4" t="str">
        <f>HYPERLINK("http://141.218.60.56/~jnz1568/getInfo.php?workbook=16_15.xlsx&amp;sheet=A0&amp;row=163&amp;col=14&amp;number=&amp;sourceID=53","")</f>
        <v/>
      </c>
      <c r="O163" s="4" t="str">
        <f>HYPERLINK("http://141.218.60.56/~jnz1568/getInfo.php?workbook=16_15.xlsx&amp;sheet=A0&amp;row=163&amp;col=15&amp;number=&amp;sourceID=55","")</f>
        <v/>
      </c>
      <c r="P163" s="4" t="str">
        <f>HYPERLINK("http://141.218.60.56/~jnz1568/getInfo.php?workbook=16_15.xlsx&amp;sheet=A0&amp;row=163&amp;col=16&amp;number=&amp;sourceID=55","")</f>
        <v/>
      </c>
      <c r="Q163" s="4" t="str">
        <f>HYPERLINK("http://141.218.60.56/~jnz1568/getInfo.php?workbook=16_15.xlsx&amp;sheet=A0&amp;row=163&amp;col=17&amp;number=&amp;sourceID=56","")</f>
        <v/>
      </c>
      <c r="R163" s="4" t="str">
        <f>HYPERLINK("http://141.218.60.56/~jnz1568/getInfo.php?workbook=16_15.xlsx&amp;sheet=A0&amp;row=163&amp;col=18&amp;number=&amp;sourceID=56","")</f>
        <v/>
      </c>
      <c r="S163" s="4" t="str">
        <f>HYPERLINK("http://141.218.60.56/~jnz1568/getInfo.php?workbook=16_15.xlsx&amp;sheet=A0&amp;row=163&amp;col=19&amp;number=&amp;sourceID=57","")</f>
        <v/>
      </c>
      <c r="T163" s="4" t="str">
        <f>HYPERLINK("http://141.218.60.56/~jnz1568/getInfo.php?workbook=16_15.xlsx&amp;sheet=A0&amp;row=163&amp;col=20&amp;number=&amp;sourceID=57","")</f>
        <v/>
      </c>
      <c r="U163" s="4" t="str">
        <f>HYPERLINK("http://141.218.60.56/~jnz1568/getInfo.php?workbook=16_15.xlsx&amp;sheet=A0&amp;row=163&amp;col=21&amp;number=&amp;sourceID=47","")</f>
        <v/>
      </c>
      <c r="V163" s="4" t="str">
        <f>HYPERLINK("http://141.218.60.56/~jnz1568/getInfo.php?workbook=16_15.xlsx&amp;sheet=A0&amp;row=163&amp;col=22&amp;number=&amp;sourceID=47","")</f>
        <v/>
      </c>
    </row>
    <row r="164" spans="1:22">
      <c r="A164" s="3">
        <v>16</v>
      </c>
      <c r="B164" s="3">
        <v>15</v>
      </c>
      <c r="C164" s="3">
        <v>21</v>
      </c>
      <c r="D164" s="3">
        <v>2</v>
      </c>
      <c r="E164" s="3">
        <f>((1/(INDEX(E0!J$4:J$73,C164,1)-INDEX(E0!J$4:J$73,D164,1))))*100000000</f>
        <v>0</v>
      </c>
      <c r="F164" s="4" t="str">
        <f>HYPERLINK("http://141.218.60.56/~jnz1568/getInfo.php?workbook=16_15.xlsx&amp;sheet=A0&amp;row=164&amp;col=6&amp;number=107590000&amp;sourceID=54","107590000")</f>
        <v>107590000</v>
      </c>
      <c r="G164" s="4" t="str">
        <f>HYPERLINK("http://141.218.60.56/~jnz1568/getInfo.php?workbook=16_15.xlsx&amp;sheet=A0&amp;row=164&amp;col=7&amp;number=&amp;sourceID=54","")</f>
        <v/>
      </c>
      <c r="H164" s="4" t="str">
        <f>HYPERLINK("http://141.218.60.56/~jnz1568/getInfo.php?workbook=16_15.xlsx&amp;sheet=A0&amp;row=164&amp;col=8&amp;number=&amp;sourceID=54","")</f>
        <v/>
      </c>
      <c r="I164" s="4" t="str">
        <f>HYPERLINK("http://141.218.60.56/~jnz1568/getInfo.php?workbook=16_15.xlsx&amp;sheet=A0&amp;row=164&amp;col=9&amp;number=108030000&amp;sourceID=54","108030000")</f>
        <v>108030000</v>
      </c>
      <c r="J164" s="4" t="str">
        <f>HYPERLINK("http://141.218.60.56/~jnz1568/getInfo.php?workbook=16_15.xlsx&amp;sheet=A0&amp;row=164&amp;col=10&amp;number=&amp;sourceID=54","")</f>
        <v/>
      </c>
      <c r="K164" s="4" t="str">
        <f>HYPERLINK("http://141.218.60.56/~jnz1568/getInfo.php?workbook=16_15.xlsx&amp;sheet=A0&amp;row=164&amp;col=11&amp;number=&amp;sourceID=54","")</f>
        <v/>
      </c>
      <c r="L164" s="4" t="str">
        <f>HYPERLINK("http://141.218.60.56/~jnz1568/getInfo.php?workbook=16_15.xlsx&amp;sheet=A0&amp;row=164&amp;col=12&amp;number=114135012.905&amp;sourceID=53","114135012.905")</f>
        <v>114135012.905</v>
      </c>
      <c r="M164" s="4" t="str">
        <f>HYPERLINK("http://141.218.60.56/~jnz1568/getInfo.php?workbook=16_15.xlsx&amp;sheet=A0&amp;row=164&amp;col=13&amp;number=&amp;sourceID=53","")</f>
        <v/>
      </c>
      <c r="N164" s="4" t="str">
        <f>HYPERLINK("http://141.218.60.56/~jnz1568/getInfo.php?workbook=16_15.xlsx&amp;sheet=A0&amp;row=164&amp;col=14&amp;number=&amp;sourceID=53","")</f>
        <v/>
      </c>
      <c r="O164" s="4" t="str">
        <f>HYPERLINK("http://141.218.60.56/~jnz1568/getInfo.php?workbook=16_15.xlsx&amp;sheet=A0&amp;row=164&amp;col=15&amp;number=&amp;sourceID=55","")</f>
        <v/>
      </c>
      <c r="P164" s="4" t="str">
        <f>HYPERLINK("http://141.218.60.56/~jnz1568/getInfo.php?workbook=16_15.xlsx&amp;sheet=A0&amp;row=164&amp;col=16&amp;number=&amp;sourceID=55","")</f>
        <v/>
      </c>
      <c r="Q164" s="4" t="str">
        <f>HYPERLINK("http://141.218.60.56/~jnz1568/getInfo.php?workbook=16_15.xlsx&amp;sheet=A0&amp;row=164&amp;col=17&amp;number=&amp;sourceID=56","")</f>
        <v/>
      </c>
      <c r="R164" s="4" t="str">
        <f>HYPERLINK("http://141.218.60.56/~jnz1568/getInfo.php?workbook=16_15.xlsx&amp;sheet=A0&amp;row=164&amp;col=18&amp;number=&amp;sourceID=56","")</f>
        <v/>
      </c>
      <c r="S164" s="4" t="str">
        <f>HYPERLINK("http://141.218.60.56/~jnz1568/getInfo.php?workbook=16_15.xlsx&amp;sheet=A0&amp;row=164&amp;col=19&amp;number=&amp;sourceID=57","")</f>
        <v/>
      </c>
      <c r="T164" s="4" t="str">
        <f>HYPERLINK("http://141.218.60.56/~jnz1568/getInfo.php?workbook=16_15.xlsx&amp;sheet=A0&amp;row=164&amp;col=20&amp;number=&amp;sourceID=57","")</f>
        <v/>
      </c>
      <c r="U164" s="4" t="str">
        <f>HYPERLINK("http://141.218.60.56/~jnz1568/getInfo.php?workbook=16_15.xlsx&amp;sheet=A0&amp;row=164&amp;col=21&amp;number=&amp;sourceID=47","")</f>
        <v/>
      </c>
      <c r="V164" s="4" t="str">
        <f>HYPERLINK("http://141.218.60.56/~jnz1568/getInfo.php?workbook=16_15.xlsx&amp;sheet=A0&amp;row=164&amp;col=22&amp;number=&amp;sourceID=47","")</f>
        <v/>
      </c>
    </row>
    <row r="165" spans="1:22">
      <c r="A165" s="3">
        <v>16</v>
      </c>
      <c r="B165" s="3">
        <v>15</v>
      </c>
      <c r="C165" s="3">
        <v>21</v>
      </c>
      <c r="D165" s="3">
        <v>3</v>
      </c>
      <c r="E165" s="3">
        <f>((1/(INDEX(E0!J$4:J$73,C165,1)-INDEX(E0!J$4:J$73,D165,1))))*100000000</f>
        <v>0</v>
      </c>
      <c r="F165" s="4" t="str">
        <f>HYPERLINK("http://141.218.60.56/~jnz1568/getInfo.php?workbook=16_15.xlsx&amp;sheet=A0&amp;row=165&amp;col=6&amp;number=1445600000&amp;sourceID=54","1445600000")</f>
        <v>1445600000</v>
      </c>
      <c r="G165" s="4" t="str">
        <f>HYPERLINK("http://141.218.60.56/~jnz1568/getInfo.php?workbook=16_15.xlsx&amp;sheet=A0&amp;row=165&amp;col=7&amp;number=&amp;sourceID=54","")</f>
        <v/>
      </c>
      <c r="H165" s="4" t="str">
        <f>HYPERLINK("http://141.218.60.56/~jnz1568/getInfo.php?workbook=16_15.xlsx&amp;sheet=A0&amp;row=165&amp;col=8&amp;number=&amp;sourceID=54","")</f>
        <v/>
      </c>
      <c r="I165" s="4" t="str">
        <f>HYPERLINK("http://141.218.60.56/~jnz1568/getInfo.php?workbook=16_15.xlsx&amp;sheet=A0&amp;row=165&amp;col=9&amp;number=1492000000&amp;sourceID=54","1492000000")</f>
        <v>1492000000</v>
      </c>
      <c r="J165" s="4" t="str">
        <f>HYPERLINK("http://141.218.60.56/~jnz1568/getInfo.php?workbook=16_15.xlsx&amp;sheet=A0&amp;row=165&amp;col=10&amp;number=&amp;sourceID=54","")</f>
        <v/>
      </c>
      <c r="K165" s="4" t="str">
        <f>HYPERLINK("http://141.218.60.56/~jnz1568/getInfo.php?workbook=16_15.xlsx&amp;sheet=A0&amp;row=165&amp;col=11&amp;number=&amp;sourceID=54","")</f>
        <v/>
      </c>
      <c r="L165" s="4" t="str">
        <f>HYPERLINK("http://141.218.60.56/~jnz1568/getInfo.php?workbook=16_15.xlsx&amp;sheet=A0&amp;row=165&amp;col=12&amp;number=1523563568.97&amp;sourceID=53","1523563568.97")</f>
        <v>1523563568.97</v>
      </c>
      <c r="M165" s="4" t="str">
        <f>HYPERLINK("http://141.218.60.56/~jnz1568/getInfo.php?workbook=16_15.xlsx&amp;sheet=A0&amp;row=165&amp;col=13&amp;number=&amp;sourceID=53","")</f>
        <v/>
      </c>
      <c r="N165" s="4" t="str">
        <f>HYPERLINK("http://141.218.60.56/~jnz1568/getInfo.php?workbook=16_15.xlsx&amp;sheet=A0&amp;row=165&amp;col=14&amp;number=&amp;sourceID=53","")</f>
        <v/>
      </c>
      <c r="O165" s="4" t="str">
        <f>HYPERLINK("http://141.218.60.56/~jnz1568/getInfo.php?workbook=16_15.xlsx&amp;sheet=A0&amp;row=165&amp;col=15&amp;number=&amp;sourceID=55","")</f>
        <v/>
      </c>
      <c r="P165" s="4" t="str">
        <f>HYPERLINK("http://141.218.60.56/~jnz1568/getInfo.php?workbook=16_15.xlsx&amp;sheet=A0&amp;row=165&amp;col=16&amp;number=&amp;sourceID=55","")</f>
        <v/>
      </c>
      <c r="Q165" s="4" t="str">
        <f>HYPERLINK("http://141.218.60.56/~jnz1568/getInfo.php?workbook=16_15.xlsx&amp;sheet=A0&amp;row=165&amp;col=17&amp;number=&amp;sourceID=56","")</f>
        <v/>
      </c>
      <c r="R165" s="4" t="str">
        <f>HYPERLINK("http://141.218.60.56/~jnz1568/getInfo.php?workbook=16_15.xlsx&amp;sheet=A0&amp;row=165&amp;col=18&amp;number=&amp;sourceID=56","")</f>
        <v/>
      </c>
      <c r="S165" s="4" t="str">
        <f>HYPERLINK("http://141.218.60.56/~jnz1568/getInfo.php?workbook=16_15.xlsx&amp;sheet=A0&amp;row=165&amp;col=19&amp;number=&amp;sourceID=57","")</f>
        <v/>
      </c>
      <c r="T165" s="4" t="str">
        <f>HYPERLINK("http://141.218.60.56/~jnz1568/getInfo.php?workbook=16_15.xlsx&amp;sheet=A0&amp;row=165&amp;col=20&amp;number=&amp;sourceID=57","")</f>
        <v/>
      </c>
      <c r="U165" s="4" t="str">
        <f>HYPERLINK("http://141.218.60.56/~jnz1568/getInfo.php?workbook=16_15.xlsx&amp;sheet=A0&amp;row=165&amp;col=21&amp;number=&amp;sourceID=47","")</f>
        <v/>
      </c>
      <c r="V165" s="4" t="str">
        <f>HYPERLINK("http://141.218.60.56/~jnz1568/getInfo.php?workbook=16_15.xlsx&amp;sheet=A0&amp;row=165&amp;col=22&amp;number=&amp;sourceID=47","")</f>
        <v/>
      </c>
    </row>
    <row r="166" spans="1:22">
      <c r="A166" s="3">
        <v>16</v>
      </c>
      <c r="B166" s="3">
        <v>15</v>
      </c>
      <c r="C166" s="3">
        <v>21</v>
      </c>
      <c r="D166" s="3">
        <v>4</v>
      </c>
      <c r="E166" s="3">
        <f>((1/(INDEX(E0!J$4:J$73,C166,1)-INDEX(E0!J$4:J$73,D166,1))))*100000000</f>
        <v>0</v>
      </c>
      <c r="F166" s="4" t="str">
        <f>HYPERLINK("http://141.218.60.56/~jnz1568/getInfo.php?workbook=16_15.xlsx&amp;sheet=A0&amp;row=166&amp;col=6&amp;number=91211000&amp;sourceID=54","91211000")</f>
        <v>91211000</v>
      </c>
      <c r="G166" s="4" t="str">
        <f>HYPERLINK("http://141.218.60.56/~jnz1568/getInfo.php?workbook=16_15.xlsx&amp;sheet=A0&amp;row=166&amp;col=7&amp;number=&amp;sourceID=54","")</f>
        <v/>
      </c>
      <c r="H166" s="4" t="str">
        <f>HYPERLINK("http://141.218.60.56/~jnz1568/getInfo.php?workbook=16_15.xlsx&amp;sheet=A0&amp;row=166&amp;col=8&amp;number=&amp;sourceID=54","")</f>
        <v/>
      </c>
      <c r="I166" s="4" t="str">
        <f>HYPERLINK("http://141.218.60.56/~jnz1568/getInfo.php?workbook=16_15.xlsx&amp;sheet=A0&amp;row=166&amp;col=9&amp;number=94785000&amp;sourceID=54","94785000")</f>
        <v>94785000</v>
      </c>
      <c r="J166" s="4" t="str">
        <f>HYPERLINK("http://141.218.60.56/~jnz1568/getInfo.php?workbook=16_15.xlsx&amp;sheet=A0&amp;row=166&amp;col=10&amp;number=&amp;sourceID=54","")</f>
        <v/>
      </c>
      <c r="K166" s="4" t="str">
        <f>HYPERLINK("http://141.218.60.56/~jnz1568/getInfo.php?workbook=16_15.xlsx&amp;sheet=A0&amp;row=166&amp;col=11&amp;number=&amp;sourceID=54","")</f>
        <v/>
      </c>
      <c r="L166" s="4" t="str">
        <f>HYPERLINK("http://141.218.60.56/~jnz1568/getInfo.php?workbook=16_15.xlsx&amp;sheet=A0&amp;row=166&amp;col=12&amp;number=95852205.5465&amp;sourceID=53","95852205.5465")</f>
        <v>95852205.5465</v>
      </c>
      <c r="M166" s="4" t="str">
        <f>HYPERLINK("http://141.218.60.56/~jnz1568/getInfo.php?workbook=16_15.xlsx&amp;sheet=A0&amp;row=166&amp;col=13&amp;number=&amp;sourceID=53","")</f>
        <v/>
      </c>
      <c r="N166" s="4" t="str">
        <f>HYPERLINK("http://141.218.60.56/~jnz1568/getInfo.php?workbook=16_15.xlsx&amp;sheet=A0&amp;row=166&amp;col=14&amp;number=&amp;sourceID=53","")</f>
        <v/>
      </c>
      <c r="O166" s="4" t="str">
        <f>HYPERLINK("http://141.218.60.56/~jnz1568/getInfo.php?workbook=16_15.xlsx&amp;sheet=A0&amp;row=166&amp;col=15&amp;number=&amp;sourceID=55","")</f>
        <v/>
      </c>
      <c r="P166" s="4" t="str">
        <f>HYPERLINK("http://141.218.60.56/~jnz1568/getInfo.php?workbook=16_15.xlsx&amp;sheet=A0&amp;row=166&amp;col=16&amp;number=&amp;sourceID=55","")</f>
        <v/>
      </c>
      <c r="Q166" s="4" t="str">
        <f>HYPERLINK("http://141.218.60.56/~jnz1568/getInfo.php?workbook=16_15.xlsx&amp;sheet=A0&amp;row=166&amp;col=17&amp;number=&amp;sourceID=56","")</f>
        <v/>
      </c>
      <c r="R166" s="4" t="str">
        <f>HYPERLINK("http://141.218.60.56/~jnz1568/getInfo.php?workbook=16_15.xlsx&amp;sheet=A0&amp;row=166&amp;col=18&amp;number=&amp;sourceID=56","")</f>
        <v/>
      </c>
      <c r="S166" s="4" t="str">
        <f>HYPERLINK("http://141.218.60.56/~jnz1568/getInfo.php?workbook=16_15.xlsx&amp;sheet=A0&amp;row=166&amp;col=19&amp;number=&amp;sourceID=57","")</f>
        <v/>
      </c>
      <c r="T166" s="4" t="str">
        <f>HYPERLINK("http://141.218.60.56/~jnz1568/getInfo.php?workbook=16_15.xlsx&amp;sheet=A0&amp;row=166&amp;col=20&amp;number=&amp;sourceID=57","")</f>
        <v/>
      </c>
      <c r="U166" s="4" t="str">
        <f>HYPERLINK("http://141.218.60.56/~jnz1568/getInfo.php?workbook=16_15.xlsx&amp;sheet=A0&amp;row=166&amp;col=21&amp;number=&amp;sourceID=47","")</f>
        <v/>
      </c>
      <c r="V166" s="4" t="str">
        <f>HYPERLINK("http://141.218.60.56/~jnz1568/getInfo.php?workbook=16_15.xlsx&amp;sheet=A0&amp;row=166&amp;col=22&amp;number=&amp;sourceID=47","")</f>
        <v/>
      </c>
    </row>
    <row r="167" spans="1:22">
      <c r="A167" s="3">
        <v>16</v>
      </c>
      <c r="B167" s="3">
        <v>15</v>
      </c>
      <c r="C167" s="3">
        <v>21</v>
      </c>
      <c r="D167" s="3">
        <v>5</v>
      </c>
      <c r="E167" s="3">
        <f>((1/(INDEX(E0!J$4:J$73,C167,1)-INDEX(E0!J$4:J$73,D167,1))))*100000000</f>
        <v>0</v>
      </c>
      <c r="F167" s="4" t="str">
        <f>HYPERLINK("http://141.218.60.56/~jnz1568/getInfo.php?workbook=16_15.xlsx&amp;sheet=A0&amp;row=167&amp;col=6&amp;number=428510000&amp;sourceID=54","428510000")</f>
        <v>428510000</v>
      </c>
      <c r="G167" s="4" t="str">
        <f>HYPERLINK("http://141.218.60.56/~jnz1568/getInfo.php?workbook=16_15.xlsx&amp;sheet=A0&amp;row=167&amp;col=7&amp;number=&amp;sourceID=54","")</f>
        <v/>
      </c>
      <c r="H167" s="4" t="str">
        <f>HYPERLINK("http://141.218.60.56/~jnz1568/getInfo.php?workbook=16_15.xlsx&amp;sheet=A0&amp;row=167&amp;col=8&amp;number=&amp;sourceID=54","")</f>
        <v/>
      </c>
      <c r="I167" s="4" t="str">
        <f>HYPERLINK("http://141.218.60.56/~jnz1568/getInfo.php?workbook=16_15.xlsx&amp;sheet=A0&amp;row=167&amp;col=9&amp;number=438520000&amp;sourceID=54","438520000")</f>
        <v>438520000</v>
      </c>
      <c r="J167" s="4" t="str">
        <f>HYPERLINK("http://141.218.60.56/~jnz1568/getInfo.php?workbook=16_15.xlsx&amp;sheet=A0&amp;row=167&amp;col=10&amp;number=&amp;sourceID=54","")</f>
        <v/>
      </c>
      <c r="K167" s="4" t="str">
        <f>HYPERLINK("http://141.218.60.56/~jnz1568/getInfo.php?workbook=16_15.xlsx&amp;sheet=A0&amp;row=167&amp;col=11&amp;number=&amp;sourceID=54","")</f>
        <v/>
      </c>
      <c r="L167" s="4" t="str">
        <f>HYPERLINK("http://141.218.60.56/~jnz1568/getInfo.php?workbook=16_15.xlsx&amp;sheet=A0&amp;row=167&amp;col=12&amp;number=448266118.794&amp;sourceID=53","448266118.794")</f>
        <v>448266118.794</v>
      </c>
      <c r="M167" s="4" t="str">
        <f>HYPERLINK("http://141.218.60.56/~jnz1568/getInfo.php?workbook=16_15.xlsx&amp;sheet=A0&amp;row=167&amp;col=13&amp;number=&amp;sourceID=53","")</f>
        <v/>
      </c>
      <c r="N167" s="4" t="str">
        <f>HYPERLINK("http://141.218.60.56/~jnz1568/getInfo.php?workbook=16_15.xlsx&amp;sheet=A0&amp;row=167&amp;col=14&amp;number=&amp;sourceID=53","")</f>
        <v/>
      </c>
      <c r="O167" s="4" t="str">
        <f>HYPERLINK("http://141.218.60.56/~jnz1568/getInfo.php?workbook=16_15.xlsx&amp;sheet=A0&amp;row=167&amp;col=15&amp;number=&amp;sourceID=55","")</f>
        <v/>
      </c>
      <c r="P167" s="4" t="str">
        <f>HYPERLINK("http://141.218.60.56/~jnz1568/getInfo.php?workbook=16_15.xlsx&amp;sheet=A0&amp;row=167&amp;col=16&amp;number=&amp;sourceID=55","")</f>
        <v/>
      </c>
      <c r="Q167" s="4" t="str">
        <f>HYPERLINK("http://141.218.60.56/~jnz1568/getInfo.php?workbook=16_15.xlsx&amp;sheet=A0&amp;row=167&amp;col=17&amp;number=&amp;sourceID=56","")</f>
        <v/>
      </c>
      <c r="R167" s="4" t="str">
        <f>HYPERLINK("http://141.218.60.56/~jnz1568/getInfo.php?workbook=16_15.xlsx&amp;sheet=A0&amp;row=167&amp;col=18&amp;number=&amp;sourceID=56","")</f>
        <v/>
      </c>
      <c r="S167" s="4" t="str">
        <f>HYPERLINK("http://141.218.60.56/~jnz1568/getInfo.php?workbook=16_15.xlsx&amp;sheet=A0&amp;row=167&amp;col=19&amp;number=&amp;sourceID=57","")</f>
        <v/>
      </c>
      <c r="T167" s="4" t="str">
        <f>HYPERLINK("http://141.218.60.56/~jnz1568/getInfo.php?workbook=16_15.xlsx&amp;sheet=A0&amp;row=167&amp;col=20&amp;number=&amp;sourceID=57","")</f>
        <v/>
      </c>
      <c r="U167" s="4" t="str">
        <f>HYPERLINK("http://141.218.60.56/~jnz1568/getInfo.php?workbook=16_15.xlsx&amp;sheet=A0&amp;row=167&amp;col=21&amp;number=&amp;sourceID=47","")</f>
        <v/>
      </c>
      <c r="V167" s="4" t="str">
        <f>HYPERLINK("http://141.218.60.56/~jnz1568/getInfo.php?workbook=16_15.xlsx&amp;sheet=A0&amp;row=167&amp;col=22&amp;number=&amp;sourceID=47","")</f>
        <v/>
      </c>
    </row>
    <row r="168" spans="1:22">
      <c r="A168" s="3">
        <v>16</v>
      </c>
      <c r="B168" s="3">
        <v>15</v>
      </c>
      <c r="C168" s="3">
        <v>21</v>
      </c>
      <c r="D168" s="3">
        <v>6</v>
      </c>
      <c r="E168" s="3">
        <f>((1/(INDEX(E0!J$4:J$73,C168,1)-INDEX(E0!J$4:J$73,D168,1))))*100000000</f>
        <v>0</v>
      </c>
      <c r="F168" s="4" t="str">
        <f>HYPERLINK("http://141.218.60.56/~jnz1568/getInfo.php?workbook=16_15.xlsx&amp;sheet=A0&amp;row=168&amp;col=6&amp;number=&amp;sourceID=54","")</f>
        <v/>
      </c>
      <c r="G168" s="4" t="str">
        <f>HYPERLINK("http://141.218.60.56/~jnz1568/getInfo.php?workbook=16_15.xlsx&amp;sheet=A0&amp;row=168&amp;col=7&amp;number=0.018871&amp;sourceID=54","0.018871")</f>
        <v>0.018871</v>
      </c>
      <c r="H168" s="4" t="str">
        <f>HYPERLINK("http://141.218.60.56/~jnz1568/getInfo.php?workbook=16_15.xlsx&amp;sheet=A0&amp;row=168&amp;col=8&amp;number=4.6402e-05&amp;sourceID=54","4.6402e-05")</f>
        <v>4.6402e-05</v>
      </c>
      <c r="I168" s="4" t="str">
        <f>HYPERLINK("http://141.218.60.56/~jnz1568/getInfo.php?workbook=16_15.xlsx&amp;sheet=A0&amp;row=168&amp;col=9&amp;number=&amp;sourceID=54","")</f>
        <v/>
      </c>
      <c r="J168" s="4" t="str">
        <f>HYPERLINK("http://141.218.60.56/~jnz1568/getInfo.php?workbook=16_15.xlsx&amp;sheet=A0&amp;row=168&amp;col=10&amp;number=0.011298&amp;sourceID=54","0.011298")</f>
        <v>0.011298</v>
      </c>
      <c r="K168" s="4" t="str">
        <f>HYPERLINK("http://141.218.60.56/~jnz1568/getInfo.php?workbook=16_15.xlsx&amp;sheet=A0&amp;row=168&amp;col=11&amp;number=3.9624e-05&amp;sourceID=54","3.9624e-05")</f>
        <v>3.9624e-05</v>
      </c>
      <c r="L168" s="4" t="str">
        <f>HYPERLINK("http://141.218.60.56/~jnz1568/getInfo.php?workbook=16_15.xlsx&amp;sheet=A0&amp;row=168&amp;col=12&amp;number=&amp;sourceID=53","")</f>
        <v/>
      </c>
      <c r="M168" s="4" t="str">
        <f>HYPERLINK("http://141.218.60.56/~jnz1568/getInfo.php?workbook=16_15.xlsx&amp;sheet=A0&amp;row=168&amp;col=13&amp;number=&amp;sourceID=53","")</f>
        <v/>
      </c>
      <c r="N168" s="4" t="str">
        <f>HYPERLINK("http://141.218.60.56/~jnz1568/getInfo.php?workbook=16_15.xlsx&amp;sheet=A0&amp;row=168&amp;col=14&amp;number=&amp;sourceID=53","")</f>
        <v/>
      </c>
      <c r="O168" s="4" t="str">
        <f>HYPERLINK("http://141.218.60.56/~jnz1568/getInfo.php?workbook=16_15.xlsx&amp;sheet=A0&amp;row=168&amp;col=15&amp;number=&amp;sourceID=55","")</f>
        <v/>
      </c>
      <c r="P168" s="4" t="str">
        <f>HYPERLINK("http://141.218.60.56/~jnz1568/getInfo.php?workbook=16_15.xlsx&amp;sheet=A0&amp;row=168&amp;col=16&amp;number=&amp;sourceID=55","")</f>
        <v/>
      </c>
      <c r="Q168" s="4" t="str">
        <f>HYPERLINK("http://141.218.60.56/~jnz1568/getInfo.php?workbook=16_15.xlsx&amp;sheet=A0&amp;row=168&amp;col=17&amp;number=&amp;sourceID=56","")</f>
        <v/>
      </c>
      <c r="R168" s="4" t="str">
        <f>HYPERLINK("http://141.218.60.56/~jnz1568/getInfo.php?workbook=16_15.xlsx&amp;sheet=A0&amp;row=168&amp;col=18&amp;number=&amp;sourceID=56","")</f>
        <v/>
      </c>
      <c r="S168" s="4" t="str">
        <f>HYPERLINK("http://141.218.60.56/~jnz1568/getInfo.php?workbook=16_15.xlsx&amp;sheet=A0&amp;row=168&amp;col=19&amp;number=&amp;sourceID=57","")</f>
        <v/>
      </c>
      <c r="T168" s="4" t="str">
        <f>HYPERLINK("http://141.218.60.56/~jnz1568/getInfo.php?workbook=16_15.xlsx&amp;sheet=A0&amp;row=168&amp;col=20&amp;number=&amp;sourceID=57","")</f>
        <v/>
      </c>
      <c r="U168" s="4" t="str">
        <f>HYPERLINK("http://141.218.60.56/~jnz1568/getInfo.php?workbook=16_15.xlsx&amp;sheet=A0&amp;row=168&amp;col=21&amp;number=&amp;sourceID=47","")</f>
        <v/>
      </c>
      <c r="V168" s="4" t="str">
        <f>HYPERLINK("http://141.218.60.56/~jnz1568/getInfo.php?workbook=16_15.xlsx&amp;sheet=A0&amp;row=168&amp;col=22&amp;number=&amp;sourceID=47","")</f>
        <v/>
      </c>
    </row>
    <row r="169" spans="1:22">
      <c r="A169" s="3">
        <v>16</v>
      </c>
      <c r="B169" s="3">
        <v>15</v>
      </c>
      <c r="C169" s="3">
        <v>21</v>
      </c>
      <c r="D169" s="3">
        <v>7</v>
      </c>
      <c r="E169" s="3">
        <f>((1/(INDEX(E0!J$4:J$73,C169,1)-INDEX(E0!J$4:J$73,D169,1))))*100000000</f>
        <v>0</v>
      </c>
      <c r="F169" s="4" t="str">
        <f>HYPERLINK("http://141.218.60.56/~jnz1568/getInfo.php?workbook=16_15.xlsx&amp;sheet=A0&amp;row=169&amp;col=6&amp;number=&amp;sourceID=54","")</f>
        <v/>
      </c>
      <c r="G169" s="4" t="str">
        <f>HYPERLINK("http://141.218.60.56/~jnz1568/getInfo.php?workbook=16_15.xlsx&amp;sheet=A0&amp;row=169&amp;col=7&amp;number=0.0066774&amp;sourceID=54","0.0066774")</f>
        <v>0.0066774</v>
      </c>
      <c r="H169" s="4" t="str">
        <f>HYPERLINK("http://141.218.60.56/~jnz1568/getInfo.php?workbook=16_15.xlsx&amp;sheet=A0&amp;row=169&amp;col=8&amp;number=5.931e-05&amp;sourceID=54","5.931e-05")</f>
        <v>5.931e-05</v>
      </c>
      <c r="I169" s="4" t="str">
        <f>HYPERLINK("http://141.218.60.56/~jnz1568/getInfo.php?workbook=16_15.xlsx&amp;sheet=A0&amp;row=169&amp;col=9&amp;number=&amp;sourceID=54","")</f>
        <v/>
      </c>
      <c r="J169" s="4" t="str">
        <f>HYPERLINK("http://141.218.60.56/~jnz1568/getInfo.php?workbook=16_15.xlsx&amp;sheet=A0&amp;row=169&amp;col=10&amp;number=0.0034931&amp;sourceID=54","0.0034931")</f>
        <v>0.0034931</v>
      </c>
      <c r="K169" s="4" t="str">
        <f>HYPERLINK("http://141.218.60.56/~jnz1568/getInfo.php?workbook=16_15.xlsx&amp;sheet=A0&amp;row=169&amp;col=11&amp;number=2.8501e-05&amp;sourceID=54","2.8501e-05")</f>
        <v>2.8501e-05</v>
      </c>
      <c r="L169" s="4" t="str">
        <f>HYPERLINK("http://141.218.60.56/~jnz1568/getInfo.php?workbook=16_15.xlsx&amp;sheet=A0&amp;row=169&amp;col=12&amp;number=&amp;sourceID=53","")</f>
        <v/>
      </c>
      <c r="M169" s="4" t="str">
        <f>HYPERLINK("http://141.218.60.56/~jnz1568/getInfo.php?workbook=16_15.xlsx&amp;sheet=A0&amp;row=169&amp;col=13&amp;number=&amp;sourceID=53","")</f>
        <v/>
      </c>
      <c r="N169" s="4" t="str">
        <f>HYPERLINK("http://141.218.60.56/~jnz1568/getInfo.php?workbook=16_15.xlsx&amp;sheet=A0&amp;row=169&amp;col=14&amp;number=&amp;sourceID=53","")</f>
        <v/>
      </c>
      <c r="O169" s="4" t="str">
        <f>HYPERLINK("http://141.218.60.56/~jnz1568/getInfo.php?workbook=16_15.xlsx&amp;sheet=A0&amp;row=169&amp;col=15&amp;number=&amp;sourceID=55","")</f>
        <v/>
      </c>
      <c r="P169" s="4" t="str">
        <f>HYPERLINK("http://141.218.60.56/~jnz1568/getInfo.php?workbook=16_15.xlsx&amp;sheet=A0&amp;row=169&amp;col=16&amp;number=&amp;sourceID=55","")</f>
        <v/>
      </c>
      <c r="Q169" s="4" t="str">
        <f>HYPERLINK("http://141.218.60.56/~jnz1568/getInfo.php?workbook=16_15.xlsx&amp;sheet=A0&amp;row=169&amp;col=17&amp;number=&amp;sourceID=56","")</f>
        <v/>
      </c>
      <c r="R169" s="4" t="str">
        <f>HYPERLINK("http://141.218.60.56/~jnz1568/getInfo.php?workbook=16_15.xlsx&amp;sheet=A0&amp;row=169&amp;col=18&amp;number=&amp;sourceID=56","")</f>
        <v/>
      </c>
      <c r="S169" s="4" t="str">
        <f>HYPERLINK("http://141.218.60.56/~jnz1568/getInfo.php?workbook=16_15.xlsx&amp;sheet=A0&amp;row=169&amp;col=19&amp;number=&amp;sourceID=57","")</f>
        <v/>
      </c>
      <c r="T169" s="4" t="str">
        <f>HYPERLINK("http://141.218.60.56/~jnz1568/getInfo.php?workbook=16_15.xlsx&amp;sheet=A0&amp;row=169&amp;col=20&amp;number=&amp;sourceID=57","")</f>
        <v/>
      </c>
      <c r="U169" s="4" t="str">
        <f>HYPERLINK("http://141.218.60.56/~jnz1568/getInfo.php?workbook=16_15.xlsx&amp;sheet=A0&amp;row=169&amp;col=21&amp;number=&amp;sourceID=47","")</f>
        <v/>
      </c>
      <c r="V169" s="4" t="str">
        <f>HYPERLINK("http://141.218.60.56/~jnz1568/getInfo.php?workbook=16_15.xlsx&amp;sheet=A0&amp;row=169&amp;col=22&amp;number=&amp;sourceID=47","")</f>
        <v/>
      </c>
    </row>
    <row r="170" spans="1:22">
      <c r="A170" s="3">
        <v>16</v>
      </c>
      <c r="B170" s="3">
        <v>15</v>
      </c>
      <c r="C170" s="3">
        <v>21</v>
      </c>
      <c r="D170" s="3">
        <v>8</v>
      </c>
      <c r="E170" s="3">
        <f>((1/(INDEX(E0!J$4:J$73,C170,1)-INDEX(E0!J$4:J$73,D170,1))))*100000000</f>
        <v>0</v>
      </c>
      <c r="F170" s="4" t="str">
        <f>HYPERLINK("http://141.218.60.56/~jnz1568/getInfo.php?workbook=16_15.xlsx&amp;sheet=A0&amp;row=170&amp;col=6&amp;number=&amp;sourceID=54","")</f>
        <v/>
      </c>
      <c r="G170" s="4" t="str">
        <f>HYPERLINK("http://141.218.60.56/~jnz1568/getInfo.php?workbook=16_15.xlsx&amp;sheet=A0&amp;row=170&amp;col=7&amp;number=0.000908&amp;sourceID=54","0.000908")</f>
        <v>0.000908</v>
      </c>
      <c r="H170" s="4" t="str">
        <f>HYPERLINK("http://141.218.60.56/~jnz1568/getInfo.php?workbook=16_15.xlsx&amp;sheet=A0&amp;row=170&amp;col=8&amp;number=1.9198e-05&amp;sourceID=54","1.9198e-05")</f>
        <v>1.9198e-05</v>
      </c>
      <c r="I170" s="4" t="str">
        <f>HYPERLINK("http://141.218.60.56/~jnz1568/getInfo.php?workbook=16_15.xlsx&amp;sheet=A0&amp;row=170&amp;col=9&amp;number=&amp;sourceID=54","")</f>
        <v/>
      </c>
      <c r="J170" s="4" t="str">
        <f>HYPERLINK("http://141.218.60.56/~jnz1568/getInfo.php?workbook=16_15.xlsx&amp;sheet=A0&amp;row=170&amp;col=10&amp;number=0.00045151&amp;sourceID=54","0.00045151")</f>
        <v>0.00045151</v>
      </c>
      <c r="K170" s="4" t="str">
        <f>HYPERLINK("http://141.218.60.56/~jnz1568/getInfo.php?workbook=16_15.xlsx&amp;sheet=A0&amp;row=170&amp;col=11&amp;number=1.4406e-05&amp;sourceID=54","1.4406e-05")</f>
        <v>1.4406e-05</v>
      </c>
      <c r="L170" s="4" t="str">
        <f>HYPERLINK("http://141.218.60.56/~jnz1568/getInfo.php?workbook=16_15.xlsx&amp;sheet=A0&amp;row=170&amp;col=12&amp;number=&amp;sourceID=53","")</f>
        <v/>
      </c>
      <c r="M170" s="4" t="str">
        <f>HYPERLINK("http://141.218.60.56/~jnz1568/getInfo.php?workbook=16_15.xlsx&amp;sheet=A0&amp;row=170&amp;col=13&amp;number=&amp;sourceID=53","")</f>
        <v/>
      </c>
      <c r="N170" s="4" t="str">
        <f>HYPERLINK("http://141.218.60.56/~jnz1568/getInfo.php?workbook=16_15.xlsx&amp;sheet=A0&amp;row=170&amp;col=14&amp;number=&amp;sourceID=53","")</f>
        <v/>
      </c>
      <c r="O170" s="4" t="str">
        <f>HYPERLINK("http://141.218.60.56/~jnz1568/getInfo.php?workbook=16_15.xlsx&amp;sheet=A0&amp;row=170&amp;col=15&amp;number=&amp;sourceID=55","")</f>
        <v/>
      </c>
      <c r="P170" s="4" t="str">
        <f>HYPERLINK("http://141.218.60.56/~jnz1568/getInfo.php?workbook=16_15.xlsx&amp;sheet=A0&amp;row=170&amp;col=16&amp;number=&amp;sourceID=55","")</f>
        <v/>
      </c>
      <c r="Q170" s="4" t="str">
        <f>HYPERLINK("http://141.218.60.56/~jnz1568/getInfo.php?workbook=16_15.xlsx&amp;sheet=A0&amp;row=170&amp;col=17&amp;number=&amp;sourceID=56","")</f>
        <v/>
      </c>
      <c r="R170" s="4" t="str">
        <f>HYPERLINK("http://141.218.60.56/~jnz1568/getInfo.php?workbook=16_15.xlsx&amp;sheet=A0&amp;row=170&amp;col=18&amp;number=&amp;sourceID=56","")</f>
        <v/>
      </c>
      <c r="S170" s="4" t="str">
        <f>HYPERLINK("http://141.218.60.56/~jnz1568/getInfo.php?workbook=16_15.xlsx&amp;sheet=A0&amp;row=170&amp;col=19&amp;number=&amp;sourceID=57","")</f>
        <v/>
      </c>
      <c r="T170" s="4" t="str">
        <f>HYPERLINK("http://141.218.60.56/~jnz1568/getInfo.php?workbook=16_15.xlsx&amp;sheet=A0&amp;row=170&amp;col=20&amp;number=&amp;sourceID=57","")</f>
        <v/>
      </c>
      <c r="U170" s="4" t="str">
        <f>HYPERLINK("http://141.218.60.56/~jnz1568/getInfo.php?workbook=16_15.xlsx&amp;sheet=A0&amp;row=170&amp;col=21&amp;number=&amp;sourceID=47","")</f>
        <v/>
      </c>
      <c r="V170" s="4" t="str">
        <f>HYPERLINK("http://141.218.60.56/~jnz1568/getInfo.php?workbook=16_15.xlsx&amp;sheet=A0&amp;row=170&amp;col=22&amp;number=&amp;sourceID=47","")</f>
        <v/>
      </c>
    </row>
    <row r="171" spans="1:22">
      <c r="A171" s="3">
        <v>16</v>
      </c>
      <c r="B171" s="3">
        <v>15</v>
      </c>
      <c r="C171" s="3">
        <v>21</v>
      </c>
      <c r="D171" s="3">
        <v>9</v>
      </c>
      <c r="E171" s="3">
        <f>((1/(INDEX(E0!J$4:J$73,C171,1)-INDEX(E0!J$4:J$73,D171,1))))*100000000</f>
        <v>0</v>
      </c>
      <c r="F171" s="4" t="str">
        <f>HYPERLINK("http://141.218.60.56/~jnz1568/getInfo.php?workbook=16_15.xlsx&amp;sheet=A0&amp;row=171&amp;col=6&amp;number=&amp;sourceID=54","")</f>
        <v/>
      </c>
      <c r="G171" s="4" t="str">
        <f>HYPERLINK("http://141.218.60.56/~jnz1568/getInfo.php?workbook=16_15.xlsx&amp;sheet=A0&amp;row=171&amp;col=7&amp;number=0.0030985&amp;sourceID=54","0.0030985")</f>
        <v>0.0030985</v>
      </c>
      <c r="H171" s="4" t="str">
        <f>HYPERLINK("http://141.218.60.56/~jnz1568/getInfo.php?workbook=16_15.xlsx&amp;sheet=A0&amp;row=171&amp;col=8&amp;number=0.00012932&amp;sourceID=54","0.00012932")</f>
        <v>0.00012932</v>
      </c>
      <c r="I171" s="4" t="str">
        <f>HYPERLINK("http://141.218.60.56/~jnz1568/getInfo.php?workbook=16_15.xlsx&amp;sheet=A0&amp;row=171&amp;col=9&amp;number=&amp;sourceID=54","")</f>
        <v/>
      </c>
      <c r="J171" s="4" t="str">
        <f>HYPERLINK("http://141.218.60.56/~jnz1568/getInfo.php?workbook=16_15.xlsx&amp;sheet=A0&amp;row=171&amp;col=10&amp;number=0.0024666&amp;sourceID=54","0.0024666")</f>
        <v>0.0024666</v>
      </c>
      <c r="K171" s="4" t="str">
        <f>HYPERLINK("http://141.218.60.56/~jnz1568/getInfo.php?workbook=16_15.xlsx&amp;sheet=A0&amp;row=171&amp;col=11&amp;number=0.00020153&amp;sourceID=54","0.00020153")</f>
        <v>0.00020153</v>
      </c>
      <c r="L171" s="4" t="str">
        <f>HYPERLINK("http://141.218.60.56/~jnz1568/getInfo.php?workbook=16_15.xlsx&amp;sheet=A0&amp;row=171&amp;col=12&amp;number=&amp;sourceID=53","")</f>
        <v/>
      </c>
      <c r="M171" s="4" t="str">
        <f>HYPERLINK("http://141.218.60.56/~jnz1568/getInfo.php?workbook=16_15.xlsx&amp;sheet=A0&amp;row=171&amp;col=13&amp;number=&amp;sourceID=53","")</f>
        <v/>
      </c>
      <c r="N171" s="4" t="str">
        <f>HYPERLINK("http://141.218.60.56/~jnz1568/getInfo.php?workbook=16_15.xlsx&amp;sheet=A0&amp;row=171&amp;col=14&amp;number=&amp;sourceID=53","")</f>
        <v/>
      </c>
      <c r="O171" s="4" t="str">
        <f>HYPERLINK("http://141.218.60.56/~jnz1568/getInfo.php?workbook=16_15.xlsx&amp;sheet=A0&amp;row=171&amp;col=15&amp;number=&amp;sourceID=55","")</f>
        <v/>
      </c>
      <c r="P171" s="4" t="str">
        <f>HYPERLINK("http://141.218.60.56/~jnz1568/getInfo.php?workbook=16_15.xlsx&amp;sheet=A0&amp;row=171&amp;col=16&amp;number=&amp;sourceID=55","")</f>
        <v/>
      </c>
      <c r="Q171" s="4" t="str">
        <f>HYPERLINK("http://141.218.60.56/~jnz1568/getInfo.php?workbook=16_15.xlsx&amp;sheet=A0&amp;row=171&amp;col=17&amp;number=&amp;sourceID=56","")</f>
        <v/>
      </c>
      <c r="R171" s="4" t="str">
        <f>HYPERLINK("http://141.218.60.56/~jnz1568/getInfo.php?workbook=16_15.xlsx&amp;sheet=A0&amp;row=171&amp;col=18&amp;number=&amp;sourceID=56","")</f>
        <v/>
      </c>
      <c r="S171" s="4" t="str">
        <f>HYPERLINK("http://141.218.60.56/~jnz1568/getInfo.php?workbook=16_15.xlsx&amp;sheet=A0&amp;row=171&amp;col=19&amp;number=&amp;sourceID=57","")</f>
        <v/>
      </c>
      <c r="T171" s="4" t="str">
        <f>HYPERLINK("http://141.218.60.56/~jnz1568/getInfo.php?workbook=16_15.xlsx&amp;sheet=A0&amp;row=171&amp;col=20&amp;number=&amp;sourceID=57","")</f>
        <v/>
      </c>
      <c r="U171" s="4" t="str">
        <f>HYPERLINK("http://141.218.60.56/~jnz1568/getInfo.php?workbook=16_15.xlsx&amp;sheet=A0&amp;row=171&amp;col=21&amp;number=&amp;sourceID=47","")</f>
        <v/>
      </c>
      <c r="V171" s="4" t="str">
        <f>HYPERLINK("http://141.218.60.56/~jnz1568/getInfo.php?workbook=16_15.xlsx&amp;sheet=A0&amp;row=171&amp;col=22&amp;number=&amp;sourceID=47","")</f>
        <v/>
      </c>
    </row>
    <row r="172" spans="1:22">
      <c r="A172" s="3">
        <v>16</v>
      </c>
      <c r="B172" s="3">
        <v>15</v>
      </c>
      <c r="C172" s="3">
        <v>21</v>
      </c>
      <c r="D172" s="3">
        <v>10</v>
      </c>
      <c r="E172" s="3">
        <f>((1/(INDEX(E0!J$4:J$73,C172,1)-INDEX(E0!J$4:J$73,D172,1))))*100000000</f>
        <v>0</v>
      </c>
      <c r="F172" s="4" t="str">
        <f>HYPERLINK("http://141.218.60.56/~jnz1568/getInfo.php?workbook=16_15.xlsx&amp;sheet=A0&amp;row=172&amp;col=6&amp;number=&amp;sourceID=54","")</f>
        <v/>
      </c>
      <c r="G172" s="4" t="str">
        <f>HYPERLINK("http://141.218.60.56/~jnz1568/getInfo.php?workbook=16_15.xlsx&amp;sheet=A0&amp;row=172&amp;col=7&amp;number=0.0298&amp;sourceID=54","0.0298")</f>
        <v>0.0298</v>
      </c>
      <c r="H172" s="4" t="str">
        <f>HYPERLINK("http://141.218.60.56/~jnz1568/getInfo.php?workbook=16_15.xlsx&amp;sheet=A0&amp;row=172&amp;col=8&amp;number=2.8792e-05&amp;sourceID=54","2.8792e-05")</f>
        <v>2.8792e-05</v>
      </c>
      <c r="I172" s="4" t="str">
        <f>HYPERLINK("http://141.218.60.56/~jnz1568/getInfo.php?workbook=16_15.xlsx&amp;sheet=A0&amp;row=172&amp;col=9&amp;number=&amp;sourceID=54","")</f>
        <v/>
      </c>
      <c r="J172" s="4" t="str">
        <f>HYPERLINK("http://141.218.60.56/~jnz1568/getInfo.php?workbook=16_15.xlsx&amp;sheet=A0&amp;row=172&amp;col=10&amp;number=0.031429&amp;sourceID=54","0.031429")</f>
        <v>0.031429</v>
      </c>
      <c r="K172" s="4" t="str">
        <f>HYPERLINK("http://141.218.60.56/~jnz1568/getInfo.php?workbook=16_15.xlsx&amp;sheet=A0&amp;row=172&amp;col=11&amp;number=2.4951e-05&amp;sourceID=54","2.4951e-05")</f>
        <v>2.4951e-05</v>
      </c>
      <c r="L172" s="4" t="str">
        <f>HYPERLINK("http://141.218.60.56/~jnz1568/getInfo.php?workbook=16_15.xlsx&amp;sheet=A0&amp;row=172&amp;col=12&amp;number=&amp;sourceID=53","")</f>
        <v/>
      </c>
      <c r="M172" s="4" t="str">
        <f>HYPERLINK("http://141.218.60.56/~jnz1568/getInfo.php?workbook=16_15.xlsx&amp;sheet=A0&amp;row=172&amp;col=13&amp;number=&amp;sourceID=53","")</f>
        <v/>
      </c>
      <c r="N172" s="4" t="str">
        <f>HYPERLINK("http://141.218.60.56/~jnz1568/getInfo.php?workbook=16_15.xlsx&amp;sheet=A0&amp;row=172&amp;col=14&amp;number=&amp;sourceID=53","")</f>
        <v/>
      </c>
      <c r="O172" s="4" t="str">
        <f>HYPERLINK("http://141.218.60.56/~jnz1568/getInfo.php?workbook=16_15.xlsx&amp;sheet=A0&amp;row=172&amp;col=15&amp;number=&amp;sourceID=55","")</f>
        <v/>
      </c>
      <c r="P172" s="4" t="str">
        <f>HYPERLINK("http://141.218.60.56/~jnz1568/getInfo.php?workbook=16_15.xlsx&amp;sheet=A0&amp;row=172&amp;col=16&amp;number=&amp;sourceID=55","")</f>
        <v/>
      </c>
      <c r="Q172" s="4" t="str">
        <f>HYPERLINK("http://141.218.60.56/~jnz1568/getInfo.php?workbook=16_15.xlsx&amp;sheet=A0&amp;row=172&amp;col=17&amp;number=&amp;sourceID=56","")</f>
        <v/>
      </c>
      <c r="R172" s="4" t="str">
        <f>HYPERLINK("http://141.218.60.56/~jnz1568/getInfo.php?workbook=16_15.xlsx&amp;sheet=A0&amp;row=172&amp;col=18&amp;number=&amp;sourceID=56","")</f>
        <v/>
      </c>
      <c r="S172" s="4" t="str">
        <f>HYPERLINK("http://141.218.60.56/~jnz1568/getInfo.php?workbook=16_15.xlsx&amp;sheet=A0&amp;row=172&amp;col=19&amp;number=&amp;sourceID=57","")</f>
        <v/>
      </c>
      <c r="T172" s="4" t="str">
        <f>HYPERLINK("http://141.218.60.56/~jnz1568/getInfo.php?workbook=16_15.xlsx&amp;sheet=A0&amp;row=172&amp;col=20&amp;number=&amp;sourceID=57","")</f>
        <v/>
      </c>
      <c r="U172" s="4" t="str">
        <f>HYPERLINK("http://141.218.60.56/~jnz1568/getInfo.php?workbook=16_15.xlsx&amp;sheet=A0&amp;row=172&amp;col=21&amp;number=&amp;sourceID=47","")</f>
        <v/>
      </c>
      <c r="V172" s="4" t="str">
        <f>HYPERLINK("http://141.218.60.56/~jnz1568/getInfo.php?workbook=16_15.xlsx&amp;sheet=A0&amp;row=172&amp;col=22&amp;number=&amp;sourceID=47","")</f>
        <v/>
      </c>
    </row>
    <row r="173" spans="1:22">
      <c r="A173" s="3">
        <v>16</v>
      </c>
      <c r="B173" s="3">
        <v>15</v>
      </c>
      <c r="C173" s="3">
        <v>21</v>
      </c>
      <c r="D173" s="3">
        <v>11</v>
      </c>
      <c r="E173" s="3">
        <f>((1/(INDEX(E0!J$4:J$73,C173,1)-INDEX(E0!J$4:J$73,D173,1))))*100000000</f>
        <v>0</v>
      </c>
      <c r="F173" s="4" t="str">
        <f>HYPERLINK("http://141.218.60.56/~jnz1568/getInfo.php?workbook=16_15.xlsx&amp;sheet=A0&amp;row=173&amp;col=6&amp;number=&amp;sourceID=54","")</f>
        <v/>
      </c>
      <c r="G173" s="4" t="str">
        <f>HYPERLINK("http://141.218.60.56/~jnz1568/getInfo.php?workbook=16_15.xlsx&amp;sheet=A0&amp;row=173&amp;col=7&amp;number=0.029987&amp;sourceID=54","0.029987")</f>
        <v>0.029987</v>
      </c>
      <c r="H173" s="4" t="str">
        <f>HYPERLINK("http://141.218.60.56/~jnz1568/getInfo.php?workbook=16_15.xlsx&amp;sheet=A0&amp;row=173&amp;col=8&amp;number=3.6076e-08&amp;sourceID=54","3.6076e-08")</f>
        <v>3.6076e-08</v>
      </c>
      <c r="I173" s="4" t="str">
        <f>HYPERLINK("http://141.218.60.56/~jnz1568/getInfo.php?workbook=16_15.xlsx&amp;sheet=A0&amp;row=173&amp;col=9&amp;number=&amp;sourceID=54","")</f>
        <v/>
      </c>
      <c r="J173" s="4" t="str">
        <f>HYPERLINK("http://141.218.60.56/~jnz1568/getInfo.php?workbook=16_15.xlsx&amp;sheet=A0&amp;row=173&amp;col=10&amp;number=0.037872&amp;sourceID=54","0.037872")</f>
        <v>0.037872</v>
      </c>
      <c r="K173" s="4" t="str">
        <f>HYPERLINK("http://141.218.60.56/~jnz1568/getInfo.php?workbook=16_15.xlsx&amp;sheet=A0&amp;row=173&amp;col=11&amp;number=1.7587e-08&amp;sourceID=54","1.7587e-08")</f>
        <v>1.7587e-08</v>
      </c>
      <c r="L173" s="4" t="str">
        <f>HYPERLINK("http://141.218.60.56/~jnz1568/getInfo.php?workbook=16_15.xlsx&amp;sheet=A0&amp;row=173&amp;col=12&amp;number=&amp;sourceID=53","")</f>
        <v/>
      </c>
      <c r="M173" s="4" t="str">
        <f>HYPERLINK("http://141.218.60.56/~jnz1568/getInfo.php?workbook=16_15.xlsx&amp;sheet=A0&amp;row=173&amp;col=13&amp;number=&amp;sourceID=53","")</f>
        <v/>
      </c>
      <c r="N173" s="4" t="str">
        <f>HYPERLINK("http://141.218.60.56/~jnz1568/getInfo.php?workbook=16_15.xlsx&amp;sheet=A0&amp;row=173&amp;col=14&amp;number=&amp;sourceID=53","")</f>
        <v/>
      </c>
      <c r="O173" s="4" t="str">
        <f>HYPERLINK("http://141.218.60.56/~jnz1568/getInfo.php?workbook=16_15.xlsx&amp;sheet=A0&amp;row=173&amp;col=15&amp;number=&amp;sourceID=55","")</f>
        <v/>
      </c>
      <c r="P173" s="4" t="str">
        <f>HYPERLINK("http://141.218.60.56/~jnz1568/getInfo.php?workbook=16_15.xlsx&amp;sheet=A0&amp;row=173&amp;col=16&amp;number=&amp;sourceID=55","")</f>
        <v/>
      </c>
      <c r="Q173" s="4" t="str">
        <f>HYPERLINK("http://141.218.60.56/~jnz1568/getInfo.php?workbook=16_15.xlsx&amp;sheet=A0&amp;row=173&amp;col=17&amp;number=&amp;sourceID=56","")</f>
        <v/>
      </c>
      <c r="R173" s="4" t="str">
        <f>HYPERLINK("http://141.218.60.56/~jnz1568/getInfo.php?workbook=16_15.xlsx&amp;sheet=A0&amp;row=173&amp;col=18&amp;number=&amp;sourceID=56","")</f>
        <v/>
      </c>
      <c r="S173" s="4" t="str">
        <f>HYPERLINK("http://141.218.60.56/~jnz1568/getInfo.php?workbook=16_15.xlsx&amp;sheet=A0&amp;row=173&amp;col=19&amp;number=&amp;sourceID=57","")</f>
        <v/>
      </c>
      <c r="T173" s="4" t="str">
        <f>HYPERLINK("http://141.218.60.56/~jnz1568/getInfo.php?workbook=16_15.xlsx&amp;sheet=A0&amp;row=173&amp;col=20&amp;number=&amp;sourceID=57","")</f>
        <v/>
      </c>
      <c r="U173" s="4" t="str">
        <f>HYPERLINK("http://141.218.60.56/~jnz1568/getInfo.php?workbook=16_15.xlsx&amp;sheet=A0&amp;row=173&amp;col=21&amp;number=&amp;sourceID=47","")</f>
        <v/>
      </c>
      <c r="V173" s="4" t="str">
        <f>HYPERLINK("http://141.218.60.56/~jnz1568/getInfo.php?workbook=16_15.xlsx&amp;sheet=A0&amp;row=173&amp;col=22&amp;number=&amp;sourceID=47","")</f>
        <v/>
      </c>
    </row>
    <row r="174" spans="1:22">
      <c r="A174" s="3">
        <v>16</v>
      </c>
      <c r="B174" s="3">
        <v>15</v>
      </c>
      <c r="C174" s="3">
        <v>21</v>
      </c>
      <c r="D174" s="3">
        <v>12</v>
      </c>
      <c r="E174" s="3">
        <f>((1/(INDEX(E0!J$4:J$73,C174,1)-INDEX(E0!J$4:J$73,D174,1))))*100000000</f>
        <v>0</v>
      </c>
      <c r="F174" s="4" t="str">
        <f>HYPERLINK("http://141.218.60.56/~jnz1568/getInfo.php?workbook=16_15.xlsx&amp;sheet=A0&amp;row=174&amp;col=6&amp;number=&amp;sourceID=54","")</f>
        <v/>
      </c>
      <c r="G174" s="4" t="str">
        <f>HYPERLINK("http://141.218.60.56/~jnz1568/getInfo.php?workbook=16_15.xlsx&amp;sheet=A0&amp;row=174&amp;col=7&amp;number=0.022274&amp;sourceID=54","0.022274")</f>
        <v>0.022274</v>
      </c>
      <c r="H174" s="4" t="str">
        <f>HYPERLINK("http://141.218.60.56/~jnz1568/getInfo.php?workbook=16_15.xlsx&amp;sheet=A0&amp;row=174&amp;col=8&amp;number=5.8757e-05&amp;sourceID=54","5.8757e-05")</f>
        <v>5.8757e-05</v>
      </c>
      <c r="I174" s="4" t="str">
        <f>HYPERLINK("http://141.218.60.56/~jnz1568/getInfo.php?workbook=16_15.xlsx&amp;sheet=A0&amp;row=174&amp;col=9&amp;number=&amp;sourceID=54","")</f>
        <v/>
      </c>
      <c r="J174" s="4" t="str">
        <f>HYPERLINK("http://141.218.60.56/~jnz1568/getInfo.php?workbook=16_15.xlsx&amp;sheet=A0&amp;row=174&amp;col=10&amp;number=0.02836&amp;sourceID=54","0.02836")</f>
        <v>0.02836</v>
      </c>
      <c r="K174" s="4" t="str">
        <f>HYPERLINK("http://141.218.60.56/~jnz1568/getInfo.php?workbook=16_15.xlsx&amp;sheet=A0&amp;row=174&amp;col=11&amp;number=6.8363e-05&amp;sourceID=54","6.8363e-05")</f>
        <v>6.8363e-05</v>
      </c>
      <c r="L174" s="4" t="str">
        <f>HYPERLINK("http://141.218.60.56/~jnz1568/getInfo.php?workbook=16_15.xlsx&amp;sheet=A0&amp;row=174&amp;col=12&amp;number=&amp;sourceID=53","")</f>
        <v/>
      </c>
      <c r="M174" s="4" t="str">
        <f>HYPERLINK("http://141.218.60.56/~jnz1568/getInfo.php?workbook=16_15.xlsx&amp;sheet=A0&amp;row=174&amp;col=13&amp;number=&amp;sourceID=53","")</f>
        <v/>
      </c>
      <c r="N174" s="4" t="str">
        <f>HYPERLINK("http://141.218.60.56/~jnz1568/getInfo.php?workbook=16_15.xlsx&amp;sheet=A0&amp;row=174&amp;col=14&amp;number=&amp;sourceID=53","")</f>
        <v/>
      </c>
      <c r="O174" s="4" t="str">
        <f>HYPERLINK("http://141.218.60.56/~jnz1568/getInfo.php?workbook=16_15.xlsx&amp;sheet=A0&amp;row=174&amp;col=15&amp;number=&amp;sourceID=55","")</f>
        <v/>
      </c>
      <c r="P174" s="4" t="str">
        <f>HYPERLINK("http://141.218.60.56/~jnz1568/getInfo.php?workbook=16_15.xlsx&amp;sheet=A0&amp;row=174&amp;col=16&amp;number=&amp;sourceID=55","")</f>
        <v/>
      </c>
      <c r="Q174" s="4" t="str">
        <f>HYPERLINK("http://141.218.60.56/~jnz1568/getInfo.php?workbook=16_15.xlsx&amp;sheet=A0&amp;row=174&amp;col=17&amp;number=&amp;sourceID=56","")</f>
        <v/>
      </c>
      <c r="R174" s="4" t="str">
        <f>HYPERLINK("http://141.218.60.56/~jnz1568/getInfo.php?workbook=16_15.xlsx&amp;sheet=A0&amp;row=174&amp;col=18&amp;number=&amp;sourceID=56","")</f>
        <v/>
      </c>
      <c r="S174" s="4" t="str">
        <f>HYPERLINK("http://141.218.60.56/~jnz1568/getInfo.php?workbook=16_15.xlsx&amp;sheet=A0&amp;row=174&amp;col=19&amp;number=&amp;sourceID=57","")</f>
        <v/>
      </c>
      <c r="T174" s="4" t="str">
        <f>HYPERLINK("http://141.218.60.56/~jnz1568/getInfo.php?workbook=16_15.xlsx&amp;sheet=A0&amp;row=174&amp;col=20&amp;number=&amp;sourceID=57","")</f>
        <v/>
      </c>
      <c r="U174" s="4" t="str">
        <f>HYPERLINK("http://141.218.60.56/~jnz1568/getInfo.php?workbook=16_15.xlsx&amp;sheet=A0&amp;row=174&amp;col=21&amp;number=&amp;sourceID=47","")</f>
        <v/>
      </c>
      <c r="V174" s="4" t="str">
        <f>HYPERLINK("http://141.218.60.56/~jnz1568/getInfo.php?workbook=16_15.xlsx&amp;sheet=A0&amp;row=174&amp;col=22&amp;number=&amp;sourceID=47","")</f>
        <v/>
      </c>
    </row>
    <row r="175" spans="1:22">
      <c r="A175" s="3">
        <v>16</v>
      </c>
      <c r="B175" s="3">
        <v>15</v>
      </c>
      <c r="C175" s="3">
        <v>21</v>
      </c>
      <c r="D175" s="3">
        <v>13</v>
      </c>
      <c r="E175" s="3">
        <f>((1/(INDEX(E0!J$4:J$73,C175,1)-INDEX(E0!J$4:J$73,D175,1))))*100000000</f>
        <v>0</v>
      </c>
      <c r="F175" s="4" t="str">
        <f>HYPERLINK("http://141.218.60.56/~jnz1568/getInfo.php?workbook=16_15.xlsx&amp;sheet=A0&amp;row=175&amp;col=6&amp;number=&amp;sourceID=54","")</f>
        <v/>
      </c>
      <c r="G175" s="4" t="str">
        <f>HYPERLINK("http://141.218.60.56/~jnz1568/getInfo.php?workbook=16_15.xlsx&amp;sheet=A0&amp;row=175&amp;col=7&amp;number=1.5381e-07&amp;sourceID=54","1.5381e-07")</f>
        <v>1.5381e-07</v>
      </c>
      <c r="H175" s="4" t="str">
        <f>HYPERLINK("http://141.218.60.56/~jnz1568/getInfo.php?workbook=16_15.xlsx&amp;sheet=A0&amp;row=175&amp;col=8&amp;number=0.00081432&amp;sourceID=54","0.00081432")</f>
        <v>0.00081432</v>
      </c>
      <c r="I175" s="4" t="str">
        <f>HYPERLINK("http://141.218.60.56/~jnz1568/getInfo.php?workbook=16_15.xlsx&amp;sheet=A0&amp;row=175&amp;col=9&amp;number=&amp;sourceID=54","")</f>
        <v/>
      </c>
      <c r="J175" s="4" t="str">
        <f>HYPERLINK("http://141.218.60.56/~jnz1568/getInfo.php?workbook=16_15.xlsx&amp;sheet=A0&amp;row=175&amp;col=10&amp;number=1.3067e-07&amp;sourceID=54","1.3067e-07")</f>
        <v>1.3067e-07</v>
      </c>
      <c r="K175" s="4" t="str">
        <f>HYPERLINK("http://141.218.60.56/~jnz1568/getInfo.php?workbook=16_15.xlsx&amp;sheet=A0&amp;row=175&amp;col=11&amp;number=0.00012978&amp;sourceID=54","0.00012978")</f>
        <v>0.00012978</v>
      </c>
      <c r="L175" s="4" t="str">
        <f>HYPERLINK("http://141.218.60.56/~jnz1568/getInfo.php?workbook=16_15.xlsx&amp;sheet=A0&amp;row=175&amp;col=12&amp;number=&amp;sourceID=53","")</f>
        <v/>
      </c>
      <c r="M175" s="4" t="str">
        <f>HYPERLINK("http://141.218.60.56/~jnz1568/getInfo.php?workbook=16_15.xlsx&amp;sheet=A0&amp;row=175&amp;col=13&amp;number=&amp;sourceID=53","")</f>
        <v/>
      </c>
      <c r="N175" s="4" t="str">
        <f>HYPERLINK("http://141.218.60.56/~jnz1568/getInfo.php?workbook=16_15.xlsx&amp;sheet=A0&amp;row=175&amp;col=14&amp;number=&amp;sourceID=53","")</f>
        <v/>
      </c>
      <c r="O175" s="4" t="str">
        <f>HYPERLINK("http://141.218.60.56/~jnz1568/getInfo.php?workbook=16_15.xlsx&amp;sheet=A0&amp;row=175&amp;col=15&amp;number=&amp;sourceID=55","")</f>
        <v/>
      </c>
      <c r="P175" s="4" t="str">
        <f>HYPERLINK("http://141.218.60.56/~jnz1568/getInfo.php?workbook=16_15.xlsx&amp;sheet=A0&amp;row=175&amp;col=16&amp;number=&amp;sourceID=55","")</f>
        <v/>
      </c>
      <c r="Q175" s="4" t="str">
        <f>HYPERLINK("http://141.218.60.56/~jnz1568/getInfo.php?workbook=16_15.xlsx&amp;sheet=A0&amp;row=175&amp;col=17&amp;number=&amp;sourceID=56","")</f>
        <v/>
      </c>
      <c r="R175" s="4" t="str">
        <f>HYPERLINK("http://141.218.60.56/~jnz1568/getInfo.php?workbook=16_15.xlsx&amp;sheet=A0&amp;row=175&amp;col=18&amp;number=&amp;sourceID=56","")</f>
        <v/>
      </c>
      <c r="S175" s="4" t="str">
        <f>HYPERLINK("http://141.218.60.56/~jnz1568/getInfo.php?workbook=16_15.xlsx&amp;sheet=A0&amp;row=175&amp;col=19&amp;number=&amp;sourceID=57","")</f>
        <v/>
      </c>
      <c r="T175" s="4" t="str">
        <f>HYPERLINK("http://141.218.60.56/~jnz1568/getInfo.php?workbook=16_15.xlsx&amp;sheet=A0&amp;row=175&amp;col=20&amp;number=&amp;sourceID=57","")</f>
        <v/>
      </c>
      <c r="U175" s="4" t="str">
        <f>HYPERLINK("http://141.218.60.56/~jnz1568/getInfo.php?workbook=16_15.xlsx&amp;sheet=A0&amp;row=175&amp;col=21&amp;number=&amp;sourceID=47","")</f>
        <v/>
      </c>
      <c r="V175" s="4" t="str">
        <f>HYPERLINK("http://141.218.60.56/~jnz1568/getInfo.php?workbook=16_15.xlsx&amp;sheet=A0&amp;row=175&amp;col=22&amp;number=&amp;sourceID=47","")</f>
        <v/>
      </c>
    </row>
    <row r="176" spans="1:22">
      <c r="A176" s="3">
        <v>16</v>
      </c>
      <c r="B176" s="3">
        <v>15</v>
      </c>
      <c r="C176" s="3">
        <v>21</v>
      </c>
      <c r="D176" s="3">
        <v>14</v>
      </c>
      <c r="E176" s="3">
        <f>((1/(INDEX(E0!J$4:J$73,C176,1)-INDEX(E0!J$4:J$73,D176,1))))*100000000</f>
        <v>0</v>
      </c>
      <c r="F176" s="4" t="str">
        <f>HYPERLINK("http://141.218.60.56/~jnz1568/getInfo.php?workbook=16_15.xlsx&amp;sheet=A0&amp;row=176&amp;col=6&amp;number=&amp;sourceID=54","")</f>
        <v/>
      </c>
      <c r="G176" s="4" t="str">
        <f>HYPERLINK("http://141.218.60.56/~jnz1568/getInfo.php?workbook=16_15.xlsx&amp;sheet=A0&amp;row=176&amp;col=7&amp;number=2.2573e-07&amp;sourceID=54","2.2573e-07")</f>
        <v>2.2573e-07</v>
      </c>
      <c r="H176" s="4" t="str">
        <f>HYPERLINK("http://141.218.60.56/~jnz1568/getInfo.php?workbook=16_15.xlsx&amp;sheet=A0&amp;row=176&amp;col=8&amp;number=0.0017138&amp;sourceID=54","0.0017138")</f>
        <v>0.0017138</v>
      </c>
      <c r="I176" s="4" t="str">
        <f>HYPERLINK("http://141.218.60.56/~jnz1568/getInfo.php?workbook=16_15.xlsx&amp;sheet=A0&amp;row=176&amp;col=9&amp;number=&amp;sourceID=54","")</f>
        <v/>
      </c>
      <c r="J176" s="4" t="str">
        <f>HYPERLINK("http://141.218.60.56/~jnz1568/getInfo.php?workbook=16_15.xlsx&amp;sheet=A0&amp;row=176&amp;col=10&amp;number=1.7443e-07&amp;sourceID=54","1.7443e-07")</f>
        <v>1.7443e-07</v>
      </c>
      <c r="K176" s="4" t="str">
        <f>HYPERLINK("http://141.218.60.56/~jnz1568/getInfo.php?workbook=16_15.xlsx&amp;sheet=A0&amp;row=176&amp;col=11&amp;number=0.00037538&amp;sourceID=54","0.00037538")</f>
        <v>0.00037538</v>
      </c>
      <c r="L176" s="4" t="str">
        <f>HYPERLINK("http://141.218.60.56/~jnz1568/getInfo.php?workbook=16_15.xlsx&amp;sheet=A0&amp;row=176&amp;col=12&amp;number=&amp;sourceID=53","")</f>
        <v/>
      </c>
      <c r="M176" s="4" t="str">
        <f>HYPERLINK("http://141.218.60.56/~jnz1568/getInfo.php?workbook=16_15.xlsx&amp;sheet=A0&amp;row=176&amp;col=13&amp;number=&amp;sourceID=53","")</f>
        <v/>
      </c>
      <c r="N176" s="4" t="str">
        <f>HYPERLINK("http://141.218.60.56/~jnz1568/getInfo.php?workbook=16_15.xlsx&amp;sheet=A0&amp;row=176&amp;col=14&amp;number=&amp;sourceID=53","")</f>
        <v/>
      </c>
      <c r="O176" s="4" t="str">
        <f>HYPERLINK("http://141.218.60.56/~jnz1568/getInfo.php?workbook=16_15.xlsx&amp;sheet=A0&amp;row=176&amp;col=15&amp;number=&amp;sourceID=55","")</f>
        <v/>
      </c>
      <c r="P176" s="4" t="str">
        <f>HYPERLINK("http://141.218.60.56/~jnz1568/getInfo.php?workbook=16_15.xlsx&amp;sheet=A0&amp;row=176&amp;col=16&amp;number=&amp;sourceID=55","")</f>
        <v/>
      </c>
      <c r="Q176" s="4" t="str">
        <f>HYPERLINK("http://141.218.60.56/~jnz1568/getInfo.php?workbook=16_15.xlsx&amp;sheet=A0&amp;row=176&amp;col=17&amp;number=&amp;sourceID=56","")</f>
        <v/>
      </c>
      <c r="R176" s="4" t="str">
        <f>HYPERLINK("http://141.218.60.56/~jnz1568/getInfo.php?workbook=16_15.xlsx&amp;sheet=A0&amp;row=176&amp;col=18&amp;number=&amp;sourceID=56","")</f>
        <v/>
      </c>
      <c r="S176" s="4" t="str">
        <f>HYPERLINK("http://141.218.60.56/~jnz1568/getInfo.php?workbook=16_15.xlsx&amp;sheet=A0&amp;row=176&amp;col=19&amp;number=&amp;sourceID=57","")</f>
        <v/>
      </c>
      <c r="T176" s="4" t="str">
        <f>HYPERLINK("http://141.218.60.56/~jnz1568/getInfo.php?workbook=16_15.xlsx&amp;sheet=A0&amp;row=176&amp;col=20&amp;number=&amp;sourceID=57","")</f>
        <v/>
      </c>
      <c r="U176" s="4" t="str">
        <f>HYPERLINK("http://141.218.60.56/~jnz1568/getInfo.php?workbook=16_15.xlsx&amp;sheet=A0&amp;row=176&amp;col=21&amp;number=&amp;sourceID=47","")</f>
        <v/>
      </c>
      <c r="V176" s="4" t="str">
        <f>HYPERLINK("http://141.218.60.56/~jnz1568/getInfo.php?workbook=16_15.xlsx&amp;sheet=A0&amp;row=176&amp;col=22&amp;number=&amp;sourceID=47","")</f>
        <v/>
      </c>
    </row>
    <row r="177" spans="1:22">
      <c r="A177" s="3">
        <v>16</v>
      </c>
      <c r="B177" s="3">
        <v>15</v>
      </c>
      <c r="C177" s="3">
        <v>21</v>
      </c>
      <c r="D177" s="3">
        <v>15</v>
      </c>
      <c r="E177" s="3">
        <f>((1/(INDEX(E0!J$4:J$73,C177,1)-INDEX(E0!J$4:J$73,D177,1))))*100000000</f>
        <v>0</v>
      </c>
      <c r="F177" s="4" t="str">
        <f>HYPERLINK("http://141.218.60.56/~jnz1568/getInfo.php?workbook=16_15.xlsx&amp;sheet=A0&amp;row=177&amp;col=6&amp;number=&amp;sourceID=54","")</f>
        <v/>
      </c>
      <c r="G177" s="4" t="str">
        <f>HYPERLINK("http://141.218.60.56/~jnz1568/getInfo.php?workbook=16_15.xlsx&amp;sheet=A0&amp;row=177&amp;col=7&amp;number=1.7019e-07&amp;sourceID=54","1.7019e-07")</f>
        <v>1.7019e-07</v>
      </c>
      <c r="H177" s="4" t="str">
        <f>HYPERLINK("http://141.218.60.56/~jnz1568/getInfo.php?workbook=16_15.xlsx&amp;sheet=A0&amp;row=177&amp;col=8&amp;number=6.3763e-08&amp;sourceID=54","6.3763e-08")</f>
        <v>6.3763e-08</v>
      </c>
      <c r="I177" s="4" t="str">
        <f>HYPERLINK("http://141.218.60.56/~jnz1568/getInfo.php?workbook=16_15.xlsx&amp;sheet=A0&amp;row=177&amp;col=9&amp;number=&amp;sourceID=54","")</f>
        <v/>
      </c>
      <c r="J177" s="4" t="str">
        <f>HYPERLINK("http://141.218.60.56/~jnz1568/getInfo.php?workbook=16_15.xlsx&amp;sheet=A0&amp;row=177&amp;col=10&amp;number=1.8048e-07&amp;sourceID=54","1.8048e-07")</f>
        <v>1.8048e-07</v>
      </c>
      <c r="K177" s="4" t="str">
        <f>HYPERLINK("http://141.218.60.56/~jnz1568/getInfo.php?workbook=16_15.xlsx&amp;sheet=A0&amp;row=177&amp;col=11&amp;number=1.3398e-07&amp;sourceID=54","1.3398e-07")</f>
        <v>1.3398e-07</v>
      </c>
      <c r="L177" s="4" t="str">
        <f>HYPERLINK("http://141.218.60.56/~jnz1568/getInfo.php?workbook=16_15.xlsx&amp;sheet=A0&amp;row=177&amp;col=12&amp;number=&amp;sourceID=53","")</f>
        <v/>
      </c>
      <c r="M177" s="4" t="str">
        <f>HYPERLINK("http://141.218.60.56/~jnz1568/getInfo.php?workbook=16_15.xlsx&amp;sheet=A0&amp;row=177&amp;col=13&amp;number=&amp;sourceID=53","")</f>
        <v/>
      </c>
      <c r="N177" s="4" t="str">
        <f>HYPERLINK("http://141.218.60.56/~jnz1568/getInfo.php?workbook=16_15.xlsx&amp;sheet=A0&amp;row=177&amp;col=14&amp;number=&amp;sourceID=53","")</f>
        <v/>
      </c>
      <c r="O177" s="4" t="str">
        <f>HYPERLINK("http://141.218.60.56/~jnz1568/getInfo.php?workbook=16_15.xlsx&amp;sheet=A0&amp;row=177&amp;col=15&amp;number=&amp;sourceID=55","")</f>
        <v/>
      </c>
      <c r="P177" s="4" t="str">
        <f>HYPERLINK("http://141.218.60.56/~jnz1568/getInfo.php?workbook=16_15.xlsx&amp;sheet=A0&amp;row=177&amp;col=16&amp;number=&amp;sourceID=55","")</f>
        <v/>
      </c>
      <c r="Q177" s="4" t="str">
        <f>HYPERLINK("http://141.218.60.56/~jnz1568/getInfo.php?workbook=16_15.xlsx&amp;sheet=A0&amp;row=177&amp;col=17&amp;number=&amp;sourceID=56","")</f>
        <v/>
      </c>
      <c r="R177" s="4" t="str">
        <f>HYPERLINK("http://141.218.60.56/~jnz1568/getInfo.php?workbook=16_15.xlsx&amp;sheet=A0&amp;row=177&amp;col=18&amp;number=&amp;sourceID=56","")</f>
        <v/>
      </c>
      <c r="S177" s="4" t="str">
        <f>HYPERLINK("http://141.218.60.56/~jnz1568/getInfo.php?workbook=16_15.xlsx&amp;sheet=A0&amp;row=177&amp;col=19&amp;number=&amp;sourceID=57","")</f>
        <v/>
      </c>
      <c r="T177" s="4" t="str">
        <f>HYPERLINK("http://141.218.60.56/~jnz1568/getInfo.php?workbook=16_15.xlsx&amp;sheet=A0&amp;row=177&amp;col=20&amp;number=&amp;sourceID=57","")</f>
        <v/>
      </c>
      <c r="U177" s="4" t="str">
        <f>HYPERLINK("http://141.218.60.56/~jnz1568/getInfo.php?workbook=16_15.xlsx&amp;sheet=A0&amp;row=177&amp;col=21&amp;number=&amp;sourceID=47","")</f>
        <v/>
      </c>
      <c r="V177" s="4" t="str">
        <f>HYPERLINK("http://141.218.60.56/~jnz1568/getInfo.php?workbook=16_15.xlsx&amp;sheet=A0&amp;row=177&amp;col=22&amp;number=&amp;sourceID=47","")</f>
        <v/>
      </c>
    </row>
    <row r="178" spans="1:22">
      <c r="A178" s="3">
        <v>16</v>
      </c>
      <c r="B178" s="3">
        <v>15</v>
      </c>
      <c r="C178" s="3">
        <v>21</v>
      </c>
      <c r="D178" s="3">
        <v>16</v>
      </c>
      <c r="E178" s="3">
        <f>((1/(INDEX(E0!J$4:J$73,C178,1)-INDEX(E0!J$4:J$73,D178,1))))*100000000</f>
        <v>0</v>
      </c>
      <c r="F178" s="4" t="str">
        <f>HYPERLINK("http://141.218.60.56/~jnz1568/getInfo.php?workbook=16_15.xlsx&amp;sheet=A0&amp;row=178&amp;col=6&amp;number=&amp;sourceID=54","")</f>
        <v/>
      </c>
      <c r="G178" s="4" t="str">
        <f>HYPERLINK("http://141.218.60.56/~jnz1568/getInfo.php?workbook=16_15.xlsx&amp;sheet=A0&amp;row=178&amp;col=7&amp;number=6.7765e-09&amp;sourceID=54","6.7765e-09")</f>
        <v>6.7765e-09</v>
      </c>
      <c r="H178" s="4" t="str">
        <f>HYPERLINK("http://141.218.60.56/~jnz1568/getInfo.php?workbook=16_15.xlsx&amp;sheet=A0&amp;row=178&amp;col=8&amp;number=0.0019727&amp;sourceID=54","0.0019727")</f>
        <v>0.0019727</v>
      </c>
      <c r="I178" s="4" t="str">
        <f>HYPERLINK("http://141.218.60.56/~jnz1568/getInfo.php?workbook=16_15.xlsx&amp;sheet=A0&amp;row=178&amp;col=9&amp;number=&amp;sourceID=54","")</f>
        <v/>
      </c>
      <c r="J178" s="4" t="str">
        <f>HYPERLINK("http://141.218.60.56/~jnz1568/getInfo.php?workbook=16_15.xlsx&amp;sheet=A0&amp;row=178&amp;col=10&amp;number=1.3505e-09&amp;sourceID=54","1.3505e-09")</f>
        <v>1.3505e-09</v>
      </c>
      <c r="K178" s="4" t="str">
        <f>HYPERLINK("http://141.218.60.56/~jnz1568/getInfo.php?workbook=16_15.xlsx&amp;sheet=A0&amp;row=178&amp;col=11&amp;number=0.001044&amp;sourceID=54","0.001044")</f>
        <v>0.001044</v>
      </c>
      <c r="L178" s="4" t="str">
        <f>HYPERLINK("http://141.218.60.56/~jnz1568/getInfo.php?workbook=16_15.xlsx&amp;sheet=A0&amp;row=178&amp;col=12&amp;number=&amp;sourceID=53","")</f>
        <v/>
      </c>
      <c r="M178" s="4" t="str">
        <f>HYPERLINK("http://141.218.60.56/~jnz1568/getInfo.php?workbook=16_15.xlsx&amp;sheet=A0&amp;row=178&amp;col=13&amp;number=&amp;sourceID=53","")</f>
        <v/>
      </c>
      <c r="N178" s="4" t="str">
        <f>HYPERLINK("http://141.218.60.56/~jnz1568/getInfo.php?workbook=16_15.xlsx&amp;sheet=A0&amp;row=178&amp;col=14&amp;number=&amp;sourceID=53","")</f>
        <v/>
      </c>
      <c r="O178" s="4" t="str">
        <f>HYPERLINK("http://141.218.60.56/~jnz1568/getInfo.php?workbook=16_15.xlsx&amp;sheet=A0&amp;row=178&amp;col=15&amp;number=&amp;sourceID=55","")</f>
        <v/>
      </c>
      <c r="P178" s="4" t="str">
        <f>HYPERLINK("http://141.218.60.56/~jnz1568/getInfo.php?workbook=16_15.xlsx&amp;sheet=A0&amp;row=178&amp;col=16&amp;number=&amp;sourceID=55","")</f>
        <v/>
      </c>
      <c r="Q178" s="4" t="str">
        <f>HYPERLINK("http://141.218.60.56/~jnz1568/getInfo.php?workbook=16_15.xlsx&amp;sheet=A0&amp;row=178&amp;col=17&amp;number=&amp;sourceID=56","")</f>
        <v/>
      </c>
      <c r="R178" s="4" t="str">
        <f>HYPERLINK("http://141.218.60.56/~jnz1568/getInfo.php?workbook=16_15.xlsx&amp;sheet=A0&amp;row=178&amp;col=18&amp;number=&amp;sourceID=56","")</f>
        <v/>
      </c>
      <c r="S178" s="4" t="str">
        <f>HYPERLINK("http://141.218.60.56/~jnz1568/getInfo.php?workbook=16_15.xlsx&amp;sheet=A0&amp;row=178&amp;col=19&amp;number=&amp;sourceID=57","")</f>
        <v/>
      </c>
      <c r="T178" s="4" t="str">
        <f>HYPERLINK("http://141.218.60.56/~jnz1568/getInfo.php?workbook=16_15.xlsx&amp;sheet=A0&amp;row=178&amp;col=20&amp;number=&amp;sourceID=57","")</f>
        <v/>
      </c>
      <c r="U178" s="4" t="str">
        <f>HYPERLINK("http://141.218.60.56/~jnz1568/getInfo.php?workbook=16_15.xlsx&amp;sheet=A0&amp;row=178&amp;col=21&amp;number=&amp;sourceID=47","")</f>
        <v/>
      </c>
      <c r="V178" s="4" t="str">
        <f>HYPERLINK("http://141.218.60.56/~jnz1568/getInfo.php?workbook=16_15.xlsx&amp;sheet=A0&amp;row=178&amp;col=22&amp;number=&amp;sourceID=47","")</f>
        <v/>
      </c>
    </row>
    <row r="179" spans="1:22">
      <c r="A179" s="3">
        <v>16</v>
      </c>
      <c r="B179" s="3">
        <v>15</v>
      </c>
      <c r="C179" s="3">
        <v>21</v>
      </c>
      <c r="D179" s="3">
        <v>17</v>
      </c>
      <c r="E179" s="3">
        <f>((1/(INDEX(E0!J$4:J$73,C179,1)-INDEX(E0!J$4:J$73,D179,1))))*100000000</f>
        <v>0</v>
      </c>
      <c r="F179" s="4" t="str">
        <f>HYPERLINK("http://141.218.60.56/~jnz1568/getInfo.php?workbook=16_15.xlsx&amp;sheet=A0&amp;row=179&amp;col=6&amp;number=&amp;sourceID=54","")</f>
        <v/>
      </c>
      <c r="G179" s="4" t="str">
        <f>HYPERLINK("http://141.218.60.56/~jnz1568/getInfo.php?workbook=16_15.xlsx&amp;sheet=A0&amp;row=179&amp;col=7&amp;number=5.8321e-07&amp;sourceID=54","5.8321e-07")</f>
        <v>5.8321e-07</v>
      </c>
      <c r="H179" s="4" t="str">
        <f>HYPERLINK("http://141.218.60.56/~jnz1568/getInfo.php?workbook=16_15.xlsx&amp;sheet=A0&amp;row=179&amp;col=8&amp;number=6.8949e-08&amp;sourceID=54","6.8949e-08")</f>
        <v>6.8949e-08</v>
      </c>
      <c r="I179" s="4" t="str">
        <f>HYPERLINK("http://141.218.60.56/~jnz1568/getInfo.php?workbook=16_15.xlsx&amp;sheet=A0&amp;row=179&amp;col=9&amp;number=&amp;sourceID=54","")</f>
        <v/>
      </c>
      <c r="J179" s="4" t="str">
        <f>HYPERLINK("http://141.218.60.56/~jnz1568/getInfo.php?workbook=16_15.xlsx&amp;sheet=A0&amp;row=179&amp;col=10&amp;number=7.0865e-07&amp;sourceID=54","7.0865e-07")</f>
        <v>7.0865e-07</v>
      </c>
      <c r="K179" s="4" t="str">
        <f>HYPERLINK("http://141.218.60.56/~jnz1568/getInfo.php?workbook=16_15.xlsx&amp;sheet=A0&amp;row=179&amp;col=11&amp;number=3.6258e-07&amp;sourceID=54","3.6258e-07")</f>
        <v>3.6258e-07</v>
      </c>
      <c r="L179" s="4" t="str">
        <f>HYPERLINK("http://141.218.60.56/~jnz1568/getInfo.php?workbook=16_15.xlsx&amp;sheet=A0&amp;row=179&amp;col=12&amp;number=&amp;sourceID=53","")</f>
        <v/>
      </c>
      <c r="M179" s="4" t="str">
        <f>HYPERLINK("http://141.218.60.56/~jnz1568/getInfo.php?workbook=16_15.xlsx&amp;sheet=A0&amp;row=179&amp;col=13&amp;number=&amp;sourceID=53","")</f>
        <v/>
      </c>
      <c r="N179" s="4" t="str">
        <f>HYPERLINK("http://141.218.60.56/~jnz1568/getInfo.php?workbook=16_15.xlsx&amp;sheet=A0&amp;row=179&amp;col=14&amp;number=&amp;sourceID=53","")</f>
        <v/>
      </c>
      <c r="O179" s="4" t="str">
        <f>HYPERLINK("http://141.218.60.56/~jnz1568/getInfo.php?workbook=16_15.xlsx&amp;sheet=A0&amp;row=179&amp;col=15&amp;number=&amp;sourceID=55","")</f>
        <v/>
      </c>
      <c r="P179" s="4" t="str">
        <f>HYPERLINK("http://141.218.60.56/~jnz1568/getInfo.php?workbook=16_15.xlsx&amp;sheet=A0&amp;row=179&amp;col=16&amp;number=&amp;sourceID=55","")</f>
        <v/>
      </c>
      <c r="Q179" s="4" t="str">
        <f>HYPERLINK("http://141.218.60.56/~jnz1568/getInfo.php?workbook=16_15.xlsx&amp;sheet=A0&amp;row=179&amp;col=17&amp;number=&amp;sourceID=56","")</f>
        <v/>
      </c>
      <c r="R179" s="4" t="str">
        <f>HYPERLINK("http://141.218.60.56/~jnz1568/getInfo.php?workbook=16_15.xlsx&amp;sheet=A0&amp;row=179&amp;col=18&amp;number=&amp;sourceID=56","")</f>
        <v/>
      </c>
      <c r="S179" s="4" t="str">
        <f>HYPERLINK("http://141.218.60.56/~jnz1568/getInfo.php?workbook=16_15.xlsx&amp;sheet=A0&amp;row=179&amp;col=19&amp;number=&amp;sourceID=57","")</f>
        <v/>
      </c>
      <c r="T179" s="4" t="str">
        <f>HYPERLINK("http://141.218.60.56/~jnz1568/getInfo.php?workbook=16_15.xlsx&amp;sheet=A0&amp;row=179&amp;col=20&amp;number=&amp;sourceID=57","")</f>
        <v/>
      </c>
      <c r="U179" s="4" t="str">
        <f>HYPERLINK("http://141.218.60.56/~jnz1568/getInfo.php?workbook=16_15.xlsx&amp;sheet=A0&amp;row=179&amp;col=21&amp;number=&amp;sourceID=47","")</f>
        <v/>
      </c>
      <c r="V179" s="4" t="str">
        <f>HYPERLINK("http://141.218.60.56/~jnz1568/getInfo.php?workbook=16_15.xlsx&amp;sheet=A0&amp;row=179&amp;col=22&amp;number=&amp;sourceID=47","")</f>
        <v/>
      </c>
    </row>
    <row r="180" spans="1:22">
      <c r="A180" s="3">
        <v>16</v>
      </c>
      <c r="B180" s="3">
        <v>15</v>
      </c>
      <c r="C180" s="3">
        <v>21</v>
      </c>
      <c r="D180" s="3">
        <v>18</v>
      </c>
      <c r="E180" s="3">
        <f>((1/(INDEX(E0!J$4:J$73,C180,1)-INDEX(E0!J$4:J$73,D180,1))))*100000000</f>
        <v>0</v>
      </c>
      <c r="F180" s="4" t="str">
        <f>HYPERLINK("http://141.218.60.56/~jnz1568/getInfo.php?workbook=16_15.xlsx&amp;sheet=A0&amp;row=180&amp;col=6&amp;number=&amp;sourceID=54","")</f>
        <v/>
      </c>
      <c r="G180" s="4" t="str">
        <f>HYPERLINK("http://141.218.60.56/~jnz1568/getInfo.php?workbook=16_15.xlsx&amp;sheet=A0&amp;row=180&amp;col=7&amp;number=7.2647e-07&amp;sourceID=54","7.2647e-07")</f>
        <v>7.2647e-07</v>
      </c>
      <c r="H180" s="4" t="str">
        <f>HYPERLINK("http://141.218.60.56/~jnz1568/getInfo.php?workbook=16_15.xlsx&amp;sheet=A0&amp;row=180&amp;col=8&amp;number=&amp;sourceID=54","")</f>
        <v/>
      </c>
      <c r="I180" s="4" t="str">
        <f>HYPERLINK("http://141.218.60.56/~jnz1568/getInfo.php?workbook=16_15.xlsx&amp;sheet=A0&amp;row=180&amp;col=9&amp;number=&amp;sourceID=54","")</f>
        <v/>
      </c>
      <c r="J180" s="4" t="str">
        <f>HYPERLINK("http://141.218.60.56/~jnz1568/getInfo.php?workbook=16_15.xlsx&amp;sheet=A0&amp;row=180&amp;col=10&amp;number=9.6641e-07&amp;sourceID=54","9.6641e-07")</f>
        <v>9.6641e-07</v>
      </c>
      <c r="K180" s="4" t="str">
        <f>HYPERLINK("http://141.218.60.56/~jnz1568/getInfo.php?workbook=16_15.xlsx&amp;sheet=A0&amp;row=180&amp;col=11&amp;number=&amp;sourceID=54","")</f>
        <v/>
      </c>
      <c r="L180" s="4" t="str">
        <f>HYPERLINK("http://141.218.60.56/~jnz1568/getInfo.php?workbook=16_15.xlsx&amp;sheet=A0&amp;row=180&amp;col=12&amp;number=&amp;sourceID=53","")</f>
        <v/>
      </c>
      <c r="M180" s="4" t="str">
        <f>HYPERLINK("http://141.218.60.56/~jnz1568/getInfo.php?workbook=16_15.xlsx&amp;sheet=A0&amp;row=180&amp;col=13&amp;number=&amp;sourceID=53","")</f>
        <v/>
      </c>
      <c r="N180" s="4" t="str">
        <f>HYPERLINK("http://141.218.60.56/~jnz1568/getInfo.php?workbook=16_15.xlsx&amp;sheet=A0&amp;row=180&amp;col=14&amp;number=&amp;sourceID=53","")</f>
        <v/>
      </c>
      <c r="O180" s="4" t="str">
        <f>HYPERLINK("http://141.218.60.56/~jnz1568/getInfo.php?workbook=16_15.xlsx&amp;sheet=A0&amp;row=180&amp;col=15&amp;number=&amp;sourceID=55","")</f>
        <v/>
      </c>
      <c r="P180" s="4" t="str">
        <f>HYPERLINK("http://141.218.60.56/~jnz1568/getInfo.php?workbook=16_15.xlsx&amp;sheet=A0&amp;row=180&amp;col=16&amp;number=&amp;sourceID=55","")</f>
        <v/>
      </c>
      <c r="Q180" s="4" t="str">
        <f>HYPERLINK("http://141.218.60.56/~jnz1568/getInfo.php?workbook=16_15.xlsx&amp;sheet=A0&amp;row=180&amp;col=17&amp;number=&amp;sourceID=56","")</f>
        <v/>
      </c>
      <c r="R180" s="4" t="str">
        <f>HYPERLINK("http://141.218.60.56/~jnz1568/getInfo.php?workbook=16_15.xlsx&amp;sheet=A0&amp;row=180&amp;col=18&amp;number=&amp;sourceID=56","")</f>
        <v/>
      </c>
      <c r="S180" s="4" t="str">
        <f>HYPERLINK("http://141.218.60.56/~jnz1568/getInfo.php?workbook=16_15.xlsx&amp;sheet=A0&amp;row=180&amp;col=19&amp;number=&amp;sourceID=57","")</f>
        <v/>
      </c>
      <c r="T180" s="4" t="str">
        <f>HYPERLINK("http://141.218.60.56/~jnz1568/getInfo.php?workbook=16_15.xlsx&amp;sheet=A0&amp;row=180&amp;col=20&amp;number=&amp;sourceID=57","")</f>
        <v/>
      </c>
      <c r="U180" s="4" t="str">
        <f>HYPERLINK("http://141.218.60.56/~jnz1568/getInfo.php?workbook=16_15.xlsx&amp;sheet=A0&amp;row=180&amp;col=21&amp;number=&amp;sourceID=47","")</f>
        <v/>
      </c>
      <c r="V180" s="4" t="str">
        <f>HYPERLINK("http://141.218.60.56/~jnz1568/getInfo.php?workbook=16_15.xlsx&amp;sheet=A0&amp;row=180&amp;col=22&amp;number=&amp;sourceID=47","")</f>
        <v/>
      </c>
    </row>
    <row r="181" spans="1:22">
      <c r="A181" s="3">
        <v>16</v>
      </c>
      <c r="B181" s="3">
        <v>15</v>
      </c>
      <c r="C181" s="3">
        <v>21</v>
      </c>
      <c r="D181" s="3">
        <v>20</v>
      </c>
      <c r="E181" s="3">
        <f>((1/(INDEX(E0!J$4:J$73,C181,1)-INDEX(E0!J$4:J$73,D181,1))))*100000000</f>
        <v>0</v>
      </c>
      <c r="F181" s="4" t="str">
        <f>HYPERLINK("http://141.218.60.56/~jnz1568/getInfo.php?workbook=16_15.xlsx&amp;sheet=A0&amp;row=181&amp;col=6&amp;number=&amp;sourceID=54","")</f>
        <v/>
      </c>
      <c r="G181" s="4" t="str">
        <f>HYPERLINK("http://141.218.60.56/~jnz1568/getInfo.php?workbook=16_15.xlsx&amp;sheet=A0&amp;row=181&amp;col=7&amp;number=9.9767e-10&amp;sourceID=54","9.9767e-10")</f>
        <v>9.9767e-10</v>
      </c>
      <c r="H181" s="4" t="str">
        <f>HYPERLINK("http://141.218.60.56/~jnz1568/getInfo.php?workbook=16_15.xlsx&amp;sheet=A0&amp;row=181&amp;col=8&amp;number=0.0009085&amp;sourceID=54","0.0009085")</f>
        <v>0.0009085</v>
      </c>
      <c r="I181" s="4" t="str">
        <f>HYPERLINK("http://141.218.60.56/~jnz1568/getInfo.php?workbook=16_15.xlsx&amp;sheet=A0&amp;row=181&amp;col=9&amp;number=&amp;sourceID=54","")</f>
        <v/>
      </c>
      <c r="J181" s="4" t="str">
        <f>HYPERLINK("http://141.218.60.56/~jnz1568/getInfo.php?workbook=16_15.xlsx&amp;sheet=A0&amp;row=181&amp;col=10&amp;number=9.6898e-10&amp;sourceID=54","9.6898e-10")</f>
        <v>9.6898e-10</v>
      </c>
      <c r="K181" s="4" t="str">
        <f>HYPERLINK("http://141.218.60.56/~jnz1568/getInfo.php?workbook=16_15.xlsx&amp;sheet=A0&amp;row=181&amp;col=11&amp;number=0.00089478&amp;sourceID=54","0.00089478")</f>
        <v>0.00089478</v>
      </c>
      <c r="L181" s="4" t="str">
        <f>HYPERLINK("http://141.218.60.56/~jnz1568/getInfo.php?workbook=16_15.xlsx&amp;sheet=A0&amp;row=181&amp;col=12&amp;number=&amp;sourceID=53","")</f>
        <v/>
      </c>
      <c r="M181" s="4" t="str">
        <f>HYPERLINK("http://141.218.60.56/~jnz1568/getInfo.php?workbook=16_15.xlsx&amp;sheet=A0&amp;row=181&amp;col=13&amp;number=&amp;sourceID=53","")</f>
        <v/>
      </c>
      <c r="N181" s="4" t="str">
        <f>HYPERLINK("http://141.218.60.56/~jnz1568/getInfo.php?workbook=16_15.xlsx&amp;sheet=A0&amp;row=181&amp;col=14&amp;number=&amp;sourceID=53","")</f>
        <v/>
      </c>
      <c r="O181" s="4" t="str">
        <f>HYPERLINK("http://141.218.60.56/~jnz1568/getInfo.php?workbook=16_15.xlsx&amp;sheet=A0&amp;row=181&amp;col=15&amp;number=&amp;sourceID=55","")</f>
        <v/>
      </c>
      <c r="P181" s="4" t="str">
        <f>HYPERLINK("http://141.218.60.56/~jnz1568/getInfo.php?workbook=16_15.xlsx&amp;sheet=A0&amp;row=181&amp;col=16&amp;number=&amp;sourceID=55","")</f>
        <v/>
      </c>
      <c r="Q181" s="4" t="str">
        <f>HYPERLINK("http://141.218.60.56/~jnz1568/getInfo.php?workbook=16_15.xlsx&amp;sheet=A0&amp;row=181&amp;col=17&amp;number=&amp;sourceID=56","")</f>
        <v/>
      </c>
      <c r="R181" s="4" t="str">
        <f>HYPERLINK("http://141.218.60.56/~jnz1568/getInfo.php?workbook=16_15.xlsx&amp;sheet=A0&amp;row=181&amp;col=18&amp;number=&amp;sourceID=56","")</f>
        <v/>
      </c>
      <c r="S181" s="4" t="str">
        <f>HYPERLINK("http://141.218.60.56/~jnz1568/getInfo.php?workbook=16_15.xlsx&amp;sheet=A0&amp;row=181&amp;col=19&amp;number=&amp;sourceID=57","")</f>
        <v/>
      </c>
      <c r="T181" s="4" t="str">
        <f>HYPERLINK("http://141.218.60.56/~jnz1568/getInfo.php?workbook=16_15.xlsx&amp;sheet=A0&amp;row=181&amp;col=20&amp;number=&amp;sourceID=57","")</f>
        <v/>
      </c>
      <c r="U181" s="4" t="str">
        <f>HYPERLINK("http://141.218.60.56/~jnz1568/getInfo.php?workbook=16_15.xlsx&amp;sheet=A0&amp;row=181&amp;col=21&amp;number=&amp;sourceID=47","")</f>
        <v/>
      </c>
      <c r="V181" s="4" t="str">
        <f>HYPERLINK("http://141.218.60.56/~jnz1568/getInfo.php?workbook=16_15.xlsx&amp;sheet=A0&amp;row=181&amp;col=22&amp;number=&amp;sourceID=47","")</f>
        <v/>
      </c>
    </row>
    <row r="182" spans="1:22">
      <c r="A182" s="3">
        <v>16</v>
      </c>
      <c r="B182" s="3">
        <v>15</v>
      </c>
      <c r="C182" s="3">
        <v>22</v>
      </c>
      <c r="D182" s="3">
        <v>1</v>
      </c>
      <c r="E182" s="3">
        <f>((1/(INDEX(E0!J$4:J$73,C182,1)-INDEX(E0!J$4:J$73,D182,1))))*100000000</f>
        <v>0</v>
      </c>
      <c r="F182" s="4" t="str">
        <f>HYPERLINK("http://141.218.60.56/~jnz1568/getInfo.php?workbook=16_15.xlsx&amp;sheet=A0&amp;row=182&amp;col=6&amp;number=192510&amp;sourceID=54","192510")</f>
        <v>192510</v>
      </c>
      <c r="G182" s="4" t="str">
        <f>HYPERLINK("http://141.218.60.56/~jnz1568/getInfo.php?workbook=16_15.xlsx&amp;sheet=A0&amp;row=182&amp;col=7&amp;number=&amp;sourceID=54","")</f>
        <v/>
      </c>
      <c r="H182" s="4" t="str">
        <f>HYPERLINK("http://141.218.60.56/~jnz1568/getInfo.php?workbook=16_15.xlsx&amp;sheet=A0&amp;row=182&amp;col=8&amp;number=&amp;sourceID=54","")</f>
        <v/>
      </c>
      <c r="I182" s="4" t="str">
        <f>HYPERLINK("http://141.218.60.56/~jnz1568/getInfo.php?workbook=16_15.xlsx&amp;sheet=A0&amp;row=182&amp;col=9&amp;number=177060&amp;sourceID=54","177060")</f>
        <v>177060</v>
      </c>
      <c r="J182" s="4" t="str">
        <f>HYPERLINK("http://141.218.60.56/~jnz1568/getInfo.php?workbook=16_15.xlsx&amp;sheet=A0&amp;row=182&amp;col=10&amp;number=&amp;sourceID=54","")</f>
        <v/>
      </c>
      <c r="K182" s="4" t="str">
        <f>HYPERLINK("http://141.218.60.56/~jnz1568/getInfo.php?workbook=16_15.xlsx&amp;sheet=A0&amp;row=182&amp;col=11&amp;number=&amp;sourceID=54","")</f>
        <v/>
      </c>
      <c r="L182" s="4" t="str">
        <f>HYPERLINK("http://141.218.60.56/~jnz1568/getInfo.php?workbook=16_15.xlsx&amp;sheet=A0&amp;row=182&amp;col=12&amp;number=212531.784615&amp;sourceID=53","212531.784615")</f>
        <v>212531.784615</v>
      </c>
      <c r="M182" s="4" t="str">
        <f>HYPERLINK("http://141.218.60.56/~jnz1568/getInfo.php?workbook=16_15.xlsx&amp;sheet=A0&amp;row=182&amp;col=13&amp;number=&amp;sourceID=53","")</f>
        <v/>
      </c>
      <c r="N182" s="4" t="str">
        <f>HYPERLINK("http://141.218.60.56/~jnz1568/getInfo.php?workbook=16_15.xlsx&amp;sheet=A0&amp;row=182&amp;col=14&amp;number=&amp;sourceID=53","")</f>
        <v/>
      </c>
      <c r="O182" s="4" t="str">
        <f>HYPERLINK("http://141.218.60.56/~jnz1568/getInfo.php?workbook=16_15.xlsx&amp;sheet=A0&amp;row=182&amp;col=15&amp;number=&amp;sourceID=55","")</f>
        <v/>
      </c>
      <c r="P182" s="4" t="str">
        <f>HYPERLINK("http://141.218.60.56/~jnz1568/getInfo.php?workbook=16_15.xlsx&amp;sheet=A0&amp;row=182&amp;col=16&amp;number=&amp;sourceID=55","")</f>
        <v/>
      </c>
      <c r="Q182" s="4" t="str">
        <f>HYPERLINK("http://141.218.60.56/~jnz1568/getInfo.php?workbook=16_15.xlsx&amp;sheet=A0&amp;row=182&amp;col=17&amp;number=&amp;sourceID=56","")</f>
        <v/>
      </c>
      <c r="R182" s="4" t="str">
        <f>HYPERLINK("http://141.218.60.56/~jnz1568/getInfo.php?workbook=16_15.xlsx&amp;sheet=A0&amp;row=182&amp;col=18&amp;number=&amp;sourceID=56","")</f>
        <v/>
      </c>
      <c r="S182" s="4" t="str">
        <f>HYPERLINK("http://141.218.60.56/~jnz1568/getInfo.php?workbook=16_15.xlsx&amp;sheet=A0&amp;row=182&amp;col=19&amp;number=&amp;sourceID=57","")</f>
        <v/>
      </c>
      <c r="T182" s="4" t="str">
        <f>HYPERLINK("http://141.218.60.56/~jnz1568/getInfo.php?workbook=16_15.xlsx&amp;sheet=A0&amp;row=182&amp;col=20&amp;number=&amp;sourceID=57","")</f>
        <v/>
      </c>
      <c r="U182" s="4" t="str">
        <f>HYPERLINK("http://141.218.60.56/~jnz1568/getInfo.php?workbook=16_15.xlsx&amp;sheet=A0&amp;row=182&amp;col=21&amp;number=&amp;sourceID=47","")</f>
        <v/>
      </c>
      <c r="V182" s="4" t="str">
        <f>HYPERLINK("http://141.218.60.56/~jnz1568/getInfo.php?workbook=16_15.xlsx&amp;sheet=A0&amp;row=182&amp;col=22&amp;number=&amp;sourceID=47","")</f>
        <v/>
      </c>
    </row>
    <row r="183" spans="1:22">
      <c r="A183" s="3">
        <v>16</v>
      </c>
      <c r="B183" s="3">
        <v>15</v>
      </c>
      <c r="C183" s="3">
        <v>22</v>
      </c>
      <c r="D183" s="3">
        <v>2</v>
      </c>
      <c r="E183" s="3">
        <f>((1/(INDEX(E0!J$4:J$73,C183,1)-INDEX(E0!J$4:J$73,D183,1))))*100000000</f>
        <v>0</v>
      </c>
      <c r="F183" s="4" t="str">
        <f>HYPERLINK("http://141.218.60.56/~jnz1568/getInfo.php?workbook=16_15.xlsx&amp;sheet=A0&amp;row=183&amp;col=6&amp;number=226370&amp;sourceID=54","226370")</f>
        <v>226370</v>
      </c>
      <c r="G183" s="4" t="str">
        <f>HYPERLINK("http://141.218.60.56/~jnz1568/getInfo.php?workbook=16_15.xlsx&amp;sheet=A0&amp;row=183&amp;col=7&amp;number=&amp;sourceID=54","")</f>
        <v/>
      </c>
      <c r="H183" s="4" t="str">
        <f>HYPERLINK("http://141.218.60.56/~jnz1568/getInfo.php?workbook=16_15.xlsx&amp;sheet=A0&amp;row=183&amp;col=8&amp;number=&amp;sourceID=54","")</f>
        <v/>
      </c>
      <c r="I183" s="4" t="str">
        <f>HYPERLINK("http://141.218.60.56/~jnz1568/getInfo.php?workbook=16_15.xlsx&amp;sheet=A0&amp;row=183&amp;col=9&amp;number=228850&amp;sourceID=54","228850")</f>
        <v>228850</v>
      </c>
      <c r="J183" s="4" t="str">
        <f>HYPERLINK("http://141.218.60.56/~jnz1568/getInfo.php?workbook=16_15.xlsx&amp;sheet=A0&amp;row=183&amp;col=10&amp;number=&amp;sourceID=54","")</f>
        <v/>
      </c>
      <c r="K183" s="4" t="str">
        <f>HYPERLINK("http://141.218.60.56/~jnz1568/getInfo.php?workbook=16_15.xlsx&amp;sheet=A0&amp;row=183&amp;col=11&amp;number=&amp;sourceID=54","")</f>
        <v/>
      </c>
      <c r="L183" s="4" t="str">
        <f>HYPERLINK("http://141.218.60.56/~jnz1568/getInfo.php?workbook=16_15.xlsx&amp;sheet=A0&amp;row=183&amp;col=12&amp;number=185544.806474&amp;sourceID=53","185544.806474")</f>
        <v>185544.806474</v>
      </c>
      <c r="M183" s="4" t="str">
        <f>HYPERLINK("http://141.218.60.56/~jnz1568/getInfo.php?workbook=16_15.xlsx&amp;sheet=A0&amp;row=183&amp;col=13&amp;number=&amp;sourceID=53","")</f>
        <v/>
      </c>
      <c r="N183" s="4" t="str">
        <f>HYPERLINK("http://141.218.60.56/~jnz1568/getInfo.php?workbook=16_15.xlsx&amp;sheet=A0&amp;row=183&amp;col=14&amp;number=&amp;sourceID=53","")</f>
        <v/>
      </c>
      <c r="O183" s="4" t="str">
        <f>HYPERLINK("http://141.218.60.56/~jnz1568/getInfo.php?workbook=16_15.xlsx&amp;sheet=A0&amp;row=183&amp;col=15&amp;number=&amp;sourceID=55","")</f>
        <v/>
      </c>
      <c r="P183" s="4" t="str">
        <f>HYPERLINK("http://141.218.60.56/~jnz1568/getInfo.php?workbook=16_15.xlsx&amp;sheet=A0&amp;row=183&amp;col=16&amp;number=&amp;sourceID=55","")</f>
        <v/>
      </c>
      <c r="Q183" s="4" t="str">
        <f>HYPERLINK("http://141.218.60.56/~jnz1568/getInfo.php?workbook=16_15.xlsx&amp;sheet=A0&amp;row=183&amp;col=17&amp;number=&amp;sourceID=56","")</f>
        <v/>
      </c>
      <c r="R183" s="4" t="str">
        <f>HYPERLINK("http://141.218.60.56/~jnz1568/getInfo.php?workbook=16_15.xlsx&amp;sheet=A0&amp;row=183&amp;col=18&amp;number=&amp;sourceID=56","")</f>
        <v/>
      </c>
      <c r="S183" s="4" t="str">
        <f>HYPERLINK("http://141.218.60.56/~jnz1568/getInfo.php?workbook=16_15.xlsx&amp;sheet=A0&amp;row=183&amp;col=19&amp;number=&amp;sourceID=57","")</f>
        <v/>
      </c>
      <c r="T183" s="4" t="str">
        <f>HYPERLINK("http://141.218.60.56/~jnz1568/getInfo.php?workbook=16_15.xlsx&amp;sheet=A0&amp;row=183&amp;col=20&amp;number=&amp;sourceID=57","")</f>
        <v/>
      </c>
      <c r="U183" s="4" t="str">
        <f>HYPERLINK("http://141.218.60.56/~jnz1568/getInfo.php?workbook=16_15.xlsx&amp;sheet=A0&amp;row=183&amp;col=21&amp;number=&amp;sourceID=47","")</f>
        <v/>
      </c>
      <c r="V183" s="4" t="str">
        <f>HYPERLINK("http://141.218.60.56/~jnz1568/getInfo.php?workbook=16_15.xlsx&amp;sheet=A0&amp;row=183&amp;col=22&amp;number=&amp;sourceID=47","")</f>
        <v/>
      </c>
    </row>
    <row r="184" spans="1:22">
      <c r="A184" s="3">
        <v>16</v>
      </c>
      <c r="B184" s="3">
        <v>15</v>
      </c>
      <c r="C184" s="3">
        <v>22</v>
      </c>
      <c r="D184" s="3">
        <v>4</v>
      </c>
      <c r="E184" s="3">
        <f>((1/(INDEX(E0!J$4:J$73,C184,1)-INDEX(E0!J$4:J$73,D184,1))))*100000000</f>
        <v>0</v>
      </c>
      <c r="F184" s="4" t="str">
        <f>HYPERLINK("http://141.218.60.56/~jnz1568/getInfo.php?workbook=16_15.xlsx&amp;sheet=A0&amp;row=184&amp;col=6&amp;number=16149&amp;sourceID=54","16149")</f>
        <v>16149</v>
      </c>
      <c r="G184" s="4" t="str">
        <f>HYPERLINK("http://141.218.60.56/~jnz1568/getInfo.php?workbook=16_15.xlsx&amp;sheet=A0&amp;row=184&amp;col=7&amp;number=&amp;sourceID=54","")</f>
        <v/>
      </c>
      <c r="H184" s="4" t="str">
        <f>HYPERLINK("http://141.218.60.56/~jnz1568/getInfo.php?workbook=16_15.xlsx&amp;sheet=A0&amp;row=184&amp;col=8&amp;number=&amp;sourceID=54","")</f>
        <v/>
      </c>
      <c r="I184" s="4" t="str">
        <f>HYPERLINK("http://141.218.60.56/~jnz1568/getInfo.php?workbook=16_15.xlsx&amp;sheet=A0&amp;row=184&amp;col=9&amp;number=16220&amp;sourceID=54","16220")</f>
        <v>16220</v>
      </c>
      <c r="J184" s="4" t="str">
        <f>HYPERLINK("http://141.218.60.56/~jnz1568/getInfo.php?workbook=16_15.xlsx&amp;sheet=A0&amp;row=184&amp;col=10&amp;number=&amp;sourceID=54","")</f>
        <v/>
      </c>
      <c r="K184" s="4" t="str">
        <f>HYPERLINK("http://141.218.60.56/~jnz1568/getInfo.php?workbook=16_15.xlsx&amp;sheet=A0&amp;row=184&amp;col=11&amp;number=&amp;sourceID=54","")</f>
        <v/>
      </c>
      <c r="L184" s="4" t="str">
        <f>HYPERLINK("http://141.218.60.56/~jnz1568/getInfo.php?workbook=16_15.xlsx&amp;sheet=A0&amp;row=184&amp;col=12&amp;number=509.284947112&amp;sourceID=53","509.284947112")</f>
        <v>509.284947112</v>
      </c>
      <c r="M184" s="4" t="str">
        <f>HYPERLINK("http://141.218.60.56/~jnz1568/getInfo.php?workbook=16_15.xlsx&amp;sheet=A0&amp;row=184&amp;col=13&amp;number=&amp;sourceID=53","")</f>
        <v/>
      </c>
      <c r="N184" s="4" t="str">
        <f>HYPERLINK("http://141.218.60.56/~jnz1568/getInfo.php?workbook=16_15.xlsx&amp;sheet=A0&amp;row=184&amp;col=14&amp;number=&amp;sourceID=53","")</f>
        <v/>
      </c>
      <c r="O184" s="4" t="str">
        <f>HYPERLINK("http://141.218.60.56/~jnz1568/getInfo.php?workbook=16_15.xlsx&amp;sheet=A0&amp;row=184&amp;col=15&amp;number=&amp;sourceID=55","")</f>
        <v/>
      </c>
      <c r="P184" s="4" t="str">
        <f>HYPERLINK("http://141.218.60.56/~jnz1568/getInfo.php?workbook=16_15.xlsx&amp;sheet=A0&amp;row=184&amp;col=16&amp;number=&amp;sourceID=55","")</f>
        <v/>
      </c>
      <c r="Q184" s="4" t="str">
        <f>HYPERLINK("http://141.218.60.56/~jnz1568/getInfo.php?workbook=16_15.xlsx&amp;sheet=A0&amp;row=184&amp;col=17&amp;number=&amp;sourceID=56","")</f>
        <v/>
      </c>
      <c r="R184" s="4" t="str">
        <f>HYPERLINK("http://141.218.60.56/~jnz1568/getInfo.php?workbook=16_15.xlsx&amp;sheet=A0&amp;row=184&amp;col=18&amp;number=&amp;sourceID=56","")</f>
        <v/>
      </c>
      <c r="S184" s="4" t="str">
        <f>HYPERLINK("http://141.218.60.56/~jnz1568/getInfo.php?workbook=16_15.xlsx&amp;sheet=A0&amp;row=184&amp;col=19&amp;number=&amp;sourceID=57","")</f>
        <v/>
      </c>
      <c r="T184" s="4" t="str">
        <f>HYPERLINK("http://141.218.60.56/~jnz1568/getInfo.php?workbook=16_15.xlsx&amp;sheet=A0&amp;row=184&amp;col=20&amp;number=&amp;sourceID=57","")</f>
        <v/>
      </c>
      <c r="U184" s="4" t="str">
        <f>HYPERLINK("http://141.218.60.56/~jnz1568/getInfo.php?workbook=16_15.xlsx&amp;sheet=A0&amp;row=184&amp;col=21&amp;number=&amp;sourceID=47","")</f>
        <v/>
      </c>
      <c r="V184" s="4" t="str">
        <f>HYPERLINK("http://141.218.60.56/~jnz1568/getInfo.php?workbook=16_15.xlsx&amp;sheet=A0&amp;row=184&amp;col=22&amp;number=&amp;sourceID=47","")</f>
        <v/>
      </c>
    </row>
    <row r="185" spans="1:22">
      <c r="A185" s="3">
        <v>16</v>
      </c>
      <c r="B185" s="3">
        <v>15</v>
      </c>
      <c r="C185" s="3">
        <v>22</v>
      </c>
      <c r="D185" s="3">
        <v>5</v>
      </c>
      <c r="E185" s="3">
        <f>((1/(INDEX(E0!J$4:J$73,C185,1)-INDEX(E0!J$4:J$73,D185,1))))*100000000</f>
        <v>0</v>
      </c>
      <c r="F185" s="4" t="str">
        <f>HYPERLINK("http://141.218.60.56/~jnz1568/getInfo.php?workbook=16_15.xlsx&amp;sheet=A0&amp;row=185&amp;col=6&amp;number=7841.8&amp;sourceID=54","7841.8")</f>
        <v>7841.8</v>
      </c>
      <c r="G185" s="4" t="str">
        <f>HYPERLINK("http://141.218.60.56/~jnz1568/getInfo.php?workbook=16_15.xlsx&amp;sheet=A0&amp;row=185&amp;col=7&amp;number=&amp;sourceID=54","")</f>
        <v/>
      </c>
      <c r="H185" s="4" t="str">
        <f>HYPERLINK("http://141.218.60.56/~jnz1568/getInfo.php?workbook=16_15.xlsx&amp;sheet=A0&amp;row=185&amp;col=8&amp;number=&amp;sourceID=54","")</f>
        <v/>
      </c>
      <c r="I185" s="4" t="str">
        <f>HYPERLINK("http://141.218.60.56/~jnz1568/getInfo.php?workbook=16_15.xlsx&amp;sheet=A0&amp;row=185&amp;col=9&amp;number=7886.7&amp;sourceID=54","7886.7")</f>
        <v>7886.7</v>
      </c>
      <c r="J185" s="4" t="str">
        <f>HYPERLINK("http://141.218.60.56/~jnz1568/getInfo.php?workbook=16_15.xlsx&amp;sheet=A0&amp;row=185&amp;col=10&amp;number=&amp;sourceID=54","")</f>
        <v/>
      </c>
      <c r="K185" s="4" t="str">
        <f>HYPERLINK("http://141.218.60.56/~jnz1568/getInfo.php?workbook=16_15.xlsx&amp;sheet=A0&amp;row=185&amp;col=11&amp;number=&amp;sourceID=54","")</f>
        <v/>
      </c>
      <c r="L185" s="4" t="str">
        <f>HYPERLINK("http://141.218.60.56/~jnz1568/getInfo.php?workbook=16_15.xlsx&amp;sheet=A0&amp;row=185&amp;col=12&amp;number=281.198897584&amp;sourceID=53","281.198897584")</f>
        <v>281.198897584</v>
      </c>
      <c r="M185" s="4" t="str">
        <f>HYPERLINK("http://141.218.60.56/~jnz1568/getInfo.php?workbook=16_15.xlsx&amp;sheet=A0&amp;row=185&amp;col=13&amp;number=&amp;sourceID=53","")</f>
        <v/>
      </c>
      <c r="N185" s="4" t="str">
        <f>HYPERLINK("http://141.218.60.56/~jnz1568/getInfo.php?workbook=16_15.xlsx&amp;sheet=A0&amp;row=185&amp;col=14&amp;number=&amp;sourceID=53","")</f>
        <v/>
      </c>
      <c r="O185" s="4" t="str">
        <f>HYPERLINK("http://141.218.60.56/~jnz1568/getInfo.php?workbook=16_15.xlsx&amp;sheet=A0&amp;row=185&amp;col=15&amp;number=&amp;sourceID=55","")</f>
        <v/>
      </c>
      <c r="P185" s="4" t="str">
        <f>HYPERLINK("http://141.218.60.56/~jnz1568/getInfo.php?workbook=16_15.xlsx&amp;sheet=A0&amp;row=185&amp;col=16&amp;number=&amp;sourceID=55","")</f>
        <v/>
      </c>
      <c r="Q185" s="4" t="str">
        <f>HYPERLINK("http://141.218.60.56/~jnz1568/getInfo.php?workbook=16_15.xlsx&amp;sheet=A0&amp;row=185&amp;col=17&amp;number=&amp;sourceID=56","")</f>
        <v/>
      </c>
      <c r="R185" s="4" t="str">
        <f>HYPERLINK("http://141.218.60.56/~jnz1568/getInfo.php?workbook=16_15.xlsx&amp;sheet=A0&amp;row=185&amp;col=18&amp;number=&amp;sourceID=56","")</f>
        <v/>
      </c>
      <c r="S185" s="4" t="str">
        <f>HYPERLINK("http://141.218.60.56/~jnz1568/getInfo.php?workbook=16_15.xlsx&amp;sheet=A0&amp;row=185&amp;col=19&amp;number=&amp;sourceID=57","")</f>
        <v/>
      </c>
      <c r="T185" s="4" t="str">
        <f>HYPERLINK("http://141.218.60.56/~jnz1568/getInfo.php?workbook=16_15.xlsx&amp;sheet=A0&amp;row=185&amp;col=20&amp;number=&amp;sourceID=57","")</f>
        <v/>
      </c>
      <c r="U185" s="4" t="str">
        <f>HYPERLINK("http://141.218.60.56/~jnz1568/getInfo.php?workbook=16_15.xlsx&amp;sheet=A0&amp;row=185&amp;col=21&amp;number=&amp;sourceID=47","")</f>
        <v/>
      </c>
      <c r="V185" s="4" t="str">
        <f>HYPERLINK("http://141.218.60.56/~jnz1568/getInfo.php?workbook=16_15.xlsx&amp;sheet=A0&amp;row=185&amp;col=22&amp;number=&amp;sourceID=47","")</f>
        <v/>
      </c>
    </row>
    <row r="186" spans="1:22">
      <c r="A186" s="3">
        <v>16</v>
      </c>
      <c r="B186" s="3">
        <v>15</v>
      </c>
      <c r="C186" s="3">
        <v>22</v>
      </c>
      <c r="D186" s="3">
        <v>6</v>
      </c>
      <c r="E186" s="3">
        <f>((1/(INDEX(E0!J$4:J$73,C186,1)-INDEX(E0!J$4:J$73,D186,1))))*100000000</f>
        <v>0</v>
      </c>
      <c r="F186" s="4" t="str">
        <f>HYPERLINK("http://141.218.60.56/~jnz1568/getInfo.php?workbook=16_15.xlsx&amp;sheet=A0&amp;row=186&amp;col=6&amp;number=&amp;sourceID=54","")</f>
        <v/>
      </c>
      <c r="G186" s="4" t="str">
        <f>HYPERLINK("http://141.218.60.56/~jnz1568/getInfo.php?workbook=16_15.xlsx&amp;sheet=A0&amp;row=186&amp;col=7&amp;number=0.48783&amp;sourceID=54","0.48783")</f>
        <v>0.48783</v>
      </c>
      <c r="H186" s="4" t="str">
        <f>HYPERLINK("http://141.218.60.56/~jnz1568/getInfo.php?workbook=16_15.xlsx&amp;sheet=A0&amp;row=186&amp;col=8&amp;number=&amp;sourceID=54","")</f>
        <v/>
      </c>
      <c r="I186" s="4" t="str">
        <f>HYPERLINK("http://141.218.60.56/~jnz1568/getInfo.php?workbook=16_15.xlsx&amp;sheet=A0&amp;row=186&amp;col=9&amp;number=&amp;sourceID=54","")</f>
        <v/>
      </c>
      <c r="J186" s="4" t="str">
        <f>HYPERLINK("http://141.218.60.56/~jnz1568/getInfo.php?workbook=16_15.xlsx&amp;sheet=A0&amp;row=186&amp;col=10&amp;number=0.43781&amp;sourceID=54","0.43781")</f>
        <v>0.43781</v>
      </c>
      <c r="K186" s="4" t="str">
        <f>HYPERLINK("http://141.218.60.56/~jnz1568/getInfo.php?workbook=16_15.xlsx&amp;sheet=A0&amp;row=186&amp;col=11&amp;number=&amp;sourceID=54","")</f>
        <v/>
      </c>
      <c r="L186" s="4" t="str">
        <f>HYPERLINK("http://141.218.60.56/~jnz1568/getInfo.php?workbook=16_15.xlsx&amp;sheet=A0&amp;row=186&amp;col=12&amp;number=&amp;sourceID=53","")</f>
        <v/>
      </c>
      <c r="M186" s="4" t="str">
        <f>HYPERLINK("http://141.218.60.56/~jnz1568/getInfo.php?workbook=16_15.xlsx&amp;sheet=A0&amp;row=186&amp;col=13&amp;number=&amp;sourceID=53","")</f>
        <v/>
      </c>
      <c r="N186" s="4" t="str">
        <f>HYPERLINK("http://141.218.60.56/~jnz1568/getInfo.php?workbook=16_15.xlsx&amp;sheet=A0&amp;row=186&amp;col=14&amp;number=&amp;sourceID=53","")</f>
        <v/>
      </c>
      <c r="O186" s="4" t="str">
        <f>HYPERLINK("http://141.218.60.56/~jnz1568/getInfo.php?workbook=16_15.xlsx&amp;sheet=A0&amp;row=186&amp;col=15&amp;number=&amp;sourceID=55","")</f>
        <v/>
      </c>
      <c r="P186" s="4" t="str">
        <f>HYPERLINK("http://141.218.60.56/~jnz1568/getInfo.php?workbook=16_15.xlsx&amp;sheet=A0&amp;row=186&amp;col=16&amp;number=&amp;sourceID=55","")</f>
        <v/>
      </c>
      <c r="Q186" s="4" t="str">
        <f>HYPERLINK("http://141.218.60.56/~jnz1568/getInfo.php?workbook=16_15.xlsx&amp;sheet=A0&amp;row=186&amp;col=17&amp;number=&amp;sourceID=56","")</f>
        <v/>
      </c>
      <c r="R186" s="4" t="str">
        <f>HYPERLINK("http://141.218.60.56/~jnz1568/getInfo.php?workbook=16_15.xlsx&amp;sheet=A0&amp;row=186&amp;col=18&amp;number=&amp;sourceID=56","")</f>
        <v/>
      </c>
      <c r="S186" s="4" t="str">
        <f>HYPERLINK("http://141.218.60.56/~jnz1568/getInfo.php?workbook=16_15.xlsx&amp;sheet=A0&amp;row=186&amp;col=19&amp;number=&amp;sourceID=57","")</f>
        <v/>
      </c>
      <c r="T186" s="4" t="str">
        <f>HYPERLINK("http://141.218.60.56/~jnz1568/getInfo.php?workbook=16_15.xlsx&amp;sheet=A0&amp;row=186&amp;col=20&amp;number=&amp;sourceID=57","")</f>
        <v/>
      </c>
      <c r="U186" s="4" t="str">
        <f>HYPERLINK("http://141.218.60.56/~jnz1568/getInfo.php?workbook=16_15.xlsx&amp;sheet=A0&amp;row=186&amp;col=21&amp;number=&amp;sourceID=47","")</f>
        <v/>
      </c>
      <c r="V186" s="4" t="str">
        <f>HYPERLINK("http://141.218.60.56/~jnz1568/getInfo.php?workbook=16_15.xlsx&amp;sheet=A0&amp;row=186&amp;col=22&amp;number=&amp;sourceID=47","")</f>
        <v/>
      </c>
    </row>
    <row r="187" spans="1:22">
      <c r="A187" s="3">
        <v>16</v>
      </c>
      <c r="B187" s="3">
        <v>15</v>
      </c>
      <c r="C187" s="3">
        <v>22</v>
      </c>
      <c r="D187" s="3">
        <v>7</v>
      </c>
      <c r="E187" s="3">
        <f>((1/(INDEX(E0!J$4:J$73,C187,1)-INDEX(E0!J$4:J$73,D187,1))))*100000000</f>
        <v>0</v>
      </c>
      <c r="F187" s="4" t="str">
        <f>HYPERLINK("http://141.218.60.56/~jnz1568/getInfo.php?workbook=16_15.xlsx&amp;sheet=A0&amp;row=187&amp;col=6&amp;number=&amp;sourceID=54","")</f>
        <v/>
      </c>
      <c r="G187" s="4" t="str">
        <f>HYPERLINK("http://141.218.60.56/~jnz1568/getInfo.php?workbook=16_15.xlsx&amp;sheet=A0&amp;row=187&amp;col=7&amp;number=4.4395&amp;sourceID=54","4.4395")</f>
        <v>4.4395</v>
      </c>
      <c r="H187" s="4" t="str">
        <f>HYPERLINK("http://141.218.60.56/~jnz1568/getInfo.php?workbook=16_15.xlsx&amp;sheet=A0&amp;row=187&amp;col=8&amp;number=0.0030864&amp;sourceID=54","0.0030864")</f>
        <v>0.0030864</v>
      </c>
      <c r="I187" s="4" t="str">
        <f>HYPERLINK("http://141.218.60.56/~jnz1568/getInfo.php?workbook=16_15.xlsx&amp;sheet=A0&amp;row=187&amp;col=9&amp;number=&amp;sourceID=54","")</f>
        <v/>
      </c>
      <c r="J187" s="4" t="str">
        <f>HYPERLINK("http://141.218.60.56/~jnz1568/getInfo.php?workbook=16_15.xlsx&amp;sheet=A0&amp;row=187&amp;col=10&amp;number=3.9882&amp;sourceID=54","3.9882")</f>
        <v>3.9882</v>
      </c>
      <c r="K187" s="4" t="str">
        <f>HYPERLINK("http://141.218.60.56/~jnz1568/getInfo.php?workbook=16_15.xlsx&amp;sheet=A0&amp;row=187&amp;col=11&amp;number=0.0029796&amp;sourceID=54","0.0029796")</f>
        <v>0.0029796</v>
      </c>
      <c r="L187" s="4" t="str">
        <f>HYPERLINK("http://141.218.60.56/~jnz1568/getInfo.php?workbook=16_15.xlsx&amp;sheet=A0&amp;row=187&amp;col=12&amp;number=&amp;sourceID=53","")</f>
        <v/>
      </c>
      <c r="M187" s="4" t="str">
        <f>HYPERLINK("http://141.218.60.56/~jnz1568/getInfo.php?workbook=16_15.xlsx&amp;sheet=A0&amp;row=187&amp;col=13&amp;number=&amp;sourceID=53","")</f>
        <v/>
      </c>
      <c r="N187" s="4" t="str">
        <f>HYPERLINK("http://141.218.60.56/~jnz1568/getInfo.php?workbook=16_15.xlsx&amp;sheet=A0&amp;row=187&amp;col=14&amp;number=&amp;sourceID=53","")</f>
        <v/>
      </c>
      <c r="O187" s="4" t="str">
        <f>HYPERLINK("http://141.218.60.56/~jnz1568/getInfo.php?workbook=16_15.xlsx&amp;sheet=A0&amp;row=187&amp;col=15&amp;number=&amp;sourceID=55","")</f>
        <v/>
      </c>
      <c r="P187" s="4" t="str">
        <f>HYPERLINK("http://141.218.60.56/~jnz1568/getInfo.php?workbook=16_15.xlsx&amp;sheet=A0&amp;row=187&amp;col=16&amp;number=&amp;sourceID=55","")</f>
        <v/>
      </c>
      <c r="Q187" s="4" t="str">
        <f>HYPERLINK("http://141.218.60.56/~jnz1568/getInfo.php?workbook=16_15.xlsx&amp;sheet=A0&amp;row=187&amp;col=17&amp;number=&amp;sourceID=56","")</f>
        <v/>
      </c>
      <c r="R187" s="4" t="str">
        <f>HYPERLINK("http://141.218.60.56/~jnz1568/getInfo.php?workbook=16_15.xlsx&amp;sheet=A0&amp;row=187&amp;col=18&amp;number=&amp;sourceID=56","")</f>
        <v/>
      </c>
      <c r="S187" s="4" t="str">
        <f>HYPERLINK("http://141.218.60.56/~jnz1568/getInfo.php?workbook=16_15.xlsx&amp;sheet=A0&amp;row=187&amp;col=19&amp;number=&amp;sourceID=57","")</f>
        <v/>
      </c>
      <c r="T187" s="4" t="str">
        <f>HYPERLINK("http://141.218.60.56/~jnz1568/getInfo.php?workbook=16_15.xlsx&amp;sheet=A0&amp;row=187&amp;col=20&amp;number=&amp;sourceID=57","")</f>
        <v/>
      </c>
      <c r="U187" s="4" t="str">
        <f>HYPERLINK("http://141.218.60.56/~jnz1568/getInfo.php?workbook=16_15.xlsx&amp;sheet=A0&amp;row=187&amp;col=21&amp;number=&amp;sourceID=47","")</f>
        <v/>
      </c>
      <c r="V187" s="4" t="str">
        <f>HYPERLINK("http://141.218.60.56/~jnz1568/getInfo.php?workbook=16_15.xlsx&amp;sheet=A0&amp;row=187&amp;col=22&amp;number=&amp;sourceID=47","")</f>
        <v/>
      </c>
    </row>
    <row r="188" spans="1:22">
      <c r="A188" s="3">
        <v>16</v>
      </c>
      <c r="B188" s="3">
        <v>15</v>
      </c>
      <c r="C188" s="3">
        <v>22</v>
      </c>
      <c r="D188" s="3">
        <v>8</v>
      </c>
      <c r="E188" s="3">
        <f>((1/(INDEX(E0!J$4:J$73,C188,1)-INDEX(E0!J$4:J$73,D188,1))))*100000000</f>
        <v>0</v>
      </c>
      <c r="F188" s="4" t="str">
        <f>HYPERLINK("http://141.218.60.56/~jnz1568/getInfo.php?workbook=16_15.xlsx&amp;sheet=A0&amp;row=188&amp;col=6&amp;number=&amp;sourceID=54","")</f>
        <v/>
      </c>
      <c r="G188" s="4" t="str">
        <f>HYPERLINK("http://141.218.60.56/~jnz1568/getInfo.php?workbook=16_15.xlsx&amp;sheet=A0&amp;row=188&amp;col=7&amp;number=&amp;sourceID=54","")</f>
        <v/>
      </c>
      <c r="H188" s="4" t="str">
        <f>HYPERLINK("http://141.218.60.56/~jnz1568/getInfo.php?workbook=16_15.xlsx&amp;sheet=A0&amp;row=188&amp;col=8&amp;number=0.0091345&amp;sourceID=54","0.0091345")</f>
        <v>0.0091345</v>
      </c>
      <c r="I188" s="4" t="str">
        <f>HYPERLINK("http://141.218.60.56/~jnz1568/getInfo.php?workbook=16_15.xlsx&amp;sheet=A0&amp;row=188&amp;col=9&amp;number=&amp;sourceID=54","")</f>
        <v/>
      </c>
      <c r="J188" s="4" t="str">
        <f>HYPERLINK("http://141.218.60.56/~jnz1568/getInfo.php?workbook=16_15.xlsx&amp;sheet=A0&amp;row=188&amp;col=10&amp;number=&amp;sourceID=54","")</f>
        <v/>
      </c>
      <c r="K188" s="4" t="str">
        <f>HYPERLINK("http://141.218.60.56/~jnz1568/getInfo.php?workbook=16_15.xlsx&amp;sheet=A0&amp;row=188&amp;col=11&amp;number=0.0088022&amp;sourceID=54","0.0088022")</f>
        <v>0.0088022</v>
      </c>
      <c r="L188" s="4" t="str">
        <f>HYPERLINK("http://141.218.60.56/~jnz1568/getInfo.php?workbook=16_15.xlsx&amp;sheet=A0&amp;row=188&amp;col=12&amp;number=&amp;sourceID=53","")</f>
        <v/>
      </c>
      <c r="M188" s="4" t="str">
        <f>HYPERLINK("http://141.218.60.56/~jnz1568/getInfo.php?workbook=16_15.xlsx&amp;sheet=A0&amp;row=188&amp;col=13&amp;number=&amp;sourceID=53","")</f>
        <v/>
      </c>
      <c r="N188" s="4" t="str">
        <f>HYPERLINK("http://141.218.60.56/~jnz1568/getInfo.php?workbook=16_15.xlsx&amp;sheet=A0&amp;row=188&amp;col=14&amp;number=&amp;sourceID=53","")</f>
        <v/>
      </c>
      <c r="O188" s="4" t="str">
        <f>HYPERLINK("http://141.218.60.56/~jnz1568/getInfo.php?workbook=16_15.xlsx&amp;sheet=A0&amp;row=188&amp;col=15&amp;number=&amp;sourceID=55","")</f>
        <v/>
      </c>
      <c r="P188" s="4" t="str">
        <f>HYPERLINK("http://141.218.60.56/~jnz1568/getInfo.php?workbook=16_15.xlsx&amp;sheet=A0&amp;row=188&amp;col=16&amp;number=&amp;sourceID=55","")</f>
        <v/>
      </c>
      <c r="Q188" s="4" t="str">
        <f>HYPERLINK("http://141.218.60.56/~jnz1568/getInfo.php?workbook=16_15.xlsx&amp;sheet=A0&amp;row=188&amp;col=17&amp;number=&amp;sourceID=56","")</f>
        <v/>
      </c>
      <c r="R188" s="4" t="str">
        <f>HYPERLINK("http://141.218.60.56/~jnz1568/getInfo.php?workbook=16_15.xlsx&amp;sheet=A0&amp;row=188&amp;col=18&amp;number=&amp;sourceID=56","")</f>
        <v/>
      </c>
      <c r="S188" s="4" t="str">
        <f>HYPERLINK("http://141.218.60.56/~jnz1568/getInfo.php?workbook=16_15.xlsx&amp;sheet=A0&amp;row=188&amp;col=19&amp;number=&amp;sourceID=57","")</f>
        <v/>
      </c>
      <c r="T188" s="4" t="str">
        <f>HYPERLINK("http://141.218.60.56/~jnz1568/getInfo.php?workbook=16_15.xlsx&amp;sheet=A0&amp;row=188&amp;col=20&amp;number=&amp;sourceID=57","")</f>
        <v/>
      </c>
      <c r="U188" s="4" t="str">
        <f>HYPERLINK("http://141.218.60.56/~jnz1568/getInfo.php?workbook=16_15.xlsx&amp;sheet=A0&amp;row=188&amp;col=21&amp;number=&amp;sourceID=47","")</f>
        <v/>
      </c>
      <c r="V188" s="4" t="str">
        <f>HYPERLINK("http://141.218.60.56/~jnz1568/getInfo.php?workbook=16_15.xlsx&amp;sheet=A0&amp;row=188&amp;col=22&amp;number=&amp;sourceID=47","")</f>
        <v/>
      </c>
    </row>
    <row r="189" spans="1:22">
      <c r="A189" s="3">
        <v>16</v>
      </c>
      <c r="B189" s="3">
        <v>15</v>
      </c>
      <c r="C189" s="3">
        <v>22</v>
      </c>
      <c r="D189" s="3">
        <v>9</v>
      </c>
      <c r="E189" s="3">
        <f>((1/(INDEX(E0!J$4:J$73,C189,1)-INDEX(E0!J$4:J$73,D189,1))))*100000000</f>
        <v>0</v>
      </c>
      <c r="F189" s="4" t="str">
        <f>HYPERLINK("http://141.218.60.56/~jnz1568/getInfo.php?workbook=16_15.xlsx&amp;sheet=A0&amp;row=189&amp;col=6&amp;number=&amp;sourceID=54","")</f>
        <v/>
      </c>
      <c r="G189" s="4" t="str">
        <f>HYPERLINK("http://141.218.60.56/~jnz1568/getInfo.php?workbook=16_15.xlsx&amp;sheet=A0&amp;row=189&amp;col=7&amp;number=3.0285e-06&amp;sourceID=54","3.0285e-06")</f>
        <v>3.0285e-06</v>
      </c>
      <c r="H189" s="4" t="str">
        <f>HYPERLINK("http://141.218.60.56/~jnz1568/getInfo.php?workbook=16_15.xlsx&amp;sheet=A0&amp;row=189&amp;col=8&amp;number=2.7585e-05&amp;sourceID=54","2.7585e-05")</f>
        <v>2.7585e-05</v>
      </c>
      <c r="I189" s="4" t="str">
        <f>HYPERLINK("http://141.218.60.56/~jnz1568/getInfo.php?workbook=16_15.xlsx&amp;sheet=A0&amp;row=189&amp;col=9&amp;number=&amp;sourceID=54","")</f>
        <v/>
      </c>
      <c r="J189" s="4" t="str">
        <f>HYPERLINK("http://141.218.60.56/~jnz1568/getInfo.php?workbook=16_15.xlsx&amp;sheet=A0&amp;row=189&amp;col=10&amp;number=3.1361e-06&amp;sourceID=54","3.1361e-06")</f>
        <v>3.1361e-06</v>
      </c>
      <c r="K189" s="4" t="str">
        <f>HYPERLINK("http://141.218.60.56/~jnz1568/getInfo.php?workbook=16_15.xlsx&amp;sheet=A0&amp;row=189&amp;col=11&amp;number=3.3939e-05&amp;sourceID=54","3.3939e-05")</f>
        <v>3.3939e-05</v>
      </c>
      <c r="L189" s="4" t="str">
        <f>HYPERLINK("http://141.218.60.56/~jnz1568/getInfo.php?workbook=16_15.xlsx&amp;sheet=A0&amp;row=189&amp;col=12&amp;number=&amp;sourceID=53","")</f>
        <v/>
      </c>
      <c r="M189" s="4" t="str">
        <f>HYPERLINK("http://141.218.60.56/~jnz1568/getInfo.php?workbook=16_15.xlsx&amp;sheet=A0&amp;row=189&amp;col=13&amp;number=&amp;sourceID=53","")</f>
        <v/>
      </c>
      <c r="N189" s="4" t="str">
        <f>HYPERLINK("http://141.218.60.56/~jnz1568/getInfo.php?workbook=16_15.xlsx&amp;sheet=A0&amp;row=189&amp;col=14&amp;number=&amp;sourceID=53","")</f>
        <v/>
      </c>
      <c r="O189" s="4" t="str">
        <f>HYPERLINK("http://141.218.60.56/~jnz1568/getInfo.php?workbook=16_15.xlsx&amp;sheet=A0&amp;row=189&amp;col=15&amp;number=&amp;sourceID=55","")</f>
        <v/>
      </c>
      <c r="P189" s="4" t="str">
        <f>HYPERLINK("http://141.218.60.56/~jnz1568/getInfo.php?workbook=16_15.xlsx&amp;sheet=A0&amp;row=189&amp;col=16&amp;number=&amp;sourceID=55","")</f>
        <v/>
      </c>
      <c r="Q189" s="4" t="str">
        <f>HYPERLINK("http://141.218.60.56/~jnz1568/getInfo.php?workbook=16_15.xlsx&amp;sheet=A0&amp;row=189&amp;col=17&amp;number=&amp;sourceID=56","")</f>
        <v/>
      </c>
      <c r="R189" s="4" t="str">
        <f>HYPERLINK("http://141.218.60.56/~jnz1568/getInfo.php?workbook=16_15.xlsx&amp;sheet=A0&amp;row=189&amp;col=18&amp;number=&amp;sourceID=56","")</f>
        <v/>
      </c>
      <c r="S189" s="4" t="str">
        <f>HYPERLINK("http://141.218.60.56/~jnz1568/getInfo.php?workbook=16_15.xlsx&amp;sheet=A0&amp;row=189&amp;col=19&amp;number=&amp;sourceID=57","")</f>
        <v/>
      </c>
      <c r="T189" s="4" t="str">
        <f>HYPERLINK("http://141.218.60.56/~jnz1568/getInfo.php?workbook=16_15.xlsx&amp;sheet=A0&amp;row=189&amp;col=20&amp;number=&amp;sourceID=57","")</f>
        <v/>
      </c>
      <c r="U189" s="4" t="str">
        <f>HYPERLINK("http://141.218.60.56/~jnz1568/getInfo.php?workbook=16_15.xlsx&amp;sheet=A0&amp;row=189&amp;col=21&amp;number=&amp;sourceID=47","")</f>
        <v/>
      </c>
      <c r="V189" s="4" t="str">
        <f>HYPERLINK("http://141.218.60.56/~jnz1568/getInfo.php?workbook=16_15.xlsx&amp;sheet=A0&amp;row=189&amp;col=22&amp;number=&amp;sourceID=47","")</f>
        <v/>
      </c>
    </row>
    <row r="190" spans="1:22">
      <c r="A190" s="3">
        <v>16</v>
      </c>
      <c r="B190" s="3">
        <v>15</v>
      </c>
      <c r="C190" s="3">
        <v>22</v>
      </c>
      <c r="D190" s="3">
        <v>10</v>
      </c>
      <c r="E190" s="3">
        <f>((1/(INDEX(E0!J$4:J$73,C190,1)-INDEX(E0!J$4:J$73,D190,1))))*100000000</f>
        <v>0</v>
      </c>
      <c r="F190" s="4" t="str">
        <f>HYPERLINK("http://141.218.60.56/~jnz1568/getInfo.php?workbook=16_15.xlsx&amp;sheet=A0&amp;row=190&amp;col=6&amp;number=&amp;sourceID=54","")</f>
        <v/>
      </c>
      <c r="G190" s="4" t="str">
        <f>HYPERLINK("http://141.218.60.56/~jnz1568/getInfo.php?workbook=16_15.xlsx&amp;sheet=A0&amp;row=190&amp;col=7&amp;number=2.4791e-06&amp;sourceID=54","2.4791e-06")</f>
        <v>2.4791e-06</v>
      </c>
      <c r="H190" s="4" t="str">
        <f>HYPERLINK("http://141.218.60.56/~jnz1568/getInfo.php?workbook=16_15.xlsx&amp;sheet=A0&amp;row=190&amp;col=8&amp;number=&amp;sourceID=54","")</f>
        <v/>
      </c>
      <c r="I190" s="4" t="str">
        <f>HYPERLINK("http://141.218.60.56/~jnz1568/getInfo.php?workbook=16_15.xlsx&amp;sheet=A0&amp;row=190&amp;col=9&amp;number=&amp;sourceID=54","")</f>
        <v/>
      </c>
      <c r="J190" s="4" t="str">
        <f>HYPERLINK("http://141.218.60.56/~jnz1568/getInfo.php?workbook=16_15.xlsx&amp;sheet=A0&amp;row=190&amp;col=10&amp;number=2.0514e-06&amp;sourceID=54","2.0514e-06")</f>
        <v>2.0514e-06</v>
      </c>
      <c r="K190" s="4" t="str">
        <f>HYPERLINK("http://141.218.60.56/~jnz1568/getInfo.php?workbook=16_15.xlsx&amp;sheet=A0&amp;row=190&amp;col=11&amp;number=&amp;sourceID=54","")</f>
        <v/>
      </c>
      <c r="L190" s="4" t="str">
        <f>HYPERLINK("http://141.218.60.56/~jnz1568/getInfo.php?workbook=16_15.xlsx&amp;sheet=A0&amp;row=190&amp;col=12&amp;number=&amp;sourceID=53","")</f>
        <v/>
      </c>
      <c r="M190" s="4" t="str">
        <f>HYPERLINK("http://141.218.60.56/~jnz1568/getInfo.php?workbook=16_15.xlsx&amp;sheet=A0&amp;row=190&amp;col=13&amp;number=&amp;sourceID=53","")</f>
        <v/>
      </c>
      <c r="N190" s="4" t="str">
        <f>HYPERLINK("http://141.218.60.56/~jnz1568/getInfo.php?workbook=16_15.xlsx&amp;sheet=A0&amp;row=190&amp;col=14&amp;number=&amp;sourceID=53","")</f>
        <v/>
      </c>
      <c r="O190" s="4" t="str">
        <f>HYPERLINK("http://141.218.60.56/~jnz1568/getInfo.php?workbook=16_15.xlsx&amp;sheet=A0&amp;row=190&amp;col=15&amp;number=&amp;sourceID=55","")</f>
        <v/>
      </c>
      <c r="P190" s="4" t="str">
        <f>HYPERLINK("http://141.218.60.56/~jnz1568/getInfo.php?workbook=16_15.xlsx&amp;sheet=A0&amp;row=190&amp;col=16&amp;number=&amp;sourceID=55","")</f>
        <v/>
      </c>
      <c r="Q190" s="4" t="str">
        <f>HYPERLINK("http://141.218.60.56/~jnz1568/getInfo.php?workbook=16_15.xlsx&amp;sheet=A0&amp;row=190&amp;col=17&amp;number=&amp;sourceID=56","")</f>
        <v/>
      </c>
      <c r="R190" s="4" t="str">
        <f>HYPERLINK("http://141.218.60.56/~jnz1568/getInfo.php?workbook=16_15.xlsx&amp;sheet=A0&amp;row=190&amp;col=18&amp;number=&amp;sourceID=56","")</f>
        <v/>
      </c>
      <c r="S190" s="4" t="str">
        <f>HYPERLINK("http://141.218.60.56/~jnz1568/getInfo.php?workbook=16_15.xlsx&amp;sheet=A0&amp;row=190&amp;col=19&amp;number=&amp;sourceID=57","")</f>
        <v/>
      </c>
      <c r="T190" s="4" t="str">
        <f>HYPERLINK("http://141.218.60.56/~jnz1568/getInfo.php?workbook=16_15.xlsx&amp;sheet=A0&amp;row=190&amp;col=20&amp;number=&amp;sourceID=57","")</f>
        <v/>
      </c>
      <c r="U190" s="4" t="str">
        <f>HYPERLINK("http://141.218.60.56/~jnz1568/getInfo.php?workbook=16_15.xlsx&amp;sheet=A0&amp;row=190&amp;col=21&amp;number=&amp;sourceID=47","")</f>
        <v/>
      </c>
      <c r="V190" s="4" t="str">
        <f>HYPERLINK("http://141.218.60.56/~jnz1568/getInfo.php?workbook=16_15.xlsx&amp;sheet=A0&amp;row=190&amp;col=22&amp;number=&amp;sourceID=47","")</f>
        <v/>
      </c>
    </row>
    <row r="191" spans="1:22">
      <c r="A191" s="3">
        <v>16</v>
      </c>
      <c r="B191" s="3">
        <v>15</v>
      </c>
      <c r="C191" s="3">
        <v>22</v>
      </c>
      <c r="D191" s="3">
        <v>11</v>
      </c>
      <c r="E191" s="3">
        <f>((1/(INDEX(E0!J$4:J$73,C191,1)-INDEX(E0!J$4:J$73,D191,1))))*100000000</f>
        <v>0</v>
      </c>
      <c r="F191" s="4" t="str">
        <f>HYPERLINK("http://141.218.60.56/~jnz1568/getInfo.php?workbook=16_15.xlsx&amp;sheet=A0&amp;row=191&amp;col=6&amp;number=&amp;sourceID=54","")</f>
        <v/>
      </c>
      <c r="G191" s="4" t="str">
        <f>HYPERLINK("http://141.218.60.56/~jnz1568/getInfo.php?workbook=16_15.xlsx&amp;sheet=A0&amp;row=191&amp;col=7&amp;number=4.6401e-07&amp;sourceID=54","4.6401e-07")</f>
        <v>4.6401e-07</v>
      </c>
      <c r="H191" s="4" t="str">
        <f>HYPERLINK("http://141.218.60.56/~jnz1568/getInfo.php?workbook=16_15.xlsx&amp;sheet=A0&amp;row=191&amp;col=8&amp;number=0.0011819&amp;sourceID=54","0.0011819")</f>
        <v>0.0011819</v>
      </c>
      <c r="I191" s="4" t="str">
        <f>HYPERLINK("http://141.218.60.56/~jnz1568/getInfo.php?workbook=16_15.xlsx&amp;sheet=A0&amp;row=191&amp;col=9&amp;number=&amp;sourceID=54","")</f>
        <v/>
      </c>
      <c r="J191" s="4" t="str">
        <f>HYPERLINK("http://141.218.60.56/~jnz1568/getInfo.php?workbook=16_15.xlsx&amp;sheet=A0&amp;row=191&amp;col=10&amp;number=3.781e-07&amp;sourceID=54","3.781e-07")</f>
        <v>3.781e-07</v>
      </c>
      <c r="K191" s="4" t="str">
        <f>HYPERLINK("http://141.218.60.56/~jnz1568/getInfo.php?workbook=16_15.xlsx&amp;sheet=A0&amp;row=191&amp;col=11&amp;number=0.0011867&amp;sourceID=54","0.0011867")</f>
        <v>0.0011867</v>
      </c>
      <c r="L191" s="4" t="str">
        <f>HYPERLINK("http://141.218.60.56/~jnz1568/getInfo.php?workbook=16_15.xlsx&amp;sheet=A0&amp;row=191&amp;col=12&amp;number=&amp;sourceID=53","")</f>
        <v/>
      </c>
      <c r="M191" s="4" t="str">
        <f>HYPERLINK("http://141.218.60.56/~jnz1568/getInfo.php?workbook=16_15.xlsx&amp;sheet=A0&amp;row=191&amp;col=13&amp;number=&amp;sourceID=53","")</f>
        <v/>
      </c>
      <c r="N191" s="4" t="str">
        <f>HYPERLINK("http://141.218.60.56/~jnz1568/getInfo.php?workbook=16_15.xlsx&amp;sheet=A0&amp;row=191&amp;col=14&amp;number=&amp;sourceID=53","")</f>
        <v/>
      </c>
      <c r="O191" s="4" t="str">
        <f>HYPERLINK("http://141.218.60.56/~jnz1568/getInfo.php?workbook=16_15.xlsx&amp;sheet=A0&amp;row=191&amp;col=15&amp;number=&amp;sourceID=55","")</f>
        <v/>
      </c>
      <c r="P191" s="4" t="str">
        <f>HYPERLINK("http://141.218.60.56/~jnz1568/getInfo.php?workbook=16_15.xlsx&amp;sheet=A0&amp;row=191&amp;col=16&amp;number=&amp;sourceID=55","")</f>
        <v/>
      </c>
      <c r="Q191" s="4" t="str">
        <f>HYPERLINK("http://141.218.60.56/~jnz1568/getInfo.php?workbook=16_15.xlsx&amp;sheet=A0&amp;row=191&amp;col=17&amp;number=&amp;sourceID=56","")</f>
        <v/>
      </c>
      <c r="R191" s="4" t="str">
        <f>HYPERLINK("http://141.218.60.56/~jnz1568/getInfo.php?workbook=16_15.xlsx&amp;sheet=A0&amp;row=191&amp;col=18&amp;number=&amp;sourceID=56","")</f>
        <v/>
      </c>
      <c r="S191" s="4" t="str">
        <f>HYPERLINK("http://141.218.60.56/~jnz1568/getInfo.php?workbook=16_15.xlsx&amp;sheet=A0&amp;row=191&amp;col=19&amp;number=&amp;sourceID=57","")</f>
        <v/>
      </c>
      <c r="T191" s="4" t="str">
        <f>HYPERLINK("http://141.218.60.56/~jnz1568/getInfo.php?workbook=16_15.xlsx&amp;sheet=A0&amp;row=191&amp;col=20&amp;number=&amp;sourceID=57","")</f>
        <v/>
      </c>
      <c r="U191" s="4" t="str">
        <f>HYPERLINK("http://141.218.60.56/~jnz1568/getInfo.php?workbook=16_15.xlsx&amp;sheet=A0&amp;row=191&amp;col=21&amp;number=&amp;sourceID=47","")</f>
        <v/>
      </c>
      <c r="V191" s="4" t="str">
        <f>HYPERLINK("http://141.218.60.56/~jnz1568/getInfo.php?workbook=16_15.xlsx&amp;sheet=A0&amp;row=191&amp;col=22&amp;number=&amp;sourceID=47","")</f>
        <v/>
      </c>
    </row>
    <row r="192" spans="1:22">
      <c r="A192" s="3">
        <v>16</v>
      </c>
      <c r="B192" s="3">
        <v>15</v>
      </c>
      <c r="C192" s="3">
        <v>22</v>
      </c>
      <c r="D192" s="3">
        <v>12</v>
      </c>
      <c r="E192" s="3">
        <f>((1/(INDEX(E0!J$4:J$73,C192,1)-INDEX(E0!J$4:J$73,D192,1))))*100000000</f>
        <v>0</v>
      </c>
      <c r="F192" s="4" t="str">
        <f>HYPERLINK("http://141.218.60.56/~jnz1568/getInfo.php?workbook=16_15.xlsx&amp;sheet=A0&amp;row=192&amp;col=6&amp;number=&amp;sourceID=54","")</f>
        <v/>
      </c>
      <c r="G192" s="4" t="str">
        <f>HYPERLINK("http://141.218.60.56/~jnz1568/getInfo.php?workbook=16_15.xlsx&amp;sheet=A0&amp;row=192&amp;col=7&amp;number=&amp;sourceID=54","")</f>
        <v/>
      </c>
      <c r="H192" s="4" t="str">
        <f>HYPERLINK("http://141.218.60.56/~jnz1568/getInfo.php?workbook=16_15.xlsx&amp;sheet=A0&amp;row=192&amp;col=8&amp;number=0.0024014&amp;sourceID=54","0.0024014")</f>
        <v>0.0024014</v>
      </c>
      <c r="I192" s="4" t="str">
        <f>HYPERLINK("http://141.218.60.56/~jnz1568/getInfo.php?workbook=16_15.xlsx&amp;sheet=A0&amp;row=192&amp;col=9&amp;number=&amp;sourceID=54","")</f>
        <v/>
      </c>
      <c r="J192" s="4" t="str">
        <f>HYPERLINK("http://141.218.60.56/~jnz1568/getInfo.php?workbook=16_15.xlsx&amp;sheet=A0&amp;row=192&amp;col=10&amp;number=&amp;sourceID=54","")</f>
        <v/>
      </c>
      <c r="K192" s="4" t="str">
        <f>HYPERLINK("http://141.218.60.56/~jnz1568/getInfo.php?workbook=16_15.xlsx&amp;sheet=A0&amp;row=192&amp;col=11&amp;number=0.0024084&amp;sourceID=54","0.0024084")</f>
        <v>0.0024084</v>
      </c>
      <c r="L192" s="4" t="str">
        <f>HYPERLINK("http://141.218.60.56/~jnz1568/getInfo.php?workbook=16_15.xlsx&amp;sheet=A0&amp;row=192&amp;col=12&amp;number=&amp;sourceID=53","")</f>
        <v/>
      </c>
      <c r="M192" s="4" t="str">
        <f>HYPERLINK("http://141.218.60.56/~jnz1568/getInfo.php?workbook=16_15.xlsx&amp;sheet=A0&amp;row=192&amp;col=13&amp;number=&amp;sourceID=53","")</f>
        <v/>
      </c>
      <c r="N192" s="4" t="str">
        <f>HYPERLINK("http://141.218.60.56/~jnz1568/getInfo.php?workbook=16_15.xlsx&amp;sheet=A0&amp;row=192&amp;col=14&amp;number=&amp;sourceID=53","")</f>
        <v/>
      </c>
      <c r="O192" s="4" t="str">
        <f>HYPERLINK("http://141.218.60.56/~jnz1568/getInfo.php?workbook=16_15.xlsx&amp;sheet=A0&amp;row=192&amp;col=15&amp;number=&amp;sourceID=55","")</f>
        <v/>
      </c>
      <c r="P192" s="4" t="str">
        <f>HYPERLINK("http://141.218.60.56/~jnz1568/getInfo.php?workbook=16_15.xlsx&amp;sheet=A0&amp;row=192&amp;col=16&amp;number=&amp;sourceID=55","")</f>
        <v/>
      </c>
      <c r="Q192" s="4" t="str">
        <f>HYPERLINK("http://141.218.60.56/~jnz1568/getInfo.php?workbook=16_15.xlsx&amp;sheet=A0&amp;row=192&amp;col=17&amp;number=&amp;sourceID=56","")</f>
        <v/>
      </c>
      <c r="R192" s="4" t="str">
        <f>HYPERLINK("http://141.218.60.56/~jnz1568/getInfo.php?workbook=16_15.xlsx&amp;sheet=A0&amp;row=192&amp;col=18&amp;number=&amp;sourceID=56","")</f>
        <v/>
      </c>
      <c r="S192" s="4" t="str">
        <f>HYPERLINK("http://141.218.60.56/~jnz1568/getInfo.php?workbook=16_15.xlsx&amp;sheet=A0&amp;row=192&amp;col=19&amp;number=&amp;sourceID=57","")</f>
        <v/>
      </c>
      <c r="T192" s="4" t="str">
        <f>HYPERLINK("http://141.218.60.56/~jnz1568/getInfo.php?workbook=16_15.xlsx&amp;sheet=A0&amp;row=192&amp;col=20&amp;number=&amp;sourceID=57","")</f>
        <v/>
      </c>
      <c r="U192" s="4" t="str">
        <f>HYPERLINK("http://141.218.60.56/~jnz1568/getInfo.php?workbook=16_15.xlsx&amp;sheet=A0&amp;row=192&amp;col=21&amp;number=&amp;sourceID=47","")</f>
        <v/>
      </c>
      <c r="V192" s="4" t="str">
        <f>HYPERLINK("http://141.218.60.56/~jnz1568/getInfo.php?workbook=16_15.xlsx&amp;sheet=A0&amp;row=192&amp;col=22&amp;number=&amp;sourceID=47","")</f>
        <v/>
      </c>
    </row>
    <row r="193" spans="1:22">
      <c r="A193" s="3">
        <v>16</v>
      </c>
      <c r="B193" s="3">
        <v>15</v>
      </c>
      <c r="C193" s="3">
        <v>22</v>
      </c>
      <c r="D193" s="3">
        <v>13</v>
      </c>
      <c r="E193" s="3">
        <f>((1/(INDEX(E0!J$4:J$73,C193,1)-INDEX(E0!J$4:J$73,D193,1))))*100000000</f>
        <v>0</v>
      </c>
      <c r="F193" s="4" t="str">
        <f>HYPERLINK("http://141.218.60.56/~jnz1568/getInfo.php?workbook=16_15.xlsx&amp;sheet=A0&amp;row=193&amp;col=6&amp;number=&amp;sourceID=54","")</f>
        <v/>
      </c>
      <c r="G193" s="4" t="str">
        <f>HYPERLINK("http://141.218.60.56/~jnz1568/getInfo.php?workbook=16_15.xlsx&amp;sheet=A0&amp;row=193&amp;col=7&amp;number=&amp;sourceID=54","")</f>
        <v/>
      </c>
      <c r="H193" s="4" t="str">
        <f>HYPERLINK("http://141.218.60.56/~jnz1568/getInfo.php?workbook=16_15.xlsx&amp;sheet=A0&amp;row=193&amp;col=8&amp;number=3.8789e-05&amp;sourceID=54","3.8789e-05")</f>
        <v>3.8789e-05</v>
      </c>
      <c r="I193" s="4" t="str">
        <f>HYPERLINK("http://141.218.60.56/~jnz1568/getInfo.php?workbook=16_15.xlsx&amp;sheet=A0&amp;row=193&amp;col=9&amp;number=&amp;sourceID=54","")</f>
        <v/>
      </c>
      <c r="J193" s="4" t="str">
        <f>HYPERLINK("http://141.218.60.56/~jnz1568/getInfo.php?workbook=16_15.xlsx&amp;sheet=A0&amp;row=193&amp;col=10&amp;number=&amp;sourceID=54","")</f>
        <v/>
      </c>
      <c r="K193" s="4" t="str">
        <f>HYPERLINK("http://141.218.60.56/~jnz1568/getInfo.php?workbook=16_15.xlsx&amp;sheet=A0&amp;row=193&amp;col=11&amp;number=3.4788e-05&amp;sourceID=54","3.4788e-05")</f>
        <v>3.4788e-05</v>
      </c>
      <c r="L193" s="4" t="str">
        <f>HYPERLINK("http://141.218.60.56/~jnz1568/getInfo.php?workbook=16_15.xlsx&amp;sheet=A0&amp;row=193&amp;col=12&amp;number=&amp;sourceID=53","")</f>
        <v/>
      </c>
      <c r="M193" s="4" t="str">
        <f>HYPERLINK("http://141.218.60.56/~jnz1568/getInfo.php?workbook=16_15.xlsx&amp;sheet=A0&amp;row=193&amp;col=13&amp;number=&amp;sourceID=53","")</f>
        <v/>
      </c>
      <c r="N193" s="4" t="str">
        <f>HYPERLINK("http://141.218.60.56/~jnz1568/getInfo.php?workbook=16_15.xlsx&amp;sheet=A0&amp;row=193&amp;col=14&amp;number=&amp;sourceID=53","")</f>
        <v/>
      </c>
      <c r="O193" s="4" t="str">
        <f>HYPERLINK("http://141.218.60.56/~jnz1568/getInfo.php?workbook=16_15.xlsx&amp;sheet=A0&amp;row=193&amp;col=15&amp;number=&amp;sourceID=55","")</f>
        <v/>
      </c>
      <c r="P193" s="4" t="str">
        <f>HYPERLINK("http://141.218.60.56/~jnz1568/getInfo.php?workbook=16_15.xlsx&amp;sheet=A0&amp;row=193&amp;col=16&amp;number=&amp;sourceID=55","")</f>
        <v/>
      </c>
      <c r="Q193" s="4" t="str">
        <f>HYPERLINK("http://141.218.60.56/~jnz1568/getInfo.php?workbook=16_15.xlsx&amp;sheet=A0&amp;row=193&amp;col=17&amp;number=&amp;sourceID=56","")</f>
        <v/>
      </c>
      <c r="R193" s="4" t="str">
        <f>HYPERLINK("http://141.218.60.56/~jnz1568/getInfo.php?workbook=16_15.xlsx&amp;sheet=A0&amp;row=193&amp;col=18&amp;number=&amp;sourceID=56","")</f>
        <v/>
      </c>
      <c r="S193" s="4" t="str">
        <f>HYPERLINK("http://141.218.60.56/~jnz1568/getInfo.php?workbook=16_15.xlsx&amp;sheet=A0&amp;row=193&amp;col=19&amp;number=&amp;sourceID=57","")</f>
        <v/>
      </c>
      <c r="T193" s="4" t="str">
        <f>HYPERLINK("http://141.218.60.56/~jnz1568/getInfo.php?workbook=16_15.xlsx&amp;sheet=A0&amp;row=193&amp;col=20&amp;number=&amp;sourceID=57","")</f>
        <v/>
      </c>
      <c r="U193" s="4" t="str">
        <f>HYPERLINK("http://141.218.60.56/~jnz1568/getInfo.php?workbook=16_15.xlsx&amp;sheet=A0&amp;row=193&amp;col=21&amp;number=&amp;sourceID=47","")</f>
        <v/>
      </c>
      <c r="V193" s="4" t="str">
        <f>HYPERLINK("http://141.218.60.56/~jnz1568/getInfo.php?workbook=16_15.xlsx&amp;sheet=A0&amp;row=193&amp;col=22&amp;number=&amp;sourceID=47","")</f>
        <v/>
      </c>
    </row>
    <row r="194" spans="1:22">
      <c r="A194" s="3">
        <v>16</v>
      </c>
      <c r="B194" s="3">
        <v>15</v>
      </c>
      <c r="C194" s="3">
        <v>22</v>
      </c>
      <c r="D194" s="3">
        <v>14</v>
      </c>
      <c r="E194" s="3">
        <f>((1/(INDEX(E0!J$4:J$73,C194,1)-INDEX(E0!J$4:J$73,D194,1))))*100000000</f>
        <v>0</v>
      </c>
      <c r="F194" s="4" t="str">
        <f>HYPERLINK("http://141.218.60.56/~jnz1568/getInfo.php?workbook=16_15.xlsx&amp;sheet=A0&amp;row=194&amp;col=6&amp;number=&amp;sourceID=54","")</f>
        <v/>
      </c>
      <c r="G194" s="4" t="str">
        <f>HYPERLINK("http://141.218.60.56/~jnz1568/getInfo.php?workbook=16_15.xlsx&amp;sheet=A0&amp;row=194&amp;col=7&amp;number=0.0084801&amp;sourceID=54","0.0084801")</f>
        <v>0.0084801</v>
      </c>
      <c r="H194" s="4" t="str">
        <f>HYPERLINK("http://141.218.60.56/~jnz1568/getInfo.php?workbook=16_15.xlsx&amp;sheet=A0&amp;row=194&amp;col=8&amp;number=2.8736e-05&amp;sourceID=54","2.8736e-05")</f>
        <v>2.8736e-05</v>
      </c>
      <c r="I194" s="4" t="str">
        <f>HYPERLINK("http://141.218.60.56/~jnz1568/getInfo.php?workbook=16_15.xlsx&amp;sheet=A0&amp;row=194&amp;col=9&amp;number=&amp;sourceID=54","")</f>
        <v/>
      </c>
      <c r="J194" s="4" t="str">
        <f>HYPERLINK("http://141.218.60.56/~jnz1568/getInfo.php?workbook=16_15.xlsx&amp;sheet=A0&amp;row=194&amp;col=10&amp;number=0.0047917&amp;sourceID=54","0.0047917")</f>
        <v>0.0047917</v>
      </c>
      <c r="K194" s="4" t="str">
        <f>HYPERLINK("http://141.218.60.56/~jnz1568/getInfo.php?workbook=16_15.xlsx&amp;sheet=A0&amp;row=194&amp;col=11&amp;number=2.647e-05&amp;sourceID=54","2.647e-05")</f>
        <v>2.647e-05</v>
      </c>
      <c r="L194" s="4" t="str">
        <f>HYPERLINK("http://141.218.60.56/~jnz1568/getInfo.php?workbook=16_15.xlsx&amp;sheet=A0&amp;row=194&amp;col=12&amp;number=&amp;sourceID=53","")</f>
        <v/>
      </c>
      <c r="M194" s="4" t="str">
        <f>HYPERLINK("http://141.218.60.56/~jnz1568/getInfo.php?workbook=16_15.xlsx&amp;sheet=A0&amp;row=194&amp;col=13&amp;number=&amp;sourceID=53","")</f>
        <v/>
      </c>
      <c r="N194" s="4" t="str">
        <f>HYPERLINK("http://141.218.60.56/~jnz1568/getInfo.php?workbook=16_15.xlsx&amp;sheet=A0&amp;row=194&amp;col=14&amp;number=&amp;sourceID=53","")</f>
        <v/>
      </c>
      <c r="O194" s="4" t="str">
        <f>HYPERLINK("http://141.218.60.56/~jnz1568/getInfo.php?workbook=16_15.xlsx&amp;sheet=A0&amp;row=194&amp;col=15&amp;number=&amp;sourceID=55","")</f>
        <v/>
      </c>
      <c r="P194" s="4" t="str">
        <f>HYPERLINK("http://141.218.60.56/~jnz1568/getInfo.php?workbook=16_15.xlsx&amp;sheet=A0&amp;row=194&amp;col=16&amp;number=&amp;sourceID=55","")</f>
        <v/>
      </c>
      <c r="Q194" s="4" t="str">
        <f>HYPERLINK("http://141.218.60.56/~jnz1568/getInfo.php?workbook=16_15.xlsx&amp;sheet=A0&amp;row=194&amp;col=17&amp;number=&amp;sourceID=56","")</f>
        <v/>
      </c>
      <c r="R194" s="4" t="str">
        <f>HYPERLINK("http://141.218.60.56/~jnz1568/getInfo.php?workbook=16_15.xlsx&amp;sheet=A0&amp;row=194&amp;col=18&amp;number=&amp;sourceID=56","")</f>
        <v/>
      </c>
      <c r="S194" s="4" t="str">
        <f>HYPERLINK("http://141.218.60.56/~jnz1568/getInfo.php?workbook=16_15.xlsx&amp;sheet=A0&amp;row=194&amp;col=19&amp;number=&amp;sourceID=57","")</f>
        <v/>
      </c>
      <c r="T194" s="4" t="str">
        <f>HYPERLINK("http://141.218.60.56/~jnz1568/getInfo.php?workbook=16_15.xlsx&amp;sheet=A0&amp;row=194&amp;col=20&amp;number=&amp;sourceID=57","")</f>
        <v/>
      </c>
      <c r="U194" s="4" t="str">
        <f>HYPERLINK("http://141.218.60.56/~jnz1568/getInfo.php?workbook=16_15.xlsx&amp;sheet=A0&amp;row=194&amp;col=21&amp;number=&amp;sourceID=47","")</f>
        <v/>
      </c>
      <c r="V194" s="4" t="str">
        <f>HYPERLINK("http://141.218.60.56/~jnz1568/getInfo.php?workbook=16_15.xlsx&amp;sheet=A0&amp;row=194&amp;col=22&amp;number=&amp;sourceID=47","")</f>
        <v/>
      </c>
    </row>
    <row r="195" spans="1:22">
      <c r="A195" s="3">
        <v>16</v>
      </c>
      <c r="B195" s="3">
        <v>15</v>
      </c>
      <c r="C195" s="3">
        <v>22</v>
      </c>
      <c r="D195" s="3">
        <v>15</v>
      </c>
      <c r="E195" s="3">
        <f>((1/(INDEX(E0!J$4:J$73,C195,1)-INDEX(E0!J$4:J$73,D195,1))))*100000000</f>
        <v>0</v>
      </c>
      <c r="F195" s="4" t="str">
        <f>HYPERLINK("http://141.218.60.56/~jnz1568/getInfo.php?workbook=16_15.xlsx&amp;sheet=A0&amp;row=195&amp;col=6&amp;number=&amp;sourceID=54","")</f>
        <v/>
      </c>
      <c r="G195" s="4" t="str">
        <f>HYPERLINK("http://141.218.60.56/~jnz1568/getInfo.php?workbook=16_15.xlsx&amp;sheet=A0&amp;row=195&amp;col=7&amp;number=0.00086024&amp;sourceID=54","0.00086024")</f>
        <v>0.00086024</v>
      </c>
      <c r="H195" s="4" t="str">
        <f>HYPERLINK("http://141.218.60.56/~jnz1568/getInfo.php?workbook=16_15.xlsx&amp;sheet=A0&amp;row=195&amp;col=8&amp;number=0.0051014&amp;sourceID=54","0.0051014")</f>
        <v>0.0051014</v>
      </c>
      <c r="I195" s="4" t="str">
        <f>HYPERLINK("http://141.218.60.56/~jnz1568/getInfo.php?workbook=16_15.xlsx&amp;sheet=A0&amp;row=195&amp;col=9&amp;number=&amp;sourceID=54","")</f>
        <v/>
      </c>
      <c r="J195" s="4" t="str">
        <f>HYPERLINK("http://141.218.60.56/~jnz1568/getInfo.php?workbook=16_15.xlsx&amp;sheet=A0&amp;row=195&amp;col=10&amp;number=0.00099867&amp;sourceID=54","0.00099867")</f>
        <v>0.00099867</v>
      </c>
      <c r="K195" s="4" t="str">
        <f>HYPERLINK("http://141.218.60.56/~jnz1568/getInfo.php?workbook=16_15.xlsx&amp;sheet=A0&amp;row=195&amp;col=11&amp;number=0.0052591&amp;sourceID=54","0.0052591")</f>
        <v>0.0052591</v>
      </c>
      <c r="L195" s="4" t="str">
        <f>HYPERLINK("http://141.218.60.56/~jnz1568/getInfo.php?workbook=16_15.xlsx&amp;sheet=A0&amp;row=195&amp;col=12&amp;number=&amp;sourceID=53","")</f>
        <v/>
      </c>
      <c r="M195" s="4" t="str">
        <f>HYPERLINK("http://141.218.60.56/~jnz1568/getInfo.php?workbook=16_15.xlsx&amp;sheet=A0&amp;row=195&amp;col=13&amp;number=&amp;sourceID=53","")</f>
        <v/>
      </c>
      <c r="N195" s="4" t="str">
        <f>HYPERLINK("http://141.218.60.56/~jnz1568/getInfo.php?workbook=16_15.xlsx&amp;sheet=A0&amp;row=195&amp;col=14&amp;number=&amp;sourceID=53","")</f>
        <v/>
      </c>
      <c r="O195" s="4" t="str">
        <f>HYPERLINK("http://141.218.60.56/~jnz1568/getInfo.php?workbook=16_15.xlsx&amp;sheet=A0&amp;row=195&amp;col=15&amp;number=&amp;sourceID=55","")</f>
        <v/>
      </c>
      <c r="P195" s="4" t="str">
        <f>HYPERLINK("http://141.218.60.56/~jnz1568/getInfo.php?workbook=16_15.xlsx&amp;sheet=A0&amp;row=195&amp;col=16&amp;number=&amp;sourceID=55","")</f>
        <v/>
      </c>
      <c r="Q195" s="4" t="str">
        <f>HYPERLINK("http://141.218.60.56/~jnz1568/getInfo.php?workbook=16_15.xlsx&amp;sheet=A0&amp;row=195&amp;col=17&amp;number=&amp;sourceID=56","")</f>
        <v/>
      </c>
      <c r="R195" s="4" t="str">
        <f>HYPERLINK("http://141.218.60.56/~jnz1568/getInfo.php?workbook=16_15.xlsx&amp;sheet=A0&amp;row=195&amp;col=18&amp;number=&amp;sourceID=56","")</f>
        <v/>
      </c>
      <c r="S195" s="4" t="str">
        <f>HYPERLINK("http://141.218.60.56/~jnz1568/getInfo.php?workbook=16_15.xlsx&amp;sheet=A0&amp;row=195&amp;col=19&amp;number=&amp;sourceID=57","")</f>
        <v/>
      </c>
      <c r="T195" s="4" t="str">
        <f>HYPERLINK("http://141.218.60.56/~jnz1568/getInfo.php?workbook=16_15.xlsx&amp;sheet=A0&amp;row=195&amp;col=20&amp;number=&amp;sourceID=57","")</f>
        <v/>
      </c>
      <c r="U195" s="4" t="str">
        <f>HYPERLINK("http://141.218.60.56/~jnz1568/getInfo.php?workbook=16_15.xlsx&amp;sheet=A0&amp;row=195&amp;col=21&amp;number=&amp;sourceID=47","")</f>
        <v/>
      </c>
      <c r="V195" s="4" t="str">
        <f>HYPERLINK("http://141.218.60.56/~jnz1568/getInfo.php?workbook=16_15.xlsx&amp;sheet=A0&amp;row=195&amp;col=22&amp;number=&amp;sourceID=47","")</f>
        <v/>
      </c>
    </row>
    <row r="196" spans="1:22">
      <c r="A196" s="3">
        <v>16</v>
      </c>
      <c r="B196" s="3">
        <v>15</v>
      </c>
      <c r="C196" s="3">
        <v>22</v>
      </c>
      <c r="D196" s="3">
        <v>16</v>
      </c>
      <c r="E196" s="3">
        <f>((1/(INDEX(E0!J$4:J$73,C196,1)-INDEX(E0!J$4:J$73,D196,1))))*100000000</f>
        <v>0</v>
      </c>
      <c r="F196" s="4" t="str">
        <f>HYPERLINK("http://141.218.60.56/~jnz1568/getInfo.php?workbook=16_15.xlsx&amp;sheet=A0&amp;row=196&amp;col=6&amp;number=&amp;sourceID=54","")</f>
        <v/>
      </c>
      <c r="G196" s="4" t="str">
        <f>HYPERLINK("http://141.218.60.56/~jnz1568/getInfo.php?workbook=16_15.xlsx&amp;sheet=A0&amp;row=196&amp;col=7&amp;number=0.00058498&amp;sourceID=54","0.00058498")</f>
        <v>0.00058498</v>
      </c>
      <c r="H196" s="4" t="str">
        <f>HYPERLINK("http://141.218.60.56/~jnz1568/getInfo.php?workbook=16_15.xlsx&amp;sheet=A0&amp;row=196&amp;col=8&amp;number=&amp;sourceID=54","")</f>
        <v/>
      </c>
      <c r="I196" s="4" t="str">
        <f>HYPERLINK("http://141.218.60.56/~jnz1568/getInfo.php?workbook=16_15.xlsx&amp;sheet=A0&amp;row=196&amp;col=9&amp;number=&amp;sourceID=54","")</f>
        <v/>
      </c>
      <c r="J196" s="4" t="str">
        <f>HYPERLINK("http://141.218.60.56/~jnz1568/getInfo.php?workbook=16_15.xlsx&amp;sheet=A0&amp;row=196&amp;col=10&amp;number=0.00032646&amp;sourceID=54","0.00032646")</f>
        <v>0.00032646</v>
      </c>
      <c r="K196" s="4" t="str">
        <f>HYPERLINK("http://141.218.60.56/~jnz1568/getInfo.php?workbook=16_15.xlsx&amp;sheet=A0&amp;row=196&amp;col=11&amp;number=&amp;sourceID=54","")</f>
        <v/>
      </c>
      <c r="L196" s="4" t="str">
        <f>HYPERLINK("http://141.218.60.56/~jnz1568/getInfo.php?workbook=16_15.xlsx&amp;sheet=A0&amp;row=196&amp;col=12&amp;number=&amp;sourceID=53","")</f>
        <v/>
      </c>
      <c r="M196" s="4" t="str">
        <f>HYPERLINK("http://141.218.60.56/~jnz1568/getInfo.php?workbook=16_15.xlsx&amp;sheet=A0&amp;row=196&amp;col=13&amp;number=&amp;sourceID=53","")</f>
        <v/>
      </c>
      <c r="N196" s="4" t="str">
        <f>HYPERLINK("http://141.218.60.56/~jnz1568/getInfo.php?workbook=16_15.xlsx&amp;sheet=A0&amp;row=196&amp;col=14&amp;number=&amp;sourceID=53","")</f>
        <v/>
      </c>
      <c r="O196" s="4" t="str">
        <f>HYPERLINK("http://141.218.60.56/~jnz1568/getInfo.php?workbook=16_15.xlsx&amp;sheet=A0&amp;row=196&amp;col=15&amp;number=&amp;sourceID=55","")</f>
        <v/>
      </c>
      <c r="P196" s="4" t="str">
        <f>HYPERLINK("http://141.218.60.56/~jnz1568/getInfo.php?workbook=16_15.xlsx&amp;sheet=A0&amp;row=196&amp;col=16&amp;number=&amp;sourceID=55","")</f>
        <v/>
      </c>
      <c r="Q196" s="4" t="str">
        <f>HYPERLINK("http://141.218.60.56/~jnz1568/getInfo.php?workbook=16_15.xlsx&amp;sheet=A0&amp;row=196&amp;col=17&amp;number=&amp;sourceID=56","")</f>
        <v/>
      </c>
      <c r="R196" s="4" t="str">
        <f>HYPERLINK("http://141.218.60.56/~jnz1568/getInfo.php?workbook=16_15.xlsx&amp;sheet=A0&amp;row=196&amp;col=18&amp;number=&amp;sourceID=56","")</f>
        <v/>
      </c>
      <c r="S196" s="4" t="str">
        <f>HYPERLINK("http://141.218.60.56/~jnz1568/getInfo.php?workbook=16_15.xlsx&amp;sheet=A0&amp;row=196&amp;col=19&amp;number=&amp;sourceID=57","")</f>
        <v/>
      </c>
      <c r="T196" s="4" t="str">
        <f>HYPERLINK("http://141.218.60.56/~jnz1568/getInfo.php?workbook=16_15.xlsx&amp;sheet=A0&amp;row=196&amp;col=20&amp;number=&amp;sourceID=57","")</f>
        <v/>
      </c>
      <c r="U196" s="4" t="str">
        <f>HYPERLINK("http://141.218.60.56/~jnz1568/getInfo.php?workbook=16_15.xlsx&amp;sheet=A0&amp;row=196&amp;col=21&amp;number=&amp;sourceID=47","")</f>
        <v/>
      </c>
      <c r="V196" s="4" t="str">
        <f>HYPERLINK("http://141.218.60.56/~jnz1568/getInfo.php?workbook=16_15.xlsx&amp;sheet=A0&amp;row=196&amp;col=22&amp;number=&amp;sourceID=47","")</f>
        <v/>
      </c>
    </row>
    <row r="197" spans="1:22">
      <c r="A197" s="3">
        <v>16</v>
      </c>
      <c r="B197" s="3">
        <v>15</v>
      </c>
      <c r="C197" s="3">
        <v>22</v>
      </c>
      <c r="D197" s="3">
        <v>17</v>
      </c>
      <c r="E197" s="3">
        <f>((1/(INDEX(E0!J$4:J$73,C197,1)-INDEX(E0!J$4:J$73,D197,1))))*100000000</f>
        <v>0</v>
      </c>
      <c r="F197" s="4" t="str">
        <f>HYPERLINK("http://141.218.60.56/~jnz1568/getInfo.php?workbook=16_15.xlsx&amp;sheet=A0&amp;row=197&amp;col=6&amp;number=&amp;sourceID=54","")</f>
        <v/>
      </c>
      <c r="G197" s="4" t="str">
        <f>HYPERLINK("http://141.218.60.56/~jnz1568/getInfo.php?workbook=16_15.xlsx&amp;sheet=A0&amp;row=197&amp;col=7&amp;number=0.001132&amp;sourceID=54","0.001132")</f>
        <v>0.001132</v>
      </c>
      <c r="H197" s="4" t="str">
        <f>HYPERLINK("http://141.218.60.56/~jnz1568/getInfo.php?workbook=16_15.xlsx&amp;sheet=A0&amp;row=197&amp;col=8&amp;number=&amp;sourceID=54","")</f>
        <v/>
      </c>
      <c r="I197" s="4" t="str">
        <f>HYPERLINK("http://141.218.60.56/~jnz1568/getInfo.php?workbook=16_15.xlsx&amp;sheet=A0&amp;row=197&amp;col=9&amp;number=&amp;sourceID=54","")</f>
        <v/>
      </c>
      <c r="J197" s="4" t="str">
        <f>HYPERLINK("http://141.218.60.56/~jnz1568/getInfo.php?workbook=16_15.xlsx&amp;sheet=A0&amp;row=197&amp;col=10&amp;number=0.0013141&amp;sourceID=54","0.0013141")</f>
        <v>0.0013141</v>
      </c>
      <c r="K197" s="4" t="str">
        <f>HYPERLINK("http://141.218.60.56/~jnz1568/getInfo.php?workbook=16_15.xlsx&amp;sheet=A0&amp;row=197&amp;col=11&amp;number=&amp;sourceID=54","")</f>
        <v/>
      </c>
      <c r="L197" s="4" t="str">
        <f>HYPERLINK("http://141.218.60.56/~jnz1568/getInfo.php?workbook=16_15.xlsx&amp;sheet=A0&amp;row=197&amp;col=12&amp;number=&amp;sourceID=53","")</f>
        <v/>
      </c>
      <c r="M197" s="4" t="str">
        <f>HYPERLINK("http://141.218.60.56/~jnz1568/getInfo.php?workbook=16_15.xlsx&amp;sheet=A0&amp;row=197&amp;col=13&amp;number=&amp;sourceID=53","")</f>
        <v/>
      </c>
      <c r="N197" s="4" t="str">
        <f>HYPERLINK("http://141.218.60.56/~jnz1568/getInfo.php?workbook=16_15.xlsx&amp;sheet=A0&amp;row=197&amp;col=14&amp;number=&amp;sourceID=53","")</f>
        <v/>
      </c>
      <c r="O197" s="4" t="str">
        <f>HYPERLINK("http://141.218.60.56/~jnz1568/getInfo.php?workbook=16_15.xlsx&amp;sheet=A0&amp;row=197&amp;col=15&amp;number=&amp;sourceID=55","")</f>
        <v/>
      </c>
      <c r="P197" s="4" t="str">
        <f>HYPERLINK("http://141.218.60.56/~jnz1568/getInfo.php?workbook=16_15.xlsx&amp;sheet=A0&amp;row=197&amp;col=16&amp;number=&amp;sourceID=55","")</f>
        <v/>
      </c>
      <c r="Q197" s="4" t="str">
        <f>HYPERLINK("http://141.218.60.56/~jnz1568/getInfo.php?workbook=16_15.xlsx&amp;sheet=A0&amp;row=197&amp;col=17&amp;number=&amp;sourceID=56","")</f>
        <v/>
      </c>
      <c r="R197" s="4" t="str">
        <f>HYPERLINK("http://141.218.60.56/~jnz1568/getInfo.php?workbook=16_15.xlsx&amp;sheet=A0&amp;row=197&amp;col=18&amp;number=&amp;sourceID=56","")</f>
        <v/>
      </c>
      <c r="S197" s="4" t="str">
        <f>HYPERLINK("http://141.218.60.56/~jnz1568/getInfo.php?workbook=16_15.xlsx&amp;sheet=A0&amp;row=197&amp;col=19&amp;number=&amp;sourceID=57","")</f>
        <v/>
      </c>
      <c r="T197" s="4" t="str">
        <f>HYPERLINK("http://141.218.60.56/~jnz1568/getInfo.php?workbook=16_15.xlsx&amp;sheet=A0&amp;row=197&amp;col=20&amp;number=&amp;sourceID=57","")</f>
        <v/>
      </c>
      <c r="U197" s="4" t="str">
        <f>HYPERLINK("http://141.218.60.56/~jnz1568/getInfo.php?workbook=16_15.xlsx&amp;sheet=A0&amp;row=197&amp;col=21&amp;number=&amp;sourceID=47","")</f>
        <v/>
      </c>
      <c r="V197" s="4" t="str">
        <f>HYPERLINK("http://141.218.60.56/~jnz1568/getInfo.php?workbook=16_15.xlsx&amp;sheet=A0&amp;row=197&amp;col=22&amp;number=&amp;sourceID=47","")</f>
        <v/>
      </c>
    </row>
    <row r="198" spans="1:22">
      <c r="A198" s="3">
        <v>16</v>
      </c>
      <c r="B198" s="3">
        <v>15</v>
      </c>
      <c r="C198" s="3">
        <v>22</v>
      </c>
      <c r="D198" s="3">
        <v>20</v>
      </c>
      <c r="E198" s="3">
        <f>((1/(INDEX(E0!J$4:J$73,C198,1)-INDEX(E0!J$4:J$73,D198,1))))*100000000</f>
        <v>0</v>
      </c>
      <c r="F198" s="4" t="str">
        <f>HYPERLINK("http://141.218.60.56/~jnz1568/getInfo.php?workbook=16_15.xlsx&amp;sheet=A0&amp;row=198&amp;col=6&amp;number=&amp;sourceID=54","")</f>
        <v/>
      </c>
      <c r="G198" s="4" t="str">
        <f>HYPERLINK("http://141.218.60.56/~jnz1568/getInfo.php?workbook=16_15.xlsx&amp;sheet=A0&amp;row=198&amp;col=7&amp;number=&amp;sourceID=54","")</f>
        <v/>
      </c>
      <c r="H198" s="4" t="str">
        <f>HYPERLINK("http://141.218.60.56/~jnz1568/getInfo.php?workbook=16_15.xlsx&amp;sheet=A0&amp;row=198&amp;col=8&amp;number=4.5197e-08&amp;sourceID=54","4.5197e-08")</f>
        <v>4.5197e-08</v>
      </c>
      <c r="I198" s="4" t="str">
        <f>HYPERLINK("http://141.218.60.56/~jnz1568/getInfo.php?workbook=16_15.xlsx&amp;sheet=A0&amp;row=198&amp;col=9&amp;number=&amp;sourceID=54","")</f>
        <v/>
      </c>
      <c r="J198" s="4" t="str">
        <f>HYPERLINK("http://141.218.60.56/~jnz1568/getInfo.php?workbook=16_15.xlsx&amp;sheet=A0&amp;row=198&amp;col=10&amp;number=&amp;sourceID=54","")</f>
        <v/>
      </c>
      <c r="K198" s="4" t="str">
        <f>HYPERLINK("http://141.218.60.56/~jnz1568/getInfo.php?workbook=16_15.xlsx&amp;sheet=A0&amp;row=198&amp;col=11&amp;number=2.1056e-08&amp;sourceID=54","2.1056e-08")</f>
        <v>2.1056e-08</v>
      </c>
      <c r="L198" s="4" t="str">
        <f>HYPERLINK("http://141.218.60.56/~jnz1568/getInfo.php?workbook=16_15.xlsx&amp;sheet=A0&amp;row=198&amp;col=12&amp;number=&amp;sourceID=53","")</f>
        <v/>
      </c>
      <c r="M198" s="4" t="str">
        <f>HYPERLINK("http://141.218.60.56/~jnz1568/getInfo.php?workbook=16_15.xlsx&amp;sheet=A0&amp;row=198&amp;col=13&amp;number=&amp;sourceID=53","")</f>
        <v/>
      </c>
      <c r="N198" s="4" t="str">
        <f>HYPERLINK("http://141.218.60.56/~jnz1568/getInfo.php?workbook=16_15.xlsx&amp;sheet=A0&amp;row=198&amp;col=14&amp;number=&amp;sourceID=53","")</f>
        <v/>
      </c>
      <c r="O198" s="4" t="str">
        <f>HYPERLINK("http://141.218.60.56/~jnz1568/getInfo.php?workbook=16_15.xlsx&amp;sheet=A0&amp;row=198&amp;col=15&amp;number=&amp;sourceID=55","")</f>
        <v/>
      </c>
      <c r="P198" s="4" t="str">
        <f>HYPERLINK("http://141.218.60.56/~jnz1568/getInfo.php?workbook=16_15.xlsx&amp;sheet=A0&amp;row=198&amp;col=16&amp;number=&amp;sourceID=55","")</f>
        <v/>
      </c>
      <c r="Q198" s="4" t="str">
        <f>HYPERLINK("http://141.218.60.56/~jnz1568/getInfo.php?workbook=16_15.xlsx&amp;sheet=A0&amp;row=198&amp;col=17&amp;number=&amp;sourceID=56","")</f>
        <v/>
      </c>
      <c r="R198" s="4" t="str">
        <f>HYPERLINK("http://141.218.60.56/~jnz1568/getInfo.php?workbook=16_15.xlsx&amp;sheet=A0&amp;row=198&amp;col=18&amp;number=&amp;sourceID=56","")</f>
        <v/>
      </c>
      <c r="S198" s="4" t="str">
        <f>HYPERLINK("http://141.218.60.56/~jnz1568/getInfo.php?workbook=16_15.xlsx&amp;sheet=A0&amp;row=198&amp;col=19&amp;number=&amp;sourceID=57","")</f>
        <v/>
      </c>
      <c r="T198" s="4" t="str">
        <f>HYPERLINK("http://141.218.60.56/~jnz1568/getInfo.php?workbook=16_15.xlsx&amp;sheet=A0&amp;row=198&amp;col=20&amp;number=&amp;sourceID=57","")</f>
        <v/>
      </c>
      <c r="U198" s="4" t="str">
        <f>HYPERLINK("http://141.218.60.56/~jnz1568/getInfo.php?workbook=16_15.xlsx&amp;sheet=A0&amp;row=198&amp;col=21&amp;number=&amp;sourceID=47","")</f>
        <v/>
      </c>
      <c r="V198" s="4" t="str">
        <f>HYPERLINK("http://141.218.60.56/~jnz1568/getInfo.php?workbook=16_15.xlsx&amp;sheet=A0&amp;row=198&amp;col=22&amp;number=&amp;sourceID=47","")</f>
        <v/>
      </c>
    </row>
    <row r="199" spans="1:22">
      <c r="A199" s="3">
        <v>16</v>
      </c>
      <c r="B199" s="3">
        <v>15</v>
      </c>
      <c r="C199" s="3">
        <v>22</v>
      </c>
      <c r="D199" s="3">
        <v>21</v>
      </c>
      <c r="E199" s="3">
        <f>((1/(INDEX(E0!J$4:J$73,C199,1)-INDEX(E0!J$4:J$73,D199,1))))*100000000</f>
        <v>0</v>
      </c>
      <c r="F199" s="4" t="str">
        <f>HYPERLINK("http://141.218.60.56/~jnz1568/getInfo.php?workbook=16_15.xlsx&amp;sheet=A0&amp;row=199&amp;col=6&amp;number=&amp;sourceID=54","")</f>
        <v/>
      </c>
      <c r="G199" s="4" t="str">
        <f>HYPERLINK("http://141.218.60.56/~jnz1568/getInfo.php?workbook=16_15.xlsx&amp;sheet=A0&amp;row=199&amp;col=7&amp;number=1.5519e-08&amp;sourceID=54","1.5519e-08")</f>
        <v>1.5519e-08</v>
      </c>
      <c r="H199" s="4" t="str">
        <f>HYPERLINK("http://141.218.60.56/~jnz1568/getInfo.php?workbook=16_15.xlsx&amp;sheet=A0&amp;row=199&amp;col=8&amp;number=4.2977e-08&amp;sourceID=54","4.2977e-08")</f>
        <v>4.2977e-08</v>
      </c>
      <c r="I199" s="4" t="str">
        <f>HYPERLINK("http://141.218.60.56/~jnz1568/getInfo.php?workbook=16_15.xlsx&amp;sheet=A0&amp;row=199&amp;col=9&amp;number=&amp;sourceID=54","")</f>
        <v/>
      </c>
      <c r="J199" s="4" t="str">
        <f>HYPERLINK("http://141.218.60.56/~jnz1568/getInfo.php?workbook=16_15.xlsx&amp;sheet=A0&amp;row=199&amp;col=10&amp;number=1.6239e-09&amp;sourceID=54","1.6239e-09")</f>
        <v>1.6239e-09</v>
      </c>
      <c r="K199" s="4" t="str">
        <f>HYPERLINK("http://141.218.60.56/~jnz1568/getInfo.php?workbook=16_15.xlsx&amp;sheet=A0&amp;row=199&amp;col=11&amp;number=1.4816e-08&amp;sourceID=54","1.4816e-08")</f>
        <v>1.4816e-08</v>
      </c>
      <c r="L199" s="4" t="str">
        <f>HYPERLINK("http://141.218.60.56/~jnz1568/getInfo.php?workbook=16_15.xlsx&amp;sheet=A0&amp;row=199&amp;col=12&amp;number=&amp;sourceID=53","")</f>
        <v/>
      </c>
      <c r="M199" s="4" t="str">
        <f>HYPERLINK("http://141.218.60.56/~jnz1568/getInfo.php?workbook=16_15.xlsx&amp;sheet=A0&amp;row=199&amp;col=13&amp;number=&amp;sourceID=53","")</f>
        <v/>
      </c>
      <c r="N199" s="4" t="str">
        <f>HYPERLINK("http://141.218.60.56/~jnz1568/getInfo.php?workbook=16_15.xlsx&amp;sheet=A0&amp;row=199&amp;col=14&amp;number=&amp;sourceID=53","")</f>
        <v/>
      </c>
      <c r="O199" s="4" t="str">
        <f>HYPERLINK("http://141.218.60.56/~jnz1568/getInfo.php?workbook=16_15.xlsx&amp;sheet=A0&amp;row=199&amp;col=15&amp;number=&amp;sourceID=55","")</f>
        <v/>
      </c>
      <c r="P199" s="4" t="str">
        <f>HYPERLINK("http://141.218.60.56/~jnz1568/getInfo.php?workbook=16_15.xlsx&amp;sheet=A0&amp;row=199&amp;col=16&amp;number=&amp;sourceID=55","")</f>
        <v/>
      </c>
      <c r="Q199" s="4" t="str">
        <f>HYPERLINK("http://141.218.60.56/~jnz1568/getInfo.php?workbook=16_15.xlsx&amp;sheet=A0&amp;row=199&amp;col=17&amp;number=&amp;sourceID=56","")</f>
        <v/>
      </c>
      <c r="R199" s="4" t="str">
        <f>HYPERLINK("http://141.218.60.56/~jnz1568/getInfo.php?workbook=16_15.xlsx&amp;sheet=A0&amp;row=199&amp;col=18&amp;number=&amp;sourceID=56","")</f>
        <v/>
      </c>
      <c r="S199" s="4" t="str">
        <f>HYPERLINK("http://141.218.60.56/~jnz1568/getInfo.php?workbook=16_15.xlsx&amp;sheet=A0&amp;row=199&amp;col=19&amp;number=&amp;sourceID=57","")</f>
        <v/>
      </c>
      <c r="T199" s="4" t="str">
        <f>HYPERLINK("http://141.218.60.56/~jnz1568/getInfo.php?workbook=16_15.xlsx&amp;sheet=A0&amp;row=199&amp;col=20&amp;number=&amp;sourceID=57","")</f>
        <v/>
      </c>
      <c r="U199" s="4" t="str">
        <f>HYPERLINK("http://141.218.60.56/~jnz1568/getInfo.php?workbook=16_15.xlsx&amp;sheet=A0&amp;row=199&amp;col=21&amp;number=&amp;sourceID=47","")</f>
        <v/>
      </c>
      <c r="V199" s="4" t="str">
        <f>HYPERLINK("http://141.218.60.56/~jnz1568/getInfo.php?workbook=16_15.xlsx&amp;sheet=A0&amp;row=199&amp;col=22&amp;number=&amp;sourceID=47","")</f>
        <v/>
      </c>
    </row>
    <row r="200" spans="1:22">
      <c r="A200" s="3">
        <v>16</v>
      </c>
      <c r="B200" s="3">
        <v>15</v>
      </c>
      <c r="C200" s="3">
        <v>23</v>
      </c>
      <c r="D200" s="3">
        <v>1</v>
      </c>
      <c r="E200" s="3">
        <f>((1/(INDEX(E0!J$4:J$73,C200,1)-INDEX(E0!J$4:J$73,D200,1))))*100000000</f>
        <v>0</v>
      </c>
      <c r="F200" s="4" t="str">
        <f>HYPERLINK("http://141.218.60.56/~jnz1568/getInfo.php?workbook=16_15.xlsx&amp;sheet=A0&amp;row=200&amp;col=6&amp;number=617920&amp;sourceID=54","617920")</f>
        <v>617920</v>
      </c>
      <c r="G200" s="4" t="str">
        <f>HYPERLINK("http://141.218.60.56/~jnz1568/getInfo.php?workbook=16_15.xlsx&amp;sheet=A0&amp;row=200&amp;col=7&amp;number=&amp;sourceID=54","")</f>
        <v/>
      </c>
      <c r="H200" s="4" t="str">
        <f>HYPERLINK("http://141.218.60.56/~jnz1568/getInfo.php?workbook=16_15.xlsx&amp;sheet=A0&amp;row=200&amp;col=8&amp;number=&amp;sourceID=54","")</f>
        <v/>
      </c>
      <c r="I200" s="4" t="str">
        <f>HYPERLINK("http://141.218.60.56/~jnz1568/getInfo.php?workbook=16_15.xlsx&amp;sheet=A0&amp;row=200&amp;col=9&amp;number=564980&amp;sourceID=54","564980")</f>
        <v>564980</v>
      </c>
      <c r="J200" s="4" t="str">
        <f>HYPERLINK("http://141.218.60.56/~jnz1568/getInfo.php?workbook=16_15.xlsx&amp;sheet=A0&amp;row=200&amp;col=10&amp;number=&amp;sourceID=54","")</f>
        <v/>
      </c>
      <c r="K200" s="4" t="str">
        <f>HYPERLINK("http://141.218.60.56/~jnz1568/getInfo.php?workbook=16_15.xlsx&amp;sheet=A0&amp;row=200&amp;col=11&amp;number=&amp;sourceID=54","")</f>
        <v/>
      </c>
      <c r="L200" s="4" t="str">
        <f>HYPERLINK("http://141.218.60.56/~jnz1568/getInfo.php?workbook=16_15.xlsx&amp;sheet=A0&amp;row=200&amp;col=12&amp;number=676711.515237&amp;sourceID=53","676711.515237")</f>
        <v>676711.515237</v>
      </c>
      <c r="M200" s="4" t="str">
        <f>HYPERLINK("http://141.218.60.56/~jnz1568/getInfo.php?workbook=16_15.xlsx&amp;sheet=A0&amp;row=200&amp;col=13&amp;number=&amp;sourceID=53","")</f>
        <v/>
      </c>
      <c r="N200" s="4" t="str">
        <f>HYPERLINK("http://141.218.60.56/~jnz1568/getInfo.php?workbook=16_15.xlsx&amp;sheet=A0&amp;row=200&amp;col=14&amp;number=&amp;sourceID=53","")</f>
        <v/>
      </c>
      <c r="O200" s="4" t="str">
        <f>HYPERLINK("http://141.218.60.56/~jnz1568/getInfo.php?workbook=16_15.xlsx&amp;sheet=A0&amp;row=200&amp;col=15&amp;number=&amp;sourceID=55","")</f>
        <v/>
      </c>
      <c r="P200" s="4" t="str">
        <f>HYPERLINK("http://141.218.60.56/~jnz1568/getInfo.php?workbook=16_15.xlsx&amp;sheet=A0&amp;row=200&amp;col=16&amp;number=&amp;sourceID=55","")</f>
        <v/>
      </c>
      <c r="Q200" s="4" t="str">
        <f>HYPERLINK("http://141.218.60.56/~jnz1568/getInfo.php?workbook=16_15.xlsx&amp;sheet=A0&amp;row=200&amp;col=17&amp;number=&amp;sourceID=56","")</f>
        <v/>
      </c>
      <c r="R200" s="4" t="str">
        <f>HYPERLINK("http://141.218.60.56/~jnz1568/getInfo.php?workbook=16_15.xlsx&amp;sheet=A0&amp;row=200&amp;col=18&amp;number=&amp;sourceID=56","")</f>
        <v/>
      </c>
      <c r="S200" s="4" t="str">
        <f>HYPERLINK("http://141.218.60.56/~jnz1568/getInfo.php?workbook=16_15.xlsx&amp;sheet=A0&amp;row=200&amp;col=19&amp;number=&amp;sourceID=57","")</f>
        <v/>
      </c>
      <c r="T200" s="4" t="str">
        <f>HYPERLINK("http://141.218.60.56/~jnz1568/getInfo.php?workbook=16_15.xlsx&amp;sheet=A0&amp;row=200&amp;col=20&amp;number=&amp;sourceID=57","")</f>
        <v/>
      </c>
      <c r="U200" s="4" t="str">
        <f>HYPERLINK("http://141.218.60.56/~jnz1568/getInfo.php?workbook=16_15.xlsx&amp;sheet=A0&amp;row=200&amp;col=21&amp;number=&amp;sourceID=47","")</f>
        <v/>
      </c>
      <c r="V200" s="4" t="str">
        <f>HYPERLINK("http://141.218.60.56/~jnz1568/getInfo.php?workbook=16_15.xlsx&amp;sheet=A0&amp;row=200&amp;col=22&amp;number=&amp;sourceID=47","")</f>
        <v/>
      </c>
    </row>
    <row r="201" spans="1:22">
      <c r="A201" s="3">
        <v>16</v>
      </c>
      <c r="B201" s="3">
        <v>15</v>
      </c>
      <c r="C201" s="3">
        <v>23</v>
      </c>
      <c r="D201" s="3">
        <v>2</v>
      </c>
      <c r="E201" s="3">
        <f>((1/(INDEX(E0!J$4:J$73,C201,1)-INDEX(E0!J$4:J$73,D201,1))))*100000000</f>
        <v>0</v>
      </c>
      <c r="F201" s="4" t="str">
        <f>HYPERLINK("http://141.218.60.56/~jnz1568/getInfo.php?workbook=16_15.xlsx&amp;sheet=A0&amp;row=201&amp;col=6&amp;number=64929&amp;sourceID=54","64929")</f>
        <v>64929</v>
      </c>
      <c r="G201" s="4" t="str">
        <f>HYPERLINK("http://141.218.60.56/~jnz1568/getInfo.php?workbook=16_15.xlsx&amp;sheet=A0&amp;row=201&amp;col=7&amp;number=&amp;sourceID=54","")</f>
        <v/>
      </c>
      <c r="H201" s="4" t="str">
        <f>HYPERLINK("http://141.218.60.56/~jnz1568/getInfo.php?workbook=16_15.xlsx&amp;sheet=A0&amp;row=201&amp;col=8&amp;number=&amp;sourceID=54","")</f>
        <v/>
      </c>
      <c r="I201" s="4" t="str">
        <f>HYPERLINK("http://141.218.60.56/~jnz1568/getInfo.php?workbook=16_15.xlsx&amp;sheet=A0&amp;row=201&amp;col=9&amp;number=65668&amp;sourceID=54","65668")</f>
        <v>65668</v>
      </c>
      <c r="J201" s="4" t="str">
        <f>HYPERLINK("http://141.218.60.56/~jnz1568/getInfo.php?workbook=16_15.xlsx&amp;sheet=A0&amp;row=201&amp;col=10&amp;number=&amp;sourceID=54","")</f>
        <v/>
      </c>
      <c r="K201" s="4" t="str">
        <f>HYPERLINK("http://141.218.60.56/~jnz1568/getInfo.php?workbook=16_15.xlsx&amp;sheet=A0&amp;row=201&amp;col=11&amp;number=&amp;sourceID=54","")</f>
        <v/>
      </c>
      <c r="L201" s="4" t="str">
        <f>HYPERLINK("http://141.218.60.56/~jnz1568/getInfo.php?workbook=16_15.xlsx&amp;sheet=A0&amp;row=201&amp;col=12&amp;number=118707.099171&amp;sourceID=53","118707.099171")</f>
        <v>118707.099171</v>
      </c>
      <c r="M201" s="4" t="str">
        <f>HYPERLINK("http://141.218.60.56/~jnz1568/getInfo.php?workbook=16_15.xlsx&amp;sheet=A0&amp;row=201&amp;col=13&amp;number=&amp;sourceID=53","")</f>
        <v/>
      </c>
      <c r="N201" s="4" t="str">
        <f>HYPERLINK("http://141.218.60.56/~jnz1568/getInfo.php?workbook=16_15.xlsx&amp;sheet=A0&amp;row=201&amp;col=14&amp;number=&amp;sourceID=53","")</f>
        <v/>
      </c>
      <c r="O201" s="4" t="str">
        <f>HYPERLINK("http://141.218.60.56/~jnz1568/getInfo.php?workbook=16_15.xlsx&amp;sheet=A0&amp;row=201&amp;col=15&amp;number=&amp;sourceID=55","")</f>
        <v/>
      </c>
      <c r="P201" s="4" t="str">
        <f>HYPERLINK("http://141.218.60.56/~jnz1568/getInfo.php?workbook=16_15.xlsx&amp;sheet=A0&amp;row=201&amp;col=16&amp;number=&amp;sourceID=55","")</f>
        <v/>
      </c>
      <c r="Q201" s="4" t="str">
        <f>HYPERLINK("http://141.218.60.56/~jnz1568/getInfo.php?workbook=16_15.xlsx&amp;sheet=A0&amp;row=201&amp;col=17&amp;number=&amp;sourceID=56","")</f>
        <v/>
      </c>
      <c r="R201" s="4" t="str">
        <f>HYPERLINK("http://141.218.60.56/~jnz1568/getInfo.php?workbook=16_15.xlsx&amp;sheet=A0&amp;row=201&amp;col=18&amp;number=&amp;sourceID=56","")</f>
        <v/>
      </c>
      <c r="S201" s="4" t="str">
        <f>HYPERLINK("http://141.218.60.56/~jnz1568/getInfo.php?workbook=16_15.xlsx&amp;sheet=A0&amp;row=201&amp;col=19&amp;number=&amp;sourceID=57","")</f>
        <v/>
      </c>
      <c r="T201" s="4" t="str">
        <f>HYPERLINK("http://141.218.60.56/~jnz1568/getInfo.php?workbook=16_15.xlsx&amp;sheet=A0&amp;row=201&amp;col=20&amp;number=&amp;sourceID=57","")</f>
        <v/>
      </c>
      <c r="U201" s="4" t="str">
        <f>HYPERLINK("http://141.218.60.56/~jnz1568/getInfo.php?workbook=16_15.xlsx&amp;sheet=A0&amp;row=201&amp;col=21&amp;number=&amp;sourceID=47","")</f>
        <v/>
      </c>
      <c r="V201" s="4" t="str">
        <f>HYPERLINK("http://141.218.60.56/~jnz1568/getInfo.php?workbook=16_15.xlsx&amp;sheet=A0&amp;row=201&amp;col=22&amp;number=&amp;sourceID=47","")</f>
        <v/>
      </c>
    </row>
    <row r="202" spans="1:22">
      <c r="A202" s="3">
        <v>16</v>
      </c>
      <c r="B202" s="3">
        <v>15</v>
      </c>
      <c r="C202" s="3">
        <v>23</v>
      </c>
      <c r="D202" s="3">
        <v>3</v>
      </c>
      <c r="E202" s="3">
        <f>((1/(INDEX(E0!J$4:J$73,C202,1)-INDEX(E0!J$4:J$73,D202,1))))*100000000</f>
        <v>0</v>
      </c>
      <c r="F202" s="4" t="str">
        <f>HYPERLINK("http://141.218.60.56/~jnz1568/getInfo.php?workbook=16_15.xlsx&amp;sheet=A0&amp;row=202&amp;col=6&amp;number=147260&amp;sourceID=54","147260")</f>
        <v>147260</v>
      </c>
      <c r="G202" s="4" t="str">
        <f>HYPERLINK("http://141.218.60.56/~jnz1568/getInfo.php?workbook=16_15.xlsx&amp;sheet=A0&amp;row=202&amp;col=7&amp;number=&amp;sourceID=54","")</f>
        <v/>
      </c>
      <c r="H202" s="4" t="str">
        <f>HYPERLINK("http://141.218.60.56/~jnz1568/getInfo.php?workbook=16_15.xlsx&amp;sheet=A0&amp;row=202&amp;col=8&amp;number=&amp;sourceID=54","")</f>
        <v/>
      </c>
      <c r="I202" s="4" t="str">
        <f>HYPERLINK("http://141.218.60.56/~jnz1568/getInfo.php?workbook=16_15.xlsx&amp;sheet=A0&amp;row=202&amp;col=9&amp;number=148280&amp;sourceID=54","148280")</f>
        <v>148280</v>
      </c>
      <c r="J202" s="4" t="str">
        <f>HYPERLINK("http://141.218.60.56/~jnz1568/getInfo.php?workbook=16_15.xlsx&amp;sheet=A0&amp;row=202&amp;col=10&amp;number=&amp;sourceID=54","")</f>
        <v/>
      </c>
      <c r="K202" s="4" t="str">
        <f>HYPERLINK("http://141.218.60.56/~jnz1568/getInfo.php?workbook=16_15.xlsx&amp;sheet=A0&amp;row=202&amp;col=11&amp;number=&amp;sourceID=54","")</f>
        <v/>
      </c>
      <c r="L202" s="4" t="str">
        <f>HYPERLINK("http://141.218.60.56/~jnz1568/getInfo.php?workbook=16_15.xlsx&amp;sheet=A0&amp;row=202&amp;col=12&amp;number=76415.6899991&amp;sourceID=53","76415.6899991")</f>
        <v>76415.6899991</v>
      </c>
      <c r="M202" s="4" t="str">
        <f>HYPERLINK("http://141.218.60.56/~jnz1568/getInfo.php?workbook=16_15.xlsx&amp;sheet=A0&amp;row=202&amp;col=13&amp;number=&amp;sourceID=53","")</f>
        <v/>
      </c>
      <c r="N202" s="4" t="str">
        <f>HYPERLINK("http://141.218.60.56/~jnz1568/getInfo.php?workbook=16_15.xlsx&amp;sheet=A0&amp;row=202&amp;col=14&amp;number=&amp;sourceID=53","")</f>
        <v/>
      </c>
      <c r="O202" s="4" t="str">
        <f>HYPERLINK("http://141.218.60.56/~jnz1568/getInfo.php?workbook=16_15.xlsx&amp;sheet=A0&amp;row=202&amp;col=15&amp;number=&amp;sourceID=55","")</f>
        <v/>
      </c>
      <c r="P202" s="4" t="str">
        <f>HYPERLINK("http://141.218.60.56/~jnz1568/getInfo.php?workbook=16_15.xlsx&amp;sheet=A0&amp;row=202&amp;col=16&amp;number=&amp;sourceID=55","")</f>
        <v/>
      </c>
      <c r="Q202" s="4" t="str">
        <f>HYPERLINK("http://141.218.60.56/~jnz1568/getInfo.php?workbook=16_15.xlsx&amp;sheet=A0&amp;row=202&amp;col=17&amp;number=&amp;sourceID=56","")</f>
        <v/>
      </c>
      <c r="R202" s="4" t="str">
        <f>HYPERLINK("http://141.218.60.56/~jnz1568/getInfo.php?workbook=16_15.xlsx&amp;sheet=A0&amp;row=202&amp;col=18&amp;number=&amp;sourceID=56","")</f>
        <v/>
      </c>
      <c r="S202" s="4" t="str">
        <f>HYPERLINK("http://141.218.60.56/~jnz1568/getInfo.php?workbook=16_15.xlsx&amp;sheet=A0&amp;row=202&amp;col=19&amp;number=&amp;sourceID=57","")</f>
        <v/>
      </c>
      <c r="T202" s="4" t="str">
        <f>HYPERLINK("http://141.218.60.56/~jnz1568/getInfo.php?workbook=16_15.xlsx&amp;sheet=A0&amp;row=202&amp;col=20&amp;number=&amp;sourceID=57","")</f>
        <v/>
      </c>
      <c r="U202" s="4" t="str">
        <f>HYPERLINK("http://141.218.60.56/~jnz1568/getInfo.php?workbook=16_15.xlsx&amp;sheet=A0&amp;row=202&amp;col=21&amp;number=&amp;sourceID=47","")</f>
        <v/>
      </c>
      <c r="V202" s="4" t="str">
        <f>HYPERLINK("http://141.218.60.56/~jnz1568/getInfo.php?workbook=16_15.xlsx&amp;sheet=A0&amp;row=202&amp;col=22&amp;number=&amp;sourceID=47","")</f>
        <v/>
      </c>
    </row>
    <row r="203" spans="1:22">
      <c r="A203" s="3">
        <v>16</v>
      </c>
      <c r="B203" s="3">
        <v>15</v>
      </c>
      <c r="C203" s="3">
        <v>23</v>
      </c>
      <c r="D203" s="3">
        <v>4</v>
      </c>
      <c r="E203" s="3">
        <f>((1/(INDEX(E0!J$4:J$73,C203,1)-INDEX(E0!J$4:J$73,D203,1))))*100000000</f>
        <v>0</v>
      </c>
      <c r="F203" s="4" t="str">
        <f>HYPERLINK("http://141.218.60.56/~jnz1568/getInfo.php?workbook=16_15.xlsx&amp;sheet=A0&amp;row=203&amp;col=6&amp;number=19456&amp;sourceID=54","19456")</f>
        <v>19456</v>
      </c>
      <c r="G203" s="4" t="str">
        <f>HYPERLINK("http://141.218.60.56/~jnz1568/getInfo.php?workbook=16_15.xlsx&amp;sheet=A0&amp;row=203&amp;col=7&amp;number=&amp;sourceID=54","")</f>
        <v/>
      </c>
      <c r="H203" s="4" t="str">
        <f>HYPERLINK("http://141.218.60.56/~jnz1568/getInfo.php?workbook=16_15.xlsx&amp;sheet=A0&amp;row=203&amp;col=8&amp;number=&amp;sourceID=54","")</f>
        <v/>
      </c>
      <c r="I203" s="4" t="str">
        <f>HYPERLINK("http://141.218.60.56/~jnz1568/getInfo.php?workbook=16_15.xlsx&amp;sheet=A0&amp;row=203&amp;col=9&amp;number=19573&amp;sourceID=54","19573")</f>
        <v>19573</v>
      </c>
      <c r="J203" s="4" t="str">
        <f>HYPERLINK("http://141.218.60.56/~jnz1568/getInfo.php?workbook=16_15.xlsx&amp;sheet=A0&amp;row=203&amp;col=10&amp;number=&amp;sourceID=54","")</f>
        <v/>
      </c>
      <c r="K203" s="4" t="str">
        <f>HYPERLINK("http://141.218.60.56/~jnz1568/getInfo.php?workbook=16_15.xlsx&amp;sheet=A0&amp;row=203&amp;col=11&amp;number=&amp;sourceID=54","")</f>
        <v/>
      </c>
      <c r="L203" s="4" t="str">
        <f>HYPERLINK("http://141.218.60.56/~jnz1568/getInfo.php?workbook=16_15.xlsx&amp;sheet=A0&amp;row=203&amp;col=12&amp;number=13478.9942769&amp;sourceID=53","13478.9942769")</f>
        <v>13478.9942769</v>
      </c>
      <c r="M203" s="4" t="str">
        <f>HYPERLINK("http://141.218.60.56/~jnz1568/getInfo.php?workbook=16_15.xlsx&amp;sheet=A0&amp;row=203&amp;col=13&amp;number=&amp;sourceID=53","")</f>
        <v/>
      </c>
      <c r="N203" s="4" t="str">
        <f>HYPERLINK("http://141.218.60.56/~jnz1568/getInfo.php?workbook=16_15.xlsx&amp;sheet=A0&amp;row=203&amp;col=14&amp;number=&amp;sourceID=53","")</f>
        <v/>
      </c>
      <c r="O203" s="4" t="str">
        <f>HYPERLINK("http://141.218.60.56/~jnz1568/getInfo.php?workbook=16_15.xlsx&amp;sheet=A0&amp;row=203&amp;col=15&amp;number=&amp;sourceID=55","")</f>
        <v/>
      </c>
      <c r="P203" s="4" t="str">
        <f>HYPERLINK("http://141.218.60.56/~jnz1568/getInfo.php?workbook=16_15.xlsx&amp;sheet=A0&amp;row=203&amp;col=16&amp;number=&amp;sourceID=55","")</f>
        <v/>
      </c>
      <c r="Q203" s="4" t="str">
        <f>HYPERLINK("http://141.218.60.56/~jnz1568/getInfo.php?workbook=16_15.xlsx&amp;sheet=A0&amp;row=203&amp;col=17&amp;number=&amp;sourceID=56","")</f>
        <v/>
      </c>
      <c r="R203" s="4" t="str">
        <f>HYPERLINK("http://141.218.60.56/~jnz1568/getInfo.php?workbook=16_15.xlsx&amp;sheet=A0&amp;row=203&amp;col=18&amp;number=&amp;sourceID=56","")</f>
        <v/>
      </c>
      <c r="S203" s="4" t="str">
        <f>HYPERLINK("http://141.218.60.56/~jnz1568/getInfo.php?workbook=16_15.xlsx&amp;sheet=A0&amp;row=203&amp;col=19&amp;number=&amp;sourceID=57","")</f>
        <v/>
      </c>
      <c r="T203" s="4" t="str">
        <f>HYPERLINK("http://141.218.60.56/~jnz1568/getInfo.php?workbook=16_15.xlsx&amp;sheet=A0&amp;row=203&amp;col=20&amp;number=&amp;sourceID=57","")</f>
        <v/>
      </c>
      <c r="U203" s="4" t="str">
        <f>HYPERLINK("http://141.218.60.56/~jnz1568/getInfo.php?workbook=16_15.xlsx&amp;sheet=A0&amp;row=203&amp;col=21&amp;number=&amp;sourceID=47","")</f>
        <v/>
      </c>
      <c r="V203" s="4" t="str">
        <f>HYPERLINK("http://141.218.60.56/~jnz1568/getInfo.php?workbook=16_15.xlsx&amp;sheet=A0&amp;row=203&amp;col=22&amp;number=&amp;sourceID=47","")</f>
        <v/>
      </c>
    </row>
    <row r="204" spans="1:22">
      <c r="A204" s="3">
        <v>16</v>
      </c>
      <c r="B204" s="3">
        <v>15</v>
      </c>
      <c r="C204" s="3">
        <v>23</v>
      </c>
      <c r="D204" s="3">
        <v>5</v>
      </c>
      <c r="E204" s="3">
        <f>((1/(INDEX(E0!J$4:J$73,C204,1)-INDEX(E0!J$4:J$73,D204,1))))*100000000</f>
        <v>0</v>
      </c>
      <c r="F204" s="4" t="str">
        <f>HYPERLINK("http://141.218.60.56/~jnz1568/getInfo.php?workbook=16_15.xlsx&amp;sheet=A0&amp;row=204&amp;col=6&amp;number=611.93&amp;sourceID=54","611.93")</f>
        <v>611.93</v>
      </c>
      <c r="G204" s="4" t="str">
        <f>HYPERLINK("http://141.218.60.56/~jnz1568/getInfo.php?workbook=16_15.xlsx&amp;sheet=A0&amp;row=204&amp;col=7&amp;number=&amp;sourceID=54","")</f>
        <v/>
      </c>
      <c r="H204" s="4" t="str">
        <f>HYPERLINK("http://141.218.60.56/~jnz1568/getInfo.php?workbook=16_15.xlsx&amp;sheet=A0&amp;row=204&amp;col=8&amp;number=&amp;sourceID=54","")</f>
        <v/>
      </c>
      <c r="I204" s="4" t="str">
        <f>HYPERLINK("http://141.218.60.56/~jnz1568/getInfo.php?workbook=16_15.xlsx&amp;sheet=A0&amp;row=204&amp;col=9&amp;number=577.35&amp;sourceID=54","577.35")</f>
        <v>577.35</v>
      </c>
      <c r="J204" s="4" t="str">
        <f>HYPERLINK("http://141.218.60.56/~jnz1568/getInfo.php?workbook=16_15.xlsx&amp;sheet=A0&amp;row=204&amp;col=10&amp;number=&amp;sourceID=54","")</f>
        <v/>
      </c>
      <c r="K204" s="4" t="str">
        <f>HYPERLINK("http://141.218.60.56/~jnz1568/getInfo.php?workbook=16_15.xlsx&amp;sheet=A0&amp;row=204&amp;col=11&amp;number=&amp;sourceID=54","")</f>
        <v/>
      </c>
      <c r="L204" s="4" t="str">
        <f>HYPERLINK("http://141.218.60.56/~jnz1568/getInfo.php?workbook=16_15.xlsx&amp;sheet=A0&amp;row=204&amp;col=12&amp;number=16485.0678494&amp;sourceID=53","16485.0678494")</f>
        <v>16485.0678494</v>
      </c>
      <c r="M204" s="4" t="str">
        <f>HYPERLINK("http://141.218.60.56/~jnz1568/getInfo.php?workbook=16_15.xlsx&amp;sheet=A0&amp;row=204&amp;col=13&amp;number=&amp;sourceID=53","")</f>
        <v/>
      </c>
      <c r="N204" s="4" t="str">
        <f>HYPERLINK("http://141.218.60.56/~jnz1568/getInfo.php?workbook=16_15.xlsx&amp;sheet=A0&amp;row=204&amp;col=14&amp;number=&amp;sourceID=53","")</f>
        <v/>
      </c>
      <c r="O204" s="4" t="str">
        <f>HYPERLINK("http://141.218.60.56/~jnz1568/getInfo.php?workbook=16_15.xlsx&amp;sheet=A0&amp;row=204&amp;col=15&amp;number=&amp;sourceID=55","")</f>
        <v/>
      </c>
      <c r="P204" s="4" t="str">
        <f>HYPERLINK("http://141.218.60.56/~jnz1568/getInfo.php?workbook=16_15.xlsx&amp;sheet=A0&amp;row=204&amp;col=16&amp;number=&amp;sourceID=55","")</f>
        <v/>
      </c>
      <c r="Q204" s="4" t="str">
        <f>HYPERLINK("http://141.218.60.56/~jnz1568/getInfo.php?workbook=16_15.xlsx&amp;sheet=A0&amp;row=204&amp;col=17&amp;number=&amp;sourceID=56","")</f>
        <v/>
      </c>
      <c r="R204" s="4" t="str">
        <f>HYPERLINK("http://141.218.60.56/~jnz1568/getInfo.php?workbook=16_15.xlsx&amp;sheet=A0&amp;row=204&amp;col=18&amp;number=&amp;sourceID=56","")</f>
        <v/>
      </c>
      <c r="S204" s="4" t="str">
        <f>HYPERLINK("http://141.218.60.56/~jnz1568/getInfo.php?workbook=16_15.xlsx&amp;sheet=A0&amp;row=204&amp;col=19&amp;number=&amp;sourceID=57","")</f>
        <v/>
      </c>
      <c r="T204" s="4" t="str">
        <f>HYPERLINK("http://141.218.60.56/~jnz1568/getInfo.php?workbook=16_15.xlsx&amp;sheet=A0&amp;row=204&amp;col=20&amp;number=&amp;sourceID=57","")</f>
        <v/>
      </c>
      <c r="U204" s="4" t="str">
        <f>HYPERLINK("http://141.218.60.56/~jnz1568/getInfo.php?workbook=16_15.xlsx&amp;sheet=A0&amp;row=204&amp;col=21&amp;number=&amp;sourceID=47","")</f>
        <v/>
      </c>
      <c r="V204" s="4" t="str">
        <f>HYPERLINK("http://141.218.60.56/~jnz1568/getInfo.php?workbook=16_15.xlsx&amp;sheet=A0&amp;row=204&amp;col=22&amp;number=&amp;sourceID=47","")</f>
        <v/>
      </c>
    </row>
    <row r="205" spans="1:22">
      <c r="A205" s="3">
        <v>16</v>
      </c>
      <c r="B205" s="3">
        <v>15</v>
      </c>
      <c r="C205" s="3">
        <v>23</v>
      </c>
      <c r="D205" s="3">
        <v>6</v>
      </c>
      <c r="E205" s="3">
        <f>((1/(INDEX(E0!J$4:J$73,C205,1)-INDEX(E0!J$4:J$73,D205,1))))*100000000</f>
        <v>0</v>
      </c>
      <c r="F205" s="4" t="str">
        <f>HYPERLINK("http://141.218.60.56/~jnz1568/getInfo.php?workbook=16_15.xlsx&amp;sheet=A0&amp;row=205&amp;col=6&amp;number=&amp;sourceID=54","")</f>
        <v/>
      </c>
      <c r="G205" s="4" t="str">
        <f>HYPERLINK("http://141.218.60.56/~jnz1568/getInfo.php?workbook=16_15.xlsx&amp;sheet=A0&amp;row=205&amp;col=7&amp;number=1.7384&amp;sourceID=54","1.7384")</f>
        <v>1.7384</v>
      </c>
      <c r="H205" s="4" t="str">
        <f>HYPERLINK("http://141.218.60.56/~jnz1568/getInfo.php?workbook=16_15.xlsx&amp;sheet=A0&amp;row=205&amp;col=8&amp;number=0.0049835&amp;sourceID=54","0.0049835")</f>
        <v>0.0049835</v>
      </c>
      <c r="I205" s="4" t="str">
        <f>HYPERLINK("http://141.218.60.56/~jnz1568/getInfo.php?workbook=16_15.xlsx&amp;sheet=A0&amp;row=205&amp;col=9&amp;number=&amp;sourceID=54","")</f>
        <v/>
      </c>
      <c r="J205" s="4" t="str">
        <f>HYPERLINK("http://141.218.60.56/~jnz1568/getInfo.php?workbook=16_15.xlsx&amp;sheet=A0&amp;row=205&amp;col=10&amp;number=1.5602&amp;sourceID=54","1.5602")</f>
        <v>1.5602</v>
      </c>
      <c r="K205" s="4" t="str">
        <f>HYPERLINK("http://141.218.60.56/~jnz1568/getInfo.php?workbook=16_15.xlsx&amp;sheet=A0&amp;row=205&amp;col=11&amp;number=0.0048019&amp;sourceID=54","0.0048019")</f>
        <v>0.0048019</v>
      </c>
      <c r="L205" s="4" t="str">
        <f>HYPERLINK("http://141.218.60.56/~jnz1568/getInfo.php?workbook=16_15.xlsx&amp;sheet=A0&amp;row=205&amp;col=12&amp;number=&amp;sourceID=53","")</f>
        <v/>
      </c>
      <c r="M205" s="4" t="str">
        <f>HYPERLINK("http://141.218.60.56/~jnz1568/getInfo.php?workbook=16_15.xlsx&amp;sheet=A0&amp;row=205&amp;col=13&amp;number=&amp;sourceID=53","")</f>
        <v/>
      </c>
      <c r="N205" s="4" t="str">
        <f>HYPERLINK("http://141.218.60.56/~jnz1568/getInfo.php?workbook=16_15.xlsx&amp;sheet=A0&amp;row=205&amp;col=14&amp;number=&amp;sourceID=53","")</f>
        <v/>
      </c>
      <c r="O205" s="4" t="str">
        <f>HYPERLINK("http://141.218.60.56/~jnz1568/getInfo.php?workbook=16_15.xlsx&amp;sheet=A0&amp;row=205&amp;col=15&amp;number=&amp;sourceID=55","")</f>
        <v/>
      </c>
      <c r="P205" s="4" t="str">
        <f>HYPERLINK("http://141.218.60.56/~jnz1568/getInfo.php?workbook=16_15.xlsx&amp;sheet=A0&amp;row=205&amp;col=16&amp;number=&amp;sourceID=55","")</f>
        <v/>
      </c>
      <c r="Q205" s="4" t="str">
        <f>HYPERLINK("http://141.218.60.56/~jnz1568/getInfo.php?workbook=16_15.xlsx&amp;sheet=A0&amp;row=205&amp;col=17&amp;number=&amp;sourceID=56","")</f>
        <v/>
      </c>
      <c r="R205" s="4" t="str">
        <f>HYPERLINK("http://141.218.60.56/~jnz1568/getInfo.php?workbook=16_15.xlsx&amp;sheet=A0&amp;row=205&amp;col=18&amp;number=&amp;sourceID=56","")</f>
        <v/>
      </c>
      <c r="S205" s="4" t="str">
        <f>HYPERLINK("http://141.218.60.56/~jnz1568/getInfo.php?workbook=16_15.xlsx&amp;sheet=A0&amp;row=205&amp;col=19&amp;number=&amp;sourceID=57","")</f>
        <v/>
      </c>
      <c r="T205" s="4" t="str">
        <f>HYPERLINK("http://141.218.60.56/~jnz1568/getInfo.php?workbook=16_15.xlsx&amp;sheet=A0&amp;row=205&amp;col=20&amp;number=&amp;sourceID=57","")</f>
        <v/>
      </c>
      <c r="U205" s="4" t="str">
        <f>HYPERLINK("http://141.218.60.56/~jnz1568/getInfo.php?workbook=16_15.xlsx&amp;sheet=A0&amp;row=205&amp;col=21&amp;number=&amp;sourceID=47","")</f>
        <v/>
      </c>
      <c r="V205" s="4" t="str">
        <f>HYPERLINK("http://141.218.60.56/~jnz1568/getInfo.php?workbook=16_15.xlsx&amp;sheet=A0&amp;row=205&amp;col=22&amp;number=&amp;sourceID=47","")</f>
        <v/>
      </c>
    </row>
    <row r="206" spans="1:22">
      <c r="A206" s="3">
        <v>16</v>
      </c>
      <c r="B206" s="3">
        <v>15</v>
      </c>
      <c r="C206" s="3">
        <v>23</v>
      </c>
      <c r="D206" s="3">
        <v>7</v>
      </c>
      <c r="E206" s="3">
        <f>((1/(INDEX(E0!J$4:J$73,C206,1)-INDEX(E0!J$4:J$73,D206,1))))*100000000</f>
        <v>0</v>
      </c>
      <c r="F206" s="4" t="str">
        <f>HYPERLINK("http://141.218.60.56/~jnz1568/getInfo.php?workbook=16_15.xlsx&amp;sheet=A0&amp;row=206&amp;col=6&amp;number=&amp;sourceID=54","")</f>
        <v/>
      </c>
      <c r="G206" s="4" t="str">
        <f>HYPERLINK("http://141.218.60.56/~jnz1568/getInfo.php?workbook=16_15.xlsx&amp;sheet=A0&amp;row=206&amp;col=7&amp;number=2.0732&amp;sourceID=54","2.0732")</f>
        <v>2.0732</v>
      </c>
      <c r="H206" s="4" t="str">
        <f>HYPERLINK("http://141.218.60.56/~jnz1568/getInfo.php?workbook=16_15.xlsx&amp;sheet=A0&amp;row=206&amp;col=8&amp;number=0.064204&amp;sourceID=54","0.064204")</f>
        <v>0.064204</v>
      </c>
      <c r="I206" s="4" t="str">
        <f>HYPERLINK("http://141.218.60.56/~jnz1568/getInfo.php?workbook=16_15.xlsx&amp;sheet=A0&amp;row=206&amp;col=9&amp;number=&amp;sourceID=54","")</f>
        <v/>
      </c>
      <c r="J206" s="4" t="str">
        <f>HYPERLINK("http://141.218.60.56/~jnz1568/getInfo.php?workbook=16_15.xlsx&amp;sheet=A0&amp;row=206&amp;col=10&amp;number=1.8629&amp;sourceID=54","1.8629")</f>
        <v>1.8629</v>
      </c>
      <c r="K206" s="4" t="str">
        <f>HYPERLINK("http://141.218.60.56/~jnz1568/getInfo.php?workbook=16_15.xlsx&amp;sheet=A0&amp;row=206&amp;col=11&amp;number=0.061935&amp;sourceID=54","0.061935")</f>
        <v>0.061935</v>
      </c>
      <c r="L206" s="4" t="str">
        <f>HYPERLINK("http://141.218.60.56/~jnz1568/getInfo.php?workbook=16_15.xlsx&amp;sheet=A0&amp;row=206&amp;col=12&amp;number=&amp;sourceID=53","")</f>
        <v/>
      </c>
      <c r="M206" s="4" t="str">
        <f>HYPERLINK("http://141.218.60.56/~jnz1568/getInfo.php?workbook=16_15.xlsx&amp;sheet=A0&amp;row=206&amp;col=13&amp;number=&amp;sourceID=53","")</f>
        <v/>
      </c>
      <c r="N206" s="4" t="str">
        <f>HYPERLINK("http://141.218.60.56/~jnz1568/getInfo.php?workbook=16_15.xlsx&amp;sheet=A0&amp;row=206&amp;col=14&amp;number=&amp;sourceID=53","")</f>
        <v/>
      </c>
      <c r="O206" s="4" t="str">
        <f>HYPERLINK("http://141.218.60.56/~jnz1568/getInfo.php?workbook=16_15.xlsx&amp;sheet=A0&amp;row=206&amp;col=15&amp;number=&amp;sourceID=55","")</f>
        <v/>
      </c>
      <c r="P206" s="4" t="str">
        <f>HYPERLINK("http://141.218.60.56/~jnz1568/getInfo.php?workbook=16_15.xlsx&amp;sheet=A0&amp;row=206&amp;col=16&amp;number=&amp;sourceID=55","")</f>
        <v/>
      </c>
      <c r="Q206" s="4" t="str">
        <f>HYPERLINK("http://141.218.60.56/~jnz1568/getInfo.php?workbook=16_15.xlsx&amp;sheet=A0&amp;row=206&amp;col=17&amp;number=&amp;sourceID=56","")</f>
        <v/>
      </c>
      <c r="R206" s="4" t="str">
        <f>HYPERLINK("http://141.218.60.56/~jnz1568/getInfo.php?workbook=16_15.xlsx&amp;sheet=A0&amp;row=206&amp;col=18&amp;number=&amp;sourceID=56","")</f>
        <v/>
      </c>
      <c r="S206" s="4" t="str">
        <f>HYPERLINK("http://141.218.60.56/~jnz1568/getInfo.php?workbook=16_15.xlsx&amp;sheet=A0&amp;row=206&amp;col=19&amp;number=&amp;sourceID=57","")</f>
        <v/>
      </c>
      <c r="T206" s="4" t="str">
        <f>HYPERLINK("http://141.218.60.56/~jnz1568/getInfo.php?workbook=16_15.xlsx&amp;sheet=A0&amp;row=206&amp;col=20&amp;number=&amp;sourceID=57","")</f>
        <v/>
      </c>
      <c r="U206" s="4" t="str">
        <f>HYPERLINK("http://141.218.60.56/~jnz1568/getInfo.php?workbook=16_15.xlsx&amp;sheet=A0&amp;row=206&amp;col=21&amp;number=&amp;sourceID=47","")</f>
        <v/>
      </c>
      <c r="V206" s="4" t="str">
        <f>HYPERLINK("http://141.218.60.56/~jnz1568/getInfo.php?workbook=16_15.xlsx&amp;sheet=A0&amp;row=206&amp;col=22&amp;number=&amp;sourceID=47","")</f>
        <v/>
      </c>
    </row>
    <row r="207" spans="1:22">
      <c r="A207" s="3">
        <v>16</v>
      </c>
      <c r="B207" s="3">
        <v>15</v>
      </c>
      <c r="C207" s="3">
        <v>23</v>
      </c>
      <c r="D207" s="3">
        <v>8</v>
      </c>
      <c r="E207" s="3">
        <f>((1/(INDEX(E0!J$4:J$73,C207,1)-INDEX(E0!J$4:J$73,D207,1))))*100000000</f>
        <v>0</v>
      </c>
      <c r="F207" s="4" t="str">
        <f>HYPERLINK("http://141.218.60.56/~jnz1568/getInfo.php?workbook=16_15.xlsx&amp;sheet=A0&amp;row=207&amp;col=6&amp;number=&amp;sourceID=54","")</f>
        <v/>
      </c>
      <c r="G207" s="4" t="str">
        <f>HYPERLINK("http://141.218.60.56/~jnz1568/getInfo.php?workbook=16_15.xlsx&amp;sheet=A0&amp;row=207&amp;col=7&amp;number=1.1563&amp;sourceID=54","1.1563")</f>
        <v>1.1563</v>
      </c>
      <c r="H207" s="4" t="str">
        <f>HYPERLINK("http://141.218.60.56/~jnz1568/getInfo.php?workbook=16_15.xlsx&amp;sheet=A0&amp;row=207&amp;col=8&amp;number=0.0046369&amp;sourceID=54","0.0046369")</f>
        <v>0.0046369</v>
      </c>
      <c r="I207" s="4" t="str">
        <f>HYPERLINK("http://141.218.60.56/~jnz1568/getInfo.php?workbook=16_15.xlsx&amp;sheet=A0&amp;row=207&amp;col=9&amp;number=&amp;sourceID=54","")</f>
        <v/>
      </c>
      <c r="J207" s="4" t="str">
        <f>HYPERLINK("http://141.218.60.56/~jnz1568/getInfo.php?workbook=16_15.xlsx&amp;sheet=A0&amp;row=207&amp;col=10&amp;number=1.0405&amp;sourceID=54","1.0405")</f>
        <v>1.0405</v>
      </c>
      <c r="K207" s="4" t="str">
        <f>HYPERLINK("http://141.218.60.56/~jnz1568/getInfo.php?workbook=16_15.xlsx&amp;sheet=A0&amp;row=207&amp;col=11&amp;number=0.0044704&amp;sourceID=54","0.0044704")</f>
        <v>0.0044704</v>
      </c>
      <c r="L207" s="4" t="str">
        <f>HYPERLINK("http://141.218.60.56/~jnz1568/getInfo.php?workbook=16_15.xlsx&amp;sheet=A0&amp;row=207&amp;col=12&amp;number=&amp;sourceID=53","")</f>
        <v/>
      </c>
      <c r="M207" s="4" t="str">
        <f>HYPERLINK("http://141.218.60.56/~jnz1568/getInfo.php?workbook=16_15.xlsx&amp;sheet=A0&amp;row=207&amp;col=13&amp;number=&amp;sourceID=53","")</f>
        <v/>
      </c>
      <c r="N207" s="4" t="str">
        <f>HYPERLINK("http://141.218.60.56/~jnz1568/getInfo.php?workbook=16_15.xlsx&amp;sheet=A0&amp;row=207&amp;col=14&amp;number=&amp;sourceID=53","")</f>
        <v/>
      </c>
      <c r="O207" s="4" t="str">
        <f>HYPERLINK("http://141.218.60.56/~jnz1568/getInfo.php?workbook=16_15.xlsx&amp;sheet=A0&amp;row=207&amp;col=15&amp;number=&amp;sourceID=55","")</f>
        <v/>
      </c>
      <c r="P207" s="4" t="str">
        <f>HYPERLINK("http://141.218.60.56/~jnz1568/getInfo.php?workbook=16_15.xlsx&amp;sheet=A0&amp;row=207&amp;col=16&amp;number=&amp;sourceID=55","")</f>
        <v/>
      </c>
      <c r="Q207" s="4" t="str">
        <f>HYPERLINK("http://141.218.60.56/~jnz1568/getInfo.php?workbook=16_15.xlsx&amp;sheet=A0&amp;row=207&amp;col=17&amp;number=&amp;sourceID=56","")</f>
        <v/>
      </c>
      <c r="R207" s="4" t="str">
        <f>HYPERLINK("http://141.218.60.56/~jnz1568/getInfo.php?workbook=16_15.xlsx&amp;sheet=A0&amp;row=207&amp;col=18&amp;number=&amp;sourceID=56","")</f>
        <v/>
      </c>
      <c r="S207" s="4" t="str">
        <f>HYPERLINK("http://141.218.60.56/~jnz1568/getInfo.php?workbook=16_15.xlsx&amp;sheet=A0&amp;row=207&amp;col=19&amp;number=&amp;sourceID=57","")</f>
        <v/>
      </c>
      <c r="T207" s="4" t="str">
        <f>HYPERLINK("http://141.218.60.56/~jnz1568/getInfo.php?workbook=16_15.xlsx&amp;sheet=A0&amp;row=207&amp;col=20&amp;number=&amp;sourceID=57","")</f>
        <v/>
      </c>
      <c r="U207" s="4" t="str">
        <f>HYPERLINK("http://141.218.60.56/~jnz1568/getInfo.php?workbook=16_15.xlsx&amp;sheet=A0&amp;row=207&amp;col=21&amp;number=&amp;sourceID=47","")</f>
        <v/>
      </c>
      <c r="V207" s="4" t="str">
        <f>HYPERLINK("http://141.218.60.56/~jnz1568/getInfo.php?workbook=16_15.xlsx&amp;sheet=A0&amp;row=207&amp;col=22&amp;number=&amp;sourceID=47","")</f>
        <v/>
      </c>
    </row>
    <row r="208" spans="1:22">
      <c r="A208" s="3">
        <v>16</v>
      </c>
      <c r="B208" s="3">
        <v>15</v>
      </c>
      <c r="C208" s="3">
        <v>23</v>
      </c>
      <c r="D208" s="3">
        <v>9</v>
      </c>
      <c r="E208" s="3">
        <f>((1/(INDEX(E0!J$4:J$73,C208,1)-INDEX(E0!J$4:J$73,D208,1))))*100000000</f>
        <v>0</v>
      </c>
      <c r="F208" s="4" t="str">
        <f>HYPERLINK("http://141.218.60.56/~jnz1568/getInfo.php?workbook=16_15.xlsx&amp;sheet=A0&amp;row=208&amp;col=6&amp;number=&amp;sourceID=54","")</f>
        <v/>
      </c>
      <c r="G208" s="4" t="str">
        <f>HYPERLINK("http://141.218.60.56/~jnz1568/getInfo.php?workbook=16_15.xlsx&amp;sheet=A0&amp;row=208&amp;col=7&amp;number=8.2578e-06&amp;sourceID=54","8.2578e-06")</f>
        <v>8.2578e-06</v>
      </c>
      <c r="H208" s="4" t="str">
        <f>HYPERLINK("http://141.218.60.56/~jnz1568/getInfo.php?workbook=16_15.xlsx&amp;sheet=A0&amp;row=208&amp;col=8&amp;number=0.0018281&amp;sourceID=54","0.0018281")</f>
        <v>0.0018281</v>
      </c>
      <c r="I208" s="4" t="str">
        <f>HYPERLINK("http://141.218.60.56/~jnz1568/getInfo.php?workbook=16_15.xlsx&amp;sheet=A0&amp;row=208&amp;col=9&amp;number=&amp;sourceID=54","")</f>
        <v/>
      </c>
      <c r="J208" s="4" t="str">
        <f>HYPERLINK("http://141.218.60.56/~jnz1568/getInfo.php?workbook=16_15.xlsx&amp;sheet=A0&amp;row=208&amp;col=10&amp;number=8.0593e-06&amp;sourceID=54","8.0593e-06")</f>
        <v>8.0593e-06</v>
      </c>
      <c r="K208" s="4" t="str">
        <f>HYPERLINK("http://141.218.60.56/~jnz1568/getInfo.php?workbook=16_15.xlsx&amp;sheet=A0&amp;row=208&amp;col=11&amp;number=0.0016291&amp;sourceID=54","0.0016291")</f>
        <v>0.0016291</v>
      </c>
      <c r="L208" s="4" t="str">
        <f>HYPERLINK("http://141.218.60.56/~jnz1568/getInfo.php?workbook=16_15.xlsx&amp;sheet=A0&amp;row=208&amp;col=12&amp;number=&amp;sourceID=53","")</f>
        <v/>
      </c>
      <c r="M208" s="4" t="str">
        <f>HYPERLINK("http://141.218.60.56/~jnz1568/getInfo.php?workbook=16_15.xlsx&amp;sheet=A0&amp;row=208&amp;col=13&amp;number=&amp;sourceID=53","")</f>
        <v/>
      </c>
      <c r="N208" s="4" t="str">
        <f>HYPERLINK("http://141.218.60.56/~jnz1568/getInfo.php?workbook=16_15.xlsx&amp;sheet=A0&amp;row=208&amp;col=14&amp;number=&amp;sourceID=53","")</f>
        <v/>
      </c>
      <c r="O208" s="4" t="str">
        <f>HYPERLINK("http://141.218.60.56/~jnz1568/getInfo.php?workbook=16_15.xlsx&amp;sheet=A0&amp;row=208&amp;col=15&amp;number=&amp;sourceID=55","")</f>
        <v/>
      </c>
      <c r="P208" s="4" t="str">
        <f>HYPERLINK("http://141.218.60.56/~jnz1568/getInfo.php?workbook=16_15.xlsx&amp;sheet=A0&amp;row=208&amp;col=16&amp;number=&amp;sourceID=55","")</f>
        <v/>
      </c>
      <c r="Q208" s="4" t="str">
        <f>HYPERLINK("http://141.218.60.56/~jnz1568/getInfo.php?workbook=16_15.xlsx&amp;sheet=A0&amp;row=208&amp;col=17&amp;number=&amp;sourceID=56","")</f>
        <v/>
      </c>
      <c r="R208" s="4" t="str">
        <f>HYPERLINK("http://141.218.60.56/~jnz1568/getInfo.php?workbook=16_15.xlsx&amp;sheet=A0&amp;row=208&amp;col=18&amp;number=&amp;sourceID=56","")</f>
        <v/>
      </c>
      <c r="S208" s="4" t="str">
        <f>HYPERLINK("http://141.218.60.56/~jnz1568/getInfo.php?workbook=16_15.xlsx&amp;sheet=A0&amp;row=208&amp;col=19&amp;number=&amp;sourceID=57","")</f>
        <v/>
      </c>
      <c r="T208" s="4" t="str">
        <f>HYPERLINK("http://141.218.60.56/~jnz1568/getInfo.php?workbook=16_15.xlsx&amp;sheet=A0&amp;row=208&amp;col=20&amp;number=&amp;sourceID=57","")</f>
        <v/>
      </c>
      <c r="U208" s="4" t="str">
        <f>HYPERLINK("http://141.218.60.56/~jnz1568/getInfo.php?workbook=16_15.xlsx&amp;sheet=A0&amp;row=208&amp;col=21&amp;number=&amp;sourceID=47","")</f>
        <v/>
      </c>
      <c r="V208" s="4" t="str">
        <f>HYPERLINK("http://141.218.60.56/~jnz1568/getInfo.php?workbook=16_15.xlsx&amp;sheet=A0&amp;row=208&amp;col=22&amp;number=&amp;sourceID=47","")</f>
        <v/>
      </c>
    </row>
    <row r="209" spans="1:22">
      <c r="A209" s="3">
        <v>16</v>
      </c>
      <c r="B209" s="3">
        <v>15</v>
      </c>
      <c r="C209" s="3">
        <v>23</v>
      </c>
      <c r="D209" s="3">
        <v>10</v>
      </c>
      <c r="E209" s="3">
        <f>((1/(INDEX(E0!J$4:J$73,C209,1)-INDEX(E0!J$4:J$73,D209,1))))*100000000</f>
        <v>0</v>
      </c>
      <c r="F209" s="4" t="str">
        <f>HYPERLINK("http://141.218.60.56/~jnz1568/getInfo.php?workbook=16_15.xlsx&amp;sheet=A0&amp;row=209&amp;col=6&amp;number=&amp;sourceID=54","")</f>
        <v/>
      </c>
      <c r="G209" s="4" t="str">
        <f>HYPERLINK("http://141.218.60.56/~jnz1568/getInfo.php?workbook=16_15.xlsx&amp;sheet=A0&amp;row=209&amp;col=7&amp;number=3.6021e-06&amp;sourceID=54","3.6021e-06")</f>
        <v>3.6021e-06</v>
      </c>
      <c r="H209" s="4" t="str">
        <f>HYPERLINK("http://141.218.60.56/~jnz1568/getInfo.php?workbook=16_15.xlsx&amp;sheet=A0&amp;row=209&amp;col=8&amp;number=0.0007399&amp;sourceID=54","0.0007399")</f>
        <v>0.0007399</v>
      </c>
      <c r="I209" s="4" t="str">
        <f>HYPERLINK("http://141.218.60.56/~jnz1568/getInfo.php?workbook=16_15.xlsx&amp;sheet=A0&amp;row=209&amp;col=9&amp;number=&amp;sourceID=54","")</f>
        <v/>
      </c>
      <c r="J209" s="4" t="str">
        <f>HYPERLINK("http://141.218.60.56/~jnz1568/getInfo.php?workbook=16_15.xlsx&amp;sheet=A0&amp;row=209&amp;col=10&amp;number=3.6937e-06&amp;sourceID=54","3.6937e-06")</f>
        <v>3.6937e-06</v>
      </c>
      <c r="K209" s="4" t="str">
        <f>HYPERLINK("http://141.218.60.56/~jnz1568/getInfo.php?workbook=16_15.xlsx&amp;sheet=A0&amp;row=209&amp;col=11&amp;number=0.00070913&amp;sourceID=54","0.00070913")</f>
        <v>0.00070913</v>
      </c>
      <c r="L209" s="4" t="str">
        <f>HYPERLINK("http://141.218.60.56/~jnz1568/getInfo.php?workbook=16_15.xlsx&amp;sheet=A0&amp;row=209&amp;col=12&amp;number=&amp;sourceID=53","")</f>
        <v/>
      </c>
      <c r="M209" s="4" t="str">
        <f>HYPERLINK("http://141.218.60.56/~jnz1568/getInfo.php?workbook=16_15.xlsx&amp;sheet=A0&amp;row=209&amp;col=13&amp;number=&amp;sourceID=53","")</f>
        <v/>
      </c>
      <c r="N209" s="4" t="str">
        <f>HYPERLINK("http://141.218.60.56/~jnz1568/getInfo.php?workbook=16_15.xlsx&amp;sheet=A0&amp;row=209&amp;col=14&amp;number=&amp;sourceID=53","")</f>
        <v/>
      </c>
      <c r="O209" s="4" t="str">
        <f>HYPERLINK("http://141.218.60.56/~jnz1568/getInfo.php?workbook=16_15.xlsx&amp;sheet=A0&amp;row=209&amp;col=15&amp;number=&amp;sourceID=55","")</f>
        <v/>
      </c>
      <c r="P209" s="4" t="str">
        <f>HYPERLINK("http://141.218.60.56/~jnz1568/getInfo.php?workbook=16_15.xlsx&amp;sheet=A0&amp;row=209&amp;col=16&amp;number=&amp;sourceID=55","")</f>
        <v/>
      </c>
      <c r="Q209" s="4" t="str">
        <f>HYPERLINK("http://141.218.60.56/~jnz1568/getInfo.php?workbook=16_15.xlsx&amp;sheet=A0&amp;row=209&amp;col=17&amp;number=&amp;sourceID=56","")</f>
        <v/>
      </c>
      <c r="R209" s="4" t="str">
        <f>HYPERLINK("http://141.218.60.56/~jnz1568/getInfo.php?workbook=16_15.xlsx&amp;sheet=A0&amp;row=209&amp;col=18&amp;number=&amp;sourceID=56","")</f>
        <v/>
      </c>
      <c r="S209" s="4" t="str">
        <f>HYPERLINK("http://141.218.60.56/~jnz1568/getInfo.php?workbook=16_15.xlsx&amp;sheet=A0&amp;row=209&amp;col=19&amp;number=&amp;sourceID=57","")</f>
        <v/>
      </c>
      <c r="T209" s="4" t="str">
        <f>HYPERLINK("http://141.218.60.56/~jnz1568/getInfo.php?workbook=16_15.xlsx&amp;sheet=A0&amp;row=209&amp;col=20&amp;number=&amp;sourceID=57","")</f>
        <v/>
      </c>
      <c r="U209" s="4" t="str">
        <f>HYPERLINK("http://141.218.60.56/~jnz1568/getInfo.php?workbook=16_15.xlsx&amp;sheet=A0&amp;row=209&amp;col=21&amp;number=&amp;sourceID=47","")</f>
        <v/>
      </c>
      <c r="V209" s="4" t="str">
        <f>HYPERLINK("http://141.218.60.56/~jnz1568/getInfo.php?workbook=16_15.xlsx&amp;sheet=A0&amp;row=209&amp;col=22&amp;number=&amp;sourceID=47","")</f>
        <v/>
      </c>
    </row>
    <row r="210" spans="1:22">
      <c r="A210" s="3">
        <v>16</v>
      </c>
      <c r="B210" s="3">
        <v>15</v>
      </c>
      <c r="C210" s="3">
        <v>23</v>
      </c>
      <c r="D210" s="3">
        <v>11</v>
      </c>
      <c r="E210" s="3">
        <f>((1/(INDEX(E0!J$4:J$73,C210,1)-INDEX(E0!J$4:J$73,D210,1))))*100000000</f>
        <v>0</v>
      </c>
      <c r="F210" s="4" t="str">
        <f>HYPERLINK("http://141.218.60.56/~jnz1568/getInfo.php?workbook=16_15.xlsx&amp;sheet=A0&amp;row=210&amp;col=6&amp;number=&amp;sourceID=54","")</f>
        <v/>
      </c>
      <c r="G210" s="4" t="str">
        <f>HYPERLINK("http://141.218.60.56/~jnz1568/getInfo.php?workbook=16_15.xlsx&amp;sheet=A0&amp;row=210&amp;col=7&amp;number=2.0164e-06&amp;sourceID=54","2.0164e-06")</f>
        <v>2.0164e-06</v>
      </c>
      <c r="H210" s="4" t="str">
        <f>HYPERLINK("http://141.218.60.56/~jnz1568/getInfo.php?workbook=16_15.xlsx&amp;sheet=A0&amp;row=210&amp;col=8&amp;number=0.0002557&amp;sourceID=54","0.0002557")</f>
        <v>0.0002557</v>
      </c>
      <c r="I210" s="4" t="str">
        <f>HYPERLINK("http://141.218.60.56/~jnz1568/getInfo.php?workbook=16_15.xlsx&amp;sheet=A0&amp;row=210&amp;col=9&amp;number=&amp;sourceID=54","")</f>
        <v/>
      </c>
      <c r="J210" s="4" t="str">
        <f>HYPERLINK("http://141.218.60.56/~jnz1568/getInfo.php?workbook=16_15.xlsx&amp;sheet=A0&amp;row=210&amp;col=10&amp;number=2.1771e-06&amp;sourceID=54","2.1771e-06")</f>
        <v>2.1771e-06</v>
      </c>
      <c r="K210" s="4" t="str">
        <f>HYPERLINK("http://141.218.60.56/~jnz1568/getInfo.php?workbook=16_15.xlsx&amp;sheet=A0&amp;row=210&amp;col=11&amp;number=0.00025637&amp;sourceID=54","0.00025637")</f>
        <v>0.00025637</v>
      </c>
      <c r="L210" s="4" t="str">
        <f>HYPERLINK("http://141.218.60.56/~jnz1568/getInfo.php?workbook=16_15.xlsx&amp;sheet=A0&amp;row=210&amp;col=12&amp;number=&amp;sourceID=53","")</f>
        <v/>
      </c>
      <c r="M210" s="4" t="str">
        <f>HYPERLINK("http://141.218.60.56/~jnz1568/getInfo.php?workbook=16_15.xlsx&amp;sheet=A0&amp;row=210&amp;col=13&amp;number=&amp;sourceID=53","")</f>
        <v/>
      </c>
      <c r="N210" s="4" t="str">
        <f>HYPERLINK("http://141.218.60.56/~jnz1568/getInfo.php?workbook=16_15.xlsx&amp;sheet=A0&amp;row=210&amp;col=14&amp;number=&amp;sourceID=53","")</f>
        <v/>
      </c>
      <c r="O210" s="4" t="str">
        <f>HYPERLINK("http://141.218.60.56/~jnz1568/getInfo.php?workbook=16_15.xlsx&amp;sheet=A0&amp;row=210&amp;col=15&amp;number=&amp;sourceID=55","")</f>
        <v/>
      </c>
      <c r="P210" s="4" t="str">
        <f>HYPERLINK("http://141.218.60.56/~jnz1568/getInfo.php?workbook=16_15.xlsx&amp;sheet=A0&amp;row=210&amp;col=16&amp;number=&amp;sourceID=55","")</f>
        <v/>
      </c>
      <c r="Q210" s="4" t="str">
        <f>HYPERLINK("http://141.218.60.56/~jnz1568/getInfo.php?workbook=16_15.xlsx&amp;sheet=A0&amp;row=210&amp;col=17&amp;number=&amp;sourceID=56","")</f>
        <v/>
      </c>
      <c r="R210" s="4" t="str">
        <f>HYPERLINK("http://141.218.60.56/~jnz1568/getInfo.php?workbook=16_15.xlsx&amp;sheet=A0&amp;row=210&amp;col=18&amp;number=&amp;sourceID=56","")</f>
        <v/>
      </c>
      <c r="S210" s="4" t="str">
        <f>HYPERLINK("http://141.218.60.56/~jnz1568/getInfo.php?workbook=16_15.xlsx&amp;sheet=A0&amp;row=210&amp;col=19&amp;number=&amp;sourceID=57","")</f>
        <v/>
      </c>
      <c r="T210" s="4" t="str">
        <f>HYPERLINK("http://141.218.60.56/~jnz1568/getInfo.php?workbook=16_15.xlsx&amp;sheet=A0&amp;row=210&amp;col=20&amp;number=&amp;sourceID=57","")</f>
        <v/>
      </c>
      <c r="U210" s="4" t="str">
        <f>HYPERLINK("http://141.218.60.56/~jnz1568/getInfo.php?workbook=16_15.xlsx&amp;sheet=A0&amp;row=210&amp;col=21&amp;number=&amp;sourceID=47","")</f>
        <v/>
      </c>
      <c r="V210" s="4" t="str">
        <f>HYPERLINK("http://141.218.60.56/~jnz1568/getInfo.php?workbook=16_15.xlsx&amp;sheet=A0&amp;row=210&amp;col=22&amp;number=&amp;sourceID=47","")</f>
        <v/>
      </c>
    </row>
    <row r="211" spans="1:22">
      <c r="A211" s="3">
        <v>16</v>
      </c>
      <c r="B211" s="3">
        <v>15</v>
      </c>
      <c r="C211" s="3">
        <v>23</v>
      </c>
      <c r="D211" s="3">
        <v>12</v>
      </c>
      <c r="E211" s="3">
        <f>((1/(INDEX(E0!J$4:J$73,C211,1)-INDEX(E0!J$4:J$73,D211,1))))*100000000</f>
        <v>0</v>
      </c>
      <c r="F211" s="4" t="str">
        <f>HYPERLINK("http://141.218.60.56/~jnz1568/getInfo.php?workbook=16_15.xlsx&amp;sheet=A0&amp;row=211&amp;col=6&amp;number=&amp;sourceID=54","")</f>
        <v/>
      </c>
      <c r="G211" s="4" t="str">
        <f>HYPERLINK("http://141.218.60.56/~jnz1568/getInfo.php?workbook=16_15.xlsx&amp;sheet=A0&amp;row=211&amp;col=7&amp;number=3.5621e-06&amp;sourceID=54","3.5621e-06")</f>
        <v>3.5621e-06</v>
      </c>
      <c r="H211" s="4" t="str">
        <f>HYPERLINK("http://141.218.60.56/~jnz1568/getInfo.php?workbook=16_15.xlsx&amp;sheet=A0&amp;row=211&amp;col=8&amp;number=0.0049873&amp;sourceID=54","0.0049873")</f>
        <v>0.0049873</v>
      </c>
      <c r="I211" s="4" t="str">
        <f>HYPERLINK("http://141.218.60.56/~jnz1568/getInfo.php?workbook=16_15.xlsx&amp;sheet=A0&amp;row=211&amp;col=9&amp;number=&amp;sourceID=54","")</f>
        <v/>
      </c>
      <c r="J211" s="4" t="str">
        <f>HYPERLINK("http://141.218.60.56/~jnz1568/getInfo.php?workbook=16_15.xlsx&amp;sheet=A0&amp;row=211&amp;col=10&amp;number=3.4334e-06&amp;sourceID=54","3.4334e-06")</f>
        <v>3.4334e-06</v>
      </c>
      <c r="K211" s="4" t="str">
        <f>HYPERLINK("http://141.218.60.56/~jnz1568/getInfo.php?workbook=16_15.xlsx&amp;sheet=A0&amp;row=211&amp;col=11&amp;number=0.0050015&amp;sourceID=54","0.0050015")</f>
        <v>0.0050015</v>
      </c>
      <c r="L211" s="4" t="str">
        <f>HYPERLINK("http://141.218.60.56/~jnz1568/getInfo.php?workbook=16_15.xlsx&amp;sheet=A0&amp;row=211&amp;col=12&amp;number=&amp;sourceID=53","")</f>
        <v/>
      </c>
      <c r="M211" s="4" t="str">
        <f>HYPERLINK("http://141.218.60.56/~jnz1568/getInfo.php?workbook=16_15.xlsx&amp;sheet=A0&amp;row=211&amp;col=13&amp;number=&amp;sourceID=53","")</f>
        <v/>
      </c>
      <c r="N211" s="4" t="str">
        <f>HYPERLINK("http://141.218.60.56/~jnz1568/getInfo.php?workbook=16_15.xlsx&amp;sheet=A0&amp;row=211&amp;col=14&amp;number=&amp;sourceID=53","")</f>
        <v/>
      </c>
      <c r="O211" s="4" t="str">
        <f>HYPERLINK("http://141.218.60.56/~jnz1568/getInfo.php?workbook=16_15.xlsx&amp;sheet=A0&amp;row=211&amp;col=15&amp;number=&amp;sourceID=55","")</f>
        <v/>
      </c>
      <c r="P211" s="4" t="str">
        <f>HYPERLINK("http://141.218.60.56/~jnz1568/getInfo.php?workbook=16_15.xlsx&amp;sheet=A0&amp;row=211&amp;col=16&amp;number=&amp;sourceID=55","")</f>
        <v/>
      </c>
      <c r="Q211" s="4" t="str">
        <f>HYPERLINK("http://141.218.60.56/~jnz1568/getInfo.php?workbook=16_15.xlsx&amp;sheet=A0&amp;row=211&amp;col=17&amp;number=&amp;sourceID=56","")</f>
        <v/>
      </c>
      <c r="R211" s="4" t="str">
        <f>HYPERLINK("http://141.218.60.56/~jnz1568/getInfo.php?workbook=16_15.xlsx&amp;sheet=A0&amp;row=211&amp;col=18&amp;number=&amp;sourceID=56","")</f>
        <v/>
      </c>
      <c r="S211" s="4" t="str">
        <f>HYPERLINK("http://141.218.60.56/~jnz1568/getInfo.php?workbook=16_15.xlsx&amp;sheet=A0&amp;row=211&amp;col=19&amp;number=&amp;sourceID=57","")</f>
        <v/>
      </c>
      <c r="T211" s="4" t="str">
        <f>HYPERLINK("http://141.218.60.56/~jnz1568/getInfo.php?workbook=16_15.xlsx&amp;sheet=A0&amp;row=211&amp;col=20&amp;number=&amp;sourceID=57","")</f>
        <v/>
      </c>
      <c r="U211" s="4" t="str">
        <f>HYPERLINK("http://141.218.60.56/~jnz1568/getInfo.php?workbook=16_15.xlsx&amp;sheet=A0&amp;row=211&amp;col=21&amp;number=&amp;sourceID=47","")</f>
        <v/>
      </c>
      <c r="V211" s="4" t="str">
        <f>HYPERLINK("http://141.218.60.56/~jnz1568/getInfo.php?workbook=16_15.xlsx&amp;sheet=A0&amp;row=211&amp;col=22&amp;number=&amp;sourceID=47","")</f>
        <v/>
      </c>
    </row>
    <row r="212" spans="1:22">
      <c r="A212" s="3">
        <v>16</v>
      </c>
      <c r="B212" s="3">
        <v>15</v>
      </c>
      <c r="C212" s="3">
        <v>23</v>
      </c>
      <c r="D212" s="3">
        <v>13</v>
      </c>
      <c r="E212" s="3">
        <f>((1/(INDEX(E0!J$4:J$73,C212,1)-INDEX(E0!J$4:J$73,D212,1))))*100000000</f>
        <v>0</v>
      </c>
      <c r="F212" s="4" t="str">
        <f>HYPERLINK("http://141.218.60.56/~jnz1568/getInfo.php?workbook=16_15.xlsx&amp;sheet=A0&amp;row=212&amp;col=6&amp;number=&amp;sourceID=54","")</f>
        <v/>
      </c>
      <c r="G212" s="4" t="str">
        <f>HYPERLINK("http://141.218.60.56/~jnz1568/getInfo.php?workbook=16_15.xlsx&amp;sheet=A0&amp;row=212&amp;col=7&amp;number=0.0028087&amp;sourceID=54","0.0028087")</f>
        <v>0.0028087</v>
      </c>
      <c r="H212" s="4" t="str">
        <f>HYPERLINK("http://141.218.60.56/~jnz1568/getInfo.php?workbook=16_15.xlsx&amp;sheet=A0&amp;row=212&amp;col=8&amp;number=2.3609e-06&amp;sourceID=54","2.3609e-06")</f>
        <v>2.3609e-06</v>
      </c>
      <c r="I212" s="4" t="str">
        <f>HYPERLINK("http://141.218.60.56/~jnz1568/getInfo.php?workbook=16_15.xlsx&amp;sheet=A0&amp;row=212&amp;col=9&amp;number=&amp;sourceID=54","")</f>
        <v/>
      </c>
      <c r="J212" s="4" t="str">
        <f>HYPERLINK("http://141.218.60.56/~jnz1568/getInfo.php?workbook=16_15.xlsx&amp;sheet=A0&amp;row=212&amp;col=10&amp;number=0.0016437&amp;sourceID=54","0.0016437")</f>
        <v>0.0016437</v>
      </c>
      <c r="K212" s="4" t="str">
        <f>HYPERLINK("http://141.218.60.56/~jnz1568/getInfo.php?workbook=16_15.xlsx&amp;sheet=A0&amp;row=212&amp;col=11&amp;number=2.1952e-06&amp;sourceID=54","2.1952e-06")</f>
        <v>2.1952e-06</v>
      </c>
      <c r="L212" s="4" t="str">
        <f>HYPERLINK("http://141.218.60.56/~jnz1568/getInfo.php?workbook=16_15.xlsx&amp;sheet=A0&amp;row=212&amp;col=12&amp;number=&amp;sourceID=53","")</f>
        <v/>
      </c>
      <c r="M212" s="4" t="str">
        <f>HYPERLINK("http://141.218.60.56/~jnz1568/getInfo.php?workbook=16_15.xlsx&amp;sheet=A0&amp;row=212&amp;col=13&amp;number=&amp;sourceID=53","")</f>
        <v/>
      </c>
      <c r="N212" s="4" t="str">
        <f>HYPERLINK("http://141.218.60.56/~jnz1568/getInfo.php?workbook=16_15.xlsx&amp;sheet=A0&amp;row=212&amp;col=14&amp;number=&amp;sourceID=53","")</f>
        <v/>
      </c>
      <c r="O212" s="4" t="str">
        <f>HYPERLINK("http://141.218.60.56/~jnz1568/getInfo.php?workbook=16_15.xlsx&amp;sheet=A0&amp;row=212&amp;col=15&amp;number=&amp;sourceID=55","")</f>
        <v/>
      </c>
      <c r="P212" s="4" t="str">
        <f>HYPERLINK("http://141.218.60.56/~jnz1568/getInfo.php?workbook=16_15.xlsx&amp;sheet=A0&amp;row=212&amp;col=16&amp;number=&amp;sourceID=55","")</f>
        <v/>
      </c>
      <c r="Q212" s="4" t="str">
        <f>HYPERLINK("http://141.218.60.56/~jnz1568/getInfo.php?workbook=16_15.xlsx&amp;sheet=A0&amp;row=212&amp;col=17&amp;number=&amp;sourceID=56","")</f>
        <v/>
      </c>
      <c r="R212" s="4" t="str">
        <f>HYPERLINK("http://141.218.60.56/~jnz1568/getInfo.php?workbook=16_15.xlsx&amp;sheet=A0&amp;row=212&amp;col=18&amp;number=&amp;sourceID=56","")</f>
        <v/>
      </c>
      <c r="S212" s="4" t="str">
        <f>HYPERLINK("http://141.218.60.56/~jnz1568/getInfo.php?workbook=16_15.xlsx&amp;sheet=A0&amp;row=212&amp;col=19&amp;number=&amp;sourceID=57","")</f>
        <v/>
      </c>
      <c r="T212" s="4" t="str">
        <f>HYPERLINK("http://141.218.60.56/~jnz1568/getInfo.php?workbook=16_15.xlsx&amp;sheet=A0&amp;row=212&amp;col=20&amp;number=&amp;sourceID=57","")</f>
        <v/>
      </c>
      <c r="U212" s="4" t="str">
        <f>HYPERLINK("http://141.218.60.56/~jnz1568/getInfo.php?workbook=16_15.xlsx&amp;sheet=A0&amp;row=212&amp;col=21&amp;number=&amp;sourceID=47","")</f>
        <v/>
      </c>
      <c r="V212" s="4" t="str">
        <f>HYPERLINK("http://141.218.60.56/~jnz1568/getInfo.php?workbook=16_15.xlsx&amp;sheet=A0&amp;row=212&amp;col=22&amp;number=&amp;sourceID=47","")</f>
        <v/>
      </c>
    </row>
    <row r="213" spans="1:22">
      <c r="A213" s="3">
        <v>16</v>
      </c>
      <c r="B213" s="3">
        <v>15</v>
      </c>
      <c r="C213" s="3">
        <v>23</v>
      </c>
      <c r="D213" s="3">
        <v>14</v>
      </c>
      <c r="E213" s="3">
        <f>((1/(INDEX(E0!J$4:J$73,C213,1)-INDEX(E0!J$4:J$73,D213,1))))*100000000</f>
        <v>0</v>
      </c>
      <c r="F213" s="4" t="str">
        <f>HYPERLINK("http://141.218.60.56/~jnz1568/getInfo.php?workbook=16_15.xlsx&amp;sheet=A0&amp;row=213&amp;col=6&amp;number=&amp;sourceID=54","")</f>
        <v/>
      </c>
      <c r="G213" s="4" t="str">
        <f>HYPERLINK("http://141.218.60.56/~jnz1568/getInfo.php?workbook=16_15.xlsx&amp;sheet=A0&amp;row=213&amp;col=7&amp;number=0.00422&amp;sourceID=54","0.00422")</f>
        <v>0.00422</v>
      </c>
      <c r="H213" s="4" t="str">
        <f>HYPERLINK("http://141.218.60.56/~jnz1568/getInfo.php?workbook=16_15.xlsx&amp;sheet=A0&amp;row=213&amp;col=8&amp;number=2.7026e-05&amp;sourceID=54","2.7026e-05")</f>
        <v>2.7026e-05</v>
      </c>
      <c r="I213" s="4" t="str">
        <f>HYPERLINK("http://141.218.60.56/~jnz1568/getInfo.php?workbook=16_15.xlsx&amp;sheet=A0&amp;row=213&amp;col=9&amp;number=&amp;sourceID=54","")</f>
        <v/>
      </c>
      <c r="J213" s="4" t="str">
        <f>HYPERLINK("http://141.218.60.56/~jnz1568/getInfo.php?workbook=16_15.xlsx&amp;sheet=A0&amp;row=213&amp;col=10&amp;number=0.0023841&amp;sourceID=54","0.0023841")</f>
        <v>0.0023841</v>
      </c>
      <c r="K213" s="4" t="str">
        <f>HYPERLINK("http://141.218.60.56/~jnz1568/getInfo.php?workbook=16_15.xlsx&amp;sheet=A0&amp;row=213&amp;col=11&amp;number=2.3432e-05&amp;sourceID=54","2.3432e-05")</f>
        <v>2.3432e-05</v>
      </c>
      <c r="L213" s="4" t="str">
        <f>HYPERLINK("http://141.218.60.56/~jnz1568/getInfo.php?workbook=16_15.xlsx&amp;sheet=A0&amp;row=213&amp;col=12&amp;number=&amp;sourceID=53","")</f>
        <v/>
      </c>
      <c r="M213" s="4" t="str">
        <f>HYPERLINK("http://141.218.60.56/~jnz1568/getInfo.php?workbook=16_15.xlsx&amp;sheet=A0&amp;row=213&amp;col=13&amp;number=&amp;sourceID=53","")</f>
        <v/>
      </c>
      <c r="N213" s="4" t="str">
        <f>HYPERLINK("http://141.218.60.56/~jnz1568/getInfo.php?workbook=16_15.xlsx&amp;sheet=A0&amp;row=213&amp;col=14&amp;number=&amp;sourceID=53","")</f>
        <v/>
      </c>
      <c r="O213" s="4" t="str">
        <f>HYPERLINK("http://141.218.60.56/~jnz1568/getInfo.php?workbook=16_15.xlsx&amp;sheet=A0&amp;row=213&amp;col=15&amp;number=&amp;sourceID=55","")</f>
        <v/>
      </c>
      <c r="P213" s="4" t="str">
        <f>HYPERLINK("http://141.218.60.56/~jnz1568/getInfo.php?workbook=16_15.xlsx&amp;sheet=A0&amp;row=213&amp;col=16&amp;number=&amp;sourceID=55","")</f>
        <v/>
      </c>
      <c r="Q213" s="4" t="str">
        <f>HYPERLINK("http://141.218.60.56/~jnz1568/getInfo.php?workbook=16_15.xlsx&amp;sheet=A0&amp;row=213&amp;col=17&amp;number=&amp;sourceID=56","")</f>
        <v/>
      </c>
      <c r="R213" s="4" t="str">
        <f>HYPERLINK("http://141.218.60.56/~jnz1568/getInfo.php?workbook=16_15.xlsx&amp;sheet=A0&amp;row=213&amp;col=18&amp;number=&amp;sourceID=56","")</f>
        <v/>
      </c>
      <c r="S213" s="4" t="str">
        <f>HYPERLINK("http://141.218.60.56/~jnz1568/getInfo.php?workbook=16_15.xlsx&amp;sheet=A0&amp;row=213&amp;col=19&amp;number=&amp;sourceID=57","")</f>
        <v/>
      </c>
      <c r="T213" s="4" t="str">
        <f>HYPERLINK("http://141.218.60.56/~jnz1568/getInfo.php?workbook=16_15.xlsx&amp;sheet=A0&amp;row=213&amp;col=20&amp;number=&amp;sourceID=57","")</f>
        <v/>
      </c>
      <c r="U213" s="4" t="str">
        <f>HYPERLINK("http://141.218.60.56/~jnz1568/getInfo.php?workbook=16_15.xlsx&amp;sheet=A0&amp;row=213&amp;col=21&amp;number=&amp;sourceID=47","")</f>
        <v/>
      </c>
      <c r="V213" s="4" t="str">
        <f>HYPERLINK("http://141.218.60.56/~jnz1568/getInfo.php?workbook=16_15.xlsx&amp;sheet=A0&amp;row=213&amp;col=22&amp;number=&amp;sourceID=47","")</f>
        <v/>
      </c>
    </row>
    <row r="214" spans="1:22">
      <c r="A214" s="3">
        <v>16</v>
      </c>
      <c r="B214" s="3">
        <v>15</v>
      </c>
      <c r="C214" s="3">
        <v>23</v>
      </c>
      <c r="D214" s="3">
        <v>15</v>
      </c>
      <c r="E214" s="3">
        <f>((1/(INDEX(E0!J$4:J$73,C214,1)-INDEX(E0!J$4:J$73,D214,1))))*100000000</f>
        <v>0</v>
      </c>
      <c r="F214" s="4" t="str">
        <f>HYPERLINK("http://141.218.60.56/~jnz1568/getInfo.php?workbook=16_15.xlsx&amp;sheet=A0&amp;row=214&amp;col=6&amp;number=&amp;sourceID=54","")</f>
        <v/>
      </c>
      <c r="G214" s="4" t="str">
        <f>HYPERLINK("http://141.218.60.56/~jnz1568/getInfo.php?workbook=16_15.xlsx&amp;sheet=A0&amp;row=214&amp;col=7&amp;number=0.00092726&amp;sourceID=54","0.00092726")</f>
        <v>0.00092726</v>
      </c>
      <c r="H214" s="4" t="str">
        <f>HYPERLINK("http://141.218.60.56/~jnz1568/getInfo.php?workbook=16_15.xlsx&amp;sheet=A0&amp;row=214&amp;col=8&amp;number=0.0042006&amp;sourceID=54","0.0042006")</f>
        <v>0.0042006</v>
      </c>
      <c r="I214" s="4" t="str">
        <f>HYPERLINK("http://141.218.60.56/~jnz1568/getInfo.php?workbook=16_15.xlsx&amp;sheet=A0&amp;row=214&amp;col=9&amp;number=&amp;sourceID=54","")</f>
        <v/>
      </c>
      <c r="J214" s="4" t="str">
        <f>HYPERLINK("http://141.218.60.56/~jnz1568/getInfo.php?workbook=16_15.xlsx&amp;sheet=A0&amp;row=214&amp;col=10&amp;number=0.0010806&amp;sourceID=54","0.0010806")</f>
        <v>0.0010806</v>
      </c>
      <c r="K214" s="4" t="str">
        <f>HYPERLINK("http://141.218.60.56/~jnz1568/getInfo.php?workbook=16_15.xlsx&amp;sheet=A0&amp;row=214&amp;col=11&amp;number=0.0043283&amp;sourceID=54","0.0043283")</f>
        <v>0.0043283</v>
      </c>
      <c r="L214" s="4" t="str">
        <f>HYPERLINK("http://141.218.60.56/~jnz1568/getInfo.php?workbook=16_15.xlsx&amp;sheet=A0&amp;row=214&amp;col=12&amp;number=&amp;sourceID=53","")</f>
        <v/>
      </c>
      <c r="M214" s="4" t="str">
        <f>HYPERLINK("http://141.218.60.56/~jnz1568/getInfo.php?workbook=16_15.xlsx&amp;sheet=A0&amp;row=214&amp;col=13&amp;number=&amp;sourceID=53","")</f>
        <v/>
      </c>
      <c r="N214" s="4" t="str">
        <f>HYPERLINK("http://141.218.60.56/~jnz1568/getInfo.php?workbook=16_15.xlsx&amp;sheet=A0&amp;row=214&amp;col=14&amp;number=&amp;sourceID=53","")</f>
        <v/>
      </c>
      <c r="O214" s="4" t="str">
        <f>HYPERLINK("http://141.218.60.56/~jnz1568/getInfo.php?workbook=16_15.xlsx&amp;sheet=A0&amp;row=214&amp;col=15&amp;number=&amp;sourceID=55","")</f>
        <v/>
      </c>
      <c r="P214" s="4" t="str">
        <f>HYPERLINK("http://141.218.60.56/~jnz1568/getInfo.php?workbook=16_15.xlsx&amp;sheet=A0&amp;row=214&amp;col=16&amp;number=&amp;sourceID=55","")</f>
        <v/>
      </c>
      <c r="Q214" s="4" t="str">
        <f>HYPERLINK("http://141.218.60.56/~jnz1568/getInfo.php?workbook=16_15.xlsx&amp;sheet=A0&amp;row=214&amp;col=17&amp;number=&amp;sourceID=56","")</f>
        <v/>
      </c>
      <c r="R214" s="4" t="str">
        <f>HYPERLINK("http://141.218.60.56/~jnz1568/getInfo.php?workbook=16_15.xlsx&amp;sheet=A0&amp;row=214&amp;col=18&amp;number=&amp;sourceID=56","")</f>
        <v/>
      </c>
      <c r="S214" s="4" t="str">
        <f>HYPERLINK("http://141.218.60.56/~jnz1568/getInfo.php?workbook=16_15.xlsx&amp;sheet=A0&amp;row=214&amp;col=19&amp;number=&amp;sourceID=57","")</f>
        <v/>
      </c>
      <c r="T214" s="4" t="str">
        <f>HYPERLINK("http://141.218.60.56/~jnz1568/getInfo.php?workbook=16_15.xlsx&amp;sheet=A0&amp;row=214&amp;col=20&amp;number=&amp;sourceID=57","")</f>
        <v/>
      </c>
      <c r="U214" s="4" t="str">
        <f>HYPERLINK("http://141.218.60.56/~jnz1568/getInfo.php?workbook=16_15.xlsx&amp;sheet=A0&amp;row=214&amp;col=21&amp;number=&amp;sourceID=47","")</f>
        <v/>
      </c>
      <c r="V214" s="4" t="str">
        <f>HYPERLINK("http://141.218.60.56/~jnz1568/getInfo.php?workbook=16_15.xlsx&amp;sheet=A0&amp;row=214&amp;col=22&amp;number=&amp;sourceID=47","")</f>
        <v/>
      </c>
    </row>
    <row r="215" spans="1:22">
      <c r="A215" s="3">
        <v>16</v>
      </c>
      <c r="B215" s="3">
        <v>15</v>
      </c>
      <c r="C215" s="3">
        <v>23</v>
      </c>
      <c r="D215" s="3">
        <v>16</v>
      </c>
      <c r="E215" s="3">
        <f>((1/(INDEX(E0!J$4:J$73,C215,1)-INDEX(E0!J$4:J$73,D215,1))))*100000000</f>
        <v>0</v>
      </c>
      <c r="F215" s="4" t="str">
        <f>HYPERLINK("http://141.218.60.56/~jnz1568/getInfo.php?workbook=16_15.xlsx&amp;sheet=A0&amp;row=215&amp;col=6&amp;number=&amp;sourceID=54","")</f>
        <v/>
      </c>
      <c r="G215" s="4" t="str">
        <f>HYPERLINK("http://141.218.60.56/~jnz1568/getInfo.php?workbook=16_15.xlsx&amp;sheet=A0&amp;row=215&amp;col=7&amp;number=0.0021794&amp;sourceID=54","0.0021794")</f>
        <v>0.0021794</v>
      </c>
      <c r="H215" s="4" t="str">
        <f>HYPERLINK("http://141.218.60.56/~jnz1568/getInfo.php?workbook=16_15.xlsx&amp;sheet=A0&amp;row=215&amp;col=8&amp;number=1.8931e-05&amp;sourceID=54","1.8931e-05")</f>
        <v>1.8931e-05</v>
      </c>
      <c r="I215" s="4" t="str">
        <f>HYPERLINK("http://141.218.60.56/~jnz1568/getInfo.php?workbook=16_15.xlsx&amp;sheet=A0&amp;row=215&amp;col=9&amp;number=&amp;sourceID=54","")</f>
        <v/>
      </c>
      <c r="J215" s="4" t="str">
        <f>HYPERLINK("http://141.218.60.56/~jnz1568/getInfo.php?workbook=16_15.xlsx&amp;sheet=A0&amp;row=215&amp;col=10&amp;number=0.0011857&amp;sourceID=54","0.0011857")</f>
        <v>0.0011857</v>
      </c>
      <c r="K215" s="4" t="str">
        <f>HYPERLINK("http://141.218.60.56/~jnz1568/getInfo.php?workbook=16_15.xlsx&amp;sheet=A0&amp;row=215&amp;col=11&amp;number=1.8654e-05&amp;sourceID=54","1.8654e-05")</f>
        <v>1.8654e-05</v>
      </c>
      <c r="L215" s="4" t="str">
        <f>HYPERLINK("http://141.218.60.56/~jnz1568/getInfo.php?workbook=16_15.xlsx&amp;sheet=A0&amp;row=215&amp;col=12&amp;number=&amp;sourceID=53","")</f>
        <v/>
      </c>
      <c r="M215" s="4" t="str">
        <f>HYPERLINK("http://141.218.60.56/~jnz1568/getInfo.php?workbook=16_15.xlsx&amp;sheet=A0&amp;row=215&amp;col=13&amp;number=&amp;sourceID=53","")</f>
        <v/>
      </c>
      <c r="N215" s="4" t="str">
        <f>HYPERLINK("http://141.218.60.56/~jnz1568/getInfo.php?workbook=16_15.xlsx&amp;sheet=A0&amp;row=215&amp;col=14&amp;number=&amp;sourceID=53","")</f>
        <v/>
      </c>
      <c r="O215" s="4" t="str">
        <f>HYPERLINK("http://141.218.60.56/~jnz1568/getInfo.php?workbook=16_15.xlsx&amp;sheet=A0&amp;row=215&amp;col=15&amp;number=&amp;sourceID=55","")</f>
        <v/>
      </c>
      <c r="P215" s="4" t="str">
        <f>HYPERLINK("http://141.218.60.56/~jnz1568/getInfo.php?workbook=16_15.xlsx&amp;sheet=A0&amp;row=215&amp;col=16&amp;number=&amp;sourceID=55","")</f>
        <v/>
      </c>
      <c r="Q215" s="4" t="str">
        <f>HYPERLINK("http://141.218.60.56/~jnz1568/getInfo.php?workbook=16_15.xlsx&amp;sheet=A0&amp;row=215&amp;col=17&amp;number=&amp;sourceID=56","")</f>
        <v/>
      </c>
      <c r="R215" s="4" t="str">
        <f>HYPERLINK("http://141.218.60.56/~jnz1568/getInfo.php?workbook=16_15.xlsx&amp;sheet=A0&amp;row=215&amp;col=18&amp;number=&amp;sourceID=56","")</f>
        <v/>
      </c>
      <c r="S215" s="4" t="str">
        <f>HYPERLINK("http://141.218.60.56/~jnz1568/getInfo.php?workbook=16_15.xlsx&amp;sheet=A0&amp;row=215&amp;col=19&amp;number=&amp;sourceID=57","")</f>
        <v/>
      </c>
      <c r="T215" s="4" t="str">
        <f>HYPERLINK("http://141.218.60.56/~jnz1568/getInfo.php?workbook=16_15.xlsx&amp;sheet=A0&amp;row=215&amp;col=20&amp;number=&amp;sourceID=57","")</f>
        <v/>
      </c>
      <c r="U215" s="4" t="str">
        <f>HYPERLINK("http://141.218.60.56/~jnz1568/getInfo.php?workbook=16_15.xlsx&amp;sheet=A0&amp;row=215&amp;col=21&amp;number=&amp;sourceID=47","")</f>
        <v/>
      </c>
      <c r="V215" s="4" t="str">
        <f>HYPERLINK("http://141.218.60.56/~jnz1568/getInfo.php?workbook=16_15.xlsx&amp;sheet=A0&amp;row=215&amp;col=22&amp;number=&amp;sourceID=47","")</f>
        <v/>
      </c>
    </row>
    <row r="216" spans="1:22">
      <c r="A216" s="3">
        <v>16</v>
      </c>
      <c r="B216" s="3">
        <v>15</v>
      </c>
      <c r="C216" s="3">
        <v>23</v>
      </c>
      <c r="D216" s="3">
        <v>17</v>
      </c>
      <c r="E216" s="3">
        <f>((1/(INDEX(E0!J$4:J$73,C216,1)-INDEX(E0!J$4:J$73,D216,1))))*100000000</f>
        <v>0</v>
      </c>
      <c r="F216" s="4" t="str">
        <f>HYPERLINK("http://141.218.60.56/~jnz1568/getInfo.php?workbook=16_15.xlsx&amp;sheet=A0&amp;row=216&amp;col=6&amp;number=&amp;sourceID=54","")</f>
        <v/>
      </c>
      <c r="G216" s="4" t="str">
        <f>HYPERLINK("http://141.218.60.56/~jnz1568/getInfo.php?workbook=16_15.xlsx&amp;sheet=A0&amp;row=216&amp;col=7&amp;number=0.00032513&amp;sourceID=54","0.00032513")</f>
        <v>0.00032513</v>
      </c>
      <c r="H216" s="4" t="str">
        <f>HYPERLINK("http://141.218.60.56/~jnz1568/getInfo.php?workbook=16_15.xlsx&amp;sheet=A0&amp;row=216&amp;col=8&amp;number=0.00041461&amp;sourceID=54","0.00041461")</f>
        <v>0.00041461</v>
      </c>
      <c r="I216" s="4" t="str">
        <f>HYPERLINK("http://141.218.60.56/~jnz1568/getInfo.php?workbook=16_15.xlsx&amp;sheet=A0&amp;row=216&amp;col=9&amp;number=&amp;sourceID=54","")</f>
        <v/>
      </c>
      <c r="J216" s="4" t="str">
        <f>HYPERLINK("http://141.218.60.56/~jnz1568/getInfo.php?workbook=16_15.xlsx&amp;sheet=A0&amp;row=216&amp;col=10&amp;number=0.00036749&amp;sourceID=54","0.00036749")</f>
        <v>0.00036749</v>
      </c>
      <c r="K216" s="4" t="str">
        <f>HYPERLINK("http://141.218.60.56/~jnz1568/getInfo.php?workbook=16_15.xlsx&amp;sheet=A0&amp;row=216&amp;col=11&amp;number=0.0004245&amp;sourceID=54","0.0004245")</f>
        <v>0.0004245</v>
      </c>
      <c r="L216" s="4" t="str">
        <f>HYPERLINK("http://141.218.60.56/~jnz1568/getInfo.php?workbook=16_15.xlsx&amp;sheet=A0&amp;row=216&amp;col=12&amp;number=&amp;sourceID=53","")</f>
        <v/>
      </c>
      <c r="M216" s="4" t="str">
        <f>HYPERLINK("http://141.218.60.56/~jnz1568/getInfo.php?workbook=16_15.xlsx&amp;sheet=A0&amp;row=216&amp;col=13&amp;number=&amp;sourceID=53","")</f>
        <v/>
      </c>
      <c r="N216" s="4" t="str">
        <f>HYPERLINK("http://141.218.60.56/~jnz1568/getInfo.php?workbook=16_15.xlsx&amp;sheet=A0&amp;row=216&amp;col=14&amp;number=&amp;sourceID=53","")</f>
        <v/>
      </c>
      <c r="O216" s="4" t="str">
        <f>HYPERLINK("http://141.218.60.56/~jnz1568/getInfo.php?workbook=16_15.xlsx&amp;sheet=A0&amp;row=216&amp;col=15&amp;number=&amp;sourceID=55","")</f>
        <v/>
      </c>
      <c r="P216" s="4" t="str">
        <f>HYPERLINK("http://141.218.60.56/~jnz1568/getInfo.php?workbook=16_15.xlsx&amp;sheet=A0&amp;row=216&amp;col=16&amp;number=&amp;sourceID=55","")</f>
        <v/>
      </c>
      <c r="Q216" s="4" t="str">
        <f>HYPERLINK("http://141.218.60.56/~jnz1568/getInfo.php?workbook=16_15.xlsx&amp;sheet=A0&amp;row=216&amp;col=17&amp;number=&amp;sourceID=56","")</f>
        <v/>
      </c>
      <c r="R216" s="4" t="str">
        <f>HYPERLINK("http://141.218.60.56/~jnz1568/getInfo.php?workbook=16_15.xlsx&amp;sheet=A0&amp;row=216&amp;col=18&amp;number=&amp;sourceID=56","")</f>
        <v/>
      </c>
      <c r="S216" s="4" t="str">
        <f>HYPERLINK("http://141.218.60.56/~jnz1568/getInfo.php?workbook=16_15.xlsx&amp;sheet=A0&amp;row=216&amp;col=19&amp;number=&amp;sourceID=57","")</f>
        <v/>
      </c>
      <c r="T216" s="4" t="str">
        <f>HYPERLINK("http://141.218.60.56/~jnz1568/getInfo.php?workbook=16_15.xlsx&amp;sheet=A0&amp;row=216&amp;col=20&amp;number=&amp;sourceID=57","")</f>
        <v/>
      </c>
      <c r="U216" s="4" t="str">
        <f>HYPERLINK("http://141.218.60.56/~jnz1568/getInfo.php?workbook=16_15.xlsx&amp;sheet=A0&amp;row=216&amp;col=21&amp;number=&amp;sourceID=47","")</f>
        <v/>
      </c>
      <c r="V216" s="4" t="str">
        <f>HYPERLINK("http://141.218.60.56/~jnz1568/getInfo.php?workbook=16_15.xlsx&amp;sheet=A0&amp;row=216&amp;col=22&amp;number=&amp;sourceID=47","")</f>
        <v/>
      </c>
    </row>
    <row r="217" spans="1:22">
      <c r="A217" s="3">
        <v>16</v>
      </c>
      <c r="B217" s="3">
        <v>15</v>
      </c>
      <c r="C217" s="3">
        <v>23</v>
      </c>
      <c r="D217" s="3">
        <v>18</v>
      </c>
      <c r="E217" s="3">
        <f>((1/(INDEX(E0!J$4:J$73,C217,1)-INDEX(E0!J$4:J$73,D217,1))))*100000000</f>
        <v>0</v>
      </c>
      <c r="F217" s="4" t="str">
        <f>HYPERLINK("http://141.218.60.56/~jnz1568/getInfo.php?workbook=16_15.xlsx&amp;sheet=A0&amp;row=217&amp;col=6&amp;number=&amp;sourceID=54","")</f>
        <v/>
      </c>
      <c r="G217" s="4" t="str">
        <f>HYPERLINK("http://141.218.60.56/~jnz1568/getInfo.php?workbook=16_15.xlsx&amp;sheet=A0&amp;row=217&amp;col=7&amp;number=0.00069224&amp;sourceID=54","0.00069224")</f>
        <v>0.00069224</v>
      </c>
      <c r="H217" s="4" t="str">
        <f>HYPERLINK("http://141.218.60.56/~jnz1568/getInfo.php?workbook=16_15.xlsx&amp;sheet=A0&amp;row=217&amp;col=8&amp;number=&amp;sourceID=54","")</f>
        <v/>
      </c>
      <c r="I217" s="4" t="str">
        <f>HYPERLINK("http://141.218.60.56/~jnz1568/getInfo.php?workbook=16_15.xlsx&amp;sheet=A0&amp;row=217&amp;col=9&amp;number=&amp;sourceID=54","")</f>
        <v/>
      </c>
      <c r="J217" s="4" t="str">
        <f>HYPERLINK("http://141.218.60.56/~jnz1568/getInfo.php?workbook=16_15.xlsx&amp;sheet=A0&amp;row=217&amp;col=10&amp;number=0.00081577&amp;sourceID=54","0.00081577")</f>
        <v>0.00081577</v>
      </c>
      <c r="K217" s="4" t="str">
        <f>HYPERLINK("http://141.218.60.56/~jnz1568/getInfo.php?workbook=16_15.xlsx&amp;sheet=A0&amp;row=217&amp;col=11&amp;number=&amp;sourceID=54","")</f>
        <v/>
      </c>
      <c r="L217" s="4" t="str">
        <f>HYPERLINK("http://141.218.60.56/~jnz1568/getInfo.php?workbook=16_15.xlsx&amp;sheet=A0&amp;row=217&amp;col=12&amp;number=&amp;sourceID=53","")</f>
        <v/>
      </c>
      <c r="M217" s="4" t="str">
        <f>HYPERLINK("http://141.218.60.56/~jnz1568/getInfo.php?workbook=16_15.xlsx&amp;sheet=A0&amp;row=217&amp;col=13&amp;number=&amp;sourceID=53","")</f>
        <v/>
      </c>
      <c r="N217" s="4" t="str">
        <f>HYPERLINK("http://141.218.60.56/~jnz1568/getInfo.php?workbook=16_15.xlsx&amp;sheet=A0&amp;row=217&amp;col=14&amp;number=&amp;sourceID=53","")</f>
        <v/>
      </c>
      <c r="O217" s="4" t="str">
        <f>HYPERLINK("http://141.218.60.56/~jnz1568/getInfo.php?workbook=16_15.xlsx&amp;sheet=A0&amp;row=217&amp;col=15&amp;number=&amp;sourceID=55","")</f>
        <v/>
      </c>
      <c r="P217" s="4" t="str">
        <f>HYPERLINK("http://141.218.60.56/~jnz1568/getInfo.php?workbook=16_15.xlsx&amp;sheet=A0&amp;row=217&amp;col=16&amp;number=&amp;sourceID=55","")</f>
        <v/>
      </c>
      <c r="Q217" s="4" t="str">
        <f>HYPERLINK("http://141.218.60.56/~jnz1568/getInfo.php?workbook=16_15.xlsx&amp;sheet=A0&amp;row=217&amp;col=17&amp;number=&amp;sourceID=56","")</f>
        <v/>
      </c>
      <c r="R217" s="4" t="str">
        <f>HYPERLINK("http://141.218.60.56/~jnz1568/getInfo.php?workbook=16_15.xlsx&amp;sheet=A0&amp;row=217&amp;col=18&amp;number=&amp;sourceID=56","")</f>
        <v/>
      </c>
      <c r="S217" s="4" t="str">
        <f>HYPERLINK("http://141.218.60.56/~jnz1568/getInfo.php?workbook=16_15.xlsx&amp;sheet=A0&amp;row=217&amp;col=19&amp;number=&amp;sourceID=57","")</f>
        <v/>
      </c>
      <c r="T217" s="4" t="str">
        <f>HYPERLINK("http://141.218.60.56/~jnz1568/getInfo.php?workbook=16_15.xlsx&amp;sheet=A0&amp;row=217&amp;col=20&amp;number=&amp;sourceID=57","")</f>
        <v/>
      </c>
      <c r="U217" s="4" t="str">
        <f>HYPERLINK("http://141.218.60.56/~jnz1568/getInfo.php?workbook=16_15.xlsx&amp;sheet=A0&amp;row=217&amp;col=21&amp;number=&amp;sourceID=47","")</f>
        <v/>
      </c>
      <c r="V217" s="4" t="str">
        <f>HYPERLINK("http://141.218.60.56/~jnz1568/getInfo.php?workbook=16_15.xlsx&amp;sheet=A0&amp;row=217&amp;col=22&amp;number=&amp;sourceID=47","")</f>
        <v/>
      </c>
    </row>
    <row r="218" spans="1:22">
      <c r="A218" s="3">
        <v>16</v>
      </c>
      <c r="B218" s="3">
        <v>15</v>
      </c>
      <c r="C218" s="3">
        <v>23</v>
      </c>
      <c r="D218" s="3">
        <v>20</v>
      </c>
      <c r="E218" s="3">
        <f>((1/(INDEX(E0!J$4:J$73,C218,1)-INDEX(E0!J$4:J$73,D218,1))))*100000000</f>
        <v>0</v>
      </c>
      <c r="F218" s="4" t="str">
        <f>HYPERLINK("http://141.218.60.56/~jnz1568/getInfo.php?workbook=16_15.xlsx&amp;sheet=A0&amp;row=218&amp;col=6&amp;number=&amp;sourceID=54","")</f>
        <v/>
      </c>
      <c r="G218" s="4" t="str">
        <f>HYPERLINK("http://141.218.60.56/~jnz1568/getInfo.php?workbook=16_15.xlsx&amp;sheet=A0&amp;row=218&amp;col=7&amp;number=1.8922e-08&amp;sourceID=54","1.8922e-08")</f>
        <v>1.8922e-08</v>
      </c>
      <c r="H218" s="4" t="str">
        <f>HYPERLINK("http://141.218.60.56/~jnz1568/getInfo.php?workbook=16_15.xlsx&amp;sheet=A0&amp;row=218&amp;col=8&amp;number=3.0532e-07&amp;sourceID=54","3.0532e-07")</f>
        <v>3.0532e-07</v>
      </c>
      <c r="I218" s="4" t="str">
        <f>HYPERLINK("http://141.218.60.56/~jnz1568/getInfo.php?workbook=16_15.xlsx&amp;sheet=A0&amp;row=218&amp;col=9&amp;number=&amp;sourceID=54","")</f>
        <v/>
      </c>
      <c r="J218" s="4" t="str">
        <f>HYPERLINK("http://141.218.60.56/~jnz1568/getInfo.php?workbook=16_15.xlsx&amp;sheet=A0&amp;row=218&amp;col=10&amp;number=4.1606e-09&amp;sourceID=54","4.1606e-09")</f>
        <v>4.1606e-09</v>
      </c>
      <c r="K218" s="4" t="str">
        <f>HYPERLINK("http://141.218.60.56/~jnz1568/getInfo.php?workbook=16_15.xlsx&amp;sheet=A0&amp;row=218&amp;col=11&amp;number=2.5822e-07&amp;sourceID=54","2.5822e-07")</f>
        <v>2.5822e-07</v>
      </c>
      <c r="L218" s="4" t="str">
        <f>HYPERLINK("http://141.218.60.56/~jnz1568/getInfo.php?workbook=16_15.xlsx&amp;sheet=A0&amp;row=218&amp;col=12&amp;number=&amp;sourceID=53","")</f>
        <v/>
      </c>
      <c r="M218" s="4" t="str">
        <f>HYPERLINK("http://141.218.60.56/~jnz1568/getInfo.php?workbook=16_15.xlsx&amp;sheet=A0&amp;row=218&amp;col=13&amp;number=&amp;sourceID=53","")</f>
        <v/>
      </c>
      <c r="N218" s="4" t="str">
        <f>HYPERLINK("http://141.218.60.56/~jnz1568/getInfo.php?workbook=16_15.xlsx&amp;sheet=A0&amp;row=218&amp;col=14&amp;number=&amp;sourceID=53","")</f>
        <v/>
      </c>
      <c r="O218" s="4" t="str">
        <f>HYPERLINK("http://141.218.60.56/~jnz1568/getInfo.php?workbook=16_15.xlsx&amp;sheet=A0&amp;row=218&amp;col=15&amp;number=&amp;sourceID=55","")</f>
        <v/>
      </c>
      <c r="P218" s="4" t="str">
        <f>HYPERLINK("http://141.218.60.56/~jnz1568/getInfo.php?workbook=16_15.xlsx&amp;sheet=A0&amp;row=218&amp;col=16&amp;number=&amp;sourceID=55","")</f>
        <v/>
      </c>
      <c r="Q218" s="4" t="str">
        <f>HYPERLINK("http://141.218.60.56/~jnz1568/getInfo.php?workbook=16_15.xlsx&amp;sheet=A0&amp;row=218&amp;col=17&amp;number=&amp;sourceID=56","")</f>
        <v/>
      </c>
      <c r="R218" s="4" t="str">
        <f>HYPERLINK("http://141.218.60.56/~jnz1568/getInfo.php?workbook=16_15.xlsx&amp;sheet=A0&amp;row=218&amp;col=18&amp;number=&amp;sourceID=56","")</f>
        <v/>
      </c>
      <c r="S218" s="4" t="str">
        <f>HYPERLINK("http://141.218.60.56/~jnz1568/getInfo.php?workbook=16_15.xlsx&amp;sheet=A0&amp;row=218&amp;col=19&amp;number=&amp;sourceID=57","")</f>
        <v/>
      </c>
      <c r="T218" s="4" t="str">
        <f>HYPERLINK("http://141.218.60.56/~jnz1568/getInfo.php?workbook=16_15.xlsx&amp;sheet=A0&amp;row=218&amp;col=20&amp;number=&amp;sourceID=57","")</f>
        <v/>
      </c>
      <c r="U218" s="4" t="str">
        <f>HYPERLINK("http://141.218.60.56/~jnz1568/getInfo.php?workbook=16_15.xlsx&amp;sheet=A0&amp;row=218&amp;col=21&amp;number=&amp;sourceID=47","")</f>
        <v/>
      </c>
      <c r="V218" s="4" t="str">
        <f>HYPERLINK("http://141.218.60.56/~jnz1568/getInfo.php?workbook=16_15.xlsx&amp;sheet=A0&amp;row=218&amp;col=22&amp;number=&amp;sourceID=47","")</f>
        <v/>
      </c>
    </row>
    <row r="219" spans="1:22">
      <c r="A219" s="3">
        <v>16</v>
      </c>
      <c r="B219" s="3">
        <v>15</v>
      </c>
      <c r="C219" s="3">
        <v>23</v>
      </c>
      <c r="D219" s="3">
        <v>21</v>
      </c>
      <c r="E219" s="3">
        <f>((1/(INDEX(E0!J$4:J$73,C219,1)-INDEX(E0!J$4:J$73,D219,1))))*100000000</f>
        <v>0</v>
      </c>
      <c r="F219" s="4" t="str">
        <f>HYPERLINK("http://141.218.60.56/~jnz1568/getInfo.php?workbook=16_15.xlsx&amp;sheet=A0&amp;row=219&amp;col=6&amp;number=&amp;sourceID=54","")</f>
        <v/>
      </c>
      <c r="G219" s="4" t="str">
        <f>HYPERLINK("http://141.218.60.56/~jnz1568/getInfo.php?workbook=16_15.xlsx&amp;sheet=A0&amp;row=219&amp;col=7&amp;number=7.4371e-09&amp;sourceID=54","7.4371e-09")</f>
        <v>7.4371e-09</v>
      </c>
      <c r="H219" s="4" t="str">
        <f>HYPERLINK("http://141.218.60.56/~jnz1568/getInfo.php?workbook=16_15.xlsx&amp;sheet=A0&amp;row=219&amp;col=8&amp;number=2e-09&amp;sourceID=54","2e-09")</f>
        <v>2e-09</v>
      </c>
      <c r="I219" s="4" t="str">
        <f>HYPERLINK("http://141.218.60.56/~jnz1568/getInfo.php?workbook=16_15.xlsx&amp;sheet=A0&amp;row=219&amp;col=9&amp;number=&amp;sourceID=54","")</f>
        <v/>
      </c>
      <c r="J219" s="4" t="str">
        <f>HYPERLINK("http://141.218.60.56/~jnz1568/getInfo.php?workbook=16_15.xlsx&amp;sheet=A0&amp;row=219&amp;col=10&amp;number=8.133e-10&amp;sourceID=54","8.133e-10")</f>
        <v>8.133e-10</v>
      </c>
      <c r="K219" s="4" t="str">
        <f>HYPERLINK("http://141.218.60.56/~jnz1568/getInfo.php?workbook=16_15.xlsx&amp;sheet=A0&amp;row=219&amp;col=11&amp;number=3.9018e-10&amp;sourceID=54","3.9018e-10")</f>
        <v>3.9018e-10</v>
      </c>
      <c r="L219" s="4" t="str">
        <f>HYPERLINK("http://141.218.60.56/~jnz1568/getInfo.php?workbook=16_15.xlsx&amp;sheet=A0&amp;row=219&amp;col=12&amp;number=&amp;sourceID=53","")</f>
        <v/>
      </c>
      <c r="M219" s="4" t="str">
        <f>HYPERLINK("http://141.218.60.56/~jnz1568/getInfo.php?workbook=16_15.xlsx&amp;sheet=A0&amp;row=219&amp;col=13&amp;number=&amp;sourceID=53","")</f>
        <v/>
      </c>
      <c r="N219" s="4" t="str">
        <f>HYPERLINK("http://141.218.60.56/~jnz1568/getInfo.php?workbook=16_15.xlsx&amp;sheet=A0&amp;row=219&amp;col=14&amp;number=&amp;sourceID=53","")</f>
        <v/>
      </c>
      <c r="O219" s="4" t="str">
        <f>HYPERLINK("http://141.218.60.56/~jnz1568/getInfo.php?workbook=16_15.xlsx&amp;sheet=A0&amp;row=219&amp;col=15&amp;number=&amp;sourceID=55","")</f>
        <v/>
      </c>
      <c r="P219" s="4" t="str">
        <f>HYPERLINK("http://141.218.60.56/~jnz1568/getInfo.php?workbook=16_15.xlsx&amp;sheet=A0&amp;row=219&amp;col=16&amp;number=&amp;sourceID=55","")</f>
        <v/>
      </c>
      <c r="Q219" s="4" t="str">
        <f>HYPERLINK("http://141.218.60.56/~jnz1568/getInfo.php?workbook=16_15.xlsx&amp;sheet=A0&amp;row=219&amp;col=17&amp;number=&amp;sourceID=56","")</f>
        <v/>
      </c>
      <c r="R219" s="4" t="str">
        <f>HYPERLINK("http://141.218.60.56/~jnz1568/getInfo.php?workbook=16_15.xlsx&amp;sheet=A0&amp;row=219&amp;col=18&amp;number=&amp;sourceID=56","")</f>
        <v/>
      </c>
      <c r="S219" s="4" t="str">
        <f>HYPERLINK("http://141.218.60.56/~jnz1568/getInfo.php?workbook=16_15.xlsx&amp;sheet=A0&amp;row=219&amp;col=19&amp;number=&amp;sourceID=57","")</f>
        <v/>
      </c>
      <c r="T219" s="4" t="str">
        <f>HYPERLINK("http://141.218.60.56/~jnz1568/getInfo.php?workbook=16_15.xlsx&amp;sheet=A0&amp;row=219&amp;col=20&amp;number=&amp;sourceID=57","")</f>
        <v/>
      </c>
      <c r="U219" s="4" t="str">
        <f>HYPERLINK("http://141.218.60.56/~jnz1568/getInfo.php?workbook=16_15.xlsx&amp;sheet=A0&amp;row=219&amp;col=21&amp;number=&amp;sourceID=47","")</f>
        <v/>
      </c>
      <c r="V219" s="4" t="str">
        <f>HYPERLINK("http://141.218.60.56/~jnz1568/getInfo.php?workbook=16_15.xlsx&amp;sheet=A0&amp;row=219&amp;col=22&amp;number=&amp;sourceID=47","")</f>
        <v/>
      </c>
    </row>
    <row r="220" spans="1:22">
      <c r="A220" s="3">
        <v>16</v>
      </c>
      <c r="B220" s="3">
        <v>15</v>
      </c>
      <c r="C220" s="3">
        <v>23</v>
      </c>
      <c r="D220" s="3">
        <v>22</v>
      </c>
      <c r="E220" s="3">
        <f>((1/(INDEX(E0!J$4:J$73,C220,1)-INDEX(E0!J$4:J$73,D220,1))))*100000000</f>
        <v>0</v>
      </c>
      <c r="F220" s="4" t="str">
        <f>HYPERLINK("http://141.218.60.56/~jnz1568/getInfo.php?workbook=16_15.xlsx&amp;sheet=A0&amp;row=220&amp;col=6&amp;number=&amp;sourceID=54","")</f>
        <v/>
      </c>
      <c r="G220" s="4" t="str">
        <f>HYPERLINK("http://141.218.60.56/~jnz1568/getInfo.php?workbook=16_15.xlsx&amp;sheet=A0&amp;row=220&amp;col=7&amp;number=3.5e-14&amp;sourceID=54","3.5e-14")</f>
        <v>3.5e-14</v>
      </c>
      <c r="H220" s="4" t="str">
        <f>HYPERLINK("http://141.218.60.56/~jnz1568/getInfo.php?workbook=16_15.xlsx&amp;sheet=A0&amp;row=220&amp;col=8&amp;number=1.6123e-06&amp;sourceID=54","1.6123e-06")</f>
        <v>1.6123e-06</v>
      </c>
      <c r="I220" s="4" t="str">
        <f>HYPERLINK("http://141.218.60.56/~jnz1568/getInfo.php?workbook=16_15.xlsx&amp;sheet=A0&amp;row=220&amp;col=9&amp;number=&amp;sourceID=54","")</f>
        <v/>
      </c>
      <c r="J220" s="4" t="str">
        <f>HYPERLINK("http://141.218.60.56/~jnz1568/getInfo.php?workbook=16_15.xlsx&amp;sheet=A0&amp;row=220&amp;col=10&amp;number=3.4e-14&amp;sourceID=54","3.4e-14")</f>
        <v>3.4e-14</v>
      </c>
      <c r="K220" s="4" t="str">
        <f>HYPERLINK("http://141.218.60.56/~jnz1568/getInfo.php?workbook=16_15.xlsx&amp;sheet=A0&amp;row=220&amp;col=11&amp;number=1.602e-06&amp;sourceID=54","1.602e-06")</f>
        <v>1.602e-06</v>
      </c>
      <c r="L220" s="4" t="str">
        <f>HYPERLINK("http://141.218.60.56/~jnz1568/getInfo.php?workbook=16_15.xlsx&amp;sheet=A0&amp;row=220&amp;col=12&amp;number=&amp;sourceID=53","")</f>
        <v/>
      </c>
      <c r="M220" s="4" t="str">
        <f>HYPERLINK("http://141.218.60.56/~jnz1568/getInfo.php?workbook=16_15.xlsx&amp;sheet=A0&amp;row=220&amp;col=13&amp;number=&amp;sourceID=53","")</f>
        <v/>
      </c>
      <c r="N220" s="4" t="str">
        <f>HYPERLINK("http://141.218.60.56/~jnz1568/getInfo.php?workbook=16_15.xlsx&amp;sheet=A0&amp;row=220&amp;col=14&amp;number=&amp;sourceID=53","")</f>
        <v/>
      </c>
      <c r="O220" s="4" t="str">
        <f>HYPERLINK("http://141.218.60.56/~jnz1568/getInfo.php?workbook=16_15.xlsx&amp;sheet=A0&amp;row=220&amp;col=15&amp;number=&amp;sourceID=55","")</f>
        <v/>
      </c>
      <c r="P220" s="4" t="str">
        <f>HYPERLINK("http://141.218.60.56/~jnz1568/getInfo.php?workbook=16_15.xlsx&amp;sheet=A0&amp;row=220&amp;col=16&amp;number=&amp;sourceID=55","")</f>
        <v/>
      </c>
      <c r="Q220" s="4" t="str">
        <f>HYPERLINK("http://141.218.60.56/~jnz1568/getInfo.php?workbook=16_15.xlsx&amp;sheet=A0&amp;row=220&amp;col=17&amp;number=&amp;sourceID=56","")</f>
        <v/>
      </c>
      <c r="R220" s="4" t="str">
        <f>HYPERLINK("http://141.218.60.56/~jnz1568/getInfo.php?workbook=16_15.xlsx&amp;sheet=A0&amp;row=220&amp;col=18&amp;number=&amp;sourceID=56","")</f>
        <v/>
      </c>
      <c r="S220" s="4" t="str">
        <f>HYPERLINK("http://141.218.60.56/~jnz1568/getInfo.php?workbook=16_15.xlsx&amp;sheet=A0&amp;row=220&amp;col=19&amp;number=&amp;sourceID=57","")</f>
        <v/>
      </c>
      <c r="T220" s="4" t="str">
        <f>HYPERLINK("http://141.218.60.56/~jnz1568/getInfo.php?workbook=16_15.xlsx&amp;sheet=A0&amp;row=220&amp;col=20&amp;number=&amp;sourceID=57","")</f>
        <v/>
      </c>
      <c r="U220" s="4" t="str">
        <f>HYPERLINK("http://141.218.60.56/~jnz1568/getInfo.php?workbook=16_15.xlsx&amp;sheet=A0&amp;row=220&amp;col=21&amp;number=&amp;sourceID=47","")</f>
        <v/>
      </c>
      <c r="V220" s="4" t="str">
        <f>HYPERLINK("http://141.218.60.56/~jnz1568/getInfo.php?workbook=16_15.xlsx&amp;sheet=A0&amp;row=220&amp;col=22&amp;number=&amp;sourceID=47","")</f>
        <v/>
      </c>
    </row>
    <row r="221" spans="1:22">
      <c r="A221" s="3">
        <v>16</v>
      </c>
      <c r="B221" s="3">
        <v>15</v>
      </c>
      <c r="C221" s="3">
        <v>24</v>
      </c>
      <c r="D221" s="3">
        <v>1</v>
      </c>
      <c r="E221" s="3">
        <f>((1/(INDEX(E0!J$4:J$73,C221,1)-INDEX(E0!J$4:J$73,D221,1))))*100000000</f>
        <v>0</v>
      </c>
      <c r="F221" s="4" t="str">
        <f>HYPERLINK("http://141.218.60.56/~jnz1568/getInfo.php?workbook=16_15.xlsx&amp;sheet=A0&amp;row=221&amp;col=6&amp;number=803100&amp;sourceID=54","803100")</f>
        <v>803100</v>
      </c>
      <c r="G221" s="4" t="str">
        <f>HYPERLINK("http://141.218.60.56/~jnz1568/getInfo.php?workbook=16_15.xlsx&amp;sheet=A0&amp;row=221&amp;col=7&amp;number=&amp;sourceID=54","")</f>
        <v/>
      </c>
      <c r="H221" s="4" t="str">
        <f>HYPERLINK("http://141.218.60.56/~jnz1568/getInfo.php?workbook=16_15.xlsx&amp;sheet=A0&amp;row=221&amp;col=8&amp;number=&amp;sourceID=54","")</f>
        <v/>
      </c>
      <c r="I221" s="4" t="str">
        <f>HYPERLINK("http://141.218.60.56/~jnz1568/getInfo.php?workbook=16_15.xlsx&amp;sheet=A0&amp;row=221&amp;col=9&amp;number=707940&amp;sourceID=54","707940")</f>
        <v>707940</v>
      </c>
      <c r="J221" s="4" t="str">
        <f>HYPERLINK("http://141.218.60.56/~jnz1568/getInfo.php?workbook=16_15.xlsx&amp;sheet=A0&amp;row=221&amp;col=10&amp;number=&amp;sourceID=54","")</f>
        <v/>
      </c>
      <c r="K221" s="4" t="str">
        <f>HYPERLINK("http://141.218.60.56/~jnz1568/getInfo.php?workbook=16_15.xlsx&amp;sheet=A0&amp;row=221&amp;col=11&amp;number=&amp;sourceID=54","")</f>
        <v/>
      </c>
      <c r="L221" s="4" t="str">
        <f>HYPERLINK("http://141.218.60.56/~jnz1568/getInfo.php?workbook=16_15.xlsx&amp;sheet=A0&amp;row=221&amp;col=12&amp;number=855690.49105&amp;sourceID=53","855690.49105")</f>
        <v>855690.49105</v>
      </c>
      <c r="M221" s="4" t="str">
        <f>HYPERLINK("http://141.218.60.56/~jnz1568/getInfo.php?workbook=16_15.xlsx&amp;sheet=A0&amp;row=221&amp;col=13&amp;number=&amp;sourceID=53","")</f>
        <v/>
      </c>
      <c r="N221" s="4" t="str">
        <f>HYPERLINK("http://141.218.60.56/~jnz1568/getInfo.php?workbook=16_15.xlsx&amp;sheet=A0&amp;row=221&amp;col=14&amp;number=&amp;sourceID=53","")</f>
        <v/>
      </c>
      <c r="O221" s="4" t="str">
        <f>HYPERLINK("http://141.218.60.56/~jnz1568/getInfo.php?workbook=16_15.xlsx&amp;sheet=A0&amp;row=221&amp;col=15&amp;number=&amp;sourceID=55","")</f>
        <v/>
      </c>
      <c r="P221" s="4" t="str">
        <f>HYPERLINK("http://141.218.60.56/~jnz1568/getInfo.php?workbook=16_15.xlsx&amp;sheet=A0&amp;row=221&amp;col=16&amp;number=&amp;sourceID=55","")</f>
        <v/>
      </c>
      <c r="Q221" s="4" t="str">
        <f>HYPERLINK("http://141.218.60.56/~jnz1568/getInfo.php?workbook=16_15.xlsx&amp;sheet=A0&amp;row=221&amp;col=17&amp;number=&amp;sourceID=56","")</f>
        <v/>
      </c>
      <c r="R221" s="4" t="str">
        <f>HYPERLINK("http://141.218.60.56/~jnz1568/getInfo.php?workbook=16_15.xlsx&amp;sheet=A0&amp;row=221&amp;col=18&amp;number=&amp;sourceID=56","")</f>
        <v/>
      </c>
      <c r="S221" s="4" t="str">
        <f>HYPERLINK("http://141.218.60.56/~jnz1568/getInfo.php?workbook=16_15.xlsx&amp;sheet=A0&amp;row=221&amp;col=19&amp;number=&amp;sourceID=57","")</f>
        <v/>
      </c>
      <c r="T221" s="4" t="str">
        <f>HYPERLINK("http://141.218.60.56/~jnz1568/getInfo.php?workbook=16_15.xlsx&amp;sheet=A0&amp;row=221&amp;col=20&amp;number=&amp;sourceID=57","")</f>
        <v/>
      </c>
      <c r="U221" s="4" t="str">
        <f>HYPERLINK("http://141.218.60.56/~jnz1568/getInfo.php?workbook=16_15.xlsx&amp;sheet=A0&amp;row=221&amp;col=21&amp;number=&amp;sourceID=47","")</f>
        <v/>
      </c>
      <c r="V221" s="4" t="str">
        <f>HYPERLINK("http://141.218.60.56/~jnz1568/getInfo.php?workbook=16_15.xlsx&amp;sheet=A0&amp;row=221&amp;col=22&amp;number=&amp;sourceID=47","")</f>
        <v/>
      </c>
    </row>
    <row r="222" spans="1:22">
      <c r="A222" s="3">
        <v>16</v>
      </c>
      <c r="B222" s="3">
        <v>15</v>
      </c>
      <c r="C222" s="3">
        <v>24</v>
      </c>
      <c r="D222" s="3">
        <v>2</v>
      </c>
      <c r="E222" s="3">
        <f>((1/(INDEX(E0!J$4:J$73,C222,1)-INDEX(E0!J$4:J$73,D222,1))))*100000000</f>
        <v>0</v>
      </c>
      <c r="F222" s="4" t="str">
        <f>HYPERLINK("http://141.218.60.56/~jnz1568/getInfo.php?workbook=16_15.xlsx&amp;sheet=A0&amp;row=222&amp;col=6&amp;number=642770&amp;sourceID=54","642770")</f>
        <v>642770</v>
      </c>
      <c r="G222" s="4" t="str">
        <f>HYPERLINK("http://141.218.60.56/~jnz1568/getInfo.php?workbook=16_15.xlsx&amp;sheet=A0&amp;row=222&amp;col=7&amp;number=&amp;sourceID=54","")</f>
        <v/>
      </c>
      <c r="H222" s="4" t="str">
        <f>HYPERLINK("http://141.218.60.56/~jnz1568/getInfo.php?workbook=16_15.xlsx&amp;sheet=A0&amp;row=222&amp;col=8&amp;number=&amp;sourceID=54","")</f>
        <v/>
      </c>
      <c r="I222" s="4" t="str">
        <f>HYPERLINK("http://141.218.60.56/~jnz1568/getInfo.php?workbook=16_15.xlsx&amp;sheet=A0&amp;row=222&amp;col=9&amp;number=1585000&amp;sourceID=54","1585000")</f>
        <v>1585000</v>
      </c>
      <c r="J222" s="4" t="str">
        <f>HYPERLINK("http://141.218.60.56/~jnz1568/getInfo.php?workbook=16_15.xlsx&amp;sheet=A0&amp;row=222&amp;col=10&amp;number=&amp;sourceID=54","")</f>
        <v/>
      </c>
      <c r="K222" s="4" t="str">
        <f>HYPERLINK("http://141.218.60.56/~jnz1568/getInfo.php?workbook=16_15.xlsx&amp;sheet=A0&amp;row=222&amp;col=11&amp;number=&amp;sourceID=54","")</f>
        <v/>
      </c>
      <c r="L222" s="4" t="str">
        <f>HYPERLINK("http://141.218.60.56/~jnz1568/getInfo.php?workbook=16_15.xlsx&amp;sheet=A0&amp;row=222&amp;col=12&amp;number=1040679.75966&amp;sourceID=53","1040679.75966")</f>
        <v>1040679.75966</v>
      </c>
      <c r="M222" s="4" t="str">
        <f>HYPERLINK("http://141.218.60.56/~jnz1568/getInfo.php?workbook=16_15.xlsx&amp;sheet=A0&amp;row=222&amp;col=13&amp;number=&amp;sourceID=53","")</f>
        <v/>
      </c>
      <c r="N222" s="4" t="str">
        <f>HYPERLINK("http://141.218.60.56/~jnz1568/getInfo.php?workbook=16_15.xlsx&amp;sheet=A0&amp;row=222&amp;col=14&amp;number=&amp;sourceID=53","")</f>
        <v/>
      </c>
      <c r="O222" s="4" t="str">
        <f>HYPERLINK("http://141.218.60.56/~jnz1568/getInfo.php?workbook=16_15.xlsx&amp;sheet=A0&amp;row=222&amp;col=15&amp;number=&amp;sourceID=55","")</f>
        <v/>
      </c>
      <c r="P222" s="4" t="str">
        <f>HYPERLINK("http://141.218.60.56/~jnz1568/getInfo.php?workbook=16_15.xlsx&amp;sheet=A0&amp;row=222&amp;col=16&amp;number=&amp;sourceID=55","")</f>
        <v/>
      </c>
      <c r="Q222" s="4" t="str">
        <f>HYPERLINK("http://141.218.60.56/~jnz1568/getInfo.php?workbook=16_15.xlsx&amp;sheet=A0&amp;row=222&amp;col=17&amp;number=&amp;sourceID=56","")</f>
        <v/>
      </c>
      <c r="R222" s="4" t="str">
        <f>HYPERLINK("http://141.218.60.56/~jnz1568/getInfo.php?workbook=16_15.xlsx&amp;sheet=A0&amp;row=222&amp;col=18&amp;number=&amp;sourceID=56","")</f>
        <v/>
      </c>
      <c r="S222" s="4" t="str">
        <f>HYPERLINK("http://141.218.60.56/~jnz1568/getInfo.php?workbook=16_15.xlsx&amp;sheet=A0&amp;row=222&amp;col=19&amp;number=&amp;sourceID=57","")</f>
        <v/>
      </c>
      <c r="T222" s="4" t="str">
        <f>HYPERLINK("http://141.218.60.56/~jnz1568/getInfo.php?workbook=16_15.xlsx&amp;sheet=A0&amp;row=222&amp;col=20&amp;number=&amp;sourceID=57","")</f>
        <v/>
      </c>
      <c r="U222" s="4" t="str">
        <f>HYPERLINK("http://141.218.60.56/~jnz1568/getInfo.php?workbook=16_15.xlsx&amp;sheet=A0&amp;row=222&amp;col=21&amp;number=&amp;sourceID=47","")</f>
        <v/>
      </c>
      <c r="V222" s="4" t="str">
        <f>HYPERLINK("http://141.218.60.56/~jnz1568/getInfo.php?workbook=16_15.xlsx&amp;sheet=A0&amp;row=222&amp;col=22&amp;number=&amp;sourceID=47","")</f>
        <v/>
      </c>
    </row>
    <row r="223" spans="1:22">
      <c r="A223" s="3">
        <v>16</v>
      </c>
      <c r="B223" s="3">
        <v>15</v>
      </c>
      <c r="C223" s="3">
        <v>24</v>
      </c>
      <c r="D223" s="3">
        <v>3</v>
      </c>
      <c r="E223" s="3">
        <f>((1/(INDEX(E0!J$4:J$73,C223,1)-INDEX(E0!J$4:J$73,D223,1))))*100000000</f>
        <v>0</v>
      </c>
      <c r="F223" s="4" t="str">
        <f>HYPERLINK("http://141.218.60.56/~jnz1568/getInfo.php?workbook=16_15.xlsx&amp;sheet=A0&amp;row=223&amp;col=6&amp;number=48890&amp;sourceID=54","48890")</f>
        <v>48890</v>
      </c>
      <c r="G223" s="4" t="str">
        <f>HYPERLINK("http://141.218.60.56/~jnz1568/getInfo.php?workbook=16_15.xlsx&amp;sheet=A0&amp;row=223&amp;col=7&amp;number=&amp;sourceID=54","")</f>
        <v/>
      </c>
      <c r="H223" s="4" t="str">
        <f>HYPERLINK("http://141.218.60.56/~jnz1568/getInfo.php?workbook=16_15.xlsx&amp;sheet=A0&amp;row=223&amp;col=8&amp;number=&amp;sourceID=54","")</f>
        <v/>
      </c>
      <c r="I223" s="4" t="str">
        <f>HYPERLINK("http://141.218.60.56/~jnz1568/getInfo.php?workbook=16_15.xlsx&amp;sheet=A0&amp;row=223&amp;col=9&amp;number=6984.6&amp;sourceID=54","6984.6")</f>
        <v>6984.6</v>
      </c>
      <c r="J223" s="4" t="str">
        <f>HYPERLINK("http://141.218.60.56/~jnz1568/getInfo.php?workbook=16_15.xlsx&amp;sheet=A0&amp;row=223&amp;col=10&amp;number=&amp;sourceID=54","")</f>
        <v/>
      </c>
      <c r="K223" s="4" t="str">
        <f>HYPERLINK("http://141.218.60.56/~jnz1568/getInfo.php?workbook=16_15.xlsx&amp;sheet=A0&amp;row=223&amp;col=11&amp;number=&amp;sourceID=54","")</f>
        <v/>
      </c>
      <c r="L223" s="4" t="str">
        <f>HYPERLINK("http://141.218.60.56/~jnz1568/getInfo.php?workbook=16_15.xlsx&amp;sheet=A0&amp;row=223&amp;col=12&amp;number=50990.7424413&amp;sourceID=53","50990.7424413")</f>
        <v>50990.7424413</v>
      </c>
      <c r="M223" s="4" t="str">
        <f>HYPERLINK("http://141.218.60.56/~jnz1568/getInfo.php?workbook=16_15.xlsx&amp;sheet=A0&amp;row=223&amp;col=13&amp;number=&amp;sourceID=53","")</f>
        <v/>
      </c>
      <c r="N223" s="4" t="str">
        <f>HYPERLINK("http://141.218.60.56/~jnz1568/getInfo.php?workbook=16_15.xlsx&amp;sheet=A0&amp;row=223&amp;col=14&amp;number=&amp;sourceID=53","")</f>
        <v/>
      </c>
      <c r="O223" s="4" t="str">
        <f>HYPERLINK("http://141.218.60.56/~jnz1568/getInfo.php?workbook=16_15.xlsx&amp;sheet=A0&amp;row=223&amp;col=15&amp;number=&amp;sourceID=55","")</f>
        <v/>
      </c>
      <c r="P223" s="4" t="str">
        <f>HYPERLINK("http://141.218.60.56/~jnz1568/getInfo.php?workbook=16_15.xlsx&amp;sheet=A0&amp;row=223&amp;col=16&amp;number=&amp;sourceID=55","")</f>
        <v/>
      </c>
      <c r="Q223" s="4" t="str">
        <f>HYPERLINK("http://141.218.60.56/~jnz1568/getInfo.php?workbook=16_15.xlsx&amp;sheet=A0&amp;row=223&amp;col=17&amp;number=&amp;sourceID=56","")</f>
        <v/>
      </c>
      <c r="R223" s="4" t="str">
        <f>HYPERLINK("http://141.218.60.56/~jnz1568/getInfo.php?workbook=16_15.xlsx&amp;sheet=A0&amp;row=223&amp;col=18&amp;number=&amp;sourceID=56","")</f>
        <v/>
      </c>
      <c r="S223" s="4" t="str">
        <f>HYPERLINK("http://141.218.60.56/~jnz1568/getInfo.php?workbook=16_15.xlsx&amp;sheet=A0&amp;row=223&amp;col=19&amp;number=&amp;sourceID=57","")</f>
        <v/>
      </c>
      <c r="T223" s="4" t="str">
        <f>HYPERLINK("http://141.218.60.56/~jnz1568/getInfo.php?workbook=16_15.xlsx&amp;sheet=A0&amp;row=223&amp;col=20&amp;number=&amp;sourceID=57","")</f>
        <v/>
      </c>
      <c r="U223" s="4" t="str">
        <f>HYPERLINK("http://141.218.60.56/~jnz1568/getInfo.php?workbook=16_15.xlsx&amp;sheet=A0&amp;row=223&amp;col=21&amp;number=&amp;sourceID=47","")</f>
        <v/>
      </c>
      <c r="V223" s="4" t="str">
        <f>HYPERLINK("http://141.218.60.56/~jnz1568/getInfo.php?workbook=16_15.xlsx&amp;sheet=A0&amp;row=223&amp;col=22&amp;number=&amp;sourceID=47","")</f>
        <v/>
      </c>
    </row>
    <row r="224" spans="1:22">
      <c r="A224" s="3">
        <v>16</v>
      </c>
      <c r="B224" s="3">
        <v>15</v>
      </c>
      <c r="C224" s="3">
        <v>24</v>
      </c>
      <c r="D224" s="3">
        <v>5</v>
      </c>
      <c r="E224" s="3">
        <f>((1/(INDEX(E0!J$4:J$73,C224,1)-INDEX(E0!J$4:J$73,D224,1))))*100000000</f>
        <v>0</v>
      </c>
      <c r="F224" s="4" t="str">
        <f>HYPERLINK("http://141.218.60.56/~jnz1568/getInfo.php?workbook=16_15.xlsx&amp;sheet=A0&amp;row=224&amp;col=6&amp;number=17704&amp;sourceID=54","17704")</f>
        <v>17704</v>
      </c>
      <c r="G224" s="4" t="str">
        <f>HYPERLINK("http://141.218.60.56/~jnz1568/getInfo.php?workbook=16_15.xlsx&amp;sheet=A0&amp;row=224&amp;col=7&amp;number=&amp;sourceID=54","")</f>
        <v/>
      </c>
      <c r="H224" s="4" t="str">
        <f>HYPERLINK("http://141.218.60.56/~jnz1568/getInfo.php?workbook=16_15.xlsx&amp;sheet=A0&amp;row=224&amp;col=8&amp;number=&amp;sourceID=54","")</f>
        <v/>
      </c>
      <c r="I224" s="4" t="str">
        <f>HYPERLINK("http://141.218.60.56/~jnz1568/getInfo.php?workbook=16_15.xlsx&amp;sheet=A0&amp;row=224&amp;col=9&amp;number=15579&amp;sourceID=54","15579")</f>
        <v>15579</v>
      </c>
      <c r="J224" s="4" t="str">
        <f>HYPERLINK("http://141.218.60.56/~jnz1568/getInfo.php?workbook=16_15.xlsx&amp;sheet=A0&amp;row=224&amp;col=10&amp;number=&amp;sourceID=54","")</f>
        <v/>
      </c>
      <c r="K224" s="4" t="str">
        <f>HYPERLINK("http://141.218.60.56/~jnz1568/getInfo.php?workbook=16_15.xlsx&amp;sheet=A0&amp;row=224&amp;col=11&amp;number=&amp;sourceID=54","")</f>
        <v/>
      </c>
      <c r="L224" s="4" t="str">
        <f>HYPERLINK("http://141.218.60.56/~jnz1568/getInfo.php?workbook=16_15.xlsx&amp;sheet=A0&amp;row=224&amp;col=12&amp;number=34804.8981717&amp;sourceID=53","34804.8981717")</f>
        <v>34804.8981717</v>
      </c>
      <c r="M224" s="4" t="str">
        <f>HYPERLINK("http://141.218.60.56/~jnz1568/getInfo.php?workbook=16_15.xlsx&amp;sheet=A0&amp;row=224&amp;col=13&amp;number=&amp;sourceID=53","")</f>
        <v/>
      </c>
      <c r="N224" s="4" t="str">
        <f>HYPERLINK("http://141.218.60.56/~jnz1568/getInfo.php?workbook=16_15.xlsx&amp;sheet=A0&amp;row=224&amp;col=14&amp;number=&amp;sourceID=53","")</f>
        <v/>
      </c>
      <c r="O224" s="4" t="str">
        <f>HYPERLINK("http://141.218.60.56/~jnz1568/getInfo.php?workbook=16_15.xlsx&amp;sheet=A0&amp;row=224&amp;col=15&amp;number=&amp;sourceID=55","")</f>
        <v/>
      </c>
      <c r="P224" s="4" t="str">
        <f>HYPERLINK("http://141.218.60.56/~jnz1568/getInfo.php?workbook=16_15.xlsx&amp;sheet=A0&amp;row=224&amp;col=16&amp;number=&amp;sourceID=55","")</f>
        <v/>
      </c>
      <c r="Q224" s="4" t="str">
        <f>HYPERLINK("http://141.218.60.56/~jnz1568/getInfo.php?workbook=16_15.xlsx&amp;sheet=A0&amp;row=224&amp;col=17&amp;number=&amp;sourceID=56","")</f>
        <v/>
      </c>
      <c r="R224" s="4" t="str">
        <f>HYPERLINK("http://141.218.60.56/~jnz1568/getInfo.php?workbook=16_15.xlsx&amp;sheet=A0&amp;row=224&amp;col=18&amp;number=&amp;sourceID=56","")</f>
        <v/>
      </c>
      <c r="S224" s="4" t="str">
        <f>HYPERLINK("http://141.218.60.56/~jnz1568/getInfo.php?workbook=16_15.xlsx&amp;sheet=A0&amp;row=224&amp;col=19&amp;number=&amp;sourceID=57","")</f>
        <v/>
      </c>
      <c r="T224" s="4" t="str">
        <f>HYPERLINK("http://141.218.60.56/~jnz1568/getInfo.php?workbook=16_15.xlsx&amp;sheet=A0&amp;row=224&amp;col=20&amp;number=&amp;sourceID=57","")</f>
        <v/>
      </c>
      <c r="U224" s="4" t="str">
        <f>HYPERLINK("http://141.218.60.56/~jnz1568/getInfo.php?workbook=16_15.xlsx&amp;sheet=A0&amp;row=224&amp;col=21&amp;number=&amp;sourceID=47","")</f>
        <v/>
      </c>
      <c r="V224" s="4" t="str">
        <f>HYPERLINK("http://141.218.60.56/~jnz1568/getInfo.php?workbook=16_15.xlsx&amp;sheet=A0&amp;row=224&amp;col=22&amp;number=&amp;sourceID=47","")</f>
        <v/>
      </c>
    </row>
    <row r="225" spans="1:22">
      <c r="A225" s="3">
        <v>16</v>
      </c>
      <c r="B225" s="3">
        <v>15</v>
      </c>
      <c r="C225" s="3">
        <v>24</v>
      </c>
      <c r="D225" s="3">
        <v>6</v>
      </c>
      <c r="E225" s="3">
        <f>((1/(INDEX(E0!J$4:J$73,C225,1)-INDEX(E0!J$4:J$73,D225,1))))*100000000</f>
        <v>0</v>
      </c>
      <c r="F225" s="4" t="str">
        <f>HYPERLINK("http://141.218.60.56/~jnz1568/getInfo.php?workbook=16_15.xlsx&amp;sheet=A0&amp;row=225&amp;col=6&amp;number=&amp;sourceID=54","")</f>
        <v/>
      </c>
      <c r="G225" s="4" t="str">
        <f>HYPERLINK("http://141.218.60.56/~jnz1568/getInfo.php?workbook=16_15.xlsx&amp;sheet=A0&amp;row=225&amp;col=7&amp;number=3.0158&amp;sourceID=54","3.0158")</f>
        <v>3.0158</v>
      </c>
      <c r="H225" s="4" t="str">
        <f>HYPERLINK("http://141.218.60.56/~jnz1568/getInfo.php?workbook=16_15.xlsx&amp;sheet=A0&amp;row=225&amp;col=8&amp;number=0.16605&amp;sourceID=54","0.16605")</f>
        <v>0.16605</v>
      </c>
      <c r="I225" s="4" t="str">
        <f>HYPERLINK("http://141.218.60.56/~jnz1568/getInfo.php?workbook=16_15.xlsx&amp;sheet=A0&amp;row=225&amp;col=9&amp;number=&amp;sourceID=54","")</f>
        <v/>
      </c>
      <c r="J225" s="4" t="str">
        <f>HYPERLINK("http://141.218.60.56/~jnz1568/getInfo.php?workbook=16_15.xlsx&amp;sheet=A0&amp;row=225&amp;col=10&amp;number=2.6313&amp;sourceID=54","2.6313")</f>
        <v>2.6313</v>
      </c>
      <c r="K225" s="4" t="str">
        <f>HYPERLINK("http://141.218.60.56/~jnz1568/getInfo.php?workbook=16_15.xlsx&amp;sheet=A0&amp;row=225&amp;col=11&amp;number=0.15614&amp;sourceID=54","0.15614")</f>
        <v>0.15614</v>
      </c>
      <c r="L225" s="4" t="str">
        <f>HYPERLINK("http://141.218.60.56/~jnz1568/getInfo.php?workbook=16_15.xlsx&amp;sheet=A0&amp;row=225&amp;col=12&amp;number=&amp;sourceID=53","")</f>
        <v/>
      </c>
      <c r="M225" s="4" t="str">
        <f>HYPERLINK("http://141.218.60.56/~jnz1568/getInfo.php?workbook=16_15.xlsx&amp;sheet=A0&amp;row=225&amp;col=13&amp;number=&amp;sourceID=53","")</f>
        <v/>
      </c>
      <c r="N225" s="4" t="str">
        <f>HYPERLINK("http://141.218.60.56/~jnz1568/getInfo.php?workbook=16_15.xlsx&amp;sheet=A0&amp;row=225&amp;col=14&amp;number=&amp;sourceID=53","")</f>
        <v/>
      </c>
      <c r="O225" s="4" t="str">
        <f>HYPERLINK("http://141.218.60.56/~jnz1568/getInfo.php?workbook=16_15.xlsx&amp;sheet=A0&amp;row=225&amp;col=15&amp;number=&amp;sourceID=55","")</f>
        <v/>
      </c>
      <c r="P225" s="4" t="str">
        <f>HYPERLINK("http://141.218.60.56/~jnz1568/getInfo.php?workbook=16_15.xlsx&amp;sheet=A0&amp;row=225&amp;col=16&amp;number=&amp;sourceID=55","")</f>
        <v/>
      </c>
      <c r="Q225" s="4" t="str">
        <f>HYPERLINK("http://141.218.60.56/~jnz1568/getInfo.php?workbook=16_15.xlsx&amp;sheet=A0&amp;row=225&amp;col=17&amp;number=&amp;sourceID=56","")</f>
        <v/>
      </c>
      <c r="R225" s="4" t="str">
        <f>HYPERLINK("http://141.218.60.56/~jnz1568/getInfo.php?workbook=16_15.xlsx&amp;sheet=A0&amp;row=225&amp;col=18&amp;number=&amp;sourceID=56","")</f>
        <v/>
      </c>
      <c r="S225" s="4" t="str">
        <f>HYPERLINK("http://141.218.60.56/~jnz1568/getInfo.php?workbook=16_15.xlsx&amp;sheet=A0&amp;row=225&amp;col=19&amp;number=&amp;sourceID=57","")</f>
        <v/>
      </c>
      <c r="T225" s="4" t="str">
        <f>HYPERLINK("http://141.218.60.56/~jnz1568/getInfo.php?workbook=16_15.xlsx&amp;sheet=A0&amp;row=225&amp;col=20&amp;number=&amp;sourceID=57","")</f>
        <v/>
      </c>
      <c r="U225" s="4" t="str">
        <f>HYPERLINK("http://141.218.60.56/~jnz1568/getInfo.php?workbook=16_15.xlsx&amp;sheet=A0&amp;row=225&amp;col=21&amp;number=&amp;sourceID=47","")</f>
        <v/>
      </c>
      <c r="V225" s="4" t="str">
        <f>HYPERLINK("http://141.218.60.56/~jnz1568/getInfo.php?workbook=16_15.xlsx&amp;sheet=A0&amp;row=225&amp;col=22&amp;number=&amp;sourceID=47","")</f>
        <v/>
      </c>
    </row>
    <row r="226" spans="1:22">
      <c r="A226" s="3">
        <v>16</v>
      </c>
      <c r="B226" s="3">
        <v>15</v>
      </c>
      <c r="C226" s="3">
        <v>24</v>
      </c>
      <c r="D226" s="3">
        <v>7</v>
      </c>
      <c r="E226" s="3">
        <f>((1/(INDEX(E0!J$4:J$73,C226,1)-INDEX(E0!J$4:J$73,D226,1))))*100000000</f>
        <v>0</v>
      </c>
      <c r="F226" s="4" t="str">
        <f>HYPERLINK("http://141.218.60.56/~jnz1568/getInfo.php?workbook=16_15.xlsx&amp;sheet=A0&amp;row=226&amp;col=6&amp;number=&amp;sourceID=54","")</f>
        <v/>
      </c>
      <c r="G226" s="4" t="str">
        <f>HYPERLINK("http://141.218.60.56/~jnz1568/getInfo.php?workbook=16_15.xlsx&amp;sheet=A0&amp;row=226&amp;col=7&amp;number=0.086159&amp;sourceID=54","0.086159")</f>
        <v>0.086159</v>
      </c>
      <c r="H226" s="4" t="str">
        <f>HYPERLINK("http://141.218.60.56/~jnz1568/getInfo.php?workbook=16_15.xlsx&amp;sheet=A0&amp;row=226&amp;col=8&amp;number=0.004383&amp;sourceID=54","0.004383")</f>
        <v>0.004383</v>
      </c>
      <c r="I226" s="4" t="str">
        <f>HYPERLINK("http://141.218.60.56/~jnz1568/getInfo.php?workbook=16_15.xlsx&amp;sheet=A0&amp;row=226&amp;col=9&amp;number=&amp;sourceID=54","")</f>
        <v/>
      </c>
      <c r="J226" s="4" t="str">
        <f>HYPERLINK("http://141.218.60.56/~jnz1568/getInfo.php?workbook=16_15.xlsx&amp;sheet=A0&amp;row=226&amp;col=10&amp;number=0.075002&amp;sourceID=54","0.075002")</f>
        <v>0.075002</v>
      </c>
      <c r="K226" s="4" t="str">
        <f>HYPERLINK("http://141.218.60.56/~jnz1568/getInfo.php?workbook=16_15.xlsx&amp;sheet=A0&amp;row=226&amp;col=11&amp;number=0.0041154&amp;sourceID=54","0.0041154")</f>
        <v>0.0041154</v>
      </c>
      <c r="L226" s="4" t="str">
        <f>HYPERLINK("http://141.218.60.56/~jnz1568/getInfo.php?workbook=16_15.xlsx&amp;sheet=A0&amp;row=226&amp;col=12&amp;number=&amp;sourceID=53","")</f>
        <v/>
      </c>
      <c r="M226" s="4" t="str">
        <f>HYPERLINK("http://141.218.60.56/~jnz1568/getInfo.php?workbook=16_15.xlsx&amp;sheet=A0&amp;row=226&amp;col=13&amp;number=&amp;sourceID=53","")</f>
        <v/>
      </c>
      <c r="N226" s="4" t="str">
        <f>HYPERLINK("http://141.218.60.56/~jnz1568/getInfo.php?workbook=16_15.xlsx&amp;sheet=A0&amp;row=226&amp;col=14&amp;number=&amp;sourceID=53","")</f>
        <v/>
      </c>
      <c r="O226" s="4" t="str">
        <f>HYPERLINK("http://141.218.60.56/~jnz1568/getInfo.php?workbook=16_15.xlsx&amp;sheet=A0&amp;row=226&amp;col=15&amp;number=&amp;sourceID=55","")</f>
        <v/>
      </c>
      <c r="P226" s="4" t="str">
        <f>HYPERLINK("http://141.218.60.56/~jnz1568/getInfo.php?workbook=16_15.xlsx&amp;sheet=A0&amp;row=226&amp;col=16&amp;number=&amp;sourceID=55","")</f>
        <v/>
      </c>
      <c r="Q226" s="4" t="str">
        <f>HYPERLINK("http://141.218.60.56/~jnz1568/getInfo.php?workbook=16_15.xlsx&amp;sheet=A0&amp;row=226&amp;col=17&amp;number=&amp;sourceID=56","")</f>
        <v/>
      </c>
      <c r="R226" s="4" t="str">
        <f>HYPERLINK("http://141.218.60.56/~jnz1568/getInfo.php?workbook=16_15.xlsx&amp;sheet=A0&amp;row=226&amp;col=18&amp;number=&amp;sourceID=56","")</f>
        <v/>
      </c>
      <c r="S226" s="4" t="str">
        <f>HYPERLINK("http://141.218.60.56/~jnz1568/getInfo.php?workbook=16_15.xlsx&amp;sheet=A0&amp;row=226&amp;col=19&amp;number=&amp;sourceID=57","")</f>
        <v/>
      </c>
      <c r="T226" s="4" t="str">
        <f>HYPERLINK("http://141.218.60.56/~jnz1568/getInfo.php?workbook=16_15.xlsx&amp;sheet=A0&amp;row=226&amp;col=20&amp;number=&amp;sourceID=57","")</f>
        <v/>
      </c>
      <c r="U226" s="4" t="str">
        <f>HYPERLINK("http://141.218.60.56/~jnz1568/getInfo.php?workbook=16_15.xlsx&amp;sheet=A0&amp;row=226&amp;col=21&amp;number=&amp;sourceID=47","")</f>
        <v/>
      </c>
      <c r="V226" s="4" t="str">
        <f>HYPERLINK("http://141.218.60.56/~jnz1568/getInfo.php?workbook=16_15.xlsx&amp;sheet=A0&amp;row=226&amp;col=22&amp;number=&amp;sourceID=47","")</f>
        <v/>
      </c>
    </row>
    <row r="227" spans="1:22">
      <c r="A227" s="3">
        <v>16</v>
      </c>
      <c r="B227" s="3">
        <v>15</v>
      </c>
      <c r="C227" s="3">
        <v>24</v>
      </c>
      <c r="D227" s="3">
        <v>8</v>
      </c>
      <c r="E227" s="3">
        <f>((1/(INDEX(E0!J$4:J$73,C227,1)-INDEX(E0!J$4:J$73,D227,1))))*100000000</f>
        <v>0</v>
      </c>
      <c r="F227" s="4" t="str">
        <f>HYPERLINK("http://141.218.60.56/~jnz1568/getInfo.php?workbook=16_15.xlsx&amp;sheet=A0&amp;row=227&amp;col=6&amp;number=&amp;sourceID=54","")</f>
        <v/>
      </c>
      <c r="G227" s="4" t="str">
        <f>HYPERLINK("http://141.218.60.56/~jnz1568/getInfo.php?workbook=16_15.xlsx&amp;sheet=A0&amp;row=227&amp;col=7&amp;number=1.831&amp;sourceID=54","1.831")</f>
        <v>1.831</v>
      </c>
      <c r="H227" s="4" t="str">
        <f>HYPERLINK("http://141.218.60.56/~jnz1568/getInfo.php?workbook=16_15.xlsx&amp;sheet=A0&amp;row=227&amp;col=8&amp;number=&amp;sourceID=54","")</f>
        <v/>
      </c>
      <c r="I227" s="4" t="str">
        <f>HYPERLINK("http://141.218.60.56/~jnz1568/getInfo.php?workbook=16_15.xlsx&amp;sheet=A0&amp;row=227&amp;col=9&amp;number=&amp;sourceID=54","")</f>
        <v/>
      </c>
      <c r="J227" s="4" t="str">
        <f>HYPERLINK("http://141.218.60.56/~jnz1568/getInfo.php?workbook=16_15.xlsx&amp;sheet=A0&amp;row=227&amp;col=10&amp;number=1.6044&amp;sourceID=54","1.6044")</f>
        <v>1.6044</v>
      </c>
      <c r="K227" s="4" t="str">
        <f>HYPERLINK("http://141.218.60.56/~jnz1568/getInfo.php?workbook=16_15.xlsx&amp;sheet=A0&amp;row=227&amp;col=11&amp;number=&amp;sourceID=54","")</f>
        <v/>
      </c>
      <c r="L227" s="4" t="str">
        <f>HYPERLINK("http://141.218.60.56/~jnz1568/getInfo.php?workbook=16_15.xlsx&amp;sheet=A0&amp;row=227&amp;col=12&amp;number=&amp;sourceID=53","")</f>
        <v/>
      </c>
      <c r="M227" s="4" t="str">
        <f>HYPERLINK("http://141.218.60.56/~jnz1568/getInfo.php?workbook=16_15.xlsx&amp;sheet=A0&amp;row=227&amp;col=13&amp;number=&amp;sourceID=53","")</f>
        <v/>
      </c>
      <c r="N227" s="4" t="str">
        <f>HYPERLINK("http://141.218.60.56/~jnz1568/getInfo.php?workbook=16_15.xlsx&amp;sheet=A0&amp;row=227&amp;col=14&amp;number=&amp;sourceID=53","")</f>
        <v/>
      </c>
      <c r="O227" s="4" t="str">
        <f>HYPERLINK("http://141.218.60.56/~jnz1568/getInfo.php?workbook=16_15.xlsx&amp;sheet=A0&amp;row=227&amp;col=15&amp;number=&amp;sourceID=55","")</f>
        <v/>
      </c>
      <c r="P227" s="4" t="str">
        <f>HYPERLINK("http://141.218.60.56/~jnz1568/getInfo.php?workbook=16_15.xlsx&amp;sheet=A0&amp;row=227&amp;col=16&amp;number=&amp;sourceID=55","")</f>
        <v/>
      </c>
      <c r="Q227" s="4" t="str">
        <f>HYPERLINK("http://141.218.60.56/~jnz1568/getInfo.php?workbook=16_15.xlsx&amp;sheet=A0&amp;row=227&amp;col=17&amp;number=&amp;sourceID=56","")</f>
        <v/>
      </c>
      <c r="R227" s="4" t="str">
        <f>HYPERLINK("http://141.218.60.56/~jnz1568/getInfo.php?workbook=16_15.xlsx&amp;sheet=A0&amp;row=227&amp;col=18&amp;number=&amp;sourceID=56","")</f>
        <v/>
      </c>
      <c r="S227" s="4" t="str">
        <f>HYPERLINK("http://141.218.60.56/~jnz1568/getInfo.php?workbook=16_15.xlsx&amp;sheet=A0&amp;row=227&amp;col=19&amp;number=&amp;sourceID=57","")</f>
        <v/>
      </c>
      <c r="T227" s="4" t="str">
        <f>HYPERLINK("http://141.218.60.56/~jnz1568/getInfo.php?workbook=16_15.xlsx&amp;sheet=A0&amp;row=227&amp;col=20&amp;number=&amp;sourceID=57","")</f>
        <v/>
      </c>
      <c r="U227" s="4" t="str">
        <f>HYPERLINK("http://141.218.60.56/~jnz1568/getInfo.php?workbook=16_15.xlsx&amp;sheet=A0&amp;row=227&amp;col=21&amp;number=&amp;sourceID=47","")</f>
        <v/>
      </c>
      <c r="V227" s="4" t="str">
        <f>HYPERLINK("http://141.218.60.56/~jnz1568/getInfo.php?workbook=16_15.xlsx&amp;sheet=A0&amp;row=227&amp;col=22&amp;number=&amp;sourceID=47","")</f>
        <v/>
      </c>
    </row>
    <row r="228" spans="1:22">
      <c r="A228" s="3">
        <v>16</v>
      </c>
      <c r="B228" s="3">
        <v>15</v>
      </c>
      <c r="C228" s="3">
        <v>24</v>
      </c>
      <c r="D228" s="3">
        <v>9</v>
      </c>
      <c r="E228" s="3">
        <f>((1/(INDEX(E0!J$4:J$73,C228,1)-INDEX(E0!J$4:J$73,D228,1))))*100000000</f>
        <v>0</v>
      </c>
      <c r="F228" s="4" t="str">
        <f>HYPERLINK("http://141.218.60.56/~jnz1568/getInfo.php?workbook=16_15.xlsx&amp;sheet=A0&amp;row=228&amp;col=6&amp;number=&amp;sourceID=54","")</f>
        <v/>
      </c>
      <c r="G228" s="4" t="str">
        <f>HYPERLINK("http://141.218.60.56/~jnz1568/getInfo.php?workbook=16_15.xlsx&amp;sheet=A0&amp;row=228&amp;col=7&amp;number=0.00033926&amp;sourceID=54","0.00033926")</f>
        <v>0.00033926</v>
      </c>
      <c r="H228" s="4" t="str">
        <f>HYPERLINK("http://141.218.60.56/~jnz1568/getInfo.php?workbook=16_15.xlsx&amp;sheet=A0&amp;row=228&amp;col=8&amp;number=0.00042609&amp;sourceID=54","0.00042609")</f>
        <v>0.00042609</v>
      </c>
      <c r="I228" s="4" t="str">
        <f>HYPERLINK("http://141.218.60.56/~jnz1568/getInfo.php?workbook=16_15.xlsx&amp;sheet=A0&amp;row=228&amp;col=9&amp;number=&amp;sourceID=54","")</f>
        <v/>
      </c>
      <c r="J228" s="4" t="str">
        <f>HYPERLINK("http://141.218.60.56/~jnz1568/getInfo.php?workbook=16_15.xlsx&amp;sheet=A0&amp;row=228&amp;col=10&amp;number=0.00076022&amp;sourceID=54","0.00076022")</f>
        <v>0.00076022</v>
      </c>
      <c r="K228" s="4" t="str">
        <f>HYPERLINK("http://141.218.60.56/~jnz1568/getInfo.php?workbook=16_15.xlsx&amp;sheet=A0&amp;row=228&amp;col=11&amp;number=0.00031539&amp;sourceID=54","0.00031539")</f>
        <v>0.00031539</v>
      </c>
      <c r="L228" s="4" t="str">
        <f>HYPERLINK("http://141.218.60.56/~jnz1568/getInfo.php?workbook=16_15.xlsx&amp;sheet=A0&amp;row=228&amp;col=12&amp;number=&amp;sourceID=53","")</f>
        <v/>
      </c>
      <c r="M228" s="4" t="str">
        <f>HYPERLINK("http://141.218.60.56/~jnz1568/getInfo.php?workbook=16_15.xlsx&amp;sheet=A0&amp;row=228&amp;col=13&amp;number=&amp;sourceID=53","")</f>
        <v/>
      </c>
      <c r="N228" s="4" t="str">
        <f>HYPERLINK("http://141.218.60.56/~jnz1568/getInfo.php?workbook=16_15.xlsx&amp;sheet=A0&amp;row=228&amp;col=14&amp;number=&amp;sourceID=53","")</f>
        <v/>
      </c>
      <c r="O228" s="4" t="str">
        <f>HYPERLINK("http://141.218.60.56/~jnz1568/getInfo.php?workbook=16_15.xlsx&amp;sheet=A0&amp;row=228&amp;col=15&amp;number=&amp;sourceID=55","")</f>
        <v/>
      </c>
      <c r="P228" s="4" t="str">
        <f>HYPERLINK("http://141.218.60.56/~jnz1568/getInfo.php?workbook=16_15.xlsx&amp;sheet=A0&amp;row=228&amp;col=16&amp;number=&amp;sourceID=55","")</f>
        <v/>
      </c>
      <c r="Q228" s="4" t="str">
        <f>HYPERLINK("http://141.218.60.56/~jnz1568/getInfo.php?workbook=16_15.xlsx&amp;sheet=A0&amp;row=228&amp;col=17&amp;number=&amp;sourceID=56","")</f>
        <v/>
      </c>
      <c r="R228" s="4" t="str">
        <f>HYPERLINK("http://141.218.60.56/~jnz1568/getInfo.php?workbook=16_15.xlsx&amp;sheet=A0&amp;row=228&amp;col=18&amp;number=&amp;sourceID=56","")</f>
        <v/>
      </c>
      <c r="S228" s="4" t="str">
        <f>HYPERLINK("http://141.218.60.56/~jnz1568/getInfo.php?workbook=16_15.xlsx&amp;sheet=A0&amp;row=228&amp;col=19&amp;number=&amp;sourceID=57","")</f>
        <v/>
      </c>
      <c r="T228" s="4" t="str">
        <f>HYPERLINK("http://141.218.60.56/~jnz1568/getInfo.php?workbook=16_15.xlsx&amp;sheet=A0&amp;row=228&amp;col=20&amp;number=&amp;sourceID=57","")</f>
        <v/>
      </c>
      <c r="U228" s="4" t="str">
        <f>HYPERLINK("http://141.218.60.56/~jnz1568/getInfo.php?workbook=16_15.xlsx&amp;sheet=A0&amp;row=228&amp;col=21&amp;number=&amp;sourceID=47","")</f>
        <v/>
      </c>
      <c r="V228" s="4" t="str">
        <f>HYPERLINK("http://141.218.60.56/~jnz1568/getInfo.php?workbook=16_15.xlsx&amp;sheet=A0&amp;row=228&amp;col=22&amp;number=&amp;sourceID=47","")</f>
        <v/>
      </c>
    </row>
    <row r="229" spans="1:22">
      <c r="A229" s="3">
        <v>16</v>
      </c>
      <c r="B229" s="3">
        <v>15</v>
      </c>
      <c r="C229" s="3">
        <v>24</v>
      </c>
      <c r="D229" s="3">
        <v>10</v>
      </c>
      <c r="E229" s="3">
        <f>((1/(INDEX(E0!J$4:J$73,C229,1)-INDEX(E0!J$4:J$73,D229,1))))*100000000</f>
        <v>0</v>
      </c>
      <c r="F229" s="4" t="str">
        <f>HYPERLINK("http://141.218.60.56/~jnz1568/getInfo.php?workbook=16_15.xlsx&amp;sheet=A0&amp;row=229&amp;col=6&amp;number=&amp;sourceID=54","")</f>
        <v/>
      </c>
      <c r="G229" s="4" t="str">
        <f>HYPERLINK("http://141.218.60.56/~jnz1568/getInfo.php?workbook=16_15.xlsx&amp;sheet=A0&amp;row=229&amp;col=7&amp;number=0.00016087&amp;sourceID=54","0.00016087")</f>
        <v>0.00016087</v>
      </c>
      <c r="H229" s="4" t="str">
        <f>HYPERLINK("http://141.218.60.56/~jnz1568/getInfo.php?workbook=16_15.xlsx&amp;sheet=A0&amp;row=229&amp;col=8&amp;number=0.013591&amp;sourceID=54","0.013591")</f>
        <v>0.013591</v>
      </c>
      <c r="I229" s="4" t="str">
        <f>HYPERLINK("http://141.218.60.56/~jnz1568/getInfo.php?workbook=16_15.xlsx&amp;sheet=A0&amp;row=229&amp;col=9&amp;number=&amp;sourceID=54","")</f>
        <v/>
      </c>
      <c r="J229" s="4" t="str">
        <f>HYPERLINK("http://141.218.60.56/~jnz1568/getInfo.php?workbook=16_15.xlsx&amp;sheet=A0&amp;row=229&amp;col=10&amp;number=0.00028752&amp;sourceID=54","0.00028752")</f>
        <v>0.00028752</v>
      </c>
      <c r="K229" s="4" t="str">
        <f>HYPERLINK("http://141.218.60.56/~jnz1568/getInfo.php?workbook=16_15.xlsx&amp;sheet=A0&amp;row=229&amp;col=11&amp;number=0.010081&amp;sourceID=54","0.010081")</f>
        <v>0.010081</v>
      </c>
      <c r="L229" s="4" t="str">
        <f>HYPERLINK("http://141.218.60.56/~jnz1568/getInfo.php?workbook=16_15.xlsx&amp;sheet=A0&amp;row=229&amp;col=12&amp;number=&amp;sourceID=53","")</f>
        <v/>
      </c>
      <c r="M229" s="4" t="str">
        <f>HYPERLINK("http://141.218.60.56/~jnz1568/getInfo.php?workbook=16_15.xlsx&amp;sheet=A0&amp;row=229&amp;col=13&amp;number=&amp;sourceID=53","")</f>
        <v/>
      </c>
      <c r="N229" s="4" t="str">
        <f>HYPERLINK("http://141.218.60.56/~jnz1568/getInfo.php?workbook=16_15.xlsx&amp;sheet=A0&amp;row=229&amp;col=14&amp;number=&amp;sourceID=53","")</f>
        <v/>
      </c>
      <c r="O229" s="4" t="str">
        <f>HYPERLINK("http://141.218.60.56/~jnz1568/getInfo.php?workbook=16_15.xlsx&amp;sheet=A0&amp;row=229&amp;col=15&amp;number=&amp;sourceID=55","")</f>
        <v/>
      </c>
      <c r="P229" s="4" t="str">
        <f>HYPERLINK("http://141.218.60.56/~jnz1568/getInfo.php?workbook=16_15.xlsx&amp;sheet=A0&amp;row=229&amp;col=16&amp;number=&amp;sourceID=55","")</f>
        <v/>
      </c>
      <c r="Q229" s="4" t="str">
        <f>HYPERLINK("http://141.218.60.56/~jnz1568/getInfo.php?workbook=16_15.xlsx&amp;sheet=A0&amp;row=229&amp;col=17&amp;number=&amp;sourceID=56","")</f>
        <v/>
      </c>
      <c r="R229" s="4" t="str">
        <f>HYPERLINK("http://141.218.60.56/~jnz1568/getInfo.php?workbook=16_15.xlsx&amp;sheet=A0&amp;row=229&amp;col=18&amp;number=&amp;sourceID=56","")</f>
        <v/>
      </c>
      <c r="S229" s="4" t="str">
        <f>HYPERLINK("http://141.218.60.56/~jnz1568/getInfo.php?workbook=16_15.xlsx&amp;sheet=A0&amp;row=229&amp;col=19&amp;number=&amp;sourceID=57","")</f>
        <v/>
      </c>
      <c r="T229" s="4" t="str">
        <f>HYPERLINK("http://141.218.60.56/~jnz1568/getInfo.php?workbook=16_15.xlsx&amp;sheet=A0&amp;row=229&amp;col=20&amp;number=&amp;sourceID=57","")</f>
        <v/>
      </c>
      <c r="U229" s="4" t="str">
        <f>HYPERLINK("http://141.218.60.56/~jnz1568/getInfo.php?workbook=16_15.xlsx&amp;sheet=A0&amp;row=229&amp;col=21&amp;number=&amp;sourceID=47","")</f>
        <v/>
      </c>
      <c r="V229" s="4" t="str">
        <f>HYPERLINK("http://141.218.60.56/~jnz1568/getInfo.php?workbook=16_15.xlsx&amp;sheet=A0&amp;row=229&amp;col=22&amp;number=&amp;sourceID=47","")</f>
        <v/>
      </c>
    </row>
    <row r="230" spans="1:22">
      <c r="A230" s="3">
        <v>16</v>
      </c>
      <c r="B230" s="3">
        <v>15</v>
      </c>
      <c r="C230" s="3">
        <v>24</v>
      </c>
      <c r="D230" s="3">
        <v>11</v>
      </c>
      <c r="E230" s="3">
        <f>((1/(INDEX(E0!J$4:J$73,C230,1)-INDEX(E0!J$4:J$73,D230,1))))*100000000</f>
        <v>0</v>
      </c>
      <c r="F230" s="4" t="str">
        <f>HYPERLINK("http://141.218.60.56/~jnz1568/getInfo.php?workbook=16_15.xlsx&amp;sheet=A0&amp;row=230&amp;col=6&amp;number=&amp;sourceID=54","")</f>
        <v/>
      </c>
      <c r="G230" s="4" t="str">
        <f>HYPERLINK("http://141.218.60.56/~jnz1568/getInfo.php?workbook=16_15.xlsx&amp;sheet=A0&amp;row=230&amp;col=7&amp;number=2.5048e-06&amp;sourceID=54","2.5048e-06")</f>
        <v>2.5048e-06</v>
      </c>
      <c r="H230" s="4" t="str">
        <f>HYPERLINK("http://141.218.60.56/~jnz1568/getInfo.php?workbook=16_15.xlsx&amp;sheet=A0&amp;row=230&amp;col=8&amp;number=0.0055243&amp;sourceID=54","0.0055243")</f>
        <v>0.0055243</v>
      </c>
      <c r="I230" s="4" t="str">
        <f>HYPERLINK("http://141.218.60.56/~jnz1568/getInfo.php?workbook=16_15.xlsx&amp;sheet=A0&amp;row=230&amp;col=9&amp;number=&amp;sourceID=54","")</f>
        <v/>
      </c>
      <c r="J230" s="4" t="str">
        <f>HYPERLINK("http://141.218.60.56/~jnz1568/getInfo.php?workbook=16_15.xlsx&amp;sheet=A0&amp;row=230&amp;col=10&amp;number=1.4638e-05&amp;sourceID=54","1.4638e-05")</f>
        <v>1.4638e-05</v>
      </c>
      <c r="K230" s="4" t="str">
        <f>HYPERLINK("http://141.218.60.56/~jnz1568/getInfo.php?workbook=16_15.xlsx&amp;sheet=A0&amp;row=230&amp;col=11&amp;number=0.0053842&amp;sourceID=54","0.0053842")</f>
        <v>0.0053842</v>
      </c>
      <c r="L230" s="4" t="str">
        <f>HYPERLINK("http://141.218.60.56/~jnz1568/getInfo.php?workbook=16_15.xlsx&amp;sheet=A0&amp;row=230&amp;col=12&amp;number=&amp;sourceID=53","")</f>
        <v/>
      </c>
      <c r="M230" s="4" t="str">
        <f>HYPERLINK("http://141.218.60.56/~jnz1568/getInfo.php?workbook=16_15.xlsx&amp;sheet=A0&amp;row=230&amp;col=13&amp;number=&amp;sourceID=53","")</f>
        <v/>
      </c>
      <c r="N230" s="4" t="str">
        <f>HYPERLINK("http://141.218.60.56/~jnz1568/getInfo.php?workbook=16_15.xlsx&amp;sheet=A0&amp;row=230&amp;col=14&amp;number=&amp;sourceID=53","")</f>
        <v/>
      </c>
      <c r="O230" s="4" t="str">
        <f>HYPERLINK("http://141.218.60.56/~jnz1568/getInfo.php?workbook=16_15.xlsx&amp;sheet=A0&amp;row=230&amp;col=15&amp;number=&amp;sourceID=55","")</f>
        <v/>
      </c>
      <c r="P230" s="4" t="str">
        <f>HYPERLINK("http://141.218.60.56/~jnz1568/getInfo.php?workbook=16_15.xlsx&amp;sheet=A0&amp;row=230&amp;col=16&amp;number=&amp;sourceID=55","")</f>
        <v/>
      </c>
      <c r="Q230" s="4" t="str">
        <f>HYPERLINK("http://141.218.60.56/~jnz1568/getInfo.php?workbook=16_15.xlsx&amp;sheet=A0&amp;row=230&amp;col=17&amp;number=&amp;sourceID=56","")</f>
        <v/>
      </c>
      <c r="R230" s="4" t="str">
        <f>HYPERLINK("http://141.218.60.56/~jnz1568/getInfo.php?workbook=16_15.xlsx&amp;sheet=A0&amp;row=230&amp;col=18&amp;number=&amp;sourceID=56","")</f>
        <v/>
      </c>
      <c r="S230" s="4" t="str">
        <f>HYPERLINK("http://141.218.60.56/~jnz1568/getInfo.php?workbook=16_15.xlsx&amp;sheet=A0&amp;row=230&amp;col=19&amp;number=&amp;sourceID=57","")</f>
        <v/>
      </c>
      <c r="T230" s="4" t="str">
        <f>HYPERLINK("http://141.218.60.56/~jnz1568/getInfo.php?workbook=16_15.xlsx&amp;sheet=A0&amp;row=230&amp;col=20&amp;number=&amp;sourceID=57","")</f>
        <v/>
      </c>
      <c r="U230" s="4" t="str">
        <f>HYPERLINK("http://141.218.60.56/~jnz1568/getInfo.php?workbook=16_15.xlsx&amp;sheet=A0&amp;row=230&amp;col=21&amp;number=&amp;sourceID=47","")</f>
        <v/>
      </c>
      <c r="V230" s="4" t="str">
        <f>HYPERLINK("http://141.218.60.56/~jnz1568/getInfo.php?workbook=16_15.xlsx&amp;sheet=A0&amp;row=230&amp;col=22&amp;number=&amp;sourceID=47","")</f>
        <v/>
      </c>
    </row>
    <row r="231" spans="1:22">
      <c r="A231" s="3">
        <v>16</v>
      </c>
      <c r="B231" s="3">
        <v>15</v>
      </c>
      <c r="C231" s="3">
        <v>24</v>
      </c>
      <c r="D231" s="3">
        <v>12</v>
      </c>
      <c r="E231" s="3">
        <f>((1/(INDEX(E0!J$4:J$73,C231,1)-INDEX(E0!J$4:J$73,D231,1))))*100000000</f>
        <v>0</v>
      </c>
      <c r="F231" s="4" t="str">
        <f>HYPERLINK("http://141.218.60.56/~jnz1568/getInfo.php?workbook=16_15.xlsx&amp;sheet=A0&amp;row=231&amp;col=6&amp;number=&amp;sourceID=54","")</f>
        <v/>
      </c>
      <c r="G231" s="4" t="str">
        <f>HYPERLINK("http://141.218.60.56/~jnz1568/getInfo.php?workbook=16_15.xlsx&amp;sheet=A0&amp;row=231&amp;col=7&amp;number=6.8532e-05&amp;sourceID=54","6.8532e-05")</f>
        <v>6.8532e-05</v>
      </c>
      <c r="H231" s="4" t="str">
        <f>HYPERLINK("http://141.218.60.56/~jnz1568/getInfo.php?workbook=16_15.xlsx&amp;sheet=A0&amp;row=231&amp;col=8&amp;number=&amp;sourceID=54","")</f>
        <v/>
      </c>
      <c r="I231" s="4" t="str">
        <f>HYPERLINK("http://141.218.60.56/~jnz1568/getInfo.php?workbook=16_15.xlsx&amp;sheet=A0&amp;row=231&amp;col=9&amp;number=&amp;sourceID=54","")</f>
        <v/>
      </c>
      <c r="J231" s="4" t="str">
        <f>HYPERLINK("http://141.218.60.56/~jnz1568/getInfo.php?workbook=16_15.xlsx&amp;sheet=A0&amp;row=231&amp;col=10&amp;number=0.00014129&amp;sourceID=54","0.00014129")</f>
        <v>0.00014129</v>
      </c>
      <c r="K231" s="4" t="str">
        <f>HYPERLINK("http://141.218.60.56/~jnz1568/getInfo.php?workbook=16_15.xlsx&amp;sheet=A0&amp;row=231&amp;col=11&amp;number=&amp;sourceID=54","")</f>
        <v/>
      </c>
      <c r="L231" s="4" t="str">
        <f>HYPERLINK("http://141.218.60.56/~jnz1568/getInfo.php?workbook=16_15.xlsx&amp;sheet=A0&amp;row=231&amp;col=12&amp;number=&amp;sourceID=53","")</f>
        <v/>
      </c>
      <c r="M231" s="4" t="str">
        <f>HYPERLINK("http://141.218.60.56/~jnz1568/getInfo.php?workbook=16_15.xlsx&amp;sheet=A0&amp;row=231&amp;col=13&amp;number=&amp;sourceID=53","")</f>
        <v/>
      </c>
      <c r="N231" s="4" t="str">
        <f>HYPERLINK("http://141.218.60.56/~jnz1568/getInfo.php?workbook=16_15.xlsx&amp;sheet=A0&amp;row=231&amp;col=14&amp;number=&amp;sourceID=53","")</f>
        <v/>
      </c>
      <c r="O231" s="4" t="str">
        <f>HYPERLINK("http://141.218.60.56/~jnz1568/getInfo.php?workbook=16_15.xlsx&amp;sheet=A0&amp;row=231&amp;col=15&amp;number=&amp;sourceID=55","")</f>
        <v/>
      </c>
      <c r="P231" s="4" t="str">
        <f>HYPERLINK("http://141.218.60.56/~jnz1568/getInfo.php?workbook=16_15.xlsx&amp;sheet=A0&amp;row=231&amp;col=16&amp;number=&amp;sourceID=55","")</f>
        <v/>
      </c>
      <c r="Q231" s="4" t="str">
        <f>HYPERLINK("http://141.218.60.56/~jnz1568/getInfo.php?workbook=16_15.xlsx&amp;sheet=A0&amp;row=231&amp;col=17&amp;number=&amp;sourceID=56","")</f>
        <v/>
      </c>
      <c r="R231" s="4" t="str">
        <f>HYPERLINK("http://141.218.60.56/~jnz1568/getInfo.php?workbook=16_15.xlsx&amp;sheet=A0&amp;row=231&amp;col=18&amp;number=&amp;sourceID=56","")</f>
        <v/>
      </c>
      <c r="S231" s="4" t="str">
        <f>HYPERLINK("http://141.218.60.56/~jnz1568/getInfo.php?workbook=16_15.xlsx&amp;sheet=A0&amp;row=231&amp;col=19&amp;number=&amp;sourceID=57","")</f>
        <v/>
      </c>
      <c r="T231" s="4" t="str">
        <f>HYPERLINK("http://141.218.60.56/~jnz1568/getInfo.php?workbook=16_15.xlsx&amp;sheet=A0&amp;row=231&amp;col=20&amp;number=&amp;sourceID=57","")</f>
        <v/>
      </c>
      <c r="U231" s="4" t="str">
        <f>HYPERLINK("http://141.218.60.56/~jnz1568/getInfo.php?workbook=16_15.xlsx&amp;sheet=A0&amp;row=231&amp;col=21&amp;number=&amp;sourceID=47","")</f>
        <v/>
      </c>
      <c r="V231" s="4" t="str">
        <f>HYPERLINK("http://141.218.60.56/~jnz1568/getInfo.php?workbook=16_15.xlsx&amp;sheet=A0&amp;row=231&amp;col=22&amp;number=&amp;sourceID=47","")</f>
        <v/>
      </c>
    </row>
    <row r="232" spans="1:22">
      <c r="A232" s="3">
        <v>16</v>
      </c>
      <c r="B232" s="3">
        <v>15</v>
      </c>
      <c r="C232" s="3">
        <v>24</v>
      </c>
      <c r="D232" s="3">
        <v>13</v>
      </c>
      <c r="E232" s="3">
        <f>((1/(INDEX(E0!J$4:J$73,C232,1)-INDEX(E0!J$4:J$73,D232,1))))*100000000</f>
        <v>0</v>
      </c>
      <c r="F232" s="4" t="str">
        <f>HYPERLINK("http://141.218.60.56/~jnz1568/getInfo.php?workbook=16_15.xlsx&amp;sheet=A0&amp;row=232&amp;col=6&amp;number=&amp;sourceID=54","")</f>
        <v/>
      </c>
      <c r="G232" s="4" t="str">
        <f>HYPERLINK("http://141.218.60.56/~jnz1568/getInfo.php?workbook=16_15.xlsx&amp;sheet=A0&amp;row=232&amp;col=7&amp;number=0.0047585&amp;sourceID=54","0.0047585")</f>
        <v>0.0047585</v>
      </c>
      <c r="H232" s="4" t="str">
        <f>HYPERLINK("http://141.218.60.56/~jnz1568/getInfo.php?workbook=16_15.xlsx&amp;sheet=A0&amp;row=232&amp;col=8&amp;number=&amp;sourceID=54","")</f>
        <v/>
      </c>
      <c r="I232" s="4" t="str">
        <f>HYPERLINK("http://141.218.60.56/~jnz1568/getInfo.php?workbook=16_15.xlsx&amp;sheet=A0&amp;row=232&amp;col=9&amp;number=&amp;sourceID=54","")</f>
        <v/>
      </c>
      <c r="J232" s="4" t="str">
        <f>HYPERLINK("http://141.218.60.56/~jnz1568/getInfo.php?workbook=16_15.xlsx&amp;sheet=A0&amp;row=232&amp;col=10&amp;number=0.0027197&amp;sourceID=54","0.0027197")</f>
        <v>0.0027197</v>
      </c>
      <c r="K232" s="4" t="str">
        <f>HYPERLINK("http://141.218.60.56/~jnz1568/getInfo.php?workbook=16_15.xlsx&amp;sheet=A0&amp;row=232&amp;col=11&amp;number=&amp;sourceID=54","")</f>
        <v/>
      </c>
      <c r="L232" s="4" t="str">
        <f>HYPERLINK("http://141.218.60.56/~jnz1568/getInfo.php?workbook=16_15.xlsx&amp;sheet=A0&amp;row=232&amp;col=12&amp;number=&amp;sourceID=53","")</f>
        <v/>
      </c>
      <c r="M232" s="4" t="str">
        <f>HYPERLINK("http://141.218.60.56/~jnz1568/getInfo.php?workbook=16_15.xlsx&amp;sheet=A0&amp;row=232&amp;col=13&amp;number=&amp;sourceID=53","")</f>
        <v/>
      </c>
      <c r="N232" s="4" t="str">
        <f>HYPERLINK("http://141.218.60.56/~jnz1568/getInfo.php?workbook=16_15.xlsx&amp;sheet=A0&amp;row=232&amp;col=14&amp;number=&amp;sourceID=53","")</f>
        <v/>
      </c>
      <c r="O232" s="4" t="str">
        <f>HYPERLINK("http://141.218.60.56/~jnz1568/getInfo.php?workbook=16_15.xlsx&amp;sheet=A0&amp;row=232&amp;col=15&amp;number=&amp;sourceID=55","")</f>
        <v/>
      </c>
      <c r="P232" s="4" t="str">
        <f>HYPERLINK("http://141.218.60.56/~jnz1568/getInfo.php?workbook=16_15.xlsx&amp;sheet=A0&amp;row=232&amp;col=16&amp;number=&amp;sourceID=55","")</f>
        <v/>
      </c>
      <c r="Q232" s="4" t="str">
        <f>HYPERLINK("http://141.218.60.56/~jnz1568/getInfo.php?workbook=16_15.xlsx&amp;sheet=A0&amp;row=232&amp;col=17&amp;number=&amp;sourceID=56","")</f>
        <v/>
      </c>
      <c r="R232" s="4" t="str">
        <f>HYPERLINK("http://141.218.60.56/~jnz1568/getInfo.php?workbook=16_15.xlsx&amp;sheet=A0&amp;row=232&amp;col=18&amp;number=&amp;sourceID=56","")</f>
        <v/>
      </c>
      <c r="S232" s="4" t="str">
        <f>HYPERLINK("http://141.218.60.56/~jnz1568/getInfo.php?workbook=16_15.xlsx&amp;sheet=A0&amp;row=232&amp;col=19&amp;number=&amp;sourceID=57","")</f>
        <v/>
      </c>
      <c r="T232" s="4" t="str">
        <f>HYPERLINK("http://141.218.60.56/~jnz1568/getInfo.php?workbook=16_15.xlsx&amp;sheet=A0&amp;row=232&amp;col=20&amp;number=&amp;sourceID=57","")</f>
        <v/>
      </c>
      <c r="U232" s="4" t="str">
        <f>HYPERLINK("http://141.218.60.56/~jnz1568/getInfo.php?workbook=16_15.xlsx&amp;sheet=A0&amp;row=232&amp;col=21&amp;number=&amp;sourceID=47","")</f>
        <v/>
      </c>
      <c r="V232" s="4" t="str">
        <f>HYPERLINK("http://141.218.60.56/~jnz1568/getInfo.php?workbook=16_15.xlsx&amp;sheet=A0&amp;row=232&amp;col=22&amp;number=&amp;sourceID=47","")</f>
        <v/>
      </c>
    </row>
    <row r="233" spans="1:22">
      <c r="A233" s="3">
        <v>16</v>
      </c>
      <c r="B233" s="3">
        <v>15</v>
      </c>
      <c r="C233" s="3">
        <v>24</v>
      </c>
      <c r="D233" s="3">
        <v>14</v>
      </c>
      <c r="E233" s="3">
        <f>((1/(INDEX(E0!J$4:J$73,C233,1)-INDEX(E0!J$4:J$73,D233,1))))*100000000</f>
        <v>0</v>
      </c>
      <c r="F233" s="4" t="str">
        <f>HYPERLINK("http://141.218.60.56/~jnz1568/getInfo.php?workbook=16_15.xlsx&amp;sheet=A0&amp;row=233&amp;col=6&amp;number=&amp;sourceID=54","")</f>
        <v/>
      </c>
      <c r="G233" s="4" t="str">
        <f>HYPERLINK("http://141.218.60.56/~jnz1568/getInfo.php?workbook=16_15.xlsx&amp;sheet=A0&amp;row=233&amp;col=7&amp;number=0.00023237&amp;sourceID=54","0.00023237")</f>
        <v>0.00023237</v>
      </c>
      <c r="H233" s="4" t="str">
        <f>HYPERLINK("http://141.218.60.56/~jnz1568/getInfo.php?workbook=16_15.xlsx&amp;sheet=A0&amp;row=233&amp;col=8&amp;number=4.5129e-07&amp;sourceID=54","4.5129e-07")</f>
        <v>4.5129e-07</v>
      </c>
      <c r="I233" s="4" t="str">
        <f>HYPERLINK("http://141.218.60.56/~jnz1568/getInfo.php?workbook=16_15.xlsx&amp;sheet=A0&amp;row=233&amp;col=9&amp;number=&amp;sourceID=54","")</f>
        <v/>
      </c>
      <c r="J233" s="4" t="str">
        <f>HYPERLINK("http://141.218.60.56/~jnz1568/getInfo.php?workbook=16_15.xlsx&amp;sheet=A0&amp;row=233&amp;col=10&amp;number=0.00012328&amp;sourceID=54","0.00012328")</f>
        <v>0.00012328</v>
      </c>
      <c r="K233" s="4" t="str">
        <f>HYPERLINK("http://141.218.60.56/~jnz1568/getInfo.php?workbook=16_15.xlsx&amp;sheet=A0&amp;row=233&amp;col=11&amp;number=2.8751e-07&amp;sourceID=54","2.8751e-07")</f>
        <v>2.8751e-07</v>
      </c>
      <c r="L233" s="4" t="str">
        <f>HYPERLINK("http://141.218.60.56/~jnz1568/getInfo.php?workbook=16_15.xlsx&amp;sheet=A0&amp;row=233&amp;col=12&amp;number=&amp;sourceID=53","")</f>
        <v/>
      </c>
      <c r="M233" s="4" t="str">
        <f>HYPERLINK("http://141.218.60.56/~jnz1568/getInfo.php?workbook=16_15.xlsx&amp;sheet=A0&amp;row=233&amp;col=13&amp;number=&amp;sourceID=53","")</f>
        <v/>
      </c>
      <c r="N233" s="4" t="str">
        <f>HYPERLINK("http://141.218.60.56/~jnz1568/getInfo.php?workbook=16_15.xlsx&amp;sheet=A0&amp;row=233&amp;col=14&amp;number=&amp;sourceID=53","")</f>
        <v/>
      </c>
      <c r="O233" s="4" t="str">
        <f>HYPERLINK("http://141.218.60.56/~jnz1568/getInfo.php?workbook=16_15.xlsx&amp;sheet=A0&amp;row=233&amp;col=15&amp;number=&amp;sourceID=55","")</f>
        <v/>
      </c>
      <c r="P233" s="4" t="str">
        <f>HYPERLINK("http://141.218.60.56/~jnz1568/getInfo.php?workbook=16_15.xlsx&amp;sheet=A0&amp;row=233&amp;col=16&amp;number=&amp;sourceID=55","")</f>
        <v/>
      </c>
      <c r="Q233" s="4" t="str">
        <f>HYPERLINK("http://141.218.60.56/~jnz1568/getInfo.php?workbook=16_15.xlsx&amp;sheet=A0&amp;row=233&amp;col=17&amp;number=&amp;sourceID=56","")</f>
        <v/>
      </c>
      <c r="R233" s="4" t="str">
        <f>HYPERLINK("http://141.218.60.56/~jnz1568/getInfo.php?workbook=16_15.xlsx&amp;sheet=A0&amp;row=233&amp;col=18&amp;number=&amp;sourceID=56","")</f>
        <v/>
      </c>
      <c r="S233" s="4" t="str">
        <f>HYPERLINK("http://141.218.60.56/~jnz1568/getInfo.php?workbook=16_15.xlsx&amp;sheet=A0&amp;row=233&amp;col=19&amp;number=&amp;sourceID=57","")</f>
        <v/>
      </c>
      <c r="T233" s="4" t="str">
        <f>HYPERLINK("http://141.218.60.56/~jnz1568/getInfo.php?workbook=16_15.xlsx&amp;sheet=A0&amp;row=233&amp;col=20&amp;number=&amp;sourceID=57","")</f>
        <v/>
      </c>
      <c r="U233" s="4" t="str">
        <f>HYPERLINK("http://141.218.60.56/~jnz1568/getInfo.php?workbook=16_15.xlsx&amp;sheet=A0&amp;row=233&amp;col=21&amp;number=&amp;sourceID=47","")</f>
        <v/>
      </c>
      <c r="V233" s="4" t="str">
        <f>HYPERLINK("http://141.218.60.56/~jnz1568/getInfo.php?workbook=16_15.xlsx&amp;sheet=A0&amp;row=233&amp;col=22&amp;number=&amp;sourceID=47","")</f>
        <v/>
      </c>
    </row>
    <row r="234" spans="1:22">
      <c r="A234" s="3">
        <v>16</v>
      </c>
      <c r="B234" s="3">
        <v>15</v>
      </c>
      <c r="C234" s="3">
        <v>24</v>
      </c>
      <c r="D234" s="3">
        <v>15</v>
      </c>
      <c r="E234" s="3">
        <f>((1/(INDEX(E0!J$4:J$73,C234,1)-INDEX(E0!J$4:J$73,D234,1))))*100000000</f>
        <v>0</v>
      </c>
      <c r="F234" s="4" t="str">
        <f>HYPERLINK("http://141.218.60.56/~jnz1568/getInfo.php?workbook=16_15.xlsx&amp;sheet=A0&amp;row=234&amp;col=6&amp;number=&amp;sourceID=54","")</f>
        <v/>
      </c>
      <c r="G234" s="4" t="str">
        <f>HYPERLINK("http://141.218.60.56/~jnz1568/getInfo.php?workbook=16_15.xlsx&amp;sheet=A0&amp;row=234&amp;col=7&amp;number=0.00018736&amp;sourceID=54","0.00018736")</f>
        <v>0.00018736</v>
      </c>
      <c r="H234" s="4" t="str">
        <f>HYPERLINK("http://141.218.60.56/~jnz1568/getInfo.php?workbook=16_15.xlsx&amp;sheet=A0&amp;row=234&amp;col=8&amp;number=0.00064557&amp;sourceID=54","0.00064557")</f>
        <v>0.00064557</v>
      </c>
      <c r="I234" s="4" t="str">
        <f>HYPERLINK("http://141.218.60.56/~jnz1568/getInfo.php?workbook=16_15.xlsx&amp;sheet=A0&amp;row=234&amp;col=9&amp;number=&amp;sourceID=54","")</f>
        <v/>
      </c>
      <c r="J234" s="4" t="str">
        <f>HYPERLINK("http://141.218.60.56/~jnz1568/getInfo.php?workbook=16_15.xlsx&amp;sheet=A0&amp;row=234&amp;col=10&amp;number=0.00020962&amp;sourceID=54","0.00020962")</f>
        <v>0.00020962</v>
      </c>
      <c r="K234" s="4" t="str">
        <f>HYPERLINK("http://141.218.60.56/~jnz1568/getInfo.php?workbook=16_15.xlsx&amp;sheet=A0&amp;row=234&amp;col=11&amp;number=0.00061652&amp;sourceID=54","0.00061652")</f>
        <v>0.00061652</v>
      </c>
      <c r="L234" s="4" t="str">
        <f>HYPERLINK("http://141.218.60.56/~jnz1568/getInfo.php?workbook=16_15.xlsx&amp;sheet=A0&amp;row=234&amp;col=12&amp;number=&amp;sourceID=53","")</f>
        <v/>
      </c>
      <c r="M234" s="4" t="str">
        <f>HYPERLINK("http://141.218.60.56/~jnz1568/getInfo.php?workbook=16_15.xlsx&amp;sheet=A0&amp;row=234&amp;col=13&amp;number=&amp;sourceID=53","")</f>
        <v/>
      </c>
      <c r="N234" s="4" t="str">
        <f>HYPERLINK("http://141.218.60.56/~jnz1568/getInfo.php?workbook=16_15.xlsx&amp;sheet=A0&amp;row=234&amp;col=14&amp;number=&amp;sourceID=53","")</f>
        <v/>
      </c>
      <c r="O234" s="4" t="str">
        <f>HYPERLINK("http://141.218.60.56/~jnz1568/getInfo.php?workbook=16_15.xlsx&amp;sheet=A0&amp;row=234&amp;col=15&amp;number=&amp;sourceID=55","")</f>
        <v/>
      </c>
      <c r="P234" s="4" t="str">
        <f>HYPERLINK("http://141.218.60.56/~jnz1568/getInfo.php?workbook=16_15.xlsx&amp;sheet=A0&amp;row=234&amp;col=16&amp;number=&amp;sourceID=55","")</f>
        <v/>
      </c>
      <c r="Q234" s="4" t="str">
        <f>HYPERLINK("http://141.218.60.56/~jnz1568/getInfo.php?workbook=16_15.xlsx&amp;sheet=A0&amp;row=234&amp;col=17&amp;number=&amp;sourceID=56","")</f>
        <v/>
      </c>
      <c r="R234" s="4" t="str">
        <f>HYPERLINK("http://141.218.60.56/~jnz1568/getInfo.php?workbook=16_15.xlsx&amp;sheet=A0&amp;row=234&amp;col=18&amp;number=&amp;sourceID=56","")</f>
        <v/>
      </c>
      <c r="S234" s="4" t="str">
        <f>HYPERLINK("http://141.218.60.56/~jnz1568/getInfo.php?workbook=16_15.xlsx&amp;sheet=A0&amp;row=234&amp;col=19&amp;number=&amp;sourceID=57","")</f>
        <v/>
      </c>
      <c r="T234" s="4" t="str">
        <f>HYPERLINK("http://141.218.60.56/~jnz1568/getInfo.php?workbook=16_15.xlsx&amp;sheet=A0&amp;row=234&amp;col=20&amp;number=&amp;sourceID=57","")</f>
        <v/>
      </c>
      <c r="U234" s="4" t="str">
        <f>HYPERLINK("http://141.218.60.56/~jnz1568/getInfo.php?workbook=16_15.xlsx&amp;sheet=A0&amp;row=234&amp;col=21&amp;number=&amp;sourceID=47","")</f>
        <v/>
      </c>
      <c r="V234" s="4" t="str">
        <f>HYPERLINK("http://141.218.60.56/~jnz1568/getInfo.php?workbook=16_15.xlsx&amp;sheet=A0&amp;row=234&amp;col=22&amp;number=&amp;sourceID=47","")</f>
        <v/>
      </c>
    </row>
    <row r="235" spans="1:22">
      <c r="A235" s="3">
        <v>16</v>
      </c>
      <c r="B235" s="3">
        <v>15</v>
      </c>
      <c r="C235" s="3">
        <v>24</v>
      </c>
      <c r="D235" s="3">
        <v>16</v>
      </c>
      <c r="E235" s="3">
        <f>((1/(INDEX(E0!J$4:J$73,C235,1)-INDEX(E0!J$4:J$73,D235,1))))*100000000</f>
        <v>0</v>
      </c>
      <c r="F235" s="4" t="str">
        <f>HYPERLINK("http://141.218.60.56/~jnz1568/getInfo.php?workbook=16_15.xlsx&amp;sheet=A0&amp;row=235&amp;col=6&amp;number=&amp;sourceID=54","")</f>
        <v/>
      </c>
      <c r="G235" s="4" t="str">
        <f>HYPERLINK("http://141.218.60.56/~jnz1568/getInfo.php?workbook=16_15.xlsx&amp;sheet=A0&amp;row=235&amp;col=7&amp;number=0.0040326&amp;sourceID=54","0.0040326")</f>
        <v>0.0040326</v>
      </c>
      <c r="H235" s="4" t="str">
        <f>HYPERLINK("http://141.218.60.56/~jnz1568/getInfo.php?workbook=16_15.xlsx&amp;sheet=A0&amp;row=235&amp;col=8&amp;number=1.6613e-05&amp;sourceID=54","1.6613e-05")</f>
        <v>1.6613e-05</v>
      </c>
      <c r="I235" s="4" t="str">
        <f>HYPERLINK("http://141.218.60.56/~jnz1568/getInfo.php?workbook=16_15.xlsx&amp;sheet=A0&amp;row=235&amp;col=9&amp;number=&amp;sourceID=54","")</f>
        <v/>
      </c>
      <c r="J235" s="4" t="str">
        <f>HYPERLINK("http://141.218.60.56/~jnz1568/getInfo.php?workbook=16_15.xlsx&amp;sheet=A0&amp;row=235&amp;col=10&amp;number=0.0020747&amp;sourceID=54","0.0020747")</f>
        <v>0.0020747</v>
      </c>
      <c r="K235" s="4" t="str">
        <f>HYPERLINK("http://141.218.60.56/~jnz1568/getInfo.php?workbook=16_15.xlsx&amp;sheet=A0&amp;row=235&amp;col=11&amp;number=1.0479e-05&amp;sourceID=54","1.0479e-05")</f>
        <v>1.0479e-05</v>
      </c>
      <c r="L235" s="4" t="str">
        <f>HYPERLINK("http://141.218.60.56/~jnz1568/getInfo.php?workbook=16_15.xlsx&amp;sheet=A0&amp;row=235&amp;col=12&amp;number=&amp;sourceID=53","")</f>
        <v/>
      </c>
      <c r="M235" s="4" t="str">
        <f>HYPERLINK("http://141.218.60.56/~jnz1568/getInfo.php?workbook=16_15.xlsx&amp;sheet=A0&amp;row=235&amp;col=13&amp;number=&amp;sourceID=53","")</f>
        <v/>
      </c>
      <c r="N235" s="4" t="str">
        <f>HYPERLINK("http://141.218.60.56/~jnz1568/getInfo.php?workbook=16_15.xlsx&amp;sheet=A0&amp;row=235&amp;col=14&amp;number=&amp;sourceID=53","")</f>
        <v/>
      </c>
      <c r="O235" s="4" t="str">
        <f>HYPERLINK("http://141.218.60.56/~jnz1568/getInfo.php?workbook=16_15.xlsx&amp;sheet=A0&amp;row=235&amp;col=15&amp;number=&amp;sourceID=55","")</f>
        <v/>
      </c>
      <c r="P235" s="4" t="str">
        <f>HYPERLINK("http://141.218.60.56/~jnz1568/getInfo.php?workbook=16_15.xlsx&amp;sheet=A0&amp;row=235&amp;col=16&amp;number=&amp;sourceID=55","")</f>
        <v/>
      </c>
      <c r="Q235" s="4" t="str">
        <f>HYPERLINK("http://141.218.60.56/~jnz1568/getInfo.php?workbook=16_15.xlsx&amp;sheet=A0&amp;row=235&amp;col=17&amp;number=&amp;sourceID=56","")</f>
        <v/>
      </c>
      <c r="R235" s="4" t="str">
        <f>HYPERLINK("http://141.218.60.56/~jnz1568/getInfo.php?workbook=16_15.xlsx&amp;sheet=A0&amp;row=235&amp;col=18&amp;number=&amp;sourceID=56","")</f>
        <v/>
      </c>
      <c r="S235" s="4" t="str">
        <f>HYPERLINK("http://141.218.60.56/~jnz1568/getInfo.php?workbook=16_15.xlsx&amp;sheet=A0&amp;row=235&amp;col=19&amp;number=&amp;sourceID=57","")</f>
        <v/>
      </c>
      <c r="T235" s="4" t="str">
        <f>HYPERLINK("http://141.218.60.56/~jnz1568/getInfo.php?workbook=16_15.xlsx&amp;sheet=A0&amp;row=235&amp;col=20&amp;number=&amp;sourceID=57","")</f>
        <v/>
      </c>
      <c r="U235" s="4" t="str">
        <f>HYPERLINK("http://141.218.60.56/~jnz1568/getInfo.php?workbook=16_15.xlsx&amp;sheet=A0&amp;row=235&amp;col=21&amp;number=&amp;sourceID=47","")</f>
        <v/>
      </c>
      <c r="V235" s="4" t="str">
        <f>HYPERLINK("http://141.218.60.56/~jnz1568/getInfo.php?workbook=16_15.xlsx&amp;sheet=A0&amp;row=235&amp;col=22&amp;number=&amp;sourceID=47","")</f>
        <v/>
      </c>
    </row>
    <row r="236" spans="1:22">
      <c r="A236" s="3">
        <v>16</v>
      </c>
      <c r="B236" s="3">
        <v>15</v>
      </c>
      <c r="C236" s="3">
        <v>24</v>
      </c>
      <c r="D236" s="3">
        <v>17</v>
      </c>
      <c r="E236" s="3">
        <f>((1/(INDEX(E0!J$4:J$73,C236,1)-INDEX(E0!J$4:J$73,D236,1))))*100000000</f>
        <v>0</v>
      </c>
      <c r="F236" s="4" t="str">
        <f>HYPERLINK("http://141.218.60.56/~jnz1568/getInfo.php?workbook=16_15.xlsx&amp;sheet=A0&amp;row=236&amp;col=6&amp;number=&amp;sourceID=54","")</f>
        <v/>
      </c>
      <c r="G236" s="4" t="str">
        <f>HYPERLINK("http://141.218.60.56/~jnz1568/getInfo.php?workbook=16_15.xlsx&amp;sheet=A0&amp;row=236&amp;col=7&amp;number=0.00073418&amp;sourceID=54","0.00073418")</f>
        <v>0.00073418</v>
      </c>
      <c r="H236" s="4" t="str">
        <f>HYPERLINK("http://141.218.60.56/~jnz1568/getInfo.php?workbook=16_15.xlsx&amp;sheet=A0&amp;row=236&amp;col=8&amp;number=0.0033878&amp;sourceID=54","0.0033878")</f>
        <v>0.0033878</v>
      </c>
      <c r="I236" s="4" t="str">
        <f>HYPERLINK("http://141.218.60.56/~jnz1568/getInfo.php?workbook=16_15.xlsx&amp;sheet=A0&amp;row=236&amp;col=9&amp;number=&amp;sourceID=54","")</f>
        <v/>
      </c>
      <c r="J236" s="4" t="str">
        <f>HYPERLINK("http://141.218.60.56/~jnz1568/getInfo.php?workbook=16_15.xlsx&amp;sheet=A0&amp;row=236&amp;col=10&amp;number=0.00084644&amp;sourceID=54","0.00084644")</f>
        <v>0.00084644</v>
      </c>
      <c r="K236" s="4" t="str">
        <f>HYPERLINK("http://141.218.60.56/~jnz1568/getInfo.php?workbook=16_15.xlsx&amp;sheet=A0&amp;row=236&amp;col=11&amp;number=0.0034012&amp;sourceID=54","0.0034012")</f>
        <v>0.0034012</v>
      </c>
      <c r="L236" s="4" t="str">
        <f>HYPERLINK("http://141.218.60.56/~jnz1568/getInfo.php?workbook=16_15.xlsx&amp;sheet=A0&amp;row=236&amp;col=12&amp;number=&amp;sourceID=53","")</f>
        <v/>
      </c>
      <c r="M236" s="4" t="str">
        <f>HYPERLINK("http://141.218.60.56/~jnz1568/getInfo.php?workbook=16_15.xlsx&amp;sheet=A0&amp;row=236&amp;col=13&amp;number=&amp;sourceID=53","")</f>
        <v/>
      </c>
      <c r="N236" s="4" t="str">
        <f>HYPERLINK("http://141.218.60.56/~jnz1568/getInfo.php?workbook=16_15.xlsx&amp;sheet=A0&amp;row=236&amp;col=14&amp;number=&amp;sourceID=53","")</f>
        <v/>
      </c>
      <c r="O236" s="4" t="str">
        <f>HYPERLINK("http://141.218.60.56/~jnz1568/getInfo.php?workbook=16_15.xlsx&amp;sheet=A0&amp;row=236&amp;col=15&amp;number=&amp;sourceID=55","")</f>
        <v/>
      </c>
      <c r="P236" s="4" t="str">
        <f>HYPERLINK("http://141.218.60.56/~jnz1568/getInfo.php?workbook=16_15.xlsx&amp;sheet=A0&amp;row=236&amp;col=16&amp;number=&amp;sourceID=55","")</f>
        <v/>
      </c>
      <c r="Q236" s="4" t="str">
        <f>HYPERLINK("http://141.218.60.56/~jnz1568/getInfo.php?workbook=16_15.xlsx&amp;sheet=A0&amp;row=236&amp;col=17&amp;number=&amp;sourceID=56","")</f>
        <v/>
      </c>
      <c r="R236" s="4" t="str">
        <f>HYPERLINK("http://141.218.60.56/~jnz1568/getInfo.php?workbook=16_15.xlsx&amp;sheet=A0&amp;row=236&amp;col=18&amp;number=&amp;sourceID=56","")</f>
        <v/>
      </c>
      <c r="S236" s="4" t="str">
        <f>HYPERLINK("http://141.218.60.56/~jnz1568/getInfo.php?workbook=16_15.xlsx&amp;sheet=A0&amp;row=236&amp;col=19&amp;number=&amp;sourceID=57","")</f>
        <v/>
      </c>
      <c r="T236" s="4" t="str">
        <f>HYPERLINK("http://141.218.60.56/~jnz1568/getInfo.php?workbook=16_15.xlsx&amp;sheet=A0&amp;row=236&amp;col=20&amp;number=&amp;sourceID=57","")</f>
        <v/>
      </c>
      <c r="U236" s="4" t="str">
        <f>HYPERLINK("http://141.218.60.56/~jnz1568/getInfo.php?workbook=16_15.xlsx&amp;sheet=A0&amp;row=236&amp;col=21&amp;number=&amp;sourceID=47","")</f>
        <v/>
      </c>
      <c r="V236" s="4" t="str">
        <f>HYPERLINK("http://141.218.60.56/~jnz1568/getInfo.php?workbook=16_15.xlsx&amp;sheet=A0&amp;row=236&amp;col=22&amp;number=&amp;sourceID=47","")</f>
        <v/>
      </c>
    </row>
    <row r="237" spans="1:22">
      <c r="A237" s="3">
        <v>16</v>
      </c>
      <c r="B237" s="3">
        <v>15</v>
      </c>
      <c r="C237" s="3">
        <v>24</v>
      </c>
      <c r="D237" s="3">
        <v>18</v>
      </c>
      <c r="E237" s="3">
        <f>((1/(INDEX(E0!J$4:J$73,C237,1)-INDEX(E0!J$4:J$73,D237,1))))*100000000</f>
        <v>0</v>
      </c>
      <c r="F237" s="4" t="str">
        <f>HYPERLINK("http://141.218.60.56/~jnz1568/getInfo.php?workbook=16_15.xlsx&amp;sheet=A0&amp;row=237&amp;col=6&amp;number=&amp;sourceID=54","")</f>
        <v/>
      </c>
      <c r="G237" s="4" t="str">
        <f>HYPERLINK("http://141.218.60.56/~jnz1568/getInfo.php?workbook=16_15.xlsx&amp;sheet=A0&amp;row=237&amp;col=7&amp;number=0.00053606&amp;sourceID=54","0.00053606")</f>
        <v>0.00053606</v>
      </c>
      <c r="H237" s="4" t="str">
        <f>HYPERLINK("http://141.218.60.56/~jnz1568/getInfo.php?workbook=16_15.xlsx&amp;sheet=A0&amp;row=237&amp;col=8&amp;number=0.00038079&amp;sourceID=54","0.00038079")</f>
        <v>0.00038079</v>
      </c>
      <c r="I237" s="4" t="str">
        <f>HYPERLINK("http://141.218.60.56/~jnz1568/getInfo.php?workbook=16_15.xlsx&amp;sheet=A0&amp;row=237&amp;col=9&amp;number=&amp;sourceID=54","")</f>
        <v/>
      </c>
      <c r="J237" s="4" t="str">
        <f>HYPERLINK("http://141.218.60.56/~jnz1568/getInfo.php?workbook=16_15.xlsx&amp;sheet=A0&amp;row=237&amp;col=10&amp;number=0.00060439&amp;sourceID=54","0.00060439")</f>
        <v>0.00060439</v>
      </c>
      <c r="K237" s="4" t="str">
        <f>HYPERLINK("http://141.218.60.56/~jnz1568/getInfo.php?workbook=16_15.xlsx&amp;sheet=A0&amp;row=237&amp;col=11&amp;number=0.00037573&amp;sourceID=54","0.00037573")</f>
        <v>0.00037573</v>
      </c>
      <c r="L237" s="4" t="str">
        <f>HYPERLINK("http://141.218.60.56/~jnz1568/getInfo.php?workbook=16_15.xlsx&amp;sheet=A0&amp;row=237&amp;col=12&amp;number=&amp;sourceID=53","")</f>
        <v/>
      </c>
      <c r="M237" s="4" t="str">
        <f>HYPERLINK("http://141.218.60.56/~jnz1568/getInfo.php?workbook=16_15.xlsx&amp;sheet=A0&amp;row=237&amp;col=13&amp;number=&amp;sourceID=53","")</f>
        <v/>
      </c>
      <c r="N237" s="4" t="str">
        <f>HYPERLINK("http://141.218.60.56/~jnz1568/getInfo.php?workbook=16_15.xlsx&amp;sheet=A0&amp;row=237&amp;col=14&amp;number=&amp;sourceID=53","")</f>
        <v/>
      </c>
      <c r="O237" s="4" t="str">
        <f>HYPERLINK("http://141.218.60.56/~jnz1568/getInfo.php?workbook=16_15.xlsx&amp;sheet=A0&amp;row=237&amp;col=15&amp;number=&amp;sourceID=55","")</f>
        <v/>
      </c>
      <c r="P237" s="4" t="str">
        <f>HYPERLINK("http://141.218.60.56/~jnz1568/getInfo.php?workbook=16_15.xlsx&amp;sheet=A0&amp;row=237&amp;col=16&amp;number=&amp;sourceID=55","")</f>
        <v/>
      </c>
      <c r="Q237" s="4" t="str">
        <f>HYPERLINK("http://141.218.60.56/~jnz1568/getInfo.php?workbook=16_15.xlsx&amp;sheet=A0&amp;row=237&amp;col=17&amp;number=&amp;sourceID=56","")</f>
        <v/>
      </c>
      <c r="R237" s="4" t="str">
        <f>HYPERLINK("http://141.218.60.56/~jnz1568/getInfo.php?workbook=16_15.xlsx&amp;sheet=A0&amp;row=237&amp;col=18&amp;number=&amp;sourceID=56","")</f>
        <v/>
      </c>
      <c r="S237" s="4" t="str">
        <f>HYPERLINK("http://141.218.60.56/~jnz1568/getInfo.php?workbook=16_15.xlsx&amp;sheet=A0&amp;row=237&amp;col=19&amp;number=&amp;sourceID=57","")</f>
        <v/>
      </c>
      <c r="T237" s="4" t="str">
        <f>HYPERLINK("http://141.218.60.56/~jnz1568/getInfo.php?workbook=16_15.xlsx&amp;sheet=A0&amp;row=237&amp;col=20&amp;number=&amp;sourceID=57","")</f>
        <v/>
      </c>
      <c r="U237" s="4" t="str">
        <f>HYPERLINK("http://141.218.60.56/~jnz1568/getInfo.php?workbook=16_15.xlsx&amp;sheet=A0&amp;row=237&amp;col=21&amp;number=&amp;sourceID=47","")</f>
        <v/>
      </c>
      <c r="V237" s="4" t="str">
        <f>HYPERLINK("http://141.218.60.56/~jnz1568/getInfo.php?workbook=16_15.xlsx&amp;sheet=A0&amp;row=237&amp;col=22&amp;number=&amp;sourceID=47","")</f>
        <v/>
      </c>
    </row>
    <row r="238" spans="1:22">
      <c r="A238" s="3">
        <v>16</v>
      </c>
      <c r="B238" s="3">
        <v>15</v>
      </c>
      <c r="C238" s="3">
        <v>24</v>
      </c>
      <c r="D238" s="3">
        <v>19</v>
      </c>
      <c r="E238" s="3">
        <f>((1/(INDEX(E0!J$4:J$73,C238,1)-INDEX(E0!J$4:J$73,D238,1))))*100000000</f>
        <v>0</v>
      </c>
      <c r="F238" s="4" t="str">
        <f>HYPERLINK("http://141.218.60.56/~jnz1568/getInfo.php?workbook=16_15.xlsx&amp;sheet=A0&amp;row=238&amp;col=6&amp;number=&amp;sourceID=54","")</f>
        <v/>
      </c>
      <c r="G238" s="4" t="str">
        <f>HYPERLINK("http://141.218.60.56/~jnz1568/getInfo.php?workbook=16_15.xlsx&amp;sheet=A0&amp;row=238&amp;col=7&amp;number=0.00032714&amp;sourceID=54","0.00032714")</f>
        <v>0.00032714</v>
      </c>
      <c r="H238" s="4" t="str">
        <f>HYPERLINK("http://141.218.60.56/~jnz1568/getInfo.php?workbook=16_15.xlsx&amp;sheet=A0&amp;row=238&amp;col=8&amp;number=&amp;sourceID=54","")</f>
        <v/>
      </c>
      <c r="I238" s="4" t="str">
        <f>HYPERLINK("http://141.218.60.56/~jnz1568/getInfo.php?workbook=16_15.xlsx&amp;sheet=A0&amp;row=238&amp;col=9&amp;number=&amp;sourceID=54","")</f>
        <v/>
      </c>
      <c r="J238" s="4" t="str">
        <f>HYPERLINK("http://141.218.60.56/~jnz1568/getInfo.php?workbook=16_15.xlsx&amp;sheet=A0&amp;row=238&amp;col=10&amp;number=0.00037384&amp;sourceID=54","0.00037384")</f>
        <v>0.00037384</v>
      </c>
      <c r="K238" s="4" t="str">
        <f>HYPERLINK("http://141.218.60.56/~jnz1568/getInfo.php?workbook=16_15.xlsx&amp;sheet=A0&amp;row=238&amp;col=11&amp;number=&amp;sourceID=54","")</f>
        <v/>
      </c>
      <c r="L238" s="4" t="str">
        <f>HYPERLINK("http://141.218.60.56/~jnz1568/getInfo.php?workbook=16_15.xlsx&amp;sheet=A0&amp;row=238&amp;col=12&amp;number=&amp;sourceID=53","")</f>
        <v/>
      </c>
      <c r="M238" s="4" t="str">
        <f>HYPERLINK("http://141.218.60.56/~jnz1568/getInfo.php?workbook=16_15.xlsx&amp;sheet=A0&amp;row=238&amp;col=13&amp;number=&amp;sourceID=53","")</f>
        <v/>
      </c>
      <c r="N238" s="4" t="str">
        <f>HYPERLINK("http://141.218.60.56/~jnz1568/getInfo.php?workbook=16_15.xlsx&amp;sheet=A0&amp;row=238&amp;col=14&amp;number=&amp;sourceID=53","")</f>
        <v/>
      </c>
      <c r="O238" s="4" t="str">
        <f>HYPERLINK("http://141.218.60.56/~jnz1568/getInfo.php?workbook=16_15.xlsx&amp;sheet=A0&amp;row=238&amp;col=15&amp;number=&amp;sourceID=55","")</f>
        <v/>
      </c>
      <c r="P238" s="4" t="str">
        <f>HYPERLINK("http://141.218.60.56/~jnz1568/getInfo.php?workbook=16_15.xlsx&amp;sheet=A0&amp;row=238&amp;col=16&amp;number=&amp;sourceID=55","")</f>
        <v/>
      </c>
      <c r="Q238" s="4" t="str">
        <f>HYPERLINK("http://141.218.60.56/~jnz1568/getInfo.php?workbook=16_15.xlsx&amp;sheet=A0&amp;row=238&amp;col=17&amp;number=&amp;sourceID=56","")</f>
        <v/>
      </c>
      <c r="R238" s="4" t="str">
        <f>HYPERLINK("http://141.218.60.56/~jnz1568/getInfo.php?workbook=16_15.xlsx&amp;sheet=A0&amp;row=238&amp;col=18&amp;number=&amp;sourceID=56","")</f>
        <v/>
      </c>
      <c r="S238" s="4" t="str">
        <f>HYPERLINK("http://141.218.60.56/~jnz1568/getInfo.php?workbook=16_15.xlsx&amp;sheet=A0&amp;row=238&amp;col=19&amp;number=&amp;sourceID=57","")</f>
        <v/>
      </c>
      <c r="T238" s="4" t="str">
        <f>HYPERLINK("http://141.218.60.56/~jnz1568/getInfo.php?workbook=16_15.xlsx&amp;sheet=A0&amp;row=238&amp;col=20&amp;number=&amp;sourceID=57","")</f>
        <v/>
      </c>
      <c r="U238" s="4" t="str">
        <f>HYPERLINK("http://141.218.60.56/~jnz1568/getInfo.php?workbook=16_15.xlsx&amp;sheet=A0&amp;row=238&amp;col=21&amp;number=&amp;sourceID=47","")</f>
        <v/>
      </c>
      <c r="V238" s="4" t="str">
        <f>HYPERLINK("http://141.218.60.56/~jnz1568/getInfo.php?workbook=16_15.xlsx&amp;sheet=A0&amp;row=238&amp;col=22&amp;number=&amp;sourceID=47","")</f>
        <v/>
      </c>
    </row>
    <row r="239" spans="1:22">
      <c r="A239" s="3">
        <v>16</v>
      </c>
      <c r="B239" s="3">
        <v>15</v>
      </c>
      <c r="C239" s="3">
        <v>24</v>
      </c>
      <c r="D239" s="3">
        <v>20</v>
      </c>
      <c r="E239" s="3">
        <f>((1/(INDEX(E0!J$4:J$73,C239,1)-INDEX(E0!J$4:J$73,D239,1))))*100000000</f>
        <v>0</v>
      </c>
      <c r="F239" s="4" t="str">
        <f>HYPERLINK("http://141.218.60.56/~jnz1568/getInfo.php?workbook=16_15.xlsx&amp;sheet=A0&amp;row=239&amp;col=6&amp;number=&amp;sourceID=54","")</f>
        <v/>
      </c>
      <c r="G239" s="4" t="str">
        <f>HYPERLINK("http://141.218.60.56/~jnz1568/getInfo.php?workbook=16_15.xlsx&amp;sheet=A0&amp;row=239&amp;col=7&amp;number=1.7949e-07&amp;sourceID=54","1.7949e-07")</f>
        <v>1.7949e-07</v>
      </c>
      <c r="H239" s="4" t="str">
        <f>HYPERLINK("http://141.218.60.56/~jnz1568/getInfo.php?workbook=16_15.xlsx&amp;sheet=A0&amp;row=239&amp;col=8&amp;number=&amp;sourceID=54","")</f>
        <v/>
      </c>
      <c r="I239" s="4" t="str">
        <f>HYPERLINK("http://141.218.60.56/~jnz1568/getInfo.php?workbook=16_15.xlsx&amp;sheet=A0&amp;row=239&amp;col=9&amp;number=&amp;sourceID=54","")</f>
        <v/>
      </c>
      <c r="J239" s="4" t="str">
        <f>HYPERLINK("http://141.218.60.56/~jnz1568/getInfo.php?workbook=16_15.xlsx&amp;sheet=A0&amp;row=239&amp;col=10&amp;number=1.6883e-07&amp;sourceID=54","1.6883e-07")</f>
        <v>1.6883e-07</v>
      </c>
      <c r="K239" s="4" t="str">
        <f>HYPERLINK("http://141.218.60.56/~jnz1568/getInfo.php?workbook=16_15.xlsx&amp;sheet=A0&amp;row=239&amp;col=11&amp;number=&amp;sourceID=54","")</f>
        <v/>
      </c>
      <c r="L239" s="4" t="str">
        <f>HYPERLINK("http://141.218.60.56/~jnz1568/getInfo.php?workbook=16_15.xlsx&amp;sheet=A0&amp;row=239&amp;col=12&amp;number=&amp;sourceID=53","")</f>
        <v/>
      </c>
      <c r="M239" s="4" t="str">
        <f>HYPERLINK("http://141.218.60.56/~jnz1568/getInfo.php?workbook=16_15.xlsx&amp;sheet=A0&amp;row=239&amp;col=13&amp;number=&amp;sourceID=53","")</f>
        <v/>
      </c>
      <c r="N239" s="4" t="str">
        <f>HYPERLINK("http://141.218.60.56/~jnz1568/getInfo.php?workbook=16_15.xlsx&amp;sheet=A0&amp;row=239&amp;col=14&amp;number=&amp;sourceID=53","")</f>
        <v/>
      </c>
      <c r="O239" s="4" t="str">
        <f>HYPERLINK("http://141.218.60.56/~jnz1568/getInfo.php?workbook=16_15.xlsx&amp;sheet=A0&amp;row=239&amp;col=15&amp;number=&amp;sourceID=55","")</f>
        <v/>
      </c>
      <c r="P239" s="4" t="str">
        <f>HYPERLINK("http://141.218.60.56/~jnz1568/getInfo.php?workbook=16_15.xlsx&amp;sheet=A0&amp;row=239&amp;col=16&amp;number=&amp;sourceID=55","")</f>
        <v/>
      </c>
      <c r="Q239" s="4" t="str">
        <f>HYPERLINK("http://141.218.60.56/~jnz1568/getInfo.php?workbook=16_15.xlsx&amp;sheet=A0&amp;row=239&amp;col=17&amp;number=&amp;sourceID=56","")</f>
        <v/>
      </c>
      <c r="R239" s="4" t="str">
        <f>HYPERLINK("http://141.218.60.56/~jnz1568/getInfo.php?workbook=16_15.xlsx&amp;sheet=A0&amp;row=239&amp;col=18&amp;number=&amp;sourceID=56","")</f>
        <v/>
      </c>
      <c r="S239" s="4" t="str">
        <f>HYPERLINK("http://141.218.60.56/~jnz1568/getInfo.php?workbook=16_15.xlsx&amp;sheet=A0&amp;row=239&amp;col=19&amp;number=&amp;sourceID=57","")</f>
        <v/>
      </c>
      <c r="T239" s="4" t="str">
        <f>HYPERLINK("http://141.218.60.56/~jnz1568/getInfo.php?workbook=16_15.xlsx&amp;sheet=A0&amp;row=239&amp;col=20&amp;number=&amp;sourceID=57","")</f>
        <v/>
      </c>
      <c r="U239" s="4" t="str">
        <f>HYPERLINK("http://141.218.60.56/~jnz1568/getInfo.php?workbook=16_15.xlsx&amp;sheet=A0&amp;row=239&amp;col=21&amp;number=&amp;sourceID=47","")</f>
        <v/>
      </c>
      <c r="V239" s="4" t="str">
        <f>HYPERLINK("http://141.218.60.56/~jnz1568/getInfo.php?workbook=16_15.xlsx&amp;sheet=A0&amp;row=239&amp;col=22&amp;number=&amp;sourceID=47","")</f>
        <v/>
      </c>
    </row>
    <row r="240" spans="1:22">
      <c r="A240" s="3">
        <v>16</v>
      </c>
      <c r="B240" s="3">
        <v>15</v>
      </c>
      <c r="C240" s="3">
        <v>24</v>
      </c>
      <c r="D240" s="3">
        <v>21</v>
      </c>
      <c r="E240" s="3">
        <f>((1/(INDEX(E0!J$4:J$73,C240,1)-INDEX(E0!J$4:J$73,D240,1))))*100000000</f>
        <v>0</v>
      </c>
      <c r="F240" s="4" t="str">
        <f>HYPERLINK("http://141.218.60.56/~jnz1568/getInfo.php?workbook=16_15.xlsx&amp;sheet=A0&amp;row=240&amp;col=6&amp;number=&amp;sourceID=54","")</f>
        <v/>
      </c>
      <c r="G240" s="4" t="str">
        <f>HYPERLINK("http://141.218.60.56/~jnz1568/getInfo.php?workbook=16_15.xlsx&amp;sheet=A0&amp;row=240&amp;col=7&amp;number=2.1687e-08&amp;sourceID=54","2.1687e-08")</f>
        <v>2.1687e-08</v>
      </c>
      <c r="H240" s="4" t="str">
        <f>HYPERLINK("http://141.218.60.56/~jnz1568/getInfo.php?workbook=16_15.xlsx&amp;sheet=A0&amp;row=240&amp;col=8&amp;number=4.4395e-10&amp;sourceID=54","4.4395e-10")</f>
        <v>4.4395e-10</v>
      </c>
      <c r="I240" s="4" t="str">
        <f>HYPERLINK("http://141.218.60.56/~jnz1568/getInfo.php?workbook=16_15.xlsx&amp;sheet=A0&amp;row=240&amp;col=9&amp;number=&amp;sourceID=54","")</f>
        <v/>
      </c>
      <c r="J240" s="4" t="str">
        <f>HYPERLINK("http://141.218.60.56/~jnz1568/getInfo.php?workbook=16_15.xlsx&amp;sheet=A0&amp;row=240&amp;col=10&amp;number=7.6636e-09&amp;sourceID=54","7.6636e-09")</f>
        <v>7.6636e-09</v>
      </c>
      <c r="K240" s="4" t="str">
        <f>HYPERLINK("http://141.218.60.56/~jnz1568/getInfo.php?workbook=16_15.xlsx&amp;sheet=A0&amp;row=240&amp;col=11&amp;number=4.0461e-10&amp;sourceID=54","4.0461e-10")</f>
        <v>4.0461e-10</v>
      </c>
      <c r="L240" s="4" t="str">
        <f>HYPERLINK("http://141.218.60.56/~jnz1568/getInfo.php?workbook=16_15.xlsx&amp;sheet=A0&amp;row=240&amp;col=12&amp;number=&amp;sourceID=53","")</f>
        <v/>
      </c>
      <c r="M240" s="4" t="str">
        <f>HYPERLINK("http://141.218.60.56/~jnz1568/getInfo.php?workbook=16_15.xlsx&amp;sheet=A0&amp;row=240&amp;col=13&amp;number=&amp;sourceID=53","")</f>
        <v/>
      </c>
      <c r="N240" s="4" t="str">
        <f>HYPERLINK("http://141.218.60.56/~jnz1568/getInfo.php?workbook=16_15.xlsx&amp;sheet=A0&amp;row=240&amp;col=14&amp;number=&amp;sourceID=53","")</f>
        <v/>
      </c>
      <c r="O240" s="4" t="str">
        <f>HYPERLINK("http://141.218.60.56/~jnz1568/getInfo.php?workbook=16_15.xlsx&amp;sheet=A0&amp;row=240&amp;col=15&amp;number=&amp;sourceID=55","")</f>
        <v/>
      </c>
      <c r="P240" s="4" t="str">
        <f>HYPERLINK("http://141.218.60.56/~jnz1568/getInfo.php?workbook=16_15.xlsx&amp;sheet=A0&amp;row=240&amp;col=16&amp;number=&amp;sourceID=55","")</f>
        <v/>
      </c>
      <c r="Q240" s="4" t="str">
        <f>HYPERLINK("http://141.218.60.56/~jnz1568/getInfo.php?workbook=16_15.xlsx&amp;sheet=A0&amp;row=240&amp;col=17&amp;number=&amp;sourceID=56","")</f>
        <v/>
      </c>
      <c r="R240" s="4" t="str">
        <f>HYPERLINK("http://141.218.60.56/~jnz1568/getInfo.php?workbook=16_15.xlsx&amp;sheet=A0&amp;row=240&amp;col=18&amp;number=&amp;sourceID=56","")</f>
        <v/>
      </c>
      <c r="S240" s="4" t="str">
        <f>HYPERLINK("http://141.218.60.56/~jnz1568/getInfo.php?workbook=16_15.xlsx&amp;sheet=A0&amp;row=240&amp;col=19&amp;number=&amp;sourceID=57","")</f>
        <v/>
      </c>
      <c r="T240" s="4" t="str">
        <f>HYPERLINK("http://141.218.60.56/~jnz1568/getInfo.php?workbook=16_15.xlsx&amp;sheet=A0&amp;row=240&amp;col=20&amp;number=&amp;sourceID=57","")</f>
        <v/>
      </c>
      <c r="U240" s="4" t="str">
        <f>HYPERLINK("http://141.218.60.56/~jnz1568/getInfo.php?workbook=16_15.xlsx&amp;sheet=A0&amp;row=240&amp;col=21&amp;number=&amp;sourceID=47","")</f>
        <v/>
      </c>
      <c r="V240" s="4" t="str">
        <f>HYPERLINK("http://141.218.60.56/~jnz1568/getInfo.php?workbook=16_15.xlsx&amp;sheet=A0&amp;row=240&amp;col=22&amp;number=&amp;sourceID=47","")</f>
        <v/>
      </c>
    </row>
    <row r="241" spans="1:22">
      <c r="A241" s="3">
        <v>16</v>
      </c>
      <c r="B241" s="3">
        <v>15</v>
      </c>
      <c r="C241" s="3">
        <v>24</v>
      </c>
      <c r="D241" s="3">
        <v>22</v>
      </c>
      <c r="E241" s="3">
        <f>((1/(INDEX(E0!J$4:J$73,C241,1)-INDEX(E0!J$4:J$73,D241,1))))*100000000</f>
        <v>0</v>
      </c>
      <c r="F241" s="4" t="str">
        <f>HYPERLINK("http://141.218.60.56/~jnz1568/getInfo.php?workbook=16_15.xlsx&amp;sheet=A0&amp;row=241&amp;col=6&amp;number=&amp;sourceID=54","")</f>
        <v/>
      </c>
      <c r="G241" s="4" t="str">
        <f>HYPERLINK("http://141.218.60.56/~jnz1568/getInfo.php?workbook=16_15.xlsx&amp;sheet=A0&amp;row=241&amp;col=7&amp;number=6.19e-13&amp;sourceID=54","6.19e-13")</f>
        <v>6.19e-13</v>
      </c>
      <c r="H241" s="4" t="str">
        <f>HYPERLINK("http://141.218.60.56/~jnz1568/getInfo.php?workbook=16_15.xlsx&amp;sheet=A0&amp;row=241&amp;col=8&amp;number=&amp;sourceID=54","")</f>
        <v/>
      </c>
      <c r="I241" s="4" t="str">
        <f>HYPERLINK("http://141.218.60.56/~jnz1568/getInfo.php?workbook=16_15.xlsx&amp;sheet=A0&amp;row=241&amp;col=9&amp;number=&amp;sourceID=54","")</f>
        <v/>
      </c>
      <c r="J241" s="4" t="str">
        <f>HYPERLINK("http://141.218.60.56/~jnz1568/getInfo.php?workbook=16_15.xlsx&amp;sheet=A0&amp;row=241&amp;col=10&amp;number=2.99e-13&amp;sourceID=54","2.99e-13")</f>
        <v>2.99e-13</v>
      </c>
      <c r="K241" s="4" t="str">
        <f>HYPERLINK("http://141.218.60.56/~jnz1568/getInfo.php?workbook=16_15.xlsx&amp;sheet=A0&amp;row=241&amp;col=11&amp;number=&amp;sourceID=54","")</f>
        <v/>
      </c>
      <c r="L241" s="4" t="str">
        <f>HYPERLINK("http://141.218.60.56/~jnz1568/getInfo.php?workbook=16_15.xlsx&amp;sheet=A0&amp;row=241&amp;col=12&amp;number=&amp;sourceID=53","")</f>
        <v/>
      </c>
      <c r="M241" s="4" t="str">
        <f>HYPERLINK("http://141.218.60.56/~jnz1568/getInfo.php?workbook=16_15.xlsx&amp;sheet=A0&amp;row=241&amp;col=13&amp;number=&amp;sourceID=53","")</f>
        <v/>
      </c>
      <c r="N241" s="4" t="str">
        <f>HYPERLINK("http://141.218.60.56/~jnz1568/getInfo.php?workbook=16_15.xlsx&amp;sheet=A0&amp;row=241&amp;col=14&amp;number=&amp;sourceID=53","")</f>
        <v/>
      </c>
      <c r="O241" s="4" t="str">
        <f>HYPERLINK("http://141.218.60.56/~jnz1568/getInfo.php?workbook=16_15.xlsx&amp;sheet=A0&amp;row=241&amp;col=15&amp;number=&amp;sourceID=55","")</f>
        <v/>
      </c>
      <c r="P241" s="4" t="str">
        <f>HYPERLINK("http://141.218.60.56/~jnz1568/getInfo.php?workbook=16_15.xlsx&amp;sheet=A0&amp;row=241&amp;col=16&amp;number=&amp;sourceID=55","")</f>
        <v/>
      </c>
      <c r="Q241" s="4" t="str">
        <f>HYPERLINK("http://141.218.60.56/~jnz1568/getInfo.php?workbook=16_15.xlsx&amp;sheet=A0&amp;row=241&amp;col=17&amp;number=&amp;sourceID=56","")</f>
        <v/>
      </c>
      <c r="R241" s="4" t="str">
        <f>HYPERLINK("http://141.218.60.56/~jnz1568/getInfo.php?workbook=16_15.xlsx&amp;sheet=A0&amp;row=241&amp;col=18&amp;number=&amp;sourceID=56","")</f>
        <v/>
      </c>
      <c r="S241" s="4" t="str">
        <f>HYPERLINK("http://141.218.60.56/~jnz1568/getInfo.php?workbook=16_15.xlsx&amp;sheet=A0&amp;row=241&amp;col=19&amp;number=&amp;sourceID=57","")</f>
        <v/>
      </c>
      <c r="T241" s="4" t="str">
        <f>HYPERLINK("http://141.218.60.56/~jnz1568/getInfo.php?workbook=16_15.xlsx&amp;sheet=A0&amp;row=241&amp;col=20&amp;number=&amp;sourceID=57","")</f>
        <v/>
      </c>
      <c r="U241" s="4" t="str">
        <f>HYPERLINK("http://141.218.60.56/~jnz1568/getInfo.php?workbook=16_15.xlsx&amp;sheet=A0&amp;row=241&amp;col=21&amp;number=&amp;sourceID=47","")</f>
        <v/>
      </c>
      <c r="V241" s="4" t="str">
        <f>HYPERLINK("http://141.218.60.56/~jnz1568/getInfo.php?workbook=16_15.xlsx&amp;sheet=A0&amp;row=241&amp;col=22&amp;number=&amp;sourceID=47","")</f>
        <v/>
      </c>
    </row>
    <row r="242" spans="1:22">
      <c r="A242" s="3">
        <v>16</v>
      </c>
      <c r="B242" s="3">
        <v>15</v>
      </c>
      <c r="C242" s="3">
        <v>24</v>
      </c>
      <c r="D242" s="3">
        <v>23</v>
      </c>
      <c r="E242" s="3">
        <f>((1/(INDEX(E0!J$4:J$73,C242,1)-INDEX(E0!J$4:J$73,D242,1))))*100000000</f>
        <v>0</v>
      </c>
      <c r="F242" s="4" t="str">
        <f>HYPERLINK("http://141.218.60.56/~jnz1568/getInfo.php?workbook=16_15.xlsx&amp;sheet=A0&amp;row=242&amp;col=6&amp;number=&amp;sourceID=54","")</f>
        <v/>
      </c>
      <c r="G242" s="4" t="str">
        <f>HYPERLINK("http://141.218.60.56/~jnz1568/getInfo.php?workbook=16_15.xlsx&amp;sheet=A0&amp;row=242&amp;col=7&amp;number=1.11e-13&amp;sourceID=54","1.11e-13")</f>
        <v>1.11e-13</v>
      </c>
      <c r="H242" s="4" t="str">
        <f>HYPERLINK("http://141.218.60.56/~jnz1568/getInfo.php?workbook=16_15.xlsx&amp;sheet=A0&amp;row=242&amp;col=8&amp;number=3.0673e-06&amp;sourceID=54","3.0673e-06")</f>
        <v>3.0673e-06</v>
      </c>
      <c r="I242" s="4" t="str">
        <f>HYPERLINK("http://141.218.60.56/~jnz1568/getInfo.php?workbook=16_15.xlsx&amp;sheet=A0&amp;row=242&amp;col=9&amp;number=&amp;sourceID=54","")</f>
        <v/>
      </c>
      <c r="J242" s="4" t="str">
        <f>HYPERLINK("http://141.218.60.56/~jnz1568/getInfo.php?workbook=16_15.xlsx&amp;sheet=A0&amp;row=242&amp;col=10&amp;number=2.9e-14&amp;sourceID=54","2.9e-14")</f>
        <v>2.9e-14</v>
      </c>
      <c r="K242" s="4" t="str">
        <f>HYPERLINK("http://141.218.60.56/~jnz1568/getInfo.php?workbook=16_15.xlsx&amp;sheet=A0&amp;row=242&amp;col=11&amp;number=1.3666e-06&amp;sourceID=54","1.3666e-06")</f>
        <v>1.3666e-06</v>
      </c>
      <c r="L242" s="4" t="str">
        <f>HYPERLINK("http://141.218.60.56/~jnz1568/getInfo.php?workbook=16_15.xlsx&amp;sheet=A0&amp;row=242&amp;col=12&amp;number=&amp;sourceID=53","")</f>
        <v/>
      </c>
      <c r="M242" s="4" t="str">
        <f>HYPERLINK("http://141.218.60.56/~jnz1568/getInfo.php?workbook=16_15.xlsx&amp;sheet=A0&amp;row=242&amp;col=13&amp;number=&amp;sourceID=53","")</f>
        <v/>
      </c>
      <c r="N242" s="4" t="str">
        <f>HYPERLINK("http://141.218.60.56/~jnz1568/getInfo.php?workbook=16_15.xlsx&amp;sheet=A0&amp;row=242&amp;col=14&amp;number=&amp;sourceID=53","")</f>
        <v/>
      </c>
      <c r="O242" s="4" t="str">
        <f>HYPERLINK("http://141.218.60.56/~jnz1568/getInfo.php?workbook=16_15.xlsx&amp;sheet=A0&amp;row=242&amp;col=15&amp;number=&amp;sourceID=55","")</f>
        <v/>
      </c>
      <c r="P242" s="4" t="str">
        <f>HYPERLINK("http://141.218.60.56/~jnz1568/getInfo.php?workbook=16_15.xlsx&amp;sheet=A0&amp;row=242&amp;col=16&amp;number=&amp;sourceID=55","")</f>
        <v/>
      </c>
      <c r="Q242" s="4" t="str">
        <f>HYPERLINK("http://141.218.60.56/~jnz1568/getInfo.php?workbook=16_15.xlsx&amp;sheet=A0&amp;row=242&amp;col=17&amp;number=&amp;sourceID=56","")</f>
        <v/>
      </c>
      <c r="R242" s="4" t="str">
        <f>HYPERLINK("http://141.218.60.56/~jnz1568/getInfo.php?workbook=16_15.xlsx&amp;sheet=A0&amp;row=242&amp;col=18&amp;number=&amp;sourceID=56","")</f>
        <v/>
      </c>
      <c r="S242" s="4" t="str">
        <f>HYPERLINK("http://141.218.60.56/~jnz1568/getInfo.php?workbook=16_15.xlsx&amp;sheet=A0&amp;row=242&amp;col=19&amp;number=&amp;sourceID=57","")</f>
        <v/>
      </c>
      <c r="T242" s="4" t="str">
        <f>HYPERLINK("http://141.218.60.56/~jnz1568/getInfo.php?workbook=16_15.xlsx&amp;sheet=A0&amp;row=242&amp;col=20&amp;number=&amp;sourceID=57","")</f>
        <v/>
      </c>
      <c r="U242" s="4" t="str">
        <f>HYPERLINK("http://141.218.60.56/~jnz1568/getInfo.php?workbook=16_15.xlsx&amp;sheet=A0&amp;row=242&amp;col=21&amp;number=&amp;sourceID=47","")</f>
        <v/>
      </c>
      <c r="V242" s="4" t="str">
        <f>HYPERLINK("http://141.218.60.56/~jnz1568/getInfo.php?workbook=16_15.xlsx&amp;sheet=A0&amp;row=242&amp;col=22&amp;number=&amp;sourceID=47","")</f>
        <v/>
      </c>
    </row>
    <row r="243" spans="1:22">
      <c r="A243" s="3">
        <v>16</v>
      </c>
      <c r="B243" s="3">
        <v>15</v>
      </c>
      <c r="C243" s="3">
        <v>25</v>
      </c>
      <c r="D243" s="3">
        <v>3</v>
      </c>
      <c r="E243" s="3">
        <f>((1/(INDEX(E0!J$4:J$73,C243,1)-INDEX(E0!J$4:J$73,D243,1))))*100000000</f>
        <v>0</v>
      </c>
      <c r="F243" s="4" t="str">
        <f>HYPERLINK("http://141.218.60.56/~jnz1568/getInfo.php?workbook=16_15.xlsx&amp;sheet=A0&amp;row=243&amp;col=6&amp;number=806620&amp;sourceID=54","806620")</f>
        <v>806620</v>
      </c>
      <c r="G243" s="4" t="str">
        <f>HYPERLINK("http://141.218.60.56/~jnz1568/getInfo.php?workbook=16_15.xlsx&amp;sheet=A0&amp;row=243&amp;col=7&amp;number=&amp;sourceID=54","")</f>
        <v/>
      </c>
      <c r="H243" s="4" t="str">
        <f>HYPERLINK("http://141.218.60.56/~jnz1568/getInfo.php?workbook=16_15.xlsx&amp;sheet=A0&amp;row=243&amp;col=8&amp;number=&amp;sourceID=54","")</f>
        <v/>
      </c>
      <c r="I243" s="4" t="str">
        <f>HYPERLINK("http://141.218.60.56/~jnz1568/getInfo.php?workbook=16_15.xlsx&amp;sheet=A0&amp;row=243&amp;col=9&amp;number=1696000&amp;sourceID=54","1696000")</f>
        <v>1696000</v>
      </c>
      <c r="J243" s="4" t="str">
        <f>HYPERLINK("http://141.218.60.56/~jnz1568/getInfo.php?workbook=16_15.xlsx&amp;sheet=A0&amp;row=243&amp;col=10&amp;number=&amp;sourceID=54","")</f>
        <v/>
      </c>
      <c r="K243" s="4" t="str">
        <f>HYPERLINK("http://141.218.60.56/~jnz1568/getInfo.php?workbook=16_15.xlsx&amp;sheet=A0&amp;row=243&amp;col=11&amp;number=&amp;sourceID=54","")</f>
        <v/>
      </c>
      <c r="L243" s="4" t="str">
        <f>HYPERLINK("http://141.218.60.56/~jnz1568/getInfo.php?workbook=16_15.xlsx&amp;sheet=A0&amp;row=243&amp;col=12&amp;number=917680.265862&amp;sourceID=53","917680.265862")</f>
        <v>917680.265862</v>
      </c>
      <c r="M243" s="4" t="str">
        <f>HYPERLINK("http://141.218.60.56/~jnz1568/getInfo.php?workbook=16_15.xlsx&amp;sheet=A0&amp;row=243&amp;col=13&amp;number=&amp;sourceID=53","")</f>
        <v/>
      </c>
      <c r="N243" s="4" t="str">
        <f>HYPERLINK("http://141.218.60.56/~jnz1568/getInfo.php?workbook=16_15.xlsx&amp;sheet=A0&amp;row=243&amp;col=14&amp;number=&amp;sourceID=53","")</f>
        <v/>
      </c>
      <c r="O243" s="4" t="str">
        <f>HYPERLINK("http://141.218.60.56/~jnz1568/getInfo.php?workbook=16_15.xlsx&amp;sheet=A0&amp;row=243&amp;col=15&amp;number=&amp;sourceID=55","")</f>
        <v/>
      </c>
      <c r="P243" s="4" t="str">
        <f>HYPERLINK("http://141.218.60.56/~jnz1568/getInfo.php?workbook=16_15.xlsx&amp;sheet=A0&amp;row=243&amp;col=16&amp;number=&amp;sourceID=55","")</f>
        <v/>
      </c>
      <c r="Q243" s="4" t="str">
        <f>HYPERLINK("http://141.218.60.56/~jnz1568/getInfo.php?workbook=16_15.xlsx&amp;sheet=A0&amp;row=243&amp;col=17&amp;number=&amp;sourceID=56","")</f>
        <v/>
      </c>
      <c r="R243" s="4" t="str">
        <f>HYPERLINK("http://141.218.60.56/~jnz1568/getInfo.php?workbook=16_15.xlsx&amp;sheet=A0&amp;row=243&amp;col=18&amp;number=&amp;sourceID=56","")</f>
        <v/>
      </c>
      <c r="S243" s="4" t="str">
        <f>HYPERLINK("http://141.218.60.56/~jnz1568/getInfo.php?workbook=16_15.xlsx&amp;sheet=A0&amp;row=243&amp;col=19&amp;number=&amp;sourceID=57","")</f>
        <v/>
      </c>
      <c r="T243" s="4" t="str">
        <f>HYPERLINK("http://141.218.60.56/~jnz1568/getInfo.php?workbook=16_15.xlsx&amp;sheet=A0&amp;row=243&amp;col=20&amp;number=&amp;sourceID=57","")</f>
        <v/>
      </c>
      <c r="U243" s="4" t="str">
        <f>HYPERLINK("http://141.218.60.56/~jnz1568/getInfo.php?workbook=16_15.xlsx&amp;sheet=A0&amp;row=243&amp;col=21&amp;number=&amp;sourceID=47","")</f>
        <v/>
      </c>
      <c r="V243" s="4" t="str">
        <f>HYPERLINK("http://141.218.60.56/~jnz1568/getInfo.php?workbook=16_15.xlsx&amp;sheet=A0&amp;row=243&amp;col=22&amp;number=&amp;sourceID=47","")</f>
        <v/>
      </c>
    </row>
    <row r="244" spans="1:22">
      <c r="A244" s="3">
        <v>16</v>
      </c>
      <c r="B244" s="3">
        <v>15</v>
      </c>
      <c r="C244" s="3">
        <v>25</v>
      </c>
      <c r="D244" s="3">
        <v>6</v>
      </c>
      <c r="E244" s="3">
        <f>((1/(INDEX(E0!J$4:J$73,C244,1)-INDEX(E0!J$4:J$73,D244,1))))*100000000</f>
        <v>0</v>
      </c>
      <c r="F244" s="4" t="str">
        <f>HYPERLINK("http://141.218.60.56/~jnz1568/getInfo.php?workbook=16_15.xlsx&amp;sheet=A0&amp;row=244&amp;col=6&amp;number=&amp;sourceID=54","")</f>
        <v/>
      </c>
      <c r="G244" s="4" t="str">
        <f>HYPERLINK("http://141.218.60.56/~jnz1568/getInfo.php?workbook=16_15.xlsx&amp;sheet=A0&amp;row=244&amp;col=7&amp;number=3.0786&amp;sourceID=54","3.0786")</f>
        <v>3.0786</v>
      </c>
      <c r="H244" s="4" t="str">
        <f>HYPERLINK("http://141.218.60.56/~jnz1568/getInfo.php?workbook=16_15.xlsx&amp;sheet=A0&amp;row=244&amp;col=8&amp;number=0&amp;sourceID=54","0")</f>
        <v>0</v>
      </c>
      <c r="I244" s="4" t="str">
        <f>HYPERLINK("http://141.218.60.56/~jnz1568/getInfo.php?workbook=16_15.xlsx&amp;sheet=A0&amp;row=244&amp;col=9&amp;number=&amp;sourceID=54","")</f>
        <v/>
      </c>
      <c r="J244" s="4" t="str">
        <f>HYPERLINK("http://141.218.60.56/~jnz1568/getInfo.php?workbook=16_15.xlsx&amp;sheet=A0&amp;row=244&amp;col=10&amp;number=2.6602&amp;sourceID=54","2.6602")</f>
        <v>2.6602</v>
      </c>
      <c r="K244" s="4" t="str">
        <f>HYPERLINK("http://141.218.60.56/~jnz1568/getInfo.php?workbook=16_15.xlsx&amp;sheet=A0&amp;row=244&amp;col=11&amp;number=0&amp;sourceID=54","0")</f>
        <v>0</v>
      </c>
      <c r="L244" s="4" t="str">
        <f>HYPERLINK("http://141.218.60.56/~jnz1568/getInfo.php?workbook=16_15.xlsx&amp;sheet=A0&amp;row=244&amp;col=12&amp;number=&amp;sourceID=53","")</f>
        <v/>
      </c>
      <c r="M244" s="4" t="str">
        <f>HYPERLINK("http://141.218.60.56/~jnz1568/getInfo.php?workbook=16_15.xlsx&amp;sheet=A0&amp;row=244&amp;col=13&amp;number=&amp;sourceID=53","")</f>
        <v/>
      </c>
      <c r="N244" s="4" t="str">
        <f>HYPERLINK("http://141.218.60.56/~jnz1568/getInfo.php?workbook=16_15.xlsx&amp;sheet=A0&amp;row=244&amp;col=14&amp;number=&amp;sourceID=53","")</f>
        <v/>
      </c>
      <c r="O244" s="4" t="str">
        <f>HYPERLINK("http://141.218.60.56/~jnz1568/getInfo.php?workbook=16_15.xlsx&amp;sheet=A0&amp;row=244&amp;col=15&amp;number=&amp;sourceID=55","")</f>
        <v/>
      </c>
      <c r="P244" s="4" t="str">
        <f>HYPERLINK("http://141.218.60.56/~jnz1568/getInfo.php?workbook=16_15.xlsx&amp;sheet=A0&amp;row=244&amp;col=16&amp;number=&amp;sourceID=55","")</f>
        <v/>
      </c>
      <c r="Q244" s="4" t="str">
        <f>HYPERLINK("http://141.218.60.56/~jnz1568/getInfo.php?workbook=16_15.xlsx&amp;sheet=A0&amp;row=244&amp;col=17&amp;number=&amp;sourceID=56","")</f>
        <v/>
      </c>
      <c r="R244" s="4" t="str">
        <f>HYPERLINK("http://141.218.60.56/~jnz1568/getInfo.php?workbook=16_15.xlsx&amp;sheet=A0&amp;row=244&amp;col=18&amp;number=&amp;sourceID=56","")</f>
        <v/>
      </c>
      <c r="S244" s="4" t="str">
        <f>HYPERLINK("http://141.218.60.56/~jnz1568/getInfo.php?workbook=16_15.xlsx&amp;sheet=A0&amp;row=244&amp;col=19&amp;number=&amp;sourceID=57","")</f>
        <v/>
      </c>
      <c r="T244" s="4" t="str">
        <f>HYPERLINK("http://141.218.60.56/~jnz1568/getInfo.php?workbook=16_15.xlsx&amp;sheet=A0&amp;row=244&amp;col=20&amp;number=&amp;sourceID=57","")</f>
        <v/>
      </c>
      <c r="U244" s="4" t="str">
        <f>HYPERLINK("http://141.218.60.56/~jnz1568/getInfo.php?workbook=16_15.xlsx&amp;sheet=A0&amp;row=244&amp;col=21&amp;number=&amp;sourceID=47","")</f>
        <v/>
      </c>
      <c r="V244" s="4" t="str">
        <f>HYPERLINK("http://141.218.60.56/~jnz1568/getInfo.php?workbook=16_15.xlsx&amp;sheet=A0&amp;row=244&amp;col=22&amp;number=&amp;sourceID=47","")</f>
        <v/>
      </c>
    </row>
    <row r="245" spans="1:22">
      <c r="A245" s="3">
        <v>16</v>
      </c>
      <c r="B245" s="3">
        <v>15</v>
      </c>
      <c r="C245" s="3">
        <v>25</v>
      </c>
      <c r="D245" s="3">
        <v>7</v>
      </c>
      <c r="E245" s="3">
        <f>((1/(INDEX(E0!J$4:J$73,C245,1)-INDEX(E0!J$4:J$73,D245,1))))*100000000</f>
        <v>0</v>
      </c>
      <c r="F245" s="4" t="str">
        <f>HYPERLINK("http://141.218.60.56/~jnz1568/getInfo.php?workbook=16_15.xlsx&amp;sheet=A0&amp;row=245&amp;col=6&amp;number=&amp;sourceID=54","")</f>
        <v/>
      </c>
      <c r="G245" s="4" t="str">
        <f>HYPERLINK("http://141.218.60.56/~jnz1568/getInfo.php?workbook=16_15.xlsx&amp;sheet=A0&amp;row=245&amp;col=7&amp;number=1.8042&amp;sourceID=54","1.8042")</f>
        <v>1.8042</v>
      </c>
      <c r="H245" s="4" t="str">
        <f>HYPERLINK("http://141.218.60.56/~jnz1568/getInfo.php?workbook=16_15.xlsx&amp;sheet=A0&amp;row=245&amp;col=8&amp;number=&amp;sourceID=54","")</f>
        <v/>
      </c>
      <c r="I245" s="4" t="str">
        <f>HYPERLINK("http://141.218.60.56/~jnz1568/getInfo.php?workbook=16_15.xlsx&amp;sheet=A0&amp;row=245&amp;col=9&amp;number=&amp;sourceID=54","")</f>
        <v/>
      </c>
      <c r="J245" s="4" t="str">
        <f>HYPERLINK("http://141.218.60.56/~jnz1568/getInfo.php?workbook=16_15.xlsx&amp;sheet=A0&amp;row=245&amp;col=10&amp;number=1.5651&amp;sourceID=54","1.5651")</f>
        <v>1.5651</v>
      </c>
      <c r="K245" s="4" t="str">
        <f>HYPERLINK("http://141.218.60.56/~jnz1568/getInfo.php?workbook=16_15.xlsx&amp;sheet=A0&amp;row=245&amp;col=11&amp;number=&amp;sourceID=54","")</f>
        <v/>
      </c>
      <c r="L245" s="4" t="str">
        <f>HYPERLINK("http://141.218.60.56/~jnz1568/getInfo.php?workbook=16_15.xlsx&amp;sheet=A0&amp;row=245&amp;col=12&amp;number=&amp;sourceID=53","")</f>
        <v/>
      </c>
      <c r="M245" s="4" t="str">
        <f>HYPERLINK("http://141.218.60.56/~jnz1568/getInfo.php?workbook=16_15.xlsx&amp;sheet=A0&amp;row=245&amp;col=13&amp;number=&amp;sourceID=53","")</f>
        <v/>
      </c>
      <c r="N245" s="4" t="str">
        <f>HYPERLINK("http://141.218.60.56/~jnz1568/getInfo.php?workbook=16_15.xlsx&amp;sheet=A0&amp;row=245&amp;col=14&amp;number=&amp;sourceID=53","")</f>
        <v/>
      </c>
      <c r="O245" s="4" t="str">
        <f>HYPERLINK("http://141.218.60.56/~jnz1568/getInfo.php?workbook=16_15.xlsx&amp;sheet=A0&amp;row=245&amp;col=15&amp;number=&amp;sourceID=55","")</f>
        <v/>
      </c>
      <c r="P245" s="4" t="str">
        <f>HYPERLINK("http://141.218.60.56/~jnz1568/getInfo.php?workbook=16_15.xlsx&amp;sheet=A0&amp;row=245&amp;col=16&amp;number=&amp;sourceID=55","")</f>
        <v/>
      </c>
      <c r="Q245" s="4" t="str">
        <f>HYPERLINK("http://141.218.60.56/~jnz1568/getInfo.php?workbook=16_15.xlsx&amp;sheet=A0&amp;row=245&amp;col=17&amp;number=&amp;sourceID=56","")</f>
        <v/>
      </c>
      <c r="R245" s="4" t="str">
        <f>HYPERLINK("http://141.218.60.56/~jnz1568/getInfo.php?workbook=16_15.xlsx&amp;sheet=A0&amp;row=245&amp;col=18&amp;number=&amp;sourceID=56","")</f>
        <v/>
      </c>
      <c r="S245" s="4" t="str">
        <f>HYPERLINK("http://141.218.60.56/~jnz1568/getInfo.php?workbook=16_15.xlsx&amp;sheet=A0&amp;row=245&amp;col=19&amp;number=&amp;sourceID=57","")</f>
        <v/>
      </c>
      <c r="T245" s="4" t="str">
        <f>HYPERLINK("http://141.218.60.56/~jnz1568/getInfo.php?workbook=16_15.xlsx&amp;sheet=A0&amp;row=245&amp;col=20&amp;number=&amp;sourceID=57","")</f>
        <v/>
      </c>
      <c r="U245" s="4" t="str">
        <f>HYPERLINK("http://141.218.60.56/~jnz1568/getInfo.php?workbook=16_15.xlsx&amp;sheet=A0&amp;row=245&amp;col=21&amp;number=&amp;sourceID=47","")</f>
        <v/>
      </c>
      <c r="V245" s="4" t="str">
        <f>HYPERLINK("http://141.218.60.56/~jnz1568/getInfo.php?workbook=16_15.xlsx&amp;sheet=A0&amp;row=245&amp;col=22&amp;number=&amp;sourceID=47","")</f>
        <v/>
      </c>
    </row>
    <row r="246" spans="1:22">
      <c r="A246" s="3">
        <v>16</v>
      </c>
      <c r="B246" s="3">
        <v>15</v>
      </c>
      <c r="C246" s="3">
        <v>25</v>
      </c>
      <c r="D246" s="3">
        <v>9</v>
      </c>
      <c r="E246" s="3">
        <f>((1/(INDEX(E0!J$4:J$73,C246,1)-INDEX(E0!J$4:J$73,D246,1))))*100000000</f>
        <v>0</v>
      </c>
      <c r="F246" s="4" t="str">
        <f>HYPERLINK("http://141.218.60.56/~jnz1568/getInfo.php?workbook=16_15.xlsx&amp;sheet=A0&amp;row=246&amp;col=6&amp;number=&amp;sourceID=54","")</f>
        <v/>
      </c>
      <c r="G246" s="4" t="str">
        <f>HYPERLINK("http://141.218.60.56/~jnz1568/getInfo.php?workbook=16_15.xlsx&amp;sheet=A0&amp;row=246&amp;col=7&amp;number=0.00014256&amp;sourceID=54","0.00014256")</f>
        <v>0.00014256</v>
      </c>
      <c r="H246" s="4" t="str">
        <f>HYPERLINK("http://141.218.60.56/~jnz1568/getInfo.php?workbook=16_15.xlsx&amp;sheet=A0&amp;row=246&amp;col=8&amp;number=&amp;sourceID=54","")</f>
        <v/>
      </c>
      <c r="I246" s="4" t="str">
        <f>HYPERLINK("http://141.218.60.56/~jnz1568/getInfo.php?workbook=16_15.xlsx&amp;sheet=A0&amp;row=246&amp;col=9&amp;number=&amp;sourceID=54","")</f>
        <v/>
      </c>
      <c r="J246" s="4" t="str">
        <f>HYPERLINK("http://141.218.60.56/~jnz1568/getInfo.php?workbook=16_15.xlsx&amp;sheet=A0&amp;row=246&amp;col=10&amp;number=0.00023486&amp;sourceID=54","0.00023486")</f>
        <v>0.00023486</v>
      </c>
      <c r="K246" s="4" t="str">
        <f>HYPERLINK("http://141.218.60.56/~jnz1568/getInfo.php?workbook=16_15.xlsx&amp;sheet=A0&amp;row=246&amp;col=11&amp;number=&amp;sourceID=54","")</f>
        <v/>
      </c>
      <c r="L246" s="4" t="str">
        <f>HYPERLINK("http://141.218.60.56/~jnz1568/getInfo.php?workbook=16_15.xlsx&amp;sheet=A0&amp;row=246&amp;col=12&amp;number=&amp;sourceID=53","")</f>
        <v/>
      </c>
      <c r="M246" s="4" t="str">
        <f>HYPERLINK("http://141.218.60.56/~jnz1568/getInfo.php?workbook=16_15.xlsx&amp;sheet=A0&amp;row=246&amp;col=13&amp;number=&amp;sourceID=53","")</f>
        <v/>
      </c>
      <c r="N246" s="4" t="str">
        <f>HYPERLINK("http://141.218.60.56/~jnz1568/getInfo.php?workbook=16_15.xlsx&amp;sheet=A0&amp;row=246&amp;col=14&amp;number=&amp;sourceID=53","")</f>
        <v/>
      </c>
      <c r="O246" s="4" t="str">
        <f>HYPERLINK("http://141.218.60.56/~jnz1568/getInfo.php?workbook=16_15.xlsx&amp;sheet=A0&amp;row=246&amp;col=15&amp;number=&amp;sourceID=55","")</f>
        <v/>
      </c>
      <c r="P246" s="4" t="str">
        <f>HYPERLINK("http://141.218.60.56/~jnz1568/getInfo.php?workbook=16_15.xlsx&amp;sheet=A0&amp;row=246&amp;col=16&amp;number=&amp;sourceID=55","")</f>
        <v/>
      </c>
      <c r="Q246" s="4" t="str">
        <f>HYPERLINK("http://141.218.60.56/~jnz1568/getInfo.php?workbook=16_15.xlsx&amp;sheet=A0&amp;row=246&amp;col=17&amp;number=&amp;sourceID=56","")</f>
        <v/>
      </c>
      <c r="R246" s="4" t="str">
        <f>HYPERLINK("http://141.218.60.56/~jnz1568/getInfo.php?workbook=16_15.xlsx&amp;sheet=A0&amp;row=246&amp;col=18&amp;number=&amp;sourceID=56","")</f>
        <v/>
      </c>
      <c r="S246" s="4" t="str">
        <f>HYPERLINK("http://141.218.60.56/~jnz1568/getInfo.php?workbook=16_15.xlsx&amp;sheet=A0&amp;row=246&amp;col=19&amp;number=&amp;sourceID=57","")</f>
        <v/>
      </c>
      <c r="T246" s="4" t="str">
        <f>HYPERLINK("http://141.218.60.56/~jnz1568/getInfo.php?workbook=16_15.xlsx&amp;sheet=A0&amp;row=246&amp;col=20&amp;number=&amp;sourceID=57","")</f>
        <v/>
      </c>
      <c r="U246" s="4" t="str">
        <f>HYPERLINK("http://141.218.60.56/~jnz1568/getInfo.php?workbook=16_15.xlsx&amp;sheet=A0&amp;row=246&amp;col=21&amp;number=&amp;sourceID=47","")</f>
        <v/>
      </c>
      <c r="V246" s="4" t="str">
        <f>HYPERLINK("http://141.218.60.56/~jnz1568/getInfo.php?workbook=16_15.xlsx&amp;sheet=A0&amp;row=246&amp;col=22&amp;number=&amp;sourceID=47","")</f>
        <v/>
      </c>
    </row>
    <row r="247" spans="1:22">
      <c r="A247" s="3">
        <v>16</v>
      </c>
      <c r="B247" s="3">
        <v>15</v>
      </c>
      <c r="C247" s="3">
        <v>25</v>
      </c>
      <c r="D247" s="3">
        <v>10</v>
      </c>
      <c r="E247" s="3">
        <f>((1/(INDEX(E0!J$4:J$73,C247,1)-INDEX(E0!J$4:J$73,D247,1))))*100000000</f>
        <v>0</v>
      </c>
      <c r="F247" s="4" t="str">
        <f>HYPERLINK("http://141.218.60.56/~jnz1568/getInfo.php?workbook=16_15.xlsx&amp;sheet=A0&amp;row=247&amp;col=6&amp;number=&amp;sourceID=54","")</f>
        <v/>
      </c>
      <c r="G247" s="4" t="str">
        <f>HYPERLINK("http://141.218.60.56/~jnz1568/getInfo.php?workbook=16_15.xlsx&amp;sheet=A0&amp;row=247&amp;col=7&amp;number=0.0011594&amp;sourceID=54","0.0011594")</f>
        <v>0.0011594</v>
      </c>
      <c r="H247" s="4" t="str">
        <f>HYPERLINK("http://141.218.60.56/~jnz1568/getInfo.php?workbook=16_15.xlsx&amp;sheet=A0&amp;row=247&amp;col=8&amp;number=0&amp;sourceID=54","0")</f>
        <v>0</v>
      </c>
      <c r="I247" s="4" t="str">
        <f>HYPERLINK("http://141.218.60.56/~jnz1568/getInfo.php?workbook=16_15.xlsx&amp;sheet=A0&amp;row=247&amp;col=9&amp;number=&amp;sourceID=54","")</f>
        <v/>
      </c>
      <c r="J247" s="4" t="str">
        <f>HYPERLINK("http://141.218.60.56/~jnz1568/getInfo.php?workbook=16_15.xlsx&amp;sheet=A0&amp;row=247&amp;col=10&amp;number=0.0018288&amp;sourceID=54","0.0018288")</f>
        <v>0.0018288</v>
      </c>
      <c r="K247" s="4" t="str">
        <f>HYPERLINK("http://141.218.60.56/~jnz1568/getInfo.php?workbook=16_15.xlsx&amp;sheet=A0&amp;row=247&amp;col=11&amp;number=0&amp;sourceID=54","0")</f>
        <v>0</v>
      </c>
      <c r="L247" s="4" t="str">
        <f>HYPERLINK("http://141.218.60.56/~jnz1568/getInfo.php?workbook=16_15.xlsx&amp;sheet=A0&amp;row=247&amp;col=12&amp;number=&amp;sourceID=53","")</f>
        <v/>
      </c>
      <c r="M247" s="4" t="str">
        <f>HYPERLINK("http://141.218.60.56/~jnz1568/getInfo.php?workbook=16_15.xlsx&amp;sheet=A0&amp;row=247&amp;col=13&amp;number=&amp;sourceID=53","")</f>
        <v/>
      </c>
      <c r="N247" s="4" t="str">
        <f>HYPERLINK("http://141.218.60.56/~jnz1568/getInfo.php?workbook=16_15.xlsx&amp;sheet=A0&amp;row=247&amp;col=14&amp;number=&amp;sourceID=53","")</f>
        <v/>
      </c>
      <c r="O247" s="4" t="str">
        <f>HYPERLINK("http://141.218.60.56/~jnz1568/getInfo.php?workbook=16_15.xlsx&amp;sheet=A0&amp;row=247&amp;col=15&amp;number=&amp;sourceID=55","")</f>
        <v/>
      </c>
      <c r="P247" s="4" t="str">
        <f>HYPERLINK("http://141.218.60.56/~jnz1568/getInfo.php?workbook=16_15.xlsx&amp;sheet=A0&amp;row=247&amp;col=16&amp;number=&amp;sourceID=55","")</f>
        <v/>
      </c>
      <c r="Q247" s="4" t="str">
        <f>HYPERLINK("http://141.218.60.56/~jnz1568/getInfo.php?workbook=16_15.xlsx&amp;sheet=A0&amp;row=247&amp;col=17&amp;number=&amp;sourceID=56","")</f>
        <v/>
      </c>
      <c r="R247" s="4" t="str">
        <f>HYPERLINK("http://141.218.60.56/~jnz1568/getInfo.php?workbook=16_15.xlsx&amp;sheet=A0&amp;row=247&amp;col=18&amp;number=&amp;sourceID=56","")</f>
        <v/>
      </c>
      <c r="S247" s="4" t="str">
        <f>HYPERLINK("http://141.218.60.56/~jnz1568/getInfo.php?workbook=16_15.xlsx&amp;sheet=A0&amp;row=247&amp;col=19&amp;number=&amp;sourceID=57","")</f>
        <v/>
      </c>
      <c r="T247" s="4" t="str">
        <f>HYPERLINK("http://141.218.60.56/~jnz1568/getInfo.php?workbook=16_15.xlsx&amp;sheet=A0&amp;row=247&amp;col=20&amp;number=&amp;sourceID=57","")</f>
        <v/>
      </c>
      <c r="U247" s="4" t="str">
        <f>HYPERLINK("http://141.218.60.56/~jnz1568/getInfo.php?workbook=16_15.xlsx&amp;sheet=A0&amp;row=247&amp;col=21&amp;number=&amp;sourceID=47","")</f>
        <v/>
      </c>
      <c r="V247" s="4" t="str">
        <f>HYPERLINK("http://141.218.60.56/~jnz1568/getInfo.php?workbook=16_15.xlsx&amp;sheet=A0&amp;row=247&amp;col=22&amp;number=&amp;sourceID=47","")</f>
        <v/>
      </c>
    </row>
    <row r="248" spans="1:22">
      <c r="A248" s="3">
        <v>16</v>
      </c>
      <c r="B248" s="3">
        <v>15</v>
      </c>
      <c r="C248" s="3">
        <v>25</v>
      </c>
      <c r="D248" s="3">
        <v>11</v>
      </c>
      <c r="E248" s="3">
        <f>((1/(INDEX(E0!J$4:J$73,C248,1)-INDEX(E0!J$4:J$73,D248,1))))*100000000</f>
        <v>0</v>
      </c>
      <c r="F248" s="4" t="str">
        <f>HYPERLINK("http://141.218.60.56/~jnz1568/getInfo.php?workbook=16_15.xlsx&amp;sheet=A0&amp;row=248&amp;col=6&amp;number=&amp;sourceID=54","")</f>
        <v/>
      </c>
      <c r="G248" s="4" t="str">
        <f>HYPERLINK("http://141.218.60.56/~jnz1568/getInfo.php?workbook=16_15.xlsx&amp;sheet=A0&amp;row=248&amp;col=7&amp;number=0.00022017&amp;sourceID=54","0.00022017")</f>
        <v>0.00022017</v>
      </c>
      <c r="H248" s="4" t="str">
        <f>HYPERLINK("http://141.218.60.56/~jnz1568/getInfo.php?workbook=16_15.xlsx&amp;sheet=A0&amp;row=248&amp;col=8&amp;number=&amp;sourceID=54","")</f>
        <v/>
      </c>
      <c r="I248" s="4" t="str">
        <f>HYPERLINK("http://141.218.60.56/~jnz1568/getInfo.php?workbook=16_15.xlsx&amp;sheet=A0&amp;row=248&amp;col=9&amp;number=&amp;sourceID=54","")</f>
        <v/>
      </c>
      <c r="J248" s="4" t="str">
        <f>HYPERLINK("http://141.218.60.56/~jnz1568/getInfo.php?workbook=16_15.xlsx&amp;sheet=A0&amp;row=248&amp;col=10&amp;number=0.00037326&amp;sourceID=54","0.00037326")</f>
        <v>0.00037326</v>
      </c>
      <c r="K248" s="4" t="str">
        <f>HYPERLINK("http://141.218.60.56/~jnz1568/getInfo.php?workbook=16_15.xlsx&amp;sheet=A0&amp;row=248&amp;col=11&amp;number=&amp;sourceID=54","")</f>
        <v/>
      </c>
      <c r="L248" s="4" t="str">
        <f>HYPERLINK("http://141.218.60.56/~jnz1568/getInfo.php?workbook=16_15.xlsx&amp;sheet=A0&amp;row=248&amp;col=12&amp;number=&amp;sourceID=53","")</f>
        <v/>
      </c>
      <c r="M248" s="4" t="str">
        <f>HYPERLINK("http://141.218.60.56/~jnz1568/getInfo.php?workbook=16_15.xlsx&amp;sheet=A0&amp;row=248&amp;col=13&amp;number=&amp;sourceID=53","")</f>
        <v/>
      </c>
      <c r="N248" s="4" t="str">
        <f>HYPERLINK("http://141.218.60.56/~jnz1568/getInfo.php?workbook=16_15.xlsx&amp;sheet=A0&amp;row=248&amp;col=14&amp;number=&amp;sourceID=53","")</f>
        <v/>
      </c>
      <c r="O248" s="4" t="str">
        <f>HYPERLINK("http://141.218.60.56/~jnz1568/getInfo.php?workbook=16_15.xlsx&amp;sheet=A0&amp;row=248&amp;col=15&amp;number=&amp;sourceID=55","")</f>
        <v/>
      </c>
      <c r="P248" s="4" t="str">
        <f>HYPERLINK("http://141.218.60.56/~jnz1568/getInfo.php?workbook=16_15.xlsx&amp;sheet=A0&amp;row=248&amp;col=16&amp;number=&amp;sourceID=55","")</f>
        <v/>
      </c>
      <c r="Q248" s="4" t="str">
        <f>HYPERLINK("http://141.218.60.56/~jnz1568/getInfo.php?workbook=16_15.xlsx&amp;sheet=A0&amp;row=248&amp;col=17&amp;number=&amp;sourceID=56","")</f>
        <v/>
      </c>
      <c r="R248" s="4" t="str">
        <f>HYPERLINK("http://141.218.60.56/~jnz1568/getInfo.php?workbook=16_15.xlsx&amp;sheet=A0&amp;row=248&amp;col=18&amp;number=&amp;sourceID=56","")</f>
        <v/>
      </c>
      <c r="S248" s="4" t="str">
        <f>HYPERLINK("http://141.218.60.56/~jnz1568/getInfo.php?workbook=16_15.xlsx&amp;sheet=A0&amp;row=248&amp;col=19&amp;number=&amp;sourceID=57","")</f>
        <v/>
      </c>
      <c r="T248" s="4" t="str">
        <f>HYPERLINK("http://141.218.60.56/~jnz1568/getInfo.php?workbook=16_15.xlsx&amp;sheet=A0&amp;row=248&amp;col=20&amp;number=&amp;sourceID=57","")</f>
        <v/>
      </c>
      <c r="U248" s="4" t="str">
        <f>HYPERLINK("http://141.218.60.56/~jnz1568/getInfo.php?workbook=16_15.xlsx&amp;sheet=A0&amp;row=248&amp;col=21&amp;number=&amp;sourceID=47","")</f>
        <v/>
      </c>
      <c r="V248" s="4" t="str">
        <f>HYPERLINK("http://141.218.60.56/~jnz1568/getInfo.php?workbook=16_15.xlsx&amp;sheet=A0&amp;row=248&amp;col=22&amp;number=&amp;sourceID=47","")</f>
        <v/>
      </c>
    </row>
    <row r="249" spans="1:22">
      <c r="A249" s="3">
        <v>16</v>
      </c>
      <c r="B249" s="3">
        <v>15</v>
      </c>
      <c r="C249" s="3">
        <v>25</v>
      </c>
      <c r="D249" s="3">
        <v>14</v>
      </c>
      <c r="E249" s="3">
        <f>((1/(INDEX(E0!J$4:J$73,C249,1)-INDEX(E0!J$4:J$73,D249,1))))*100000000</f>
        <v>0</v>
      </c>
      <c r="F249" s="4" t="str">
        <f>HYPERLINK("http://141.218.60.56/~jnz1568/getInfo.php?workbook=16_15.xlsx&amp;sheet=A0&amp;row=249&amp;col=6&amp;number=&amp;sourceID=54","")</f>
        <v/>
      </c>
      <c r="G249" s="4" t="str">
        <f>HYPERLINK("http://141.218.60.56/~jnz1568/getInfo.php?workbook=16_15.xlsx&amp;sheet=A0&amp;row=249&amp;col=7&amp;number=0.0037577&amp;sourceID=54","0.0037577")</f>
        <v>0.0037577</v>
      </c>
      <c r="H249" s="4" t="str">
        <f>HYPERLINK("http://141.218.60.56/~jnz1568/getInfo.php?workbook=16_15.xlsx&amp;sheet=A0&amp;row=249&amp;col=8&amp;number=&amp;sourceID=54","")</f>
        <v/>
      </c>
      <c r="I249" s="4" t="str">
        <f>HYPERLINK("http://141.218.60.56/~jnz1568/getInfo.php?workbook=16_15.xlsx&amp;sheet=A0&amp;row=249&amp;col=9&amp;number=&amp;sourceID=54","")</f>
        <v/>
      </c>
      <c r="J249" s="4" t="str">
        <f>HYPERLINK("http://141.218.60.56/~jnz1568/getInfo.php?workbook=16_15.xlsx&amp;sheet=A0&amp;row=249&amp;col=10&amp;number=0.0020784&amp;sourceID=54","0.0020784")</f>
        <v>0.0020784</v>
      </c>
      <c r="K249" s="4" t="str">
        <f>HYPERLINK("http://141.218.60.56/~jnz1568/getInfo.php?workbook=16_15.xlsx&amp;sheet=A0&amp;row=249&amp;col=11&amp;number=&amp;sourceID=54","")</f>
        <v/>
      </c>
      <c r="L249" s="4" t="str">
        <f>HYPERLINK("http://141.218.60.56/~jnz1568/getInfo.php?workbook=16_15.xlsx&amp;sheet=A0&amp;row=249&amp;col=12&amp;number=&amp;sourceID=53","")</f>
        <v/>
      </c>
      <c r="M249" s="4" t="str">
        <f>HYPERLINK("http://141.218.60.56/~jnz1568/getInfo.php?workbook=16_15.xlsx&amp;sheet=A0&amp;row=249&amp;col=13&amp;number=&amp;sourceID=53","")</f>
        <v/>
      </c>
      <c r="N249" s="4" t="str">
        <f>HYPERLINK("http://141.218.60.56/~jnz1568/getInfo.php?workbook=16_15.xlsx&amp;sheet=A0&amp;row=249&amp;col=14&amp;number=&amp;sourceID=53","")</f>
        <v/>
      </c>
      <c r="O249" s="4" t="str">
        <f>HYPERLINK("http://141.218.60.56/~jnz1568/getInfo.php?workbook=16_15.xlsx&amp;sheet=A0&amp;row=249&amp;col=15&amp;number=&amp;sourceID=55","")</f>
        <v/>
      </c>
      <c r="P249" s="4" t="str">
        <f>HYPERLINK("http://141.218.60.56/~jnz1568/getInfo.php?workbook=16_15.xlsx&amp;sheet=A0&amp;row=249&amp;col=16&amp;number=&amp;sourceID=55","")</f>
        <v/>
      </c>
      <c r="Q249" s="4" t="str">
        <f>HYPERLINK("http://141.218.60.56/~jnz1568/getInfo.php?workbook=16_15.xlsx&amp;sheet=A0&amp;row=249&amp;col=17&amp;number=&amp;sourceID=56","")</f>
        <v/>
      </c>
      <c r="R249" s="4" t="str">
        <f>HYPERLINK("http://141.218.60.56/~jnz1568/getInfo.php?workbook=16_15.xlsx&amp;sheet=A0&amp;row=249&amp;col=18&amp;number=&amp;sourceID=56","")</f>
        <v/>
      </c>
      <c r="S249" s="4" t="str">
        <f>HYPERLINK("http://141.218.60.56/~jnz1568/getInfo.php?workbook=16_15.xlsx&amp;sheet=A0&amp;row=249&amp;col=19&amp;number=&amp;sourceID=57","")</f>
        <v/>
      </c>
      <c r="T249" s="4" t="str">
        <f>HYPERLINK("http://141.218.60.56/~jnz1568/getInfo.php?workbook=16_15.xlsx&amp;sheet=A0&amp;row=249&amp;col=20&amp;number=&amp;sourceID=57","")</f>
        <v/>
      </c>
      <c r="U249" s="4" t="str">
        <f>HYPERLINK("http://141.218.60.56/~jnz1568/getInfo.php?workbook=16_15.xlsx&amp;sheet=A0&amp;row=249&amp;col=21&amp;number=&amp;sourceID=47","")</f>
        <v/>
      </c>
      <c r="V249" s="4" t="str">
        <f>HYPERLINK("http://141.218.60.56/~jnz1568/getInfo.php?workbook=16_15.xlsx&amp;sheet=A0&amp;row=249&amp;col=22&amp;number=&amp;sourceID=47","")</f>
        <v/>
      </c>
    </row>
    <row r="250" spans="1:22">
      <c r="A250" s="3">
        <v>16</v>
      </c>
      <c r="B250" s="3">
        <v>15</v>
      </c>
      <c r="C250" s="3">
        <v>25</v>
      </c>
      <c r="D250" s="3">
        <v>15</v>
      </c>
      <c r="E250" s="3">
        <f>((1/(INDEX(E0!J$4:J$73,C250,1)-INDEX(E0!J$4:J$73,D250,1))))*100000000</f>
        <v>0</v>
      </c>
      <c r="F250" s="4" t="str">
        <f>HYPERLINK("http://141.218.60.56/~jnz1568/getInfo.php?workbook=16_15.xlsx&amp;sheet=A0&amp;row=250&amp;col=6&amp;number=&amp;sourceID=54","")</f>
        <v/>
      </c>
      <c r="G250" s="4" t="str">
        <f>HYPERLINK("http://141.218.60.56/~jnz1568/getInfo.php?workbook=16_15.xlsx&amp;sheet=A0&amp;row=250&amp;col=7&amp;number=5.9262e-06&amp;sourceID=54","5.9262e-06")</f>
        <v>5.9262e-06</v>
      </c>
      <c r="H250" s="4" t="str">
        <f>HYPERLINK("http://141.218.60.56/~jnz1568/getInfo.php?workbook=16_15.xlsx&amp;sheet=A0&amp;row=250&amp;col=8&amp;number=&amp;sourceID=54","")</f>
        <v/>
      </c>
      <c r="I250" s="4" t="str">
        <f>HYPERLINK("http://141.218.60.56/~jnz1568/getInfo.php?workbook=16_15.xlsx&amp;sheet=A0&amp;row=250&amp;col=9&amp;number=&amp;sourceID=54","")</f>
        <v/>
      </c>
      <c r="J250" s="4" t="str">
        <f>HYPERLINK("http://141.218.60.56/~jnz1568/getInfo.php?workbook=16_15.xlsx&amp;sheet=A0&amp;row=250&amp;col=10&amp;number=6.3109e-06&amp;sourceID=54","6.3109e-06")</f>
        <v>6.3109e-06</v>
      </c>
      <c r="K250" s="4" t="str">
        <f>HYPERLINK("http://141.218.60.56/~jnz1568/getInfo.php?workbook=16_15.xlsx&amp;sheet=A0&amp;row=250&amp;col=11&amp;number=&amp;sourceID=54","")</f>
        <v/>
      </c>
      <c r="L250" s="4" t="str">
        <f>HYPERLINK("http://141.218.60.56/~jnz1568/getInfo.php?workbook=16_15.xlsx&amp;sheet=A0&amp;row=250&amp;col=12&amp;number=&amp;sourceID=53","")</f>
        <v/>
      </c>
      <c r="M250" s="4" t="str">
        <f>HYPERLINK("http://141.218.60.56/~jnz1568/getInfo.php?workbook=16_15.xlsx&amp;sheet=A0&amp;row=250&amp;col=13&amp;number=&amp;sourceID=53","")</f>
        <v/>
      </c>
      <c r="N250" s="4" t="str">
        <f>HYPERLINK("http://141.218.60.56/~jnz1568/getInfo.php?workbook=16_15.xlsx&amp;sheet=A0&amp;row=250&amp;col=14&amp;number=&amp;sourceID=53","")</f>
        <v/>
      </c>
      <c r="O250" s="4" t="str">
        <f>HYPERLINK("http://141.218.60.56/~jnz1568/getInfo.php?workbook=16_15.xlsx&amp;sheet=A0&amp;row=250&amp;col=15&amp;number=&amp;sourceID=55","")</f>
        <v/>
      </c>
      <c r="P250" s="4" t="str">
        <f>HYPERLINK("http://141.218.60.56/~jnz1568/getInfo.php?workbook=16_15.xlsx&amp;sheet=A0&amp;row=250&amp;col=16&amp;number=&amp;sourceID=55","")</f>
        <v/>
      </c>
      <c r="Q250" s="4" t="str">
        <f>HYPERLINK("http://141.218.60.56/~jnz1568/getInfo.php?workbook=16_15.xlsx&amp;sheet=A0&amp;row=250&amp;col=17&amp;number=&amp;sourceID=56","")</f>
        <v/>
      </c>
      <c r="R250" s="4" t="str">
        <f>HYPERLINK("http://141.218.60.56/~jnz1568/getInfo.php?workbook=16_15.xlsx&amp;sheet=A0&amp;row=250&amp;col=18&amp;number=&amp;sourceID=56","")</f>
        <v/>
      </c>
      <c r="S250" s="4" t="str">
        <f>HYPERLINK("http://141.218.60.56/~jnz1568/getInfo.php?workbook=16_15.xlsx&amp;sheet=A0&amp;row=250&amp;col=19&amp;number=&amp;sourceID=57","")</f>
        <v/>
      </c>
      <c r="T250" s="4" t="str">
        <f>HYPERLINK("http://141.218.60.56/~jnz1568/getInfo.php?workbook=16_15.xlsx&amp;sheet=A0&amp;row=250&amp;col=20&amp;number=&amp;sourceID=57","")</f>
        <v/>
      </c>
      <c r="U250" s="4" t="str">
        <f>HYPERLINK("http://141.218.60.56/~jnz1568/getInfo.php?workbook=16_15.xlsx&amp;sheet=A0&amp;row=250&amp;col=21&amp;number=&amp;sourceID=47","")</f>
        <v/>
      </c>
      <c r="V250" s="4" t="str">
        <f>HYPERLINK("http://141.218.60.56/~jnz1568/getInfo.php?workbook=16_15.xlsx&amp;sheet=A0&amp;row=250&amp;col=22&amp;number=&amp;sourceID=47","")</f>
        <v/>
      </c>
    </row>
    <row r="251" spans="1:22">
      <c r="A251" s="3">
        <v>16</v>
      </c>
      <c r="B251" s="3">
        <v>15</v>
      </c>
      <c r="C251" s="3">
        <v>25</v>
      </c>
      <c r="D251" s="3">
        <v>16</v>
      </c>
      <c r="E251" s="3">
        <f>((1/(INDEX(E0!J$4:J$73,C251,1)-INDEX(E0!J$4:J$73,D251,1))))*100000000</f>
        <v>0</v>
      </c>
      <c r="F251" s="4" t="str">
        <f>HYPERLINK("http://141.218.60.56/~jnz1568/getInfo.php?workbook=16_15.xlsx&amp;sheet=A0&amp;row=251&amp;col=6&amp;number=&amp;sourceID=54","")</f>
        <v/>
      </c>
      <c r="G251" s="4" t="str">
        <f>HYPERLINK("http://141.218.60.56/~jnz1568/getInfo.php?workbook=16_15.xlsx&amp;sheet=A0&amp;row=251&amp;col=7&amp;number=0.0045046&amp;sourceID=54","0.0045046")</f>
        <v>0.0045046</v>
      </c>
      <c r="H251" s="4" t="str">
        <f>HYPERLINK("http://141.218.60.56/~jnz1568/getInfo.php?workbook=16_15.xlsx&amp;sheet=A0&amp;row=251&amp;col=8&amp;number=2.9448e-05&amp;sourceID=54","2.9448e-05")</f>
        <v>2.9448e-05</v>
      </c>
      <c r="I251" s="4" t="str">
        <f>HYPERLINK("http://141.218.60.56/~jnz1568/getInfo.php?workbook=16_15.xlsx&amp;sheet=A0&amp;row=251&amp;col=9&amp;number=&amp;sourceID=54","")</f>
        <v/>
      </c>
      <c r="J251" s="4" t="str">
        <f>HYPERLINK("http://141.218.60.56/~jnz1568/getInfo.php?workbook=16_15.xlsx&amp;sheet=A0&amp;row=251&amp;col=10&amp;number=0.0023308&amp;sourceID=54","0.0023308")</f>
        <v>0.0023308</v>
      </c>
      <c r="K251" s="4" t="str">
        <f>HYPERLINK("http://141.218.60.56/~jnz1568/getInfo.php?workbook=16_15.xlsx&amp;sheet=A0&amp;row=251&amp;col=11&amp;number=2.3189e-05&amp;sourceID=54","2.3189e-05")</f>
        <v>2.3189e-05</v>
      </c>
      <c r="L251" s="4" t="str">
        <f>HYPERLINK("http://141.218.60.56/~jnz1568/getInfo.php?workbook=16_15.xlsx&amp;sheet=A0&amp;row=251&amp;col=12&amp;number=&amp;sourceID=53","")</f>
        <v/>
      </c>
      <c r="M251" s="4" t="str">
        <f>HYPERLINK("http://141.218.60.56/~jnz1568/getInfo.php?workbook=16_15.xlsx&amp;sheet=A0&amp;row=251&amp;col=13&amp;number=&amp;sourceID=53","")</f>
        <v/>
      </c>
      <c r="N251" s="4" t="str">
        <f>HYPERLINK("http://141.218.60.56/~jnz1568/getInfo.php?workbook=16_15.xlsx&amp;sheet=A0&amp;row=251&amp;col=14&amp;number=&amp;sourceID=53","")</f>
        <v/>
      </c>
      <c r="O251" s="4" t="str">
        <f>HYPERLINK("http://141.218.60.56/~jnz1568/getInfo.php?workbook=16_15.xlsx&amp;sheet=A0&amp;row=251&amp;col=15&amp;number=&amp;sourceID=55","")</f>
        <v/>
      </c>
      <c r="P251" s="4" t="str">
        <f>HYPERLINK("http://141.218.60.56/~jnz1568/getInfo.php?workbook=16_15.xlsx&amp;sheet=A0&amp;row=251&amp;col=16&amp;number=&amp;sourceID=55","")</f>
        <v/>
      </c>
      <c r="Q251" s="4" t="str">
        <f>HYPERLINK("http://141.218.60.56/~jnz1568/getInfo.php?workbook=16_15.xlsx&amp;sheet=A0&amp;row=251&amp;col=17&amp;number=&amp;sourceID=56","")</f>
        <v/>
      </c>
      <c r="R251" s="4" t="str">
        <f>HYPERLINK("http://141.218.60.56/~jnz1568/getInfo.php?workbook=16_15.xlsx&amp;sheet=A0&amp;row=251&amp;col=18&amp;number=&amp;sourceID=56","")</f>
        <v/>
      </c>
      <c r="S251" s="4" t="str">
        <f>HYPERLINK("http://141.218.60.56/~jnz1568/getInfo.php?workbook=16_15.xlsx&amp;sheet=A0&amp;row=251&amp;col=19&amp;number=&amp;sourceID=57","")</f>
        <v/>
      </c>
      <c r="T251" s="4" t="str">
        <f>HYPERLINK("http://141.218.60.56/~jnz1568/getInfo.php?workbook=16_15.xlsx&amp;sheet=A0&amp;row=251&amp;col=20&amp;number=&amp;sourceID=57","")</f>
        <v/>
      </c>
      <c r="U251" s="4" t="str">
        <f>HYPERLINK("http://141.218.60.56/~jnz1568/getInfo.php?workbook=16_15.xlsx&amp;sheet=A0&amp;row=251&amp;col=21&amp;number=&amp;sourceID=47","")</f>
        <v/>
      </c>
      <c r="V251" s="4" t="str">
        <f>HYPERLINK("http://141.218.60.56/~jnz1568/getInfo.php?workbook=16_15.xlsx&amp;sheet=A0&amp;row=251&amp;col=22&amp;number=&amp;sourceID=47","")</f>
        <v/>
      </c>
    </row>
    <row r="252" spans="1:22">
      <c r="A252" s="3">
        <v>16</v>
      </c>
      <c r="B252" s="3">
        <v>15</v>
      </c>
      <c r="C252" s="3">
        <v>25</v>
      </c>
      <c r="D252" s="3">
        <v>17</v>
      </c>
      <c r="E252" s="3">
        <f>((1/(INDEX(E0!J$4:J$73,C252,1)-INDEX(E0!J$4:J$73,D252,1))))*100000000</f>
        <v>0</v>
      </c>
      <c r="F252" s="4" t="str">
        <f>HYPERLINK("http://141.218.60.56/~jnz1568/getInfo.php?workbook=16_15.xlsx&amp;sheet=A0&amp;row=252&amp;col=6&amp;number=&amp;sourceID=54","")</f>
        <v/>
      </c>
      <c r="G252" s="4" t="str">
        <f>HYPERLINK("http://141.218.60.56/~jnz1568/getInfo.php?workbook=16_15.xlsx&amp;sheet=A0&amp;row=252&amp;col=7&amp;number=9.95e-05&amp;sourceID=54","9.95e-05")</f>
        <v>9.95e-05</v>
      </c>
      <c r="H252" s="4" t="str">
        <f>HYPERLINK("http://141.218.60.56/~jnz1568/getInfo.php?workbook=16_15.xlsx&amp;sheet=A0&amp;row=252&amp;col=8&amp;number=0.00043089&amp;sourceID=54","0.00043089")</f>
        <v>0.00043089</v>
      </c>
      <c r="I252" s="4" t="str">
        <f>HYPERLINK("http://141.218.60.56/~jnz1568/getInfo.php?workbook=16_15.xlsx&amp;sheet=A0&amp;row=252&amp;col=9&amp;number=&amp;sourceID=54","")</f>
        <v/>
      </c>
      <c r="J252" s="4" t="str">
        <f>HYPERLINK("http://141.218.60.56/~jnz1568/getInfo.php?workbook=16_15.xlsx&amp;sheet=A0&amp;row=252&amp;col=10&amp;number=0.0001002&amp;sourceID=54","0.0001002")</f>
        <v>0.0001002</v>
      </c>
      <c r="K252" s="4" t="str">
        <f>HYPERLINK("http://141.218.60.56/~jnz1568/getInfo.php?workbook=16_15.xlsx&amp;sheet=A0&amp;row=252&amp;col=11&amp;number=0.0004082&amp;sourceID=54","0.0004082")</f>
        <v>0.0004082</v>
      </c>
      <c r="L252" s="4" t="str">
        <f>HYPERLINK("http://141.218.60.56/~jnz1568/getInfo.php?workbook=16_15.xlsx&amp;sheet=A0&amp;row=252&amp;col=12&amp;number=&amp;sourceID=53","")</f>
        <v/>
      </c>
      <c r="M252" s="4" t="str">
        <f>HYPERLINK("http://141.218.60.56/~jnz1568/getInfo.php?workbook=16_15.xlsx&amp;sheet=A0&amp;row=252&amp;col=13&amp;number=&amp;sourceID=53","")</f>
        <v/>
      </c>
      <c r="N252" s="4" t="str">
        <f>HYPERLINK("http://141.218.60.56/~jnz1568/getInfo.php?workbook=16_15.xlsx&amp;sheet=A0&amp;row=252&amp;col=14&amp;number=&amp;sourceID=53","")</f>
        <v/>
      </c>
      <c r="O252" s="4" t="str">
        <f>HYPERLINK("http://141.218.60.56/~jnz1568/getInfo.php?workbook=16_15.xlsx&amp;sheet=A0&amp;row=252&amp;col=15&amp;number=&amp;sourceID=55","")</f>
        <v/>
      </c>
      <c r="P252" s="4" t="str">
        <f>HYPERLINK("http://141.218.60.56/~jnz1568/getInfo.php?workbook=16_15.xlsx&amp;sheet=A0&amp;row=252&amp;col=16&amp;number=&amp;sourceID=55","")</f>
        <v/>
      </c>
      <c r="Q252" s="4" t="str">
        <f>HYPERLINK("http://141.218.60.56/~jnz1568/getInfo.php?workbook=16_15.xlsx&amp;sheet=A0&amp;row=252&amp;col=17&amp;number=&amp;sourceID=56","")</f>
        <v/>
      </c>
      <c r="R252" s="4" t="str">
        <f>HYPERLINK("http://141.218.60.56/~jnz1568/getInfo.php?workbook=16_15.xlsx&amp;sheet=A0&amp;row=252&amp;col=18&amp;number=&amp;sourceID=56","")</f>
        <v/>
      </c>
      <c r="S252" s="4" t="str">
        <f>HYPERLINK("http://141.218.60.56/~jnz1568/getInfo.php?workbook=16_15.xlsx&amp;sheet=A0&amp;row=252&amp;col=19&amp;number=&amp;sourceID=57","")</f>
        <v/>
      </c>
      <c r="T252" s="4" t="str">
        <f>HYPERLINK("http://141.218.60.56/~jnz1568/getInfo.php?workbook=16_15.xlsx&amp;sheet=A0&amp;row=252&amp;col=20&amp;number=&amp;sourceID=57","")</f>
        <v/>
      </c>
      <c r="U252" s="4" t="str">
        <f>HYPERLINK("http://141.218.60.56/~jnz1568/getInfo.php?workbook=16_15.xlsx&amp;sheet=A0&amp;row=252&amp;col=21&amp;number=&amp;sourceID=47","")</f>
        <v/>
      </c>
      <c r="V252" s="4" t="str">
        <f>HYPERLINK("http://141.218.60.56/~jnz1568/getInfo.php?workbook=16_15.xlsx&amp;sheet=A0&amp;row=252&amp;col=22&amp;number=&amp;sourceID=47","")</f>
        <v/>
      </c>
    </row>
    <row r="253" spans="1:22">
      <c r="A253" s="3">
        <v>16</v>
      </c>
      <c r="B253" s="3">
        <v>15</v>
      </c>
      <c r="C253" s="3">
        <v>25</v>
      </c>
      <c r="D253" s="3">
        <v>18</v>
      </c>
      <c r="E253" s="3">
        <f>((1/(INDEX(E0!J$4:J$73,C253,1)-INDEX(E0!J$4:J$73,D253,1))))*100000000</f>
        <v>0</v>
      </c>
      <c r="F253" s="4" t="str">
        <f>HYPERLINK("http://141.218.60.56/~jnz1568/getInfo.php?workbook=16_15.xlsx&amp;sheet=A0&amp;row=253&amp;col=6&amp;number=&amp;sourceID=54","")</f>
        <v/>
      </c>
      <c r="G253" s="4" t="str">
        <f>HYPERLINK("http://141.218.60.56/~jnz1568/getInfo.php?workbook=16_15.xlsx&amp;sheet=A0&amp;row=253&amp;col=7&amp;number=0.00047721&amp;sourceID=54","0.00047721")</f>
        <v>0.00047721</v>
      </c>
      <c r="H253" s="4" t="str">
        <f>HYPERLINK("http://141.218.60.56/~jnz1568/getInfo.php?workbook=16_15.xlsx&amp;sheet=A0&amp;row=253&amp;col=8&amp;number=0.0017551&amp;sourceID=54","0.0017551")</f>
        <v>0.0017551</v>
      </c>
      <c r="I253" s="4" t="str">
        <f>HYPERLINK("http://141.218.60.56/~jnz1568/getInfo.php?workbook=16_15.xlsx&amp;sheet=A0&amp;row=253&amp;col=9&amp;number=&amp;sourceID=54","")</f>
        <v/>
      </c>
      <c r="J253" s="4" t="str">
        <f>HYPERLINK("http://141.218.60.56/~jnz1568/getInfo.php?workbook=16_15.xlsx&amp;sheet=A0&amp;row=253&amp;col=10&amp;number=0.00052555&amp;sourceID=54","0.00052555")</f>
        <v>0.00052555</v>
      </c>
      <c r="K253" s="4" t="str">
        <f>HYPERLINK("http://141.218.60.56/~jnz1568/getInfo.php?workbook=16_15.xlsx&amp;sheet=A0&amp;row=253&amp;col=11&amp;number=0.0017369&amp;sourceID=54","0.0017369")</f>
        <v>0.0017369</v>
      </c>
      <c r="L253" s="4" t="str">
        <f>HYPERLINK("http://141.218.60.56/~jnz1568/getInfo.php?workbook=16_15.xlsx&amp;sheet=A0&amp;row=253&amp;col=12&amp;number=&amp;sourceID=53","")</f>
        <v/>
      </c>
      <c r="M253" s="4" t="str">
        <f>HYPERLINK("http://141.218.60.56/~jnz1568/getInfo.php?workbook=16_15.xlsx&amp;sheet=A0&amp;row=253&amp;col=13&amp;number=&amp;sourceID=53","")</f>
        <v/>
      </c>
      <c r="N253" s="4" t="str">
        <f>HYPERLINK("http://141.218.60.56/~jnz1568/getInfo.php?workbook=16_15.xlsx&amp;sheet=A0&amp;row=253&amp;col=14&amp;number=&amp;sourceID=53","")</f>
        <v/>
      </c>
      <c r="O253" s="4" t="str">
        <f>HYPERLINK("http://141.218.60.56/~jnz1568/getInfo.php?workbook=16_15.xlsx&amp;sheet=A0&amp;row=253&amp;col=15&amp;number=&amp;sourceID=55","")</f>
        <v/>
      </c>
      <c r="P253" s="4" t="str">
        <f>HYPERLINK("http://141.218.60.56/~jnz1568/getInfo.php?workbook=16_15.xlsx&amp;sheet=A0&amp;row=253&amp;col=16&amp;number=&amp;sourceID=55","")</f>
        <v/>
      </c>
      <c r="Q253" s="4" t="str">
        <f>HYPERLINK("http://141.218.60.56/~jnz1568/getInfo.php?workbook=16_15.xlsx&amp;sheet=A0&amp;row=253&amp;col=17&amp;number=&amp;sourceID=56","")</f>
        <v/>
      </c>
      <c r="R253" s="4" t="str">
        <f>HYPERLINK("http://141.218.60.56/~jnz1568/getInfo.php?workbook=16_15.xlsx&amp;sheet=A0&amp;row=253&amp;col=18&amp;number=&amp;sourceID=56","")</f>
        <v/>
      </c>
      <c r="S253" s="4" t="str">
        <f>HYPERLINK("http://141.218.60.56/~jnz1568/getInfo.php?workbook=16_15.xlsx&amp;sheet=A0&amp;row=253&amp;col=19&amp;number=&amp;sourceID=57","")</f>
        <v/>
      </c>
      <c r="T253" s="4" t="str">
        <f>HYPERLINK("http://141.218.60.56/~jnz1568/getInfo.php?workbook=16_15.xlsx&amp;sheet=A0&amp;row=253&amp;col=20&amp;number=&amp;sourceID=57","")</f>
        <v/>
      </c>
      <c r="U253" s="4" t="str">
        <f>HYPERLINK("http://141.218.60.56/~jnz1568/getInfo.php?workbook=16_15.xlsx&amp;sheet=A0&amp;row=253&amp;col=21&amp;number=&amp;sourceID=47","")</f>
        <v/>
      </c>
      <c r="V253" s="4" t="str">
        <f>HYPERLINK("http://141.218.60.56/~jnz1568/getInfo.php?workbook=16_15.xlsx&amp;sheet=A0&amp;row=253&amp;col=22&amp;number=&amp;sourceID=47","")</f>
        <v/>
      </c>
    </row>
    <row r="254" spans="1:22">
      <c r="A254" s="3">
        <v>16</v>
      </c>
      <c r="B254" s="3">
        <v>15</v>
      </c>
      <c r="C254" s="3">
        <v>25</v>
      </c>
      <c r="D254" s="3">
        <v>19</v>
      </c>
      <c r="E254" s="3">
        <f>((1/(INDEX(E0!J$4:J$73,C254,1)-INDEX(E0!J$4:J$73,D254,1))))*100000000</f>
        <v>0</v>
      </c>
      <c r="F254" s="4" t="str">
        <f>HYPERLINK("http://141.218.60.56/~jnz1568/getInfo.php?workbook=16_15.xlsx&amp;sheet=A0&amp;row=254&amp;col=6&amp;number=&amp;sourceID=54","")</f>
        <v/>
      </c>
      <c r="G254" s="4" t="str">
        <f>HYPERLINK("http://141.218.60.56/~jnz1568/getInfo.php?workbook=16_15.xlsx&amp;sheet=A0&amp;row=254&amp;col=7&amp;number=0.00094469&amp;sourceID=54","0.00094469")</f>
        <v>0.00094469</v>
      </c>
      <c r="H254" s="4" t="str">
        <f>HYPERLINK("http://141.218.60.56/~jnz1568/getInfo.php?workbook=16_15.xlsx&amp;sheet=A0&amp;row=254&amp;col=8&amp;number=0.0030158&amp;sourceID=54","0.0030158")</f>
        <v>0.0030158</v>
      </c>
      <c r="I254" s="4" t="str">
        <f>HYPERLINK("http://141.218.60.56/~jnz1568/getInfo.php?workbook=16_15.xlsx&amp;sheet=A0&amp;row=254&amp;col=9&amp;number=&amp;sourceID=54","")</f>
        <v/>
      </c>
      <c r="J254" s="4" t="str">
        <f>HYPERLINK("http://141.218.60.56/~jnz1568/getInfo.php?workbook=16_15.xlsx&amp;sheet=A0&amp;row=254&amp;col=10&amp;number=0.0010498&amp;sourceID=54","0.0010498")</f>
        <v>0.0010498</v>
      </c>
      <c r="K254" s="4" t="str">
        <f>HYPERLINK("http://141.218.60.56/~jnz1568/getInfo.php?workbook=16_15.xlsx&amp;sheet=A0&amp;row=254&amp;col=11&amp;number=0.0029322&amp;sourceID=54","0.0029322")</f>
        <v>0.0029322</v>
      </c>
      <c r="L254" s="4" t="str">
        <f>HYPERLINK("http://141.218.60.56/~jnz1568/getInfo.php?workbook=16_15.xlsx&amp;sheet=A0&amp;row=254&amp;col=12&amp;number=&amp;sourceID=53","")</f>
        <v/>
      </c>
      <c r="M254" s="4" t="str">
        <f>HYPERLINK("http://141.218.60.56/~jnz1568/getInfo.php?workbook=16_15.xlsx&amp;sheet=A0&amp;row=254&amp;col=13&amp;number=&amp;sourceID=53","")</f>
        <v/>
      </c>
      <c r="N254" s="4" t="str">
        <f>HYPERLINK("http://141.218.60.56/~jnz1568/getInfo.php?workbook=16_15.xlsx&amp;sheet=A0&amp;row=254&amp;col=14&amp;number=&amp;sourceID=53","")</f>
        <v/>
      </c>
      <c r="O254" s="4" t="str">
        <f>HYPERLINK("http://141.218.60.56/~jnz1568/getInfo.php?workbook=16_15.xlsx&amp;sheet=A0&amp;row=254&amp;col=15&amp;number=&amp;sourceID=55","")</f>
        <v/>
      </c>
      <c r="P254" s="4" t="str">
        <f>HYPERLINK("http://141.218.60.56/~jnz1568/getInfo.php?workbook=16_15.xlsx&amp;sheet=A0&amp;row=254&amp;col=16&amp;number=&amp;sourceID=55","")</f>
        <v/>
      </c>
      <c r="Q254" s="4" t="str">
        <f>HYPERLINK("http://141.218.60.56/~jnz1568/getInfo.php?workbook=16_15.xlsx&amp;sheet=A0&amp;row=254&amp;col=17&amp;number=&amp;sourceID=56","")</f>
        <v/>
      </c>
      <c r="R254" s="4" t="str">
        <f>HYPERLINK("http://141.218.60.56/~jnz1568/getInfo.php?workbook=16_15.xlsx&amp;sheet=A0&amp;row=254&amp;col=18&amp;number=&amp;sourceID=56","")</f>
        <v/>
      </c>
      <c r="S254" s="4" t="str">
        <f>HYPERLINK("http://141.218.60.56/~jnz1568/getInfo.php?workbook=16_15.xlsx&amp;sheet=A0&amp;row=254&amp;col=19&amp;number=&amp;sourceID=57","")</f>
        <v/>
      </c>
      <c r="T254" s="4" t="str">
        <f>HYPERLINK("http://141.218.60.56/~jnz1568/getInfo.php?workbook=16_15.xlsx&amp;sheet=A0&amp;row=254&amp;col=20&amp;number=&amp;sourceID=57","")</f>
        <v/>
      </c>
      <c r="U254" s="4" t="str">
        <f>HYPERLINK("http://141.218.60.56/~jnz1568/getInfo.php?workbook=16_15.xlsx&amp;sheet=A0&amp;row=254&amp;col=21&amp;number=&amp;sourceID=47","")</f>
        <v/>
      </c>
      <c r="V254" s="4" t="str">
        <f>HYPERLINK("http://141.218.60.56/~jnz1568/getInfo.php?workbook=16_15.xlsx&amp;sheet=A0&amp;row=254&amp;col=22&amp;number=&amp;sourceID=47","")</f>
        <v/>
      </c>
    </row>
    <row r="255" spans="1:22">
      <c r="A255" s="3">
        <v>16</v>
      </c>
      <c r="B255" s="3">
        <v>15</v>
      </c>
      <c r="C255" s="3">
        <v>25</v>
      </c>
      <c r="D255" s="3">
        <v>21</v>
      </c>
      <c r="E255" s="3">
        <f>((1/(INDEX(E0!J$4:J$73,C255,1)-INDEX(E0!J$4:J$73,D255,1))))*100000000</f>
        <v>0</v>
      </c>
      <c r="F255" s="4" t="str">
        <f>HYPERLINK("http://141.218.60.56/~jnz1568/getInfo.php?workbook=16_15.xlsx&amp;sheet=A0&amp;row=255&amp;col=6&amp;number=&amp;sourceID=54","")</f>
        <v/>
      </c>
      <c r="G255" s="4" t="str">
        <f>HYPERLINK("http://141.218.60.56/~jnz1568/getInfo.php?workbook=16_15.xlsx&amp;sheet=A0&amp;row=255&amp;col=7&amp;number=1.2678e-07&amp;sourceID=54","1.2678e-07")</f>
        <v>1.2678e-07</v>
      </c>
      <c r="H255" s="4" t="str">
        <f>HYPERLINK("http://141.218.60.56/~jnz1568/getInfo.php?workbook=16_15.xlsx&amp;sheet=A0&amp;row=255&amp;col=8&amp;number=&amp;sourceID=54","")</f>
        <v/>
      </c>
      <c r="I255" s="4" t="str">
        <f>HYPERLINK("http://141.218.60.56/~jnz1568/getInfo.php?workbook=16_15.xlsx&amp;sheet=A0&amp;row=255&amp;col=9&amp;number=&amp;sourceID=54","")</f>
        <v/>
      </c>
      <c r="J255" s="4" t="str">
        <f>HYPERLINK("http://141.218.60.56/~jnz1568/getInfo.php?workbook=16_15.xlsx&amp;sheet=A0&amp;row=255&amp;col=10&amp;number=4.5295e-08&amp;sourceID=54","4.5295e-08")</f>
        <v>4.5295e-08</v>
      </c>
      <c r="K255" s="4" t="str">
        <f>HYPERLINK("http://141.218.60.56/~jnz1568/getInfo.php?workbook=16_15.xlsx&amp;sheet=A0&amp;row=255&amp;col=11&amp;number=&amp;sourceID=54","")</f>
        <v/>
      </c>
      <c r="L255" s="4" t="str">
        <f>HYPERLINK("http://141.218.60.56/~jnz1568/getInfo.php?workbook=16_15.xlsx&amp;sheet=A0&amp;row=255&amp;col=12&amp;number=&amp;sourceID=53","")</f>
        <v/>
      </c>
      <c r="M255" s="4" t="str">
        <f>HYPERLINK("http://141.218.60.56/~jnz1568/getInfo.php?workbook=16_15.xlsx&amp;sheet=A0&amp;row=255&amp;col=13&amp;number=&amp;sourceID=53","")</f>
        <v/>
      </c>
      <c r="N255" s="4" t="str">
        <f>HYPERLINK("http://141.218.60.56/~jnz1568/getInfo.php?workbook=16_15.xlsx&amp;sheet=A0&amp;row=255&amp;col=14&amp;number=&amp;sourceID=53","")</f>
        <v/>
      </c>
      <c r="O255" s="4" t="str">
        <f>HYPERLINK("http://141.218.60.56/~jnz1568/getInfo.php?workbook=16_15.xlsx&amp;sheet=A0&amp;row=255&amp;col=15&amp;number=&amp;sourceID=55","")</f>
        <v/>
      </c>
      <c r="P255" s="4" t="str">
        <f>HYPERLINK("http://141.218.60.56/~jnz1568/getInfo.php?workbook=16_15.xlsx&amp;sheet=A0&amp;row=255&amp;col=16&amp;number=&amp;sourceID=55","")</f>
        <v/>
      </c>
      <c r="Q255" s="4" t="str">
        <f>HYPERLINK("http://141.218.60.56/~jnz1568/getInfo.php?workbook=16_15.xlsx&amp;sheet=A0&amp;row=255&amp;col=17&amp;number=&amp;sourceID=56","")</f>
        <v/>
      </c>
      <c r="R255" s="4" t="str">
        <f>HYPERLINK("http://141.218.60.56/~jnz1568/getInfo.php?workbook=16_15.xlsx&amp;sheet=A0&amp;row=255&amp;col=18&amp;number=&amp;sourceID=56","")</f>
        <v/>
      </c>
      <c r="S255" s="4" t="str">
        <f>HYPERLINK("http://141.218.60.56/~jnz1568/getInfo.php?workbook=16_15.xlsx&amp;sheet=A0&amp;row=255&amp;col=19&amp;number=&amp;sourceID=57","")</f>
        <v/>
      </c>
      <c r="T255" s="4" t="str">
        <f>HYPERLINK("http://141.218.60.56/~jnz1568/getInfo.php?workbook=16_15.xlsx&amp;sheet=A0&amp;row=255&amp;col=20&amp;number=&amp;sourceID=57","")</f>
        <v/>
      </c>
      <c r="U255" s="4" t="str">
        <f>HYPERLINK("http://141.218.60.56/~jnz1568/getInfo.php?workbook=16_15.xlsx&amp;sheet=A0&amp;row=255&amp;col=21&amp;number=&amp;sourceID=47","")</f>
        <v/>
      </c>
      <c r="V255" s="4" t="str">
        <f>HYPERLINK("http://141.218.60.56/~jnz1568/getInfo.php?workbook=16_15.xlsx&amp;sheet=A0&amp;row=255&amp;col=22&amp;number=&amp;sourceID=47","")</f>
        <v/>
      </c>
    </row>
    <row r="256" spans="1:22">
      <c r="A256" s="3">
        <v>16</v>
      </c>
      <c r="B256" s="3">
        <v>15</v>
      </c>
      <c r="C256" s="3">
        <v>25</v>
      </c>
      <c r="D256" s="3">
        <v>23</v>
      </c>
      <c r="E256" s="3">
        <f>((1/(INDEX(E0!J$4:J$73,C256,1)-INDEX(E0!J$4:J$73,D256,1))))*100000000</f>
        <v>0</v>
      </c>
      <c r="F256" s="4" t="str">
        <f>HYPERLINK("http://141.218.60.56/~jnz1568/getInfo.php?workbook=16_15.xlsx&amp;sheet=A0&amp;row=256&amp;col=6&amp;number=&amp;sourceID=54","")</f>
        <v/>
      </c>
      <c r="G256" s="4" t="str">
        <f>HYPERLINK("http://141.218.60.56/~jnz1568/getInfo.php?workbook=16_15.xlsx&amp;sheet=A0&amp;row=256&amp;col=7&amp;number=1.182e-12&amp;sourceID=54","1.182e-12")</f>
        <v>1.182e-12</v>
      </c>
      <c r="H256" s="4" t="str">
        <f>HYPERLINK("http://141.218.60.56/~jnz1568/getInfo.php?workbook=16_15.xlsx&amp;sheet=A0&amp;row=256&amp;col=8&amp;number=&amp;sourceID=54","")</f>
        <v/>
      </c>
      <c r="I256" s="4" t="str">
        <f>HYPERLINK("http://141.218.60.56/~jnz1568/getInfo.php?workbook=16_15.xlsx&amp;sheet=A0&amp;row=256&amp;col=9&amp;number=&amp;sourceID=54","")</f>
        <v/>
      </c>
      <c r="J256" s="4" t="str">
        <f>HYPERLINK("http://141.218.60.56/~jnz1568/getInfo.php?workbook=16_15.xlsx&amp;sheet=A0&amp;row=256&amp;col=10&amp;number=3.7e-13&amp;sourceID=54","3.7e-13")</f>
        <v>3.7e-13</v>
      </c>
      <c r="K256" s="4" t="str">
        <f>HYPERLINK("http://141.218.60.56/~jnz1568/getInfo.php?workbook=16_15.xlsx&amp;sheet=A0&amp;row=256&amp;col=11&amp;number=&amp;sourceID=54","")</f>
        <v/>
      </c>
      <c r="L256" s="4" t="str">
        <f>HYPERLINK("http://141.218.60.56/~jnz1568/getInfo.php?workbook=16_15.xlsx&amp;sheet=A0&amp;row=256&amp;col=12&amp;number=&amp;sourceID=53","")</f>
        <v/>
      </c>
      <c r="M256" s="4" t="str">
        <f>HYPERLINK("http://141.218.60.56/~jnz1568/getInfo.php?workbook=16_15.xlsx&amp;sheet=A0&amp;row=256&amp;col=13&amp;number=&amp;sourceID=53","")</f>
        <v/>
      </c>
      <c r="N256" s="4" t="str">
        <f>HYPERLINK("http://141.218.60.56/~jnz1568/getInfo.php?workbook=16_15.xlsx&amp;sheet=A0&amp;row=256&amp;col=14&amp;number=&amp;sourceID=53","")</f>
        <v/>
      </c>
      <c r="O256" s="4" t="str">
        <f>HYPERLINK("http://141.218.60.56/~jnz1568/getInfo.php?workbook=16_15.xlsx&amp;sheet=A0&amp;row=256&amp;col=15&amp;number=&amp;sourceID=55","")</f>
        <v/>
      </c>
      <c r="P256" s="4" t="str">
        <f>HYPERLINK("http://141.218.60.56/~jnz1568/getInfo.php?workbook=16_15.xlsx&amp;sheet=A0&amp;row=256&amp;col=16&amp;number=&amp;sourceID=55","")</f>
        <v/>
      </c>
      <c r="Q256" s="4" t="str">
        <f>HYPERLINK("http://141.218.60.56/~jnz1568/getInfo.php?workbook=16_15.xlsx&amp;sheet=A0&amp;row=256&amp;col=17&amp;number=&amp;sourceID=56","")</f>
        <v/>
      </c>
      <c r="R256" s="4" t="str">
        <f>HYPERLINK("http://141.218.60.56/~jnz1568/getInfo.php?workbook=16_15.xlsx&amp;sheet=A0&amp;row=256&amp;col=18&amp;number=&amp;sourceID=56","")</f>
        <v/>
      </c>
      <c r="S256" s="4" t="str">
        <f>HYPERLINK("http://141.218.60.56/~jnz1568/getInfo.php?workbook=16_15.xlsx&amp;sheet=A0&amp;row=256&amp;col=19&amp;number=&amp;sourceID=57","")</f>
        <v/>
      </c>
      <c r="T256" s="4" t="str">
        <f>HYPERLINK("http://141.218.60.56/~jnz1568/getInfo.php?workbook=16_15.xlsx&amp;sheet=A0&amp;row=256&amp;col=20&amp;number=&amp;sourceID=57","")</f>
        <v/>
      </c>
      <c r="U256" s="4" t="str">
        <f>HYPERLINK("http://141.218.60.56/~jnz1568/getInfo.php?workbook=16_15.xlsx&amp;sheet=A0&amp;row=256&amp;col=21&amp;number=&amp;sourceID=47","")</f>
        <v/>
      </c>
      <c r="V256" s="4" t="str">
        <f>HYPERLINK("http://141.218.60.56/~jnz1568/getInfo.php?workbook=16_15.xlsx&amp;sheet=A0&amp;row=256&amp;col=22&amp;number=&amp;sourceID=47","")</f>
        <v/>
      </c>
    </row>
    <row r="257" spans="1:22">
      <c r="A257" s="3">
        <v>16</v>
      </c>
      <c r="B257" s="3">
        <v>15</v>
      </c>
      <c r="C257" s="3">
        <v>25</v>
      </c>
      <c r="D257" s="3">
        <v>24</v>
      </c>
      <c r="E257" s="3">
        <f>((1/(INDEX(E0!J$4:J$73,C257,1)-INDEX(E0!J$4:J$73,D257,1))))*100000000</f>
        <v>0</v>
      </c>
      <c r="F257" s="4" t="str">
        <f>HYPERLINK("http://141.218.60.56/~jnz1568/getInfo.php?workbook=16_15.xlsx&amp;sheet=A0&amp;row=257&amp;col=6&amp;number=&amp;sourceID=54","")</f>
        <v/>
      </c>
      <c r="G257" s="4" t="str">
        <f>HYPERLINK("http://141.218.60.56/~jnz1568/getInfo.php?workbook=16_15.xlsx&amp;sheet=A0&amp;row=257&amp;col=7&amp;number=3.41e-13&amp;sourceID=54","3.41e-13")</f>
        <v>3.41e-13</v>
      </c>
      <c r="H257" s="4" t="str">
        <f>HYPERLINK("http://141.218.60.56/~jnz1568/getInfo.php?workbook=16_15.xlsx&amp;sheet=A0&amp;row=257&amp;col=8&amp;number=3.9648e-06&amp;sourceID=54","3.9648e-06")</f>
        <v>3.9648e-06</v>
      </c>
      <c r="I257" s="4" t="str">
        <f>HYPERLINK("http://141.218.60.56/~jnz1568/getInfo.php?workbook=16_15.xlsx&amp;sheet=A0&amp;row=257&amp;col=9&amp;number=&amp;sourceID=54","")</f>
        <v/>
      </c>
      <c r="J257" s="4" t="str">
        <f>HYPERLINK("http://141.218.60.56/~jnz1568/getInfo.php?workbook=16_15.xlsx&amp;sheet=A0&amp;row=257&amp;col=10&amp;number=1.23e-13&amp;sourceID=54","1.23e-13")</f>
        <v>1.23e-13</v>
      </c>
      <c r="K257" s="4" t="str">
        <f>HYPERLINK("http://141.218.60.56/~jnz1568/getInfo.php?workbook=16_15.xlsx&amp;sheet=A0&amp;row=257&amp;col=11&amp;number=2.1685e-06&amp;sourceID=54","2.1685e-06")</f>
        <v>2.1685e-06</v>
      </c>
      <c r="L257" s="4" t="str">
        <f>HYPERLINK("http://141.218.60.56/~jnz1568/getInfo.php?workbook=16_15.xlsx&amp;sheet=A0&amp;row=257&amp;col=12&amp;number=&amp;sourceID=53","")</f>
        <v/>
      </c>
      <c r="M257" s="4" t="str">
        <f>HYPERLINK("http://141.218.60.56/~jnz1568/getInfo.php?workbook=16_15.xlsx&amp;sheet=A0&amp;row=257&amp;col=13&amp;number=&amp;sourceID=53","")</f>
        <v/>
      </c>
      <c r="N257" s="4" t="str">
        <f>HYPERLINK("http://141.218.60.56/~jnz1568/getInfo.php?workbook=16_15.xlsx&amp;sheet=A0&amp;row=257&amp;col=14&amp;number=&amp;sourceID=53","")</f>
        <v/>
      </c>
      <c r="O257" s="4" t="str">
        <f>HYPERLINK("http://141.218.60.56/~jnz1568/getInfo.php?workbook=16_15.xlsx&amp;sheet=A0&amp;row=257&amp;col=15&amp;number=&amp;sourceID=55","")</f>
        <v/>
      </c>
      <c r="P257" s="4" t="str">
        <f>HYPERLINK("http://141.218.60.56/~jnz1568/getInfo.php?workbook=16_15.xlsx&amp;sheet=A0&amp;row=257&amp;col=16&amp;number=&amp;sourceID=55","")</f>
        <v/>
      </c>
      <c r="Q257" s="4" t="str">
        <f>HYPERLINK("http://141.218.60.56/~jnz1568/getInfo.php?workbook=16_15.xlsx&amp;sheet=A0&amp;row=257&amp;col=17&amp;number=&amp;sourceID=56","")</f>
        <v/>
      </c>
      <c r="R257" s="4" t="str">
        <f>HYPERLINK("http://141.218.60.56/~jnz1568/getInfo.php?workbook=16_15.xlsx&amp;sheet=A0&amp;row=257&amp;col=18&amp;number=&amp;sourceID=56","")</f>
        <v/>
      </c>
      <c r="S257" s="4" t="str">
        <f>HYPERLINK("http://141.218.60.56/~jnz1568/getInfo.php?workbook=16_15.xlsx&amp;sheet=A0&amp;row=257&amp;col=19&amp;number=&amp;sourceID=57","")</f>
        <v/>
      </c>
      <c r="T257" s="4" t="str">
        <f>HYPERLINK("http://141.218.60.56/~jnz1568/getInfo.php?workbook=16_15.xlsx&amp;sheet=A0&amp;row=257&amp;col=20&amp;number=&amp;sourceID=57","")</f>
        <v/>
      </c>
      <c r="U257" s="4" t="str">
        <f>HYPERLINK("http://141.218.60.56/~jnz1568/getInfo.php?workbook=16_15.xlsx&amp;sheet=A0&amp;row=257&amp;col=21&amp;number=&amp;sourceID=47","")</f>
        <v/>
      </c>
      <c r="V257" s="4" t="str">
        <f>HYPERLINK("http://141.218.60.56/~jnz1568/getInfo.php?workbook=16_15.xlsx&amp;sheet=A0&amp;row=257&amp;col=22&amp;number=&amp;sourceID=47","")</f>
        <v/>
      </c>
    </row>
    <row r="258" spans="1:22">
      <c r="A258" s="3">
        <v>16</v>
      </c>
      <c r="B258" s="3">
        <v>15</v>
      </c>
      <c r="C258" s="3">
        <v>26</v>
      </c>
      <c r="D258" s="3">
        <v>1</v>
      </c>
      <c r="E258" s="3">
        <f>((1/(INDEX(E0!J$4:J$73,C258,1)-INDEX(E0!J$4:J$73,D258,1))))*100000000</f>
        <v>0</v>
      </c>
      <c r="F258" s="4" t="str">
        <f>HYPERLINK("http://141.218.60.56/~jnz1568/getInfo.php?workbook=16_15.xlsx&amp;sheet=A0&amp;row=258&amp;col=6&amp;number=14507&amp;sourceID=54","14507")</f>
        <v>14507</v>
      </c>
      <c r="G258" s="4" t="str">
        <f>HYPERLINK("http://141.218.60.56/~jnz1568/getInfo.php?workbook=16_15.xlsx&amp;sheet=A0&amp;row=258&amp;col=7&amp;number=&amp;sourceID=54","")</f>
        <v/>
      </c>
      <c r="H258" s="4" t="str">
        <f>HYPERLINK("http://141.218.60.56/~jnz1568/getInfo.php?workbook=16_15.xlsx&amp;sheet=A0&amp;row=258&amp;col=8&amp;number=&amp;sourceID=54","")</f>
        <v/>
      </c>
      <c r="I258" s="4" t="str">
        <f>HYPERLINK("http://141.218.60.56/~jnz1568/getInfo.php?workbook=16_15.xlsx&amp;sheet=A0&amp;row=258&amp;col=9&amp;number=32138&amp;sourceID=54","32138")</f>
        <v>32138</v>
      </c>
      <c r="J258" s="4" t="str">
        <f>HYPERLINK("http://141.218.60.56/~jnz1568/getInfo.php?workbook=16_15.xlsx&amp;sheet=A0&amp;row=258&amp;col=10&amp;number=&amp;sourceID=54","")</f>
        <v/>
      </c>
      <c r="K258" s="4" t="str">
        <f>HYPERLINK("http://141.218.60.56/~jnz1568/getInfo.php?workbook=16_15.xlsx&amp;sheet=A0&amp;row=258&amp;col=11&amp;number=&amp;sourceID=54","")</f>
        <v/>
      </c>
      <c r="L258" s="4" t="str">
        <f>HYPERLINK("http://141.218.60.56/~jnz1568/getInfo.php?workbook=16_15.xlsx&amp;sheet=A0&amp;row=258&amp;col=12&amp;number=37096.0161456&amp;sourceID=53","37096.0161456")</f>
        <v>37096.0161456</v>
      </c>
      <c r="M258" s="4" t="str">
        <f>HYPERLINK("http://141.218.60.56/~jnz1568/getInfo.php?workbook=16_15.xlsx&amp;sheet=A0&amp;row=258&amp;col=13&amp;number=&amp;sourceID=53","")</f>
        <v/>
      </c>
      <c r="N258" s="4" t="str">
        <f>HYPERLINK("http://141.218.60.56/~jnz1568/getInfo.php?workbook=16_15.xlsx&amp;sheet=A0&amp;row=258&amp;col=14&amp;number=&amp;sourceID=53","")</f>
        <v/>
      </c>
      <c r="O258" s="4" t="str">
        <f>HYPERLINK("http://141.218.60.56/~jnz1568/getInfo.php?workbook=16_15.xlsx&amp;sheet=A0&amp;row=258&amp;col=15&amp;number=&amp;sourceID=55","")</f>
        <v/>
      </c>
      <c r="P258" s="4" t="str">
        <f>HYPERLINK("http://141.218.60.56/~jnz1568/getInfo.php?workbook=16_15.xlsx&amp;sheet=A0&amp;row=258&amp;col=16&amp;number=&amp;sourceID=55","")</f>
        <v/>
      </c>
      <c r="Q258" s="4" t="str">
        <f>HYPERLINK("http://141.218.60.56/~jnz1568/getInfo.php?workbook=16_15.xlsx&amp;sheet=A0&amp;row=258&amp;col=17&amp;number=&amp;sourceID=56","")</f>
        <v/>
      </c>
      <c r="R258" s="4" t="str">
        <f>HYPERLINK("http://141.218.60.56/~jnz1568/getInfo.php?workbook=16_15.xlsx&amp;sheet=A0&amp;row=258&amp;col=18&amp;number=&amp;sourceID=56","")</f>
        <v/>
      </c>
      <c r="S258" s="4" t="str">
        <f>HYPERLINK("http://141.218.60.56/~jnz1568/getInfo.php?workbook=16_15.xlsx&amp;sheet=A0&amp;row=258&amp;col=19&amp;number=&amp;sourceID=57","")</f>
        <v/>
      </c>
      <c r="T258" s="4" t="str">
        <f>HYPERLINK("http://141.218.60.56/~jnz1568/getInfo.php?workbook=16_15.xlsx&amp;sheet=A0&amp;row=258&amp;col=20&amp;number=&amp;sourceID=57","")</f>
        <v/>
      </c>
      <c r="U258" s="4" t="str">
        <f>HYPERLINK("http://141.218.60.56/~jnz1568/getInfo.php?workbook=16_15.xlsx&amp;sheet=A0&amp;row=258&amp;col=21&amp;number=&amp;sourceID=47","")</f>
        <v/>
      </c>
      <c r="V258" s="4" t="str">
        <f>HYPERLINK("http://141.218.60.56/~jnz1568/getInfo.php?workbook=16_15.xlsx&amp;sheet=A0&amp;row=258&amp;col=22&amp;number=&amp;sourceID=47","")</f>
        <v/>
      </c>
    </row>
    <row r="259" spans="1:22">
      <c r="A259" s="3">
        <v>16</v>
      </c>
      <c r="B259" s="3">
        <v>15</v>
      </c>
      <c r="C259" s="3">
        <v>26</v>
      </c>
      <c r="D259" s="3">
        <v>2</v>
      </c>
      <c r="E259" s="3">
        <f>((1/(INDEX(E0!J$4:J$73,C259,1)-INDEX(E0!J$4:J$73,D259,1))))*100000000</f>
        <v>0</v>
      </c>
      <c r="F259" s="4" t="str">
        <f>HYPERLINK("http://141.218.60.56/~jnz1568/getInfo.php?workbook=16_15.xlsx&amp;sheet=A0&amp;row=259&amp;col=6&amp;number=36832000&amp;sourceID=54","36832000")</f>
        <v>36832000</v>
      </c>
      <c r="G259" s="4" t="str">
        <f>HYPERLINK("http://141.218.60.56/~jnz1568/getInfo.php?workbook=16_15.xlsx&amp;sheet=A0&amp;row=259&amp;col=7&amp;number=&amp;sourceID=54","")</f>
        <v/>
      </c>
      <c r="H259" s="4" t="str">
        <f>HYPERLINK("http://141.218.60.56/~jnz1568/getInfo.php?workbook=16_15.xlsx&amp;sheet=A0&amp;row=259&amp;col=8&amp;number=&amp;sourceID=54","")</f>
        <v/>
      </c>
      <c r="I259" s="4" t="str">
        <f>HYPERLINK("http://141.218.60.56/~jnz1568/getInfo.php?workbook=16_15.xlsx&amp;sheet=A0&amp;row=259&amp;col=9&amp;number=36181000&amp;sourceID=54","36181000")</f>
        <v>36181000</v>
      </c>
      <c r="J259" s="4" t="str">
        <f>HYPERLINK("http://141.218.60.56/~jnz1568/getInfo.php?workbook=16_15.xlsx&amp;sheet=A0&amp;row=259&amp;col=10&amp;number=&amp;sourceID=54","")</f>
        <v/>
      </c>
      <c r="K259" s="4" t="str">
        <f>HYPERLINK("http://141.218.60.56/~jnz1568/getInfo.php?workbook=16_15.xlsx&amp;sheet=A0&amp;row=259&amp;col=11&amp;number=&amp;sourceID=54","")</f>
        <v/>
      </c>
      <c r="L259" s="4" t="str">
        <f>HYPERLINK("http://141.218.60.56/~jnz1568/getInfo.php?workbook=16_15.xlsx&amp;sheet=A0&amp;row=259&amp;col=12&amp;number=25255981.2012&amp;sourceID=53","25255981.2012")</f>
        <v>25255981.2012</v>
      </c>
      <c r="M259" s="4" t="str">
        <f>HYPERLINK("http://141.218.60.56/~jnz1568/getInfo.php?workbook=16_15.xlsx&amp;sheet=A0&amp;row=259&amp;col=13&amp;number=&amp;sourceID=53","")</f>
        <v/>
      </c>
      <c r="N259" s="4" t="str">
        <f>HYPERLINK("http://141.218.60.56/~jnz1568/getInfo.php?workbook=16_15.xlsx&amp;sheet=A0&amp;row=259&amp;col=14&amp;number=&amp;sourceID=53","")</f>
        <v/>
      </c>
      <c r="O259" s="4" t="str">
        <f>HYPERLINK("http://141.218.60.56/~jnz1568/getInfo.php?workbook=16_15.xlsx&amp;sheet=A0&amp;row=259&amp;col=15&amp;number=&amp;sourceID=55","")</f>
        <v/>
      </c>
      <c r="P259" s="4" t="str">
        <f>HYPERLINK("http://141.218.60.56/~jnz1568/getInfo.php?workbook=16_15.xlsx&amp;sheet=A0&amp;row=259&amp;col=16&amp;number=&amp;sourceID=55","")</f>
        <v/>
      </c>
      <c r="Q259" s="4" t="str">
        <f>HYPERLINK("http://141.218.60.56/~jnz1568/getInfo.php?workbook=16_15.xlsx&amp;sheet=A0&amp;row=259&amp;col=17&amp;number=&amp;sourceID=56","")</f>
        <v/>
      </c>
      <c r="R259" s="4" t="str">
        <f>HYPERLINK("http://141.218.60.56/~jnz1568/getInfo.php?workbook=16_15.xlsx&amp;sheet=A0&amp;row=259&amp;col=18&amp;number=&amp;sourceID=56","")</f>
        <v/>
      </c>
      <c r="S259" s="4" t="str">
        <f>HYPERLINK("http://141.218.60.56/~jnz1568/getInfo.php?workbook=16_15.xlsx&amp;sheet=A0&amp;row=259&amp;col=19&amp;number=&amp;sourceID=57","")</f>
        <v/>
      </c>
      <c r="T259" s="4" t="str">
        <f>HYPERLINK("http://141.218.60.56/~jnz1568/getInfo.php?workbook=16_15.xlsx&amp;sheet=A0&amp;row=259&amp;col=20&amp;number=&amp;sourceID=57","")</f>
        <v/>
      </c>
      <c r="U259" s="4" t="str">
        <f>HYPERLINK("http://141.218.60.56/~jnz1568/getInfo.php?workbook=16_15.xlsx&amp;sheet=A0&amp;row=259&amp;col=21&amp;number=&amp;sourceID=47","")</f>
        <v/>
      </c>
      <c r="V259" s="4" t="str">
        <f>HYPERLINK("http://141.218.60.56/~jnz1568/getInfo.php?workbook=16_15.xlsx&amp;sheet=A0&amp;row=259&amp;col=22&amp;number=&amp;sourceID=47","")</f>
        <v/>
      </c>
    </row>
    <row r="260" spans="1:22">
      <c r="A260" s="3">
        <v>16</v>
      </c>
      <c r="B260" s="3">
        <v>15</v>
      </c>
      <c r="C260" s="3">
        <v>26</v>
      </c>
      <c r="D260" s="3">
        <v>3</v>
      </c>
      <c r="E260" s="3">
        <f>((1/(INDEX(E0!J$4:J$73,C260,1)-INDEX(E0!J$4:J$73,D260,1))))*100000000</f>
        <v>0</v>
      </c>
      <c r="F260" s="4" t="str">
        <f>HYPERLINK("http://141.218.60.56/~jnz1568/getInfo.php?workbook=16_15.xlsx&amp;sheet=A0&amp;row=260&amp;col=6&amp;number=3371100&amp;sourceID=54","3371100")</f>
        <v>3371100</v>
      </c>
      <c r="G260" s="4" t="str">
        <f>HYPERLINK("http://141.218.60.56/~jnz1568/getInfo.php?workbook=16_15.xlsx&amp;sheet=A0&amp;row=260&amp;col=7&amp;number=&amp;sourceID=54","")</f>
        <v/>
      </c>
      <c r="H260" s="4" t="str">
        <f>HYPERLINK("http://141.218.60.56/~jnz1568/getInfo.php?workbook=16_15.xlsx&amp;sheet=A0&amp;row=260&amp;col=8&amp;number=&amp;sourceID=54","")</f>
        <v/>
      </c>
      <c r="I260" s="4" t="str">
        <f>HYPERLINK("http://141.218.60.56/~jnz1568/getInfo.php?workbook=16_15.xlsx&amp;sheet=A0&amp;row=260&amp;col=9&amp;number=3439700&amp;sourceID=54","3439700")</f>
        <v>3439700</v>
      </c>
      <c r="J260" s="4" t="str">
        <f>HYPERLINK("http://141.218.60.56/~jnz1568/getInfo.php?workbook=16_15.xlsx&amp;sheet=A0&amp;row=260&amp;col=10&amp;number=&amp;sourceID=54","")</f>
        <v/>
      </c>
      <c r="K260" s="4" t="str">
        <f>HYPERLINK("http://141.218.60.56/~jnz1568/getInfo.php?workbook=16_15.xlsx&amp;sheet=A0&amp;row=260&amp;col=11&amp;number=&amp;sourceID=54","")</f>
        <v/>
      </c>
      <c r="L260" s="4" t="str">
        <f>HYPERLINK("http://141.218.60.56/~jnz1568/getInfo.php?workbook=16_15.xlsx&amp;sheet=A0&amp;row=260&amp;col=12&amp;number=2620882.62126&amp;sourceID=53","2620882.62126")</f>
        <v>2620882.62126</v>
      </c>
      <c r="M260" s="4" t="str">
        <f>HYPERLINK("http://141.218.60.56/~jnz1568/getInfo.php?workbook=16_15.xlsx&amp;sheet=A0&amp;row=260&amp;col=13&amp;number=&amp;sourceID=53","")</f>
        <v/>
      </c>
      <c r="N260" s="4" t="str">
        <f>HYPERLINK("http://141.218.60.56/~jnz1568/getInfo.php?workbook=16_15.xlsx&amp;sheet=A0&amp;row=260&amp;col=14&amp;number=&amp;sourceID=53","")</f>
        <v/>
      </c>
      <c r="O260" s="4" t="str">
        <f>HYPERLINK("http://141.218.60.56/~jnz1568/getInfo.php?workbook=16_15.xlsx&amp;sheet=A0&amp;row=260&amp;col=15&amp;number=&amp;sourceID=55","")</f>
        <v/>
      </c>
      <c r="P260" s="4" t="str">
        <f>HYPERLINK("http://141.218.60.56/~jnz1568/getInfo.php?workbook=16_15.xlsx&amp;sheet=A0&amp;row=260&amp;col=16&amp;number=&amp;sourceID=55","")</f>
        <v/>
      </c>
      <c r="Q260" s="4" t="str">
        <f>HYPERLINK("http://141.218.60.56/~jnz1568/getInfo.php?workbook=16_15.xlsx&amp;sheet=A0&amp;row=260&amp;col=17&amp;number=&amp;sourceID=56","")</f>
        <v/>
      </c>
      <c r="R260" s="4" t="str">
        <f>HYPERLINK("http://141.218.60.56/~jnz1568/getInfo.php?workbook=16_15.xlsx&amp;sheet=A0&amp;row=260&amp;col=18&amp;number=&amp;sourceID=56","")</f>
        <v/>
      </c>
      <c r="S260" s="4" t="str">
        <f>HYPERLINK("http://141.218.60.56/~jnz1568/getInfo.php?workbook=16_15.xlsx&amp;sheet=A0&amp;row=260&amp;col=19&amp;number=&amp;sourceID=57","")</f>
        <v/>
      </c>
      <c r="T260" s="4" t="str">
        <f>HYPERLINK("http://141.218.60.56/~jnz1568/getInfo.php?workbook=16_15.xlsx&amp;sheet=A0&amp;row=260&amp;col=20&amp;number=&amp;sourceID=57","")</f>
        <v/>
      </c>
      <c r="U260" s="4" t="str">
        <f>HYPERLINK("http://141.218.60.56/~jnz1568/getInfo.php?workbook=16_15.xlsx&amp;sheet=A0&amp;row=260&amp;col=21&amp;number=&amp;sourceID=47","")</f>
        <v/>
      </c>
      <c r="V260" s="4" t="str">
        <f>HYPERLINK("http://141.218.60.56/~jnz1568/getInfo.php?workbook=16_15.xlsx&amp;sheet=A0&amp;row=260&amp;col=22&amp;number=&amp;sourceID=47","")</f>
        <v/>
      </c>
    </row>
    <row r="261" spans="1:22">
      <c r="A261" s="3">
        <v>16</v>
      </c>
      <c r="B261" s="3">
        <v>15</v>
      </c>
      <c r="C261" s="3">
        <v>26</v>
      </c>
      <c r="D261" s="3">
        <v>5</v>
      </c>
      <c r="E261" s="3">
        <f>((1/(INDEX(E0!J$4:J$73,C261,1)-INDEX(E0!J$4:J$73,D261,1))))*100000000</f>
        <v>0</v>
      </c>
      <c r="F261" s="4" t="str">
        <f>HYPERLINK("http://141.218.60.56/~jnz1568/getInfo.php?workbook=16_15.xlsx&amp;sheet=A0&amp;row=261&amp;col=6&amp;number=15994&amp;sourceID=54","15994")</f>
        <v>15994</v>
      </c>
      <c r="G261" s="4" t="str">
        <f>HYPERLINK("http://141.218.60.56/~jnz1568/getInfo.php?workbook=16_15.xlsx&amp;sheet=A0&amp;row=261&amp;col=7&amp;number=&amp;sourceID=54","")</f>
        <v/>
      </c>
      <c r="H261" s="4" t="str">
        <f>HYPERLINK("http://141.218.60.56/~jnz1568/getInfo.php?workbook=16_15.xlsx&amp;sheet=A0&amp;row=261&amp;col=8&amp;number=&amp;sourceID=54","")</f>
        <v/>
      </c>
      <c r="I261" s="4" t="str">
        <f>HYPERLINK("http://141.218.60.56/~jnz1568/getInfo.php?workbook=16_15.xlsx&amp;sheet=A0&amp;row=261&amp;col=9&amp;number=17668&amp;sourceID=54","17668")</f>
        <v>17668</v>
      </c>
      <c r="J261" s="4" t="str">
        <f>HYPERLINK("http://141.218.60.56/~jnz1568/getInfo.php?workbook=16_15.xlsx&amp;sheet=A0&amp;row=261&amp;col=10&amp;number=&amp;sourceID=54","")</f>
        <v/>
      </c>
      <c r="K261" s="4" t="str">
        <f>HYPERLINK("http://141.218.60.56/~jnz1568/getInfo.php?workbook=16_15.xlsx&amp;sheet=A0&amp;row=261&amp;col=11&amp;number=&amp;sourceID=54","")</f>
        <v/>
      </c>
      <c r="L261" s="4" t="str">
        <f>HYPERLINK("http://141.218.60.56/~jnz1568/getInfo.php?workbook=16_15.xlsx&amp;sheet=A0&amp;row=261&amp;col=12&amp;number=9352.99016838&amp;sourceID=53","9352.99016838")</f>
        <v>9352.99016838</v>
      </c>
      <c r="M261" s="4" t="str">
        <f>HYPERLINK("http://141.218.60.56/~jnz1568/getInfo.php?workbook=16_15.xlsx&amp;sheet=A0&amp;row=261&amp;col=13&amp;number=&amp;sourceID=53","")</f>
        <v/>
      </c>
      <c r="N261" s="4" t="str">
        <f>HYPERLINK("http://141.218.60.56/~jnz1568/getInfo.php?workbook=16_15.xlsx&amp;sheet=A0&amp;row=261&amp;col=14&amp;number=&amp;sourceID=53","")</f>
        <v/>
      </c>
      <c r="O261" s="4" t="str">
        <f>HYPERLINK("http://141.218.60.56/~jnz1568/getInfo.php?workbook=16_15.xlsx&amp;sheet=A0&amp;row=261&amp;col=15&amp;number=&amp;sourceID=55","")</f>
        <v/>
      </c>
      <c r="P261" s="4" t="str">
        <f>HYPERLINK("http://141.218.60.56/~jnz1568/getInfo.php?workbook=16_15.xlsx&amp;sheet=A0&amp;row=261&amp;col=16&amp;number=&amp;sourceID=55","")</f>
        <v/>
      </c>
      <c r="Q261" s="4" t="str">
        <f>HYPERLINK("http://141.218.60.56/~jnz1568/getInfo.php?workbook=16_15.xlsx&amp;sheet=A0&amp;row=261&amp;col=17&amp;number=&amp;sourceID=56","")</f>
        <v/>
      </c>
      <c r="R261" s="4" t="str">
        <f>HYPERLINK("http://141.218.60.56/~jnz1568/getInfo.php?workbook=16_15.xlsx&amp;sheet=A0&amp;row=261&amp;col=18&amp;number=&amp;sourceID=56","")</f>
        <v/>
      </c>
      <c r="S261" s="4" t="str">
        <f>HYPERLINK("http://141.218.60.56/~jnz1568/getInfo.php?workbook=16_15.xlsx&amp;sheet=A0&amp;row=261&amp;col=19&amp;number=&amp;sourceID=57","")</f>
        <v/>
      </c>
      <c r="T261" s="4" t="str">
        <f>HYPERLINK("http://141.218.60.56/~jnz1568/getInfo.php?workbook=16_15.xlsx&amp;sheet=A0&amp;row=261&amp;col=20&amp;number=&amp;sourceID=57","")</f>
        <v/>
      </c>
      <c r="U261" s="4" t="str">
        <f>HYPERLINK("http://141.218.60.56/~jnz1568/getInfo.php?workbook=16_15.xlsx&amp;sheet=A0&amp;row=261&amp;col=21&amp;number=&amp;sourceID=47","")</f>
        <v/>
      </c>
      <c r="V261" s="4" t="str">
        <f>HYPERLINK("http://141.218.60.56/~jnz1568/getInfo.php?workbook=16_15.xlsx&amp;sheet=A0&amp;row=261&amp;col=22&amp;number=&amp;sourceID=47","")</f>
        <v/>
      </c>
    </row>
    <row r="262" spans="1:22">
      <c r="A262" s="3">
        <v>16</v>
      </c>
      <c r="B262" s="3">
        <v>15</v>
      </c>
      <c r="C262" s="3">
        <v>26</v>
      </c>
      <c r="D262" s="3">
        <v>6</v>
      </c>
      <c r="E262" s="3">
        <f>((1/(INDEX(E0!J$4:J$73,C262,1)-INDEX(E0!J$4:J$73,D262,1))))*100000000</f>
        <v>0</v>
      </c>
      <c r="F262" s="4" t="str">
        <f>HYPERLINK("http://141.218.60.56/~jnz1568/getInfo.php?workbook=16_15.xlsx&amp;sheet=A0&amp;row=262&amp;col=6&amp;number=&amp;sourceID=54","")</f>
        <v/>
      </c>
      <c r="G262" s="4" t="str">
        <f>HYPERLINK("http://141.218.60.56/~jnz1568/getInfo.php?workbook=16_15.xlsx&amp;sheet=A0&amp;row=262&amp;col=7&amp;number=0.067662&amp;sourceID=54","0.067662")</f>
        <v>0.067662</v>
      </c>
      <c r="H262" s="4" t="str">
        <f>HYPERLINK("http://141.218.60.56/~jnz1568/getInfo.php?workbook=16_15.xlsx&amp;sheet=A0&amp;row=262&amp;col=8&amp;number=0.002587&amp;sourceID=54","0.002587")</f>
        <v>0.002587</v>
      </c>
      <c r="I262" s="4" t="str">
        <f>HYPERLINK("http://141.218.60.56/~jnz1568/getInfo.php?workbook=16_15.xlsx&amp;sheet=A0&amp;row=262&amp;col=9&amp;number=&amp;sourceID=54","")</f>
        <v/>
      </c>
      <c r="J262" s="4" t="str">
        <f>HYPERLINK("http://141.218.60.56/~jnz1568/getInfo.php?workbook=16_15.xlsx&amp;sheet=A0&amp;row=262&amp;col=10&amp;number=0.13681&amp;sourceID=54","0.13681")</f>
        <v>0.13681</v>
      </c>
      <c r="K262" s="4" t="str">
        <f>HYPERLINK("http://141.218.60.56/~jnz1568/getInfo.php?workbook=16_15.xlsx&amp;sheet=A0&amp;row=262&amp;col=11&amp;number=0.0063766&amp;sourceID=54","0.0063766")</f>
        <v>0.0063766</v>
      </c>
      <c r="L262" s="4" t="str">
        <f>HYPERLINK("http://141.218.60.56/~jnz1568/getInfo.php?workbook=16_15.xlsx&amp;sheet=A0&amp;row=262&amp;col=12&amp;number=&amp;sourceID=53","")</f>
        <v/>
      </c>
      <c r="M262" s="4" t="str">
        <f>HYPERLINK("http://141.218.60.56/~jnz1568/getInfo.php?workbook=16_15.xlsx&amp;sheet=A0&amp;row=262&amp;col=13&amp;number=&amp;sourceID=53","")</f>
        <v/>
      </c>
      <c r="N262" s="4" t="str">
        <f>HYPERLINK("http://141.218.60.56/~jnz1568/getInfo.php?workbook=16_15.xlsx&amp;sheet=A0&amp;row=262&amp;col=14&amp;number=&amp;sourceID=53","")</f>
        <v/>
      </c>
      <c r="O262" s="4" t="str">
        <f>HYPERLINK("http://141.218.60.56/~jnz1568/getInfo.php?workbook=16_15.xlsx&amp;sheet=A0&amp;row=262&amp;col=15&amp;number=&amp;sourceID=55","")</f>
        <v/>
      </c>
      <c r="P262" s="4" t="str">
        <f>HYPERLINK("http://141.218.60.56/~jnz1568/getInfo.php?workbook=16_15.xlsx&amp;sheet=A0&amp;row=262&amp;col=16&amp;number=&amp;sourceID=55","")</f>
        <v/>
      </c>
      <c r="Q262" s="4" t="str">
        <f>HYPERLINK("http://141.218.60.56/~jnz1568/getInfo.php?workbook=16_15.xlsx&amp;sheet=A0&amp;row=262&amp;col=17&amp;number=&amp;sourceID=56","")</f>
        <v/>
      </c>
      <c r="R262" s="4" t="str">
        <f>HYPERLINK("http://141.218.60.56/~jnz1568/getInfo.php?workbook=16_15.xlsx&amp;sheet=A0&amp;row=262&amp;col=18&amp;number=&amp;sourceID=56","")</f>
        <v/>
      </c>
      <c r="S262" s="4" t="str">
        <f>HYPERLINK("http://141.218.60.56/~jnz1568/getInfo.php?workbook=16_15.xlsx&amp;sheet=A0&amp;row=262&amp;col=19&amp;number=&amp;sourceID=57","")</f>
        <v/>
      </c>
      <c r="T262" s="4" t="str">
        <f>HYPERLINK("http://141.218.60.56/~jnz1568/getInfo.php?workbook=16_15.xlsx&amp;sheet=A0&amp;row=262&amp;col=20&amp;number=&amp;sourceID=57","")</f>
        <v/>
      </c>
      <c r="U262" s="4" t="str">
        <f>HYPERLINK("http://141.218.60.56/~jnz1568/getInfo.php?workbook=16_15.xlsx&amp;sheet=A0&amp;row=262&amp;col=21&amp;number=&amp;sourceID=47","")</f>
        <v/>
      </c>
      <c r="V262" s="4" t="str">
        <f>HYPERLINK("http://141.218.60.56/~jnz1568/getInfo.php?workbook=16_15.xlsx&amp;sheet=A0&amp;row=262&amp;col=22&amp;number=&amp;sourceID=47","")</f>
        <v/>
      </c>
    </row>
    <row r="263" spans="1:22">
      <c r="A263" s="3">
        <v>16</v>
      </c>
      <c r="B263" s="3">
        <v>15</v>
      </c>
      <c r="C263" s="3">
        <v>26</v>
      </c>
      <c r="D263" s="3">
        <v>7</v>
      </c>
      <c r="E263" s="3">
        <f>((1/(INDEX(E0!J$4:J$73,C263,1)-INDEX(E0!J$4:J$73,D263,1))))*100000000</f>
        <v>0</v>
      </c>
      <c r="F263" s="4" t="str">
        <f>HYPERLINK("http://141.218.60.56/~jnz1568/getInfo.php?workbook=16_15.xlsx&amp;sheet=A0&amp;row=263&amp;col=6&amp;number=&amp;sourceID=54","")</f>
        <v/>
      </c>
      <c r="G263" s="4" t="str">
        <f>HYPERLINK("http://141.218.60.56/~jnz1568/getInfo.php?workbook=16_15.xlsx&amp;sheet=A0&amp;row=263&amp;col=7&amp;number=0.0026207&amp;sourceID=54","0.0026207")</f>
        <v>0.0026207</v>
      </c>
      <c r="H263" s="4" t="str">
        <f>HYPERLINK("http://141.218.60.56/~jnz1568/getInfo.php?workbook=16_15.xlsx&amp;sheet=A0&amp;row=263&amp;col=8&amp;number=7.8652e-05&amp;sourceID=54","7.8652e-05")</f>
        <v>7.8652e-05</v>
      </c>
      <c r="I263" s="4" t="str">
        <f>HYPERLINK("http://141.218.60.56/~jnz1568/getInfo.php?workbook=16_15.xlsx&amp;sheet=A0&amp;row=263&amp;col=9&amp;number=&amp;sourceID=54","")</f>
        <v/>
      </c>
      <c r="J263" s="4" t="str">
        <f>HYPERLINK("http://141.218.60.56/~jnz1568/getInfo.php?workbook=16_15.xlsx&amp;sheet=A0&amp;row=263&amp;col=10&amp;number=0.0048052&amp;sourceID=54","0.0048052")</f>
        <v>0.0048052</v>
      </c>
      <c r="K263" s="4" t="str">
        <f>HYPERLINK("http://141.218.60.56/~jnz1568/getInfo.php?workbook=16_15.xlsx&amp;sheet=A0&amp;row=263&amp;col=11&amp;number=0.00018439&amp;sourceID=54","0.00018439")</f>
        <v>0.00018439</v>
      </c>
      <c r="L263" s="4" t="str">
        <f>HYPERLINK("http://141.218.60.56/~jnz1568/getInfo.php?workbook=16_15.xlsx&amp;sheet=A0&amp;row=263&amp;col=12&amp;number=&amp;sourceID=53","")</f>
        <v/>
      </c>
      <c r="M263" s="4" t="str">
        <f>HYPERLINK("http://141.218.60.56/~jnz1568/getInfo.php?workbook=16_15.xlsx&amp;sheet=A0&amp;row=263&amp;col=13&amp;number=&amp;sourceID=53","")</f>
        <v/>
      </c>
      <c r="N263" s="4" t="str">
        <f>HYPERLINK("http://141.218.60.56/~jnz1568/getInfo.php?workbook=16_15.xlsx&amp;sheet=A0&amp;row=263&amp;col=14&amp;number=&amp;sourceID=53","")</f>
        <v/>
      </c>
      <c r="O263" s="4" t="str">
        <f>HYPERLINK("http://141.218.60.56/~jnz1568/getInfo.php?workbook=16_15.xlsx&amp;sheet=A0&amp;row=263&amp;col=15&amp;number=&amp;sourceID=55","")</f>
        <v/>
      </c>
      <c r="P263" s="4" t="str">
        <f>HYPERLINK("http://141.218.60.56/~jnz1568/getInfo.php?workbook=16_15.xlsx&amp;sheet=A0&amp;row=263&amp;col=16&amp;number=&amp;sourceID=55","")</f>
        <v/>
      </c>
      <c r="Q263" s="4" t="str">
        <f>HYPERLINK("http://141.218.60.56/~jnz1568/getInfo.php?workbook=16_15.xlsx&amp;sheet=A0&amp;row=263&amp;col=17&amp;number=&amp;sourceID=56","")</f>
        <v/>
      </c>
      <c r="R263" s="4" t="str">
        <f>HYPERLINK("http://141.218.60.56/~jnz1568/getInfo.php?workbook=16_15.xlsx&amp;sheet=A0&amp;row=263&amp;col=18&amp;number=&amp;sourceID=56","")</f>
        <v/>
      </c>
      <c r="S263" s="4" t="str">
        <f>HYPERLINK("http://141.218.60.56/~jnz1568/getInfo.php?workbook=16_15.xlsx&amp;sheet=A0&amp;row=263&amp;col=19&amp;number=&amp;sourceID=57","")</f>
        <v/>
      </c>
      <c r="T263" s="4" t="str">
        <f>HYPERLINK("http://141.218.60.56/~jnz1568/getInfo.php?workbook=16_15.xlsx&amp;sheet=A0&amp;row=263&amp;col=20&amp;number=&amp;sourceID=57","")</f>
        <v/>
      </c>
      <c r="U263" s="4" t="str">
        <f>HYPERLINK("http://141.218.60.56/~jnz1568/getInfo.php?workbook=16_15.xlsx&amp;sheet=A0&amp;row=263&amp;col=21&amp;number=&amp;sourceID=47","")</f>
        <v/>
      </c>
      <c r="V263" s="4" t="str">
        <f>HYPERLINK("http://141.218.60.56/~jnz1568/getInfo.php?workbook=16_15.xlsx&amp;sheet=A0&amp;row=263&amp;col=22&amp;number=&amp;sourceID=47","")</f>
        <v/>
      </c>
    </row>
    <row r="264" spans="1:22">
      <c r="A264" s="3">
        <v>16</v>
      </c>
      <c r="B264" s="3">
        <v>15</v>
      </c>
      <c r="C264" s="3">
        <v>26</v>
      </c>
      <c r="D264" s="3">
        <v>8</v>
      </c>
      <c r="E264" s="3">
        <f>((1/(INDEX(E0!J$4:J$73,C264,1)-INDEX(E0!J$4:J$73,D264,1))))*100000000</f>
        <v>0</v>
      </c>
      <c r="F264" s="4" t="str">
        <f>HYPERLINK("http://141.218.60.56/~jnz1568/getInfo.php?workbook=16_15.xlsx&amp;sheet=A0&amp;row=264&amp;col=6&amp;number=&amp;sourceID=54","")</f>
        <v/>
      </c>
      <c r="G264" s="4" t="str">
        <f>HYPERLINK("http://141.218.60.56/~jnz1568/getInfo.php?workbook=16_15.xlsx&amp;sheet=A0&amp;row=264&amp;col=7&amp;number=0.037357&amp;sourceID=54","0.037357")</f>
        <v>0.037357</v>
      </c>
      <c r="H264" s="4" t="str">
        <f>HYPERLINK("http://141.218.60.56/~jnz1568/getInfo.php?workbook=16_15.xlsx&amp;sheet=A0&amp;row=264&amp;col=8&amp;number=&amp;sourceID=54","")</f>
        <v/>
      </c>
      <c r="I264" s="4" t="str">
        <f>HYPERLINK("http://141.218.60.56/~jnz1568/getInfo.php?workbook=16_15.xlsx&amp;sheet=A0&amp;row=264&amp;col=9&amp;number=&amp;sourceID=54","")</f>
        <v/>
      </c>
      <c r="J264" s="4" t="str">
        <f>HYPERLINK("http://141.218.60.56/~jnz1568/getInfo.php?workbook=16_15.xlsx&amp;sheet=A0&amp;row=264&amp;col=10&amp;number=0.078171&amp;sourceID=54","0.078171")</f>
        <v>0.078171</v>
      </c>
      <c r="K264" s="4" t="str">
        <f>HYPERLINK("http://141.218.60.56/~jnz1568/getInfo.php?workbook=16_15.xlsx&amp;sheet=A0&amp;row=264&amp;col=11&amp;number=&amp;sourceID=54","")</f>
        <v/>
      </c>
      <c r="L264" s="4" t="str">
        <f>HYPERLINK("http://141.218.60.56/~jnz1568/getInfo.php?workbook=16_15.xlsx&amp;sheet=A0&amp;row=264&amp;col=12&amp;number=&amp;sourceID=53","")</f>
        <v/>
      </c>
      <c r="M264" s="4" t="str">
        <f>HYPERLINK("http://141.218.60.56/~jnz1568/getInfo.php?workbook=16_15.xlsx&amp;sheet=A0&amp;row=264&amp;col=13&amp;number=&amp;sourceID=53","")</f>
        <v/>
      </c>
      <c r="N264" s="4" t="str">
        <f>HYPERLINK("http://141.218.60.56/~jnz1568/getInfo.php?workbook=16_15.xlsx&amp;sheet=A0&amp;row=264&amp;col=14&amp;number=&amp;sourceID=53","")</f>
        <v/>
      </c>
      <c r="O264" s="4" t="str">
        <f>HYPERLINK("http://141.218.60.56/~jnz1568/getInfo.php?workbook=16_15.xlsx&amp;sheet=A0&amp;row=264&amp;col=15&amp;number=&amp;sourceID=55","")</f>
        <v/>
      </c>
      <c r="P264" s="4" t="str">
        <f>HYPERLINK("http://141.218.60.56/~jnz1568/getInfo.php?workbook=16_15.xlsx&amp;sheet=A0&amp;row=264&amp;col=16&amp;number=&amp;sourceID=55","")</f>
        <v/>
      </c>
      <c r="Q264" s="4" t="str">
        <f>HYPERLINK("http://141.218.60.56/~jnz1568/getInfo.php?workbook=16_15.xlsx&amp;sheet=A0&amp;row=264&amp;col=17&amp;number=&amp;sourceID=56","")</f>
        <v/>
      </c>
      <c r="R264" s="4" t="str">
        <f>HYPERLINK("http://141.218.60.56/~jnz1568/getInfo.php?workbook=16_15.xlsx&amp;sheet=A0&amp;row=264&amp;col=18&amp;number=&amp;sourceID=56","")</f>
        <v/>
      </c>
      <c r="S264" s="4" t="str">
        <f>HYPERLINK("http://141.218.60.56/~jnz1568/getInfo.php?workbook=16_15.xlsx&amp;sheet=A0&amp;row=264&amp;col=19&amp;number=&amp;sourceID=57","")</f>
        <v/>
      </c>
      <c r="T264" s="4" t="str">
        <f>HYPERLINK("http://141.218.60.56/~jnz1568/getInfo.php?workbook=16_15.xlsx&amp;sheet=A0&amp;row=264&amp;col=20&amp;number=&amp;sourceID=57","")</f>
        <v/>
      </c>
      <c r="U264" s="4" t="str">
        <f>HYPERLINK("http://141.218.60.56/~jnz1568/getInfo.php?workbook=16_15.xlsx&amp;sheet=A0&amp;row=264&amp;col=21&amp;number=&amp;sourceID=47","")</f>
        <v/>
      </c>
      <c r="V264" s="4" t="str">
        <f>HYPERLINK("http://141.218.60.56/~jnz1568/getInfo.php?workbook=16_15.xlsx&amp;sheet=A0&amp;row=264&amp;col=22&amp;number=&amp;sourceID=47","")</f>
        <v/>
      </c>
    </row>
    <row r="265" spans="1:22">
      <c r="A265" s="3">
        <v>16</v>
      </c>
      <c r="B265" s="3">
        <v>15</v>
      </c>
      <c r="C265" s="3">
        <v>26</v>
      </c>
      <c r="D265" s="3">
        <v>9</v>
      </c>
      <c r="E265" s="3">
        <f>((1/(INDEX(E0!J$4:J$73,C265,1)-INDEX(E0!J$4:J$73,D265,1))))*100000000</f>
        <v>0</v>
      </c>
      <c r="F265" s="4" t="str">
        <f>HYPERLINK("http://141.218.60.56/~jnz1568/getInfo.php?workbook=16_15.xlsx&amp;sheet=A0&amp;row=265&amp;col=6&amp;number=&amp;sourceID=54","")</f>
        <v/>
      </c>
      <c r="G265" s="4" t="str">
        <f>HYPERLINK("http://141.218.60.56/~jnz1568/getInfo.php?workbook=16_15.xlsx&amp;sheet=A0&amp;row=265&amp;col=7&amp;number=0.025307&amp;sourceID=54","0.025307")</f>
        <v>0.025307</v>
      </c>
      <c r="H265" s="4" t="str">
        <f>HYPERLINK("http://141.218.60.56/~jnz1568/getInfo.php?workbook=16_15.xlsx&amp;sheet=A0&amp;row=265&amp;col=8&amp;number=0.0011137&amp;sourceID=54","0.0011137")</f>
        <v>0.0011137</v>
      </c>
      <c r="I265" s="4" t="str">
        <f>HYPERLINK("http://141.218.60.56/~jnz1568/getInfo.php?workbook=16_15.xlsx&amp;sheet=A0&amp;row=265&amp;col=9&amp;number=&amp;sourceID=54","")</f>
        <v/>
      </c>
      <c r="J265" s="4" t="str">
        <f>HYPERLINK("http://141.218.60.56/~jnz1568/getInfo.php?workbook=16_15.xlsx&amp;sheet=A0&amp;row=265&amp;col=10&amp;number=0.020683&amp;sourceID=54","0.020683")</f>
        <v>0.020683</v>
      </c>
      <c r="K265" s="4" t="str">
        <f>HYPERLINK("http://141.218.60.56/~jnz1568/getInfo.php?workbook=16_15.xlsx&amp;sheet=A0&amp;row=265&amp;col=11&amp;number=0.0011501&amp;sourceID=54","0.0011501")</f>
        <v>0.0011501</v>
      </c>
      <c r="L265" s="4" t="str">
        <f>HYPERLINK("http://141.218.60.56/~jnz1568/getInfo.php?workbook=16_15.xlsx&amp;sheet=A0&amp;row=265&amp;col=12&amp;number=&amp;sourceID=53","")</f>
        <v/>
      </c>
      <c r="M265" s="4" t="str">
        <f>HYPERLINK("http://141.218.60.56/~jnz1568/getInfo.php?workbook=16_15.xlsx&amp;sheet=A0&amp;row=265&amp;col=13&amp;number=&amp;sourceID=53","")</f>
        <v/>
      </c>
      <c r="N265" s="4" t="str">
        <f>HYPERLINK("http://141.218.60.56/~jnz1568/getInfo.php?workbook=16_15.xlsx&amp;sheet=A0&amp;row=265&amp;col=14&amp;number=&amp;sourceID=53","")</f>
        <v/>
      </c>
      <c r="O265" s="4" t="str">
        <f>HYPERLINK("http://141.218.60.56/~jnz1568/getInfo.php?workbook=16_15.xlsx&amp;sheet=A0&amp;row=265&amp;col=15&amp;number=&amp;sourceID=55","")</f>
        <v/>
      </c>
      <c r="P265" s="4" t="str">
        <f>HYPERLINK("http://141.218.60.56/~jnz1568/getInfo.php?workbook=16_15.xlsx&amp;sheet=A0&amp;row=265&amp;col=16&amp;number=&amp;sourceID=55","")</f>
        <v/>
      </c>
      <c r="Q265" s="4" t="str">
        <f>HYPERLINK("http://141.218.60.56/~jnz1568/getInfo.php?workbook=16_15.xlsx&amp;sheet=A0&amp;row=265&amp;col=17&amp;number=&amp;sourceID=56","")</f>
        <v/>
      </c>
      <c r="R265" s="4" t="str">
        <f>HYPERLINK("http://141.218.60.56/~jnz1568/getInfo.php?workbook=16_15.xlsx&amp;sheet=A0&amp;row=265&amp;col=18&amp;number=&amp;sourceID=56","")</f>
        <v/>
      </c>
      <c r="S265" s="4" t="str">
        <f>HYPERLINK("http://141.218.60.56/~jnz1568/getInfo.php?workbook=16_15.xlsx&amp;sheet=A0&amp;row=265&amp;col=19&amp;number=&amp;sourceID=57","")</f>
        <v/>
      </c>
      <c r="T265" s="4" t="str">
        <f>HYPERLINK("http://141.218.60.56/~jnz1568/getInfo.php?workbook=16_15.xlsx&amp;sheet=A0&amp;row=265&amp;col=20&amp;number=&amp;sourceID=57","")</f>
        <v/>
      </c>
      <c r="U265" s="4" t="str">
        <f>HYPERLINK("http://141.218.60.56/~jnz1568/getInfo.php?workbook=16_15.xlsx&amp;sheet=A0&amp;row=265&amp;col=21&amp;number=&amp;sourceID=47","")</f>
        <v/>
      </c>
      <c r="V265" s="4" t="str">
        <f>HYPERLINK("http://141.218.60.56/~jnz1568/getInfo.php?workbook=16_15.xlsx&amp;sheet=A0&amp;row=265&amp;col=22&amp;number=&amp;sourceID=47","")</f>
        <v/>
      </c>
    </row>
    <row r="266" spans="1:22">
      <c r="A266" s="3">
        <v>16</v>
      </c>
      <c r="B266" s="3">
        <v>15</v>
      </c>
      <c r="C266" s="3">
        <v>26</v>
      </c>
      <c r="D266" s="3">
        <v>10</v>
      </c>
      <c r="E266" s="3">
        <f>((1/(INDEX(E0!J$4:J$73,C266,1)-INDEX(E0!J$4:J$73,D266,1))))*100000000</f>
        <v>0</v>
      </c>
      <c r="F266" s="4" t="str">
        <f>HYPERLINK("http://141.218.60.56/~jnz1568/getInfo.php?workbook=16_15.xlsx&amp;sheet=A0&amp;row=266&amp;col=6&amp;number=&amp;sourceID=54","")</f>
        <v/>
      </c>
      <c r="G266" s="4" t="str">
        <f>HYPERLINK("http://141.218.60.56/~jnz1568/getInfo.php?workbook=16_15.xlsx&amp;sheet=A0&amp;row=266&amp;col=7&amp;number=0.0054947&amp;sourceID=54","0.0054947")</f>
        <v>0.0054947</v>
      </c>
      <c r="H266" s="4" t="str">
        <f>HYPERLINK("http://141.218.60.56/~jnz1568/getInfo.php?workbook=16_15.xlsx&amp;sheet=A0&amp;row=266&amp;col=8&amp;number=0.035079&amp;sourceID=54","0.035079")</f>
        <v>0.035079</v>
      </c>
      <c r="I266" s="4" t="str">
        <f>HYPERLINK("http://141.218.60.56/~jnz1568/getInfo.php?workbook=16_15.xlsx&amp;sheet=A0&amp;row=266&amp;col=9&amp;number=&amp;sourceID=54","")</f>
        <v/>
      </c>
      <c r="J266" s="4" t="str">
        <f>HYPERLINK("http://141.218.60.56/~jnz1568/getInfo.php?workbook=16_15.xlsx&amp;sheet=A0&amp;row=266&amp;col=10&amp;number=0.0044768&amp;sourceID=54","0.0044768")</f>
        <v>0.0044768</v>
      </c>
      <c r="K266" s="4" t="str">
        <f>HYPERLINK("http://141.218.60.56/~jnz1568/getInfo.php?workbook=16_15.xlsx&amp;sheet=A0&amp;row=266&amp;col=11&amp;number=0.036248&amp;sourceID=54","0.036248")</f>
        <v>0.036248</v>
      </c>
      <c r="L266" s="4" t="str">
        <f>HYPERLINK("http://141.218.60.56/~jnz1568/getInfo.php?workbook=16_15.xlsx&amp;sheet=A0&amp;row=266&amp;col=12&amp;number=&amp;sourceID=53","")</f>
        <v/>
      </c>
      <c r="M266" s="4" t="str">
        <f>HYPERLINK("http://141.218.60.56/~jnz1568/getInfo.php?workbook=16_15.xlsx&amp;sheet=A0&amp;row=266&amp;col=13&amp;number=&amp;sourceID=53","")</f>
        <v/>
      </c>
      <c r="N266" s="4" t="str">
        <f>HYPERLINK("http://141.218.60.56/~jnz1568/getInfo.php?workbook=16_15.xlsx&amp;sheet=A0&amp;row=266&amp;col=14&amp;number=&amp;sourceID=53","")</f>
        <v/>
      </c>
      <c r="O266" s="4" t="str">
        <f>HYPERLINK("http://141.218.60.56/~jnz1568/getInfo.php?workbook=16_15.xlsx&amp;sheet=A0&amp;row=266&amp;col=15&amp;number=&amp;sourceID=55","")</f>
        <v/>
      </c>
      <c r="P266" s="4" t="str">
        <f>HYPERLINK("http://141.218.60.56/~jnz1568/getInfo.php?workbook=16_15.xlsx&amp;sheet=A0&amp;row=266&amp;col=16&amp;number=&amp;sourceID=55","")</f>
        <v/>
      </c>
      <c r="Q266" s="4" t="str">
        <f>HYPERLINK("http://141.218.60.56/~jnz1568/getInfo.php?workbook=16_15.xlsx&amp;sheet=A0&amp;row=266&amp;col=17&amp;number=&amp;sourceID=56","")</f>
        <v/>
      </c>
      <c r="R266" s="4" t="str">
        <f>HYPERLINK("http://141.218.60.56/~jnz1568/getInfo.php?workbook=16_15.xlsx&amp;sheet=A0&amp;row=266&amp;col=18&amp;number=&amp;sourceID=56","")</f>
        <v/>
      </c>
      <c r="S266" s="4" t="str">
        <f>HYPERLINK("http://141.218.60.56/~jnz1568/getInfo.php?workbook=16_15.xlsx&amp;sheet=A0&amp;row=266&amp;col=19&amp;number=&amp;sourceID=57","")</f>
        <v/>
      </c>
      <c r="T266" s="4" t="str">
        <f>HYPERLINK("http://141.218.60.56/~jnz1568/getInfo.php?workbook=16_15.xlsx&amp;sheet=A0&amp;row=266&amp;col=20&amp;number=&amp;sourceID=57","")</f>
        <v/>
      </c>
      <c r="U266" s="4" t="str">
        <f>HYPERLINK("http://141.218.60.56/~jnz1568/getInfo.php?workbook=16_15.xlsx&amp;sheet=A0&amp;row=266&amp;col=21&amp;number=&amp;sourceID=47","")</f>
        <v/>
      </c>
      <c r="V266" s="4" t="str">
        <f>HYPERLINK("http://141.218.60.56/~jnz1568/getInfo.php?workbook=16_15.xlsx&amp;sheet=A0&amp;row=266&amp;col=22&amp;number=&amp;sourceID=47","")</f>
        <v/>
      </c>
    </row>
    <row r="267" spans="1:22">
      <c r="A267" s="3">
        <v>16</v>
      </c>
      <c r="B267" s="3">
        <v>15</v>
      </c>
      <c r="C267" s="3">
        <v>26</v>
      </c>
      <c r="D267" s="3">
        <v>11</v>
      </c>
      <c r="E267" s="3">
        <f>((1/(INDEX(E0!J$4:J$73,C267,1)-INDEX(E0!J$4:J$73,D267,1))))*100000000</f>
        <v>0</v>
      </c>
      <c r="F267" s="4" t="str">
        <f>HYPERLINK("http://141.218.60.56/~jnz1568/getInfo.php?workbook=16_15.xlsx&amp;sheet=A0&amp;row=267&amp;col=6&amp;number=&amp;sourceID=54","")</f>
        <v/>
      </c>
      <c r="G267" s="4" t="str">
        <f>HYPERLINK("http://141.218.60.56/~jnz1568/getInfo.php?workbook=16_15.xlsx&amp;sheet=A0&amp;row=267&amp;col=7&amp;number=0.0014919&amp;sourceID=54","0.0014919")</f>
        <v>0.0014919</v>
      </c>
      <c r="H267" s="4" t="str">
        <f>HYPERLINK("http://141.218.60.56/~jnz1568/getInfo.php?workbook=16_15.xlsx&amp;sheet=A0&amp;row=267&amp;col=8&amp;number=0.00012787&amp;sourceID=54","0.00012787")</f>
        <v>0.00012787</v>
      </c>
      <c r="I267" s="4" t="str">
        <f>HYPERLINK("http://141.218.60.56/~jnz1568/getInfo.php?workbook=16_15.xlsx&amp;sheet=A0&amp;row=267&amp;col=9&amp;number=&amp;sourceID=54","")</f>
        <v/>
      </c>
      <c r="J267" s="4" t="str">
        <f>HYPERLINK("http://141.218.60.56/~jnz1568/getInfo.php?workbook=16_15.xlsx&amp;sheet=A0&amp;row=267&amp;col=10&amp;number=0.0012439&amp;sourceID=54","0.0012439")</f>
        <v>0.0012439</v>
      </c>
      <c r="K267" s="4" t="str">
        <f>HYPERLINK("http://141.218.60.56/~jnz1568/getInfo.php?workbook=16_15.xlsx&amp;sheet=A0&amp;row=267&amp;col=11&amp;number=0.00028528&amp;sourceID=54","0.00028528")</f>
        <v>0.00028528</v>
      </c>
      <c r="L267" s="4" t="str">
        <f>HYPERLINK("http://141.218.60.56/~jnz1568/getInfo.php?workbook=16_15.xlsx&amp;sheet=A0&amp;row=267&amp;col=12&amp;number=&amp;sourceID=53","")</f>
        <v/>
      </c>
      <c r="M267" s="4" t="str">
        <f>HYPERLINK("http://141.218.60.56/~jnz1568/getInfo.php?workbook=16_15.xlsx&amp;sheet=A0&amp;row=267&amp;col=13&amp;number=&amp;sourceID=53","")</f>
        <v/>
      </c>
      <c r="N267" s="4" t="str">
        <f>HYPERLINK("http://141.218.60.56/~jnz1568/getInfo.php?workbook=16_15.xlsx&amp;sheet=A0&amp;row=267&amp;col=14&amp;number=&amp;sourceID=53","")</f>
        <v/>
      </c>
      <c r="O267" s="4" t="str">
        <f>HYPERLINK("http://141.218.60.56/~jnz1568/getInfo.php?workbook=16_15.xlsx&amp;sheet=A0&amp;row=267&amp;col=15&amp;number=&amp;sourceID=55","")</f>
        <v/>
      </c>
      <c r="P267" s="4" t="str">
        <f>HYPERLINK("http://141.218.60.56/~jnz1568/getInfo.php?workbook=16_15.xlsx&amp;sheet=A0&amp;row=267&amp;col=16&amp;number=&amp;sourceID=55","")</f>
        <v/>
      </c>
      <c r="Q267" s="4" t="str">
        <f>HYPERLINK("http://141.218.60.56/~jnz1568/getInfo.php?workbook=16_15.xlsx&amp;sheet=A0&amp;row=267&amp;col=17&amp;number=&amp;sourceID=56","")</f>
        <v/>
      </c>
      <c r="R267" s="4" t="str">
        <f>HYPERLINK("http://141.218.60.56/~jnz1568/getInfo.php?workbook=16_15.xlsx&amp;sheet=A0&amp;row=267&amp;col=18&amp;number=&amp;sourceID=56","")</f>
        <v/>
      </c>
      <c r="S267" s="4" t="str">
        <f>HYPERLINK("http://141.218.60.56/~jnz1568/getInfo.php?workbook=16_15.xlsx&amp;sheet=A0&amp;row=267&amp;col=19&amp;number=&amp;sourceID=57","")</f>
        <v/>
      </c>
      <c r="T267" s="4" t="str">
        <f>HYPERLINK("http://141.218.60.56/~jnz1568/getInfo.php?workbook=16_15.xlsx&amp;sheet=A0&amp;row=267&amp;col=20&amp;number=&amp;sourceID=57","")</f>
        <v/>
      </c>
      <c r="U267" s="4" t="str">
        <f>HYPERLINK("http://141.218.60.56/~jnz1568/getInfo.php?workbook=16_15.xlsx&amp;sheet=A0&amp;row=267&amp;col=21&amp;number=&amp;sourceID=47","")</f>
        <v/>
      </c>
      <c r="V267" s="4" t="str">
        <f>HYPERLINK("http://141.218.60.56/~jnz1568/getInfo.php?workbook=16_15.xlsx&amp;sheet=A0&amp;row=267&amp;col=22&amp;number=&amp;sourceID=47","")</f>
        <v/>
      </c>
    </row>
    <row r="268" spans="1:22">
      <c r="A268" s="3">
        <v>16</v>
      </c>
      <c r="B268" s="3">
        <v>15</v>
      </c>
      <c r="C268" s="3">
        <v>26</v>
      </c>
      <c r="D268" s="3">
        <v>12</v>
      </c>
      <c r="E268" s="3">
        <f>((1/(INDEX(E0!J$4:J$73,C268,1)-INDEX(E0!J$4:J$73,D268,1))))*100000000</f>
        <v>0</v>
      </c>
      <c r="F268" s="4" t="str">
        <f>HYPERLINK("http://141.218.60.56/~jnz1568/getInfo.php?workbook=16_15.xlsx&amp;sheet=A0&amp;row=268&amp;col=6&amp;number=&amp;sourceID=54","")</f>
        <v/>
      </c>
      <c r="G268" s="4" t="str">
        <f>HYPERLINK("http://141.218.60.56/~jnz1568/getInfo.php?workbook=16_15.xlsx&amp;sheet=A0&amp;row=268&amp;col=7&amp;number=0.0038533&amp;sourceID=54","0.0038533")</f>
        <v>0.0038533</v>
      </c>
      <c r="H268" s="4" t="str">
        <f>HYPERLINK("http://141.218.60.56/~jnz1568/getInfo.php?workbook=16_15.xlsx&amp;sheet=A0&amp;row=268&amp;col=8&amp;number=&amp;sourceID=54","")</f>
        <v/>
      </c>
      <c r="I268" s="4" t="str">
        <f>HYPERLINK("http://141.218.60.56/~jnz1568/getInfo.php?workbook=16_15.xlsx&amp;sheet=A0&amp;row=268&amp;col=9&amp;number=&amp;sourceID=54","")</f>
        <v/>
      </c>
      <c r="J268" s="4" t="str">
        <f>HYPERLINK("http://141.218.60.56/~jnz1568/getInfo.php?workbook=16_15.xlsx&amp;sheet=A0&amp;row=268&amp;col=10&amp;number=0.0031322&amp;sourceID=54","0.0031322")</f>
        <v>0.0031322</v>
      </c>
      <c r="K268" s="4" t="str">
        <f>HYPERLINK("http://141.218.60.56/~jnz1568/getInfo.php?workbook=16_15.xlsx&amp;sheet=A0&amp;row=268&amp;col=11&amp;number=&amp;sourceID=54","")</f>
        <v/>
      </c>
      <c r="L268" s="4" t="str">
        <f>HYPERLINK("http://141.218.60.56/~jnz1568/getInfo.php?workbook=16_15.xlsx&amp;sheet=A0&amp;row=268&amp;col=12&amp;number=&amp;sourceID=53","")</f>
        <v/>
      </c>
      <c r="M268" s="4" t="str">
        <f>HYPERLINK("http://141.218.60.56/~jnz1568/getInfo.php?workbook=16_15.xlsx&amp;sheet=A0&amp;row=268&amp;col=13&amp;number=&amp;sourceID=53","")</f>
        <v/>
      </c>
      <c r="N268" s="4" t="str">
        <f>HYPERLINK("http://141.218.60.56/~jnz1568/getInfo.php?workbook=16_15.xlsx&amp;sheet=A0&amp;row=268&amp;col=14&amp;number=&amp;sourceID=53","")</f>
        <v/>
      </c>
      <c r="O268" s="4" t="str">
        <f>HYPERLINK("http://141.218.60.56/~jnz1568/getInfo.php?workbook=16_15.xlsx&amp;sheet=A0&amp;row=268&amp;col=15&amp;number=&amp;sourceID=55","")</f>
        <v/>
      </c>
      <c r="P268" s="4" t="str">
        <f>HYPERLINK("http://141.218.60.56/~jnz1568/getInfo.php?workbook=16_15.xlsx&amp;sheet=A0&amp;row=268&amp;col=16&amp;number=&amp;sourceID=55","")</f>
        <v/>
      </c>
      <c r="Q268" s="4" t="str">
        <f>HYPERLINK("http://141.218.60.56/~jnz1568/getInfo.php?workbook=16_15.xlsx&amp;sheet=A0&amp;row=268&amp;col=17&amp;number=&amp;sourceID=56","")</f>
        <v/>
      </c>
      <c r="R268" s="4" t="str">
        <f>HYPERLINK("http://141.218.60.56/~jnz1568/getInfo.php?workbook=16_15.xlsx&amp;sheet=A0&amp;row=268&amp;col=18&amp;number=&amp;sourceID=56","")</f>
        <v/>
      </c>
      <c r="S268" s="4" t="str">
        <f>HYPERLINK("http://141.218.60.56/~jnz1568/getInfo.php?workbook=16_15.xlsx&amp;sheet=A0&amp;row=268&amp;col=19&amp;number=&amp;sourceID=57","")</f>
        <v/>
      </c>
      <c r="T268" s="4" t="str">
        <f>HYPERLINK("http://141.218.60.56/~jnz1568/getInfo.php?workbook=16_15.xlsx&amp;sheet=A0&amp;row=268&amp;col=20&amp;number=&amp;sourceID=57","")</f>
        <v/>
      </c>
      <c r="U268" s="4" t="str">
        <f>HYPERLINK("http://141.218.60.56/~jnz1568/getInfo.php?workbook=16_15.xlsx&amp;sheet=A0&amp;row=268&amp;col=21&amp;number=&amp;sourceID=47","")</f>
        <v/>
      </c>
      <c r="V268" s="4" t="str">
        <f>HYPERLINK("http://141.218.60.56/~jnz1568/getInfo.php?workbook=16_15.xlsx&amp;sheet=A0&amp;row=268&amp;col=22&amp;number=&amp;sourceID=47","")</f>
        <v/>
      </c>
    </row>
    <row r="269" spans="1:22">
      <c r="A269" s="3">
        <v>16</v>
      </c>
      <c r="B269" s="3">
        <v>15</v>
      </c>
      <c r="C269" s="3">
        <v>26</v>
      </c>
      <c r="D269" s="3">
        <v>13</v>
      </c>
      <c r="E269" s="3">
        <f>((1/(INDEX(E0!J$4:J$73,C269,1)-INDEX(E0!J$4:J$73,D269,1))))*100000000</f>
        <v>0</v>
      </c>
      <c r="F269" s="4" t="str">
        <f>HYPERLINK("http://141.218.60.56/~jnz1568/getInfo.php?workbook=16_15.xlsx&amp;sheet=A0&amp;row=269&amp;col=6&amp;number=&amp;sourceID=54","")</f>
        <v/>
      </c>
      <c r="G269" s="4" t="str">
        <f>HYPERLINK("http://141.218.60.56/~jnz1568/getInfo.php?workbook=16_15.xlsx&amp;sheet=A0&amp;row=269&amp;col=7&amp;number=9.9379e-05&amp;sourceID=54","9.9379e-05")</f>
        <v>9.9379e-05</v>
      </c>
      <c r="H269" s="4" t="str">
        <f>HYPERLINK("http://141.218.60.56/~jnz1568/getInfo.php?workbook=16_15.xlsx&amp;sheet=A0&amp;row=269&amp;col=8&amp;number=&amp;sourceID=54","")</f>
        <v/>
      </c>
      <c r="I269" s="4" t="str">
        <f>HYPERLINK("http://141.218.60.56/~jnz1568/getInfo.php?workbook=16_15.xlsx&amp;sheet=A0&amp;row=269&amp;col=9&amp;number=&amp;sourceID=54","")</f>
        <v/>
      </c>
      <c r="J269" s="4" t="str">
        <f>HYPERLINK("http://141.218.60.56/~jnz1568/getInfo.php?workbook=16_15.xlsx&amp;sheet=A0&amp;row=269&amp;col=10&amp;number=0.00013778&amp;sourceID=54","0.00013778")</f>
        <v>0.00013778</v>
      </c>
      <c r="K269" s="4" t="str">
        <f>HYPERLINK("http://141.218.60.56/~jnz1568/getInfo.php?workbook=16_15.xlsx&amp;sheet=A0&amp;row=269&amp;col=11&amp;number=&amp;sourceID=54","")</f>
        <v/>
      </c>
      <c r="L269" s="4" t="str">
        <f>HYPERLINK("http://141.218.60.56/~jnz1568/getInfo.php?workbook=16_15.xlsx&amp;sheet=A0&amp;row=269&amp;col=12&amp;number=&amp;sourceID=53","")</f>
        <v/>
      </c>
      <c r="M269" s="4" t="str">
        <f>HYPERLINK("http://141.218.60.56/~jnz1568/getInfo.php?workbook=16_15.xlsx&amp;sheet=A0&amp;row=269&amp;col=13&amp;number=&amp;sourceID=53","")</f>
        <v/>
      </c>
      <c r="N269" s="4" t="str">
        <f>HYPERLINK("http://141.218.60.56/~jnz1568/getInfo.php?workbook=16_15.xlsx&amp;sheet=A0&amp;row=269&amp;col=14&amp;number=&amp;sourceID=53","")</f>
        <v/>
      </c>
      <c r="O269" s="4" t="str">
        <f>HYPERLINK("http://141.218.60.56/~jnz1568/getInfo.php?workbook=16_15.xlsx&amp;sheet=A0&amp;row=269&amp;col=15&amp;number=&amp;sourceID=55","")</f>
        <v/>
      </c>
      <c r="P269" s="4" t="str">
        <f>HYPERLINK("http://141.218.60.56/~jnz1568/getInfo.php?workbook=16_15.xlsx&amp;sheet=A0&amp;row=269&amp;col=16&amp;number=&amp;sourceID=55","")</f>
        <v/>
      </c>
      <c r="Q269" s="4" t="str">
        <f>HYPERLINK("http://141.218.60.56/~jnz1568/getInfo.php?workbook=16_15.xlsx&amp;sheet=A0&amp;row=269&amp;col=17&amp;number=&amp;sourceID=56","")</f>
        <v/>
      </c>
      <c r="R269" s="4" t="str">
        <f>HYPERLINK("http://141.218.60.56/~jnz1568/getInfo.php?workbook=16_15.xlsx&amp;sheet=A0&amp;row=269&amp;col=18&amp;number=&amp;sourceID=56","")</f>
        <v/>
      </c>
      <c r="S269" s="4" t="str">
        <f>HYPERLINK("http://141.218.60.56/~jnz1568/getInfo.php?workbook=16_15.xlsx&amp;sheet=A0&amp;row=269&amp;col=19&amp;number=&amp;sourceID=57","")</f>
        <v/>
      </c>
      <c r="T269" s="4" t="str">
        <f>HYPERLINK("http://141.218.60.56/~jnz1568/getInfo.php?workbook=16_15.xlsx&amp;sheet=A0&amp;row=269&amp;col=20&amp;number=&amp;sourceID=57","")</f>
        <v/>
      </c>
      <c r="U269" s="4" t="str">
        <f>HYPERLINK("http://141.218.60.56/~jnz1568/getInfo.php?workbook=16_15.xlsx&amp;sheet=A0&amp;row=269&amp;col=21&amp;number=&amp;sourceID=47","")</f>
        <v/>
      </c>
      <c r="V269" s="4" t="str">
        <f>HYPERLINK("http://141.218.60.56/~jnz1568/getInfo.php?workbook=16_15.xlsx&amp;sheet=A0&amp;row=269&amp;col=22&amp;number=&amp;sourceID=47","")</f>
        <v/>
      </c>
    </row>
    <row r="270" spans="1:22">
      <c r="A270" s="3">
        <v>16</v>
      </c>
      <c r="B270" s="3">
        <v>15</v>
      </c>
      <c r="C270" s="3">
        <v>26</v>
      </c>
      <c r="D270" s="3">
        <v>14</v>
      </c>
      <c r="E270" s="3">
        <f>((1/(INDEX(E0!J$4:J$73,C270,1)-INDEX(E0!J$4:J$73,D270,1))))*100000000</f>
        <v>0</v>
      </c>
      <c r="F270" s="4" t="str">
        <f>HYPERLINK("http://141.218.60.56/~jnz1568/getInfo.php?workbook=16_15.xlsx&amp;sheet=A0&amp;row=270&amp;col=6&amp;number=&amp;sourceID=54","")</f>
        <v/>
      </c>
      <c r="G270" s="4" t="str">
        <f>HYPERLINK("http://141.218.60.56/~jnz1568/getInfo.php?workbook=16_15.xlsx&amp;sheet=A0&amp;row=270&amp;col=7&amp;number=2.8048e-05&amp;sourceID=54","2.8048e-05")</f>
        <v>2.8048e-05</v>
      </c>
      <c r="H270" s="4" t="str">
        <f>HYPERLINK("http://141.218.60.56/~jnz1568/getInfo.php?workbook=16_15.xlsx&amp;sheet=A0&amp;row=270&amp;col=8&amp;number=1.4234e-07&amp;sourceID=54","1.4234e-07")</f>
        <v>1.4234e-07</v>
      </c>
      <c r="I270" s="4" t="str">
        <f>HYPERLINK("http://141.218.60.56/~jnz1568/getInfo.php?workbook=16_15.xlsx&amp;sheet=A0&amp;row=270&amp;col=9&amp;number=&amp;sourceID=54","")</f>
        <v/>
      </c>
      <c r="J270" s="4" t="str">
        <f>HYPERLINK("http://141.218.60.56/~jnz1568/getInfo.php?workbook=16_15.xlsx&amp;sheet=A0&amp;row=270&amp;col=10&amp;number=2.5179e-05&amp;sourceID=54","2.5179e-05")</f>
        <v>2.5179e-05</v>
      </c>
      <c r="K270" s="4" t="str">
        <f>HYPERLINK("http://141.218.60.56/~jnz1568/getInfo.php?workbook=16_15.xlsx&amp;sheet=A0&amp;row=270&amp;col=11&amp;number=1.5614e-07&amp;sourceID=54","1.5614e-07")</f>
        <v>1.5614e-07</v>
      </c>
      <c r="L270" s="4" t="str">
        <f>HYPERLINK("http://141.218.60.56/~jnz1568/getInfo.php?workbook=16_15.xlsx&amp;sheet=A0&amp;row=270&amp;col=12&amp;number=&amp;sourceID=53","")</f>
        <v/>
      </c>
      <c r="M270" s="4" t="str">
        <f>HYPERLINK("http://141.218.60.56/~jnz1568/getInfo.php?workbook=16_15.xlsx&amp;sheet=A0&amp;row=270&amp;col=13&amp;number=&amp;sourceID=53","")</f>
        <v/>
      </c>
      <c r="N270" s="4" t="str">
        <f>HYPERLINK("http://141.218.60.56/~jnz1568/getInfo.php?workbook=16_15.xlsx&amp;sheet=A0&amp;row=270&amp;col=14&amp;number=&amp;sourceID=53","")</f>
        <v/>
      </c>
      <c r="O270" s="4" t="str">
        <f>HYPERLINK("http://141.218.60.56/~jnz1568/getInfo.php?workbook=16_15.xlsx&amp;sheet=A0&amp;row=270&amp;col=15&amp;number=&amp;sourceID=55","")</f>
        <v/>
      </c>
      <c r="P270" s="4" t="str">
        <f>HYPERLINK("http://141.218.60.56/~jnz1568/getInfo.php?workbook=16_15.xlsx&amp;sheet=A0&amp;row=270&amp;col=16&amp;number=&amp;sourceID=55","")</f>
        <v/>
      </c>
      <c r="Q270" s="4" t="str">
        <f>HYPERLINK("http://141.218.60.56/~jnz1568/getInfo.php?workbook=16_15.xlsx&amp;sheet=A0&amp;row=270&amp;col=17&amp;number=&amp;sourceID=56","")</f>
        <v/>
      </c>
      <c r="R270" s="4" t="str">
        <f>HYPERLINK("http://141.218.60.56/~jnz1568/getInfo.php?workbook=16_15.xlsx&amp;sheet=A0&amp;row=270&amp;col=18&amp;number=&amp;sourceID=56","")</f>
        <v/>
      </c>
      <c r="S270" s="4" t="str">
        <f>HYPERLINK("http://141.218.60.56/~jnz1568/getInfo.php?workbook=16_15.xlsx&amp;sheet=A0&amp;row=270&amp;col=19&amp;number=&amp;sourceID=57","")</f>
        <v/>
      </c>
      <c r="T270" s="4" t="str">
        <f>HYPERLINK("http://141.218.60.56/~jnz1568/getInfo.php?workbook=16_15.xlsx&amp;sheet=A0&amp;row=270&amp;col=20&amp;number=&amp;sourceID=57","")</f>
        <v/>
      </c>
      <c r="U270" s="4" t="str">
        <f>HYPERLINK("http://141.218.60.56/~jnz1568/getInfo.php?workbook=16_15.xlsx&amp;sheet=A0&amp;row=270&amp;col=21&amp;number=&amp;sourceID=47","")</f>
        <v/>
      </c>
      <c r="V270" s="4" t="str">
        <f>HYPERLINK("http://141.218.60.56/~jnz1568/getInfo.php?workbook=16_15.xlsx&amp;sheet=A0&amp;row=270&amp;col=22&amp;number=&amp;sourceID=47","")</f>
        <v/>
      </c>
    </row>
    <row r="271" spans="1:22">
      <c r="A271" s="3">
        <v>16</v>
      </c>
      <c r="B271" s="3">
        <v>15</v>
      </c>
      <c r="C271" s="3">
        <v>26</v>
      </c>
      <c r="D271" s="3">
        <v>15</v>
      </c>
      <c r="E271" s="3">
        <f>((1/(INDEX(E0!J$4:J$73,C271,1)-INDEX(E0!J$4:J$73,D271,1))))*100000000</f>
        <v>0</v>
      </c>
      <c r="F271" s="4" t="str">
        <f>HYPERLINK("http://141.218.60.56/~jnz1568/getInfo.php?workbook=16_15.xlsx&amp;sheet=A0&amp;row=271&amp;col=6&amp;number=&amp;sourceID=54","")</f>
        <v/>
      </c>
      <c r="G271" s="4" t="str">
        <f>HYPERLINK("http://141.218.60.56/~jnz1568/getInfo.php?workbook=16_15.xlsx&amp;sheet=A0&amp;row=271&amp;col=7&amp;number=6.2924e-06&amp;sourceID=54","6.2924e-06")</f>
        <v>6.2924e-06</v>
      </c>
      <c r="H271" s="4" t="str">
        <f>HYPERLINK("http://141.218.60.56/~jnz1568/getInfo.php?workbook=16_15.xlsx&amp;sheet=A0&amp;row=271&amp;col=8&amp;number=0.00013246&amp;sourceID=54","0.00013246")</f>
        <v>0.00013246</v>
      </c>
      <c r="I271" s="4" t="str">
        <f>HYPERLINK("http://141.218.60.56/~jnz1568/getInfo.php?workbook=16_15.xlsx&amp;sheet=A0&amp;row=271&amp;col=9&amp;number=&amp;sourceID=54","")</f>
        <v/>
      </c>
      <c r="J271" s="4" t="str">
        <f>HYPERLINK("http://141.218.60.56/~jnz1568/getInfo.php?workbook=16_15.xlsx&amp;sheet=A0&amp;row=271&amp;col=10&amp;number=1.446e-05&amp;sourceID=54","1.446e-05")</f>
        <v>1.446e-05</v>
      </c>
      <c r="K271" s="4" t="str">
        <f>HYPERLINK("http://141.218.60.56/~jnz1568/getInfo.php?workbook=16_15.xlsx&amp;sheet=A0&amp;row=271&amp;col=11&amp;number=0.00017833&amp;sourceID=54","0.00017833")</f>
        <v>0.00017833</v>
      </c>
      <c r="L271" s="4" t="str">
        <f>HYPERLINK("http://141.218.60.56/~jnz1568/getInfo.php?workbook=16_15.xlsx&amp;sheet=A0&amp;row=271&amp;col=12&amp;number=&amp;sourceID=53","")</f>
        <v/>
      </c>
      <c r="M271" s="4" t="str">
        <f>HYPERLINK("http://141.218.60.56/~jnz1568/getInfo.php?workbook=16_15.xlsx&amp;sheet=A0&amp;row=271&amp;col=13&amp;number=&amp;sourceID=53","")</f>
        <v/>
      </c>
      <c r="N271" s="4" t="str">
        <f>HYPERLINK("http://141.218.60.56/~jnz1568/getInfo.php?workbook=16_15.xlsx&amp;sheet=A0&amp;row=271&amp;col=14&amp;number=&amp;sourceID=53","")</f>
        <v/>
      </c>
      <c r="O271" s="4" t="str">
        <f>HYPERLINK("http://141.218.60.56/~jnz1568/getInfo.php?workbook=16_15.xlsx&amp;sheet=A0&amp;row=271&amp;col=15&amp;number=&amp;sourceID=55","")</f>
        <v/>
      </c>
      <c r="P271" s="4" t="str">
        <f>HYPERLINK("http://141.218.60.56/~jnz1568/getInfo.php?workbook=16_15.xlsx&amp;sheet=A0&amp;row=271&amp;col=16&amp;number=&amp;sourceID=55","")</f>
        <v/>
      </c>
      <c r="Q271" s="4" t="str">
        <f>HYPERLINK("http://141.218.60.56/~jnz1568/getInfo.php?workbook=16_15.xlsx&amp;sheet=A0&amp;row=271&amp;col=17&amp;number=&amp;sourceID=56","")</f>
        <v/>
      </c>
      <c r="R271" s="4" t="str">
        <f>HYPERLINK("http://141.218.60.56/~jnz1568/getInfo.php?workbook=16_15.xlsx&amp;sheet=A0&amp;row=271&amp;col=18&amp;number=&amp;sourceID=56","")</f>
        <v/>
      </c>
      <c r="S271" s="4" t="str">
        <f>HYPERLINK("http://141.218.60.56/~jnz1568/getInfo.php?workbook=16_15.xlsx&amp;sheet=A0&amp;row=271&amp;col=19&amp;number=&amp;sourceID=57","")</f>
        <v/>
      </c>
      <c r="T271" s="4" t="str">
        <f>HYPERLINK("http://141.218.60.56/~jnz1568/getInfo.php?workbook=16_15.xlsx&amp;sheet=A0&amp;row=271&amp;col=20&amp;number=&amp;sourceID=57","")</f>
        <v/>
      </c>
      <c r="U271" s="4" t="str">
        <f>HYPERLINK("http://141.218.60.56/~jnz1568/getInfo.php?workbook=16_15.xlsx&amp;sheet=A0&amp;row=271&amp;col=21&amp;number=&amp;sourceID=47","")</f>
        <v/>
      </c>
      <c r="V271" s="4" t="str">
        <f>HYPERLINK("http://141.218.60.56/~jnz1568/getInfo.php?workbook=16_15.xlsx&amp;sheet=A0&amp;row=271&amp;col=22&amp;number=&amp;sourceID=47","")</f>
        <v/>
      </c>
    </row>
    <row r="272" spans="1:22">
      <c r="A272" s="3">
        <v>16</v>
      </c>
      <c r="B272" s="3">
        <v>15</v>
      </c>
      <c r="C272" s="3">
        <v>26</v>
      </c>
      <c r="D272" s="3">
        <v>16</v>
      </c>
      <c r="E272" s="3">
        <f>((1/(INDEX(E0!J$4:J$73,C272,1)-INDEX(E0!J$4:J$73,D272,1))))*100000000</f>
        <v>0</v>
      </c>
      <c r="F272" s="4" t="str">
        <f>HYPERLINK("http://141.218.60.56/~jnz1568/getInfo.php?workbook=16_15.xlsx&amp;sheet=A0&amp;row=272&amp;col=6&amp;number=&amp;sourceID=54","")</f>
        <v/>
      </c>
      <c r="G272" s="4" t="str">
        <f>HYPERLINK("http://141.218.60.56/~jnz1568/getInfo.php?workbook=16_15.xlsx&amp;sheet=A0&amp;row=272&amp;col=7&amp;number=0.00016794&amp;sourceID=54","0.00016794")</f>
        <v>0.00016794</v>
      </c>
      <c r="H272" s="4" t="str">
        <f>HYPERLINK("http://141.218.60.56/~jnz1568/getInfo.php?workbook=16_15.xlsx&amp;sheet=A0&amp;row=272&amp;col=8&amp;number=8.6701e-09&amp;sourceID=54","8.6701e-09")</f>
        <v>8.6701e-09</v>
      </c>
      <c r="I272" s="4" t="str">
        <f>HYPERLINK("http://141.218.60.56/~jnz1568/getInfo.php?workbook=16_15.xlsx&amp;sheet=A0&amp;row=272&amp;col=9&amp;number=&amp;sourceID=54","")</f>
        <v/>
      </c>
      <c r="J272" s="4" t="str">
        <f>HYPERLINK("http://141.218.60.56/~jnz1568/getInfo.php?workbook=16_15.xlsx&amp;sheet=A0&amp;row=272&amp;col=10&amp;number=0.00017753&amp;sourceID=54","0.00017753")</f>
        <v>0.00017753</v>
      </c>
      <c r="K272" s="4" t="str">
        <f>HYPERLINK("http://141.218.60.56/~jnz1568/getInfo.php?workbook=16_15.xlsx&amp;sheet=A0&amp;row=272&amp;col=11&amp;number=5.6753e-08&amp;sourceID=54","5.6753e-08")</f>
        <v>5.6753e-08</v>
      </c>
      <c r="L272" s="4" t="str">
        <f>HYPERLINK("http://141.218.60.56/~jnz1568/getInfo.php?workbook=16_15.xlsx&amp;sheet=A0&amp;row=272&amp;col=12&amp;number=&amp;sourceID=53","")</f>
        <v/>
      </c>
      <c r="M272" s="4" t="str">
        <f>HYPERLINK("http://141.218.60.56/~jnz1568/getInfo.php?workbook=16_15.xlsx&amp;sheet=A0&amp;row=272&amp;col=13&amp;number=&amp;sourceID=53","")</f>
        <v/>
      </c>
      <c r="N272" s="4" t="str">
        <f>HYPERLINK("http://141.218.60.56/~jnz1568/getInfo.php?workbook=16_15.xlsx&amp;sheet=A0&amp;row=272&amp;col=14&amp;number=&amp;sourceID=53","")</f>
        <v/>
      </c>
      <c r="O272" s="4" t="str">
        <f>HYPERLINK("http://141.218.60.56/~jnz1568/getInfo.php?workbook=16_15.xlsx&amp;sheet=A0&amp;row=272&amp;col=15&amp;number=&amp;sourceID=55","")</f>
        <v/>
      </c>
      <c r="P272" s="4" t="str">
        <f>HYPERLINK("http://141.218.60.56/~jnz1568/getInfo.php?workbook=16_15.xlsx&amp;sheet=A0&amp;row=272&amp;col=16&amp;number=&amp;sourceID=55","")</f>
        <v/>
      </c>
      <c r="Q272" s="4" t="str">
        <f>HYPERLINK("http://141.218.60.56/~jnz1568/getInfo.php?workbook=16_15.xlsx&amp;sheet=A0&amp;row=272&amp;col=17&amp;number=&amp;sourceID=56","")</f>
        <v/>
      </c>
      <c r="R272" s="4" t="str">
        <f>HYPERLINK("http://141.218.60.56/~jnz1568/getInfo.php?workbook=16_15.xlsx&amp;sheet=A0&amp;row=272&amp;col=18&amp;number=&amp;sourceID=56","")</f>
        <v/>
      </c>
      <c r="S272" s="4" t="str">
        <f>HYPERLINK("http://141.218.60.56/~jnz1568/getInfo.php?workbook=16_15.xlsx&amp;sheet=A0&amp;row=272&amp;col=19&amp;number=&amp;sourceID=57","")</f>
        <v/>
      </c>
      <c r="T272" s="4" t="str">
        <f>HYPERLINK("http://141.218.60.56/~jnz1568/getInfo.php?workbook=16_15.xlsx&amp;sheet=A0&amp;row=272&amp;col=20&amp;number=&amp;sourceID=57","")</f>
        <v/>
      </c>
      <c r="U272" s="4" t="str">
        <f>HYPERLINK("http://141.218.60.56/~jnz1568/getInfo.php?workbook=16_15.xlsx&amp;sheet=A0&amp;row=272&amp;col=21&amp;number=&amp;sourceID=47","")</f>
        <v/>
      </c>
      <c r="V272" s="4" t="str">
        <f>HYPERLINK("http://141.218.60.56/~jnz1568/getInfo.php?workbook=16_15.xlsx&amp;sheet=A0&amp;row=272&amp;col=22&amp;number=&amp;sourceID=47","")</f>
        <v/>
      </c>
    </row>
    <row r="273" spans="1:22">
      <c r="A273" s="3">
        <v>16</v>
      </c>
      <c r="B273" s="3">
        <v>15</v>
      </c>
      <c r="C273" s="3">
        <v>26</v>
      </c>
      <c r="D273" s="3">
        <v>17</v>
      </c>
      <c r="E273" s="3">
        <f>((1/(INDEX(E0!J$4:J$73,C273,1)-INDEX(E0!J$4:J$73,D273,1))))*100000000</f>
        <v>0</v>
      </c>
      <c r="F273" s="4" t="str">
        <f>HYPERLINK("http://141.218.60.56/~jnz1568/getInfo.php?workbook=16_15.xlsx&amp;sheet=A0&amp;row=273&amp;col=6&amp;number=&amp;sourceID=54","")</f>
        <v/>
      </c>
      <c r="G273" s="4" t="str">
        <f>HYPERLINK("http://141.218.60.56/~jnz1568/getInfo.php?workbook=16_15.xlsx&amp;sheet=A0&amp;row=273&amp;col=7&amp;number=4.2794e-05&amp;sourceID=54","4.2794e-05")</f>
        <v>4.2794e-05</v>
      </c>
      <c r="H273" s="4" t="str">
        <f>HYPERLINK("http://141.218.60.56/~jnz1568/getInfo.php?workbook=16_15.xlsx&amp;sheet=A0&amp;row=273&amp;col=8&amp;number=7.0947e-05&amp;sourceID=54","7.0947e-05")</f>
        <v>7.0947e-05</v>
      </c>
      <c r="I273" s="4" t="str">
        <f>HYPERLINK("http://141.218.60.56/~jnz1568/getInfo.php?workbook=16_15.xlsx&amp;sheet=A0&amp;row=273&amp;col=9&amp;number=&amp;sourceID=54","")</f>
        <v/>
      </c>
      <c r="J273" s="4" t="str">
        <f>HYPERLINK("http://141.218.60.56/~jnz1568/getInfo.php?workbook=16_15.xlsx&amp;sheet=A0&amp;row=273&amp;col=10&amp;number=8.239e-05&amp;sourceID=54","8.239e-05")</f>
        <v>8.239e-05</v>
      </c>
      <c r="K273" s="4" t="str">
        <f>HYPERLINK("http://141.218.60.56/~jnz1568/getInfo.php?workbook=16_15.xlsx&amp;sheet=A0&amp;row=273&amp;col=11&amp;number=0.00016608&amp;sourceID=54","0.00016608")</f>
        <v>0.00016608</v>
      </c>
      <c r="L273" s="4" t="str">
        <f>HYPERLINK("http://141.218.60.56/~jnz1568/getInfo.php?workbook=16_15.xlsx&amp;sheet=A0&amp;row=273&amp;col=12&amp;number=&amp;sourceID=53","")</f>
        <v/>
      </c>
      <c r="M273" s="4" t="str">
        <f>HYPERLINK("http://141.218.60.56/~jnz1568/getInfo.php?workbook=16_15.xlsx&amp;sheet=A0&amp;row=273&amp;col=13&amp;number=&amp;sourceID=53","")</f>
        <v/>
      </c>
      <c r="N273" s="4" t="str">
        <f>HYPERLINK("http://141.218.60.56/~jnz1568/getInfo.php?workbook=16_15.xlsx&amp;sheet=A0&amp;row=273&amp;col=14&amp;number=&amp;sourceID=53","")</f>
        <v/>
      </c>
      <c r="O273" s="4" t="str">
        <f>HYPERLINK("http://141.218.60.56/~jnz1568/getInfo.php?workbook=16_15.xlsx&amp;sheet=A0&amp;row=273&amp;col=15&amp;number=&amp;sourceID=55","")</f>
        <v/>
      </c>
      <c r="P273" s="4" t="str">
        <f>HYPERLINK("http://141.218.60.56/~jnz1568/getInfo.php?workbook=16_15.xlsx&amp;sheet=A0&amp;row=273&amp;col=16&amp;number=&amp;sourceID=55","")</f>
        <v/>
      </c>
      <c r="Q273" s="4" t="str">
        <f>HYPERLINK("http://141.218.60.56/~jnz1568/getInfo.php?workbook=16_15.xlsx&amp;sheet=A0&amp;row=273&amp;col=17&amp;number=&amp;sourceID=56","")</f>
        <v/>
      </c>
      <c r="R273" s="4" t="str">
        <f>HYPERLINK("http://141.218.60.56/~jnz1568/getInfo.php?workbook=16_15.xlsx&amp;sheet=A0&amp;row=273&amp;col=18&amp;number=&amp;sourceID=56","")</f>
        <v/>
      </c>
      <c r="S273" s="4" t="str">
        <f>HYPERLINK("http://141.218.60.56/~jnz1568/getInfo.php?workbook=16_15.xlsx&amp;sheet=A0&amp;row=273&amp;col=19&amp;number=&amp;sourceID=57","")</f>
        <v/>
      </c>
      <c r="T273" s="4" t="str">
        <f>HYPERLINK("http://141.218.60.56/~jnz1568/getInfo.php?workbook=16_15.xlsx&amp;sheet=A0&amp;row=273&amp;col=20&amp;number=&amp;sourceID=57","")</f>
        <v/>
      </c>
      <c r="U273" s="4" t="str">
        <f>HYPERLINK("http://141.218.60.56/~jnz1568/getInfo.php?workbook=16_15.xlsx&amp;sheet=A0&amp;row=273&amp;col=21&amp;number=&amp;sourceID=47","")</f>
        <v/>
      </c>
      <c r="V273" s="4" t="str">
        <f>HYPERLINK("http://141.218.60.56/~jnz1568/getInfo.php?workbook=16_15.xlsx&amp;sheet=A0&amp;row=273&amp;col=22&amp;number=&amp;sourceID=47","")</f>
        <v/>
      </c>
    </row>
    <row r="274" spans="1:22">
      <c r="A274" s="3">
        <v>16</v>
      </c>
      <c r="B274" s="3">
        <v>15</v>
      </c>
      <c r="C274" s="3">
        <v>26</v>
      </c>
      <c r="D274" s="3">
        <v>18</v>
      </c>
      <c r="E274" s="3">
        <f>((1/(INDEX(E0!J$4:J$73,C274,1)-INDEX(E0!J$4:J$73,D274,1))))*100000000</f>
        <v>0</v>
      </c>
      <c r="F274" s="4" t="str">
        <f>HYPERLINK("http://141.218.60.56/~jnz1568/getInfo.php?workbook=16_15.xlsx&amp;sheet=A0&amp;row=274&amp;col=6&amp;number=&amp;sourceID=54","")</f>
        <v/>
      </c>
      <c r="G274" s="4" t="str">
        <f>HYPERLINK("http://141.218.60.56/~jnz1568/getInfo.php?workbook=16_15.xlsx&amp;sheet=A0&amp;row=274&amp;col=7&amp;number=3.1794e-05&amp;sourceID=54","3.1794e-05")</f>
        <v>3.1794e-05</v>
      </c>
      <c r="H274" s="4" t="str">
        <f>HYPERLINK("http://141.218.60.56/~jnz1568/getInfo.php?workbook=16_15.xlsx&amp;sheet=A0&amp;row=274&amp;col=8&amp;number=4.366e-05&amp;sourceID=54","4.366e-05")</f>
        <v>4.366e-05</v>
      </c>
      <c r="I274" s="4" t="str">
        <f>HYPERLINK("http://141.218.60.56/~jnz1568/getInfo.php?workbook=16_15.xlsx&amp;sheet=A0&amp;row=274&amp;col=9&amp;number=&amp;sourceID=54","")</f>
        <v/>
      </c>
      <c r="J274" s="4" t="str">
        <f>HYPERLINK("http://141.218.60.56/~jnz1568/getInfo.php?workbook=16_15.xlsx&amp;sheet=A0&amp;row=274&amp;col=10&amp;number=5.9606e-05&amp;sourceID=54","5.9606e-05")</f>
        <v>5.9606e-05</v>
      </c>
      <c r="K274" s="4" t="str">
        <f>HYPERLINK("http://141.218.60.56/~jnz1568/getInfo.php?workbook=16_15.xlsx&amp;sheet=A0&amp;row=274&amp;col=11&amp;number=6.4496e-05&amp;sourceID=54","6.4496e-05")</f>
        <v>6.4496e-05</v>
      </c>
      <c r="L274" s="4" t="str">
        <f>HYPERLINK("http://141.218.60.56/~jnz1568/getInfo.php?workbook=16_15.xlsx&amp;sheet=A0&amp;row=274&amp;col=12&amp;number=&amp;sourceID=53","")</f>
        <v/>
      </c>
      <c r="M274" s="4" t="str">
        <f>HYPERLINK("http://141.218.60.56/~jnz1568/getInfo.php?workbook=16_15.xlsx&amp;sheet=A0&amp;row=274&amp;col=13&amp;number=&amp;sourceID=53","")</f>
        <v/>
      </c>
      <c r="N274" s="4" t="str">
        <f>HYPERLINK("http://141.218.60.56/~jnz1568/getInfo.php?workbook=16_15.xlsx&amp;sheet=A0&amp;row=274&amp;col=14&amp;number=&amp;sourceID=53","")</f>
        <v/>
      </c>
      <c r="O274" s="4" t="str">
        <f>HYPERLINK("http://141.218.60.56/~jnz1568/getInfo.php?workbook=16_15.xlsx&amp;sheet=A0&amp;row=274&amp;col=15&amp;number=&amp;sourceID=55","")</f>
        <v/>
      </c>
      <c r="P274" s="4" t="str">
        <f>HYPERLINK("http://141.218.60.56/~jnz1568/getInfo.php?workbook=16_15.xlsx&amp;sheet=A0&amp;row=274&amp;col=16&amp;number=&amp;sourceID=55","")</f>
        <v/>
      </c>
      <c r="Q274" s="4" t="str">
        <f>HYPERLINK("http://141.218.60.56/~jnz1568/getInfo.php?workbook=16_15.xlsx&amp;sheet=A0&amp;row=274&amp;col=17&amp;number=&amp;sourceID=56","")</f>
        <v/>
      </c>
      <c r="R274" s="4" t="str">
        <f>HYPERLINK("http://141.218.60.56/~jnz1568/getInfo.php?workbook=16_15.xlsx&amp;sheet=A0&amp;row=274&amp;col=18&amp;number=&amp;sourceID=56","")</f>
        <v/>
      </c>
      <c r="S274" s="4" t="str">
        <f>HYPERLINK("http://141.218.60.56/~jnz1568/getInfo.php?workbook=16_15.xlsx&amp;sheet=A0&amp;row=274&amp;col=19&amp;number=&amp;sourceID=57","")</f>
        <v/>
      </c>
      <c r="T274" s="4" t="str">
        <f>HYPERLINK("http://141.218.60.56/~jnz1568/getInfo.php?workbook=16_15.xlsx&amp;sheet=A0&amp;row=274&amp;col=20&amp;number=&amp;sourceID=57","")</f>
        <v/>
      </c>
      <c r="U274" s="4" t="str">
        <f>HYPERLINK("http://141.218.60.56/~jnz1568/getInfo.php?workbook=16_15.xlsx&amp;sheet=A0&amp;row=274&amp;col=21&amp;number=&amp;sourceID=47","")</f>
        <v/>
      </c>
      <c r="V274" s="4" t="str">
        <f>HYPERLINK("http://141.218.60.56/~jnz1568/getInfo.php?workbook=16_15.xlsx&amp;sheet=A0&amp;row=274&amp;col=22&amp;number=&amp;sourceID=47","")</f>
        <v/>
      </c>
    </row>
    <row r="275" spans="1:22">
      <c r="A275" s="3">
        <v>16</v>
      </c>
      <c r="B275" s="3">
        <v>15</v>
      </c>
      <c r="C275" s="3">
        <v>26</v>
      </c>
      <c r="D275" s="3">
        <v>19</v>
      </c>
      <c r="E275" s="3">
        <f>((1/(INDEX(E0!J$4:J$73,C275,1)-INDEX(E0!J$4:J$73,D275,1))))*100000000</f>
        <v>0</v>
      </c>
      <c r="F275" s="4" t="str">
        <f>HYPERLINK("http://141.218.60.56/~jnz1568/getInfo.php?workbook=16_15.xlsx&amp;sheet=A0&amp;row=275&amp;col=6&amp;number=&amp;sourceID=54","")</f>
        <v/>
      </c>
      <c r="G275" s="4" t="str">
        <f>HYPERLINK("http://141.218.60.56/~jnz1568/getInfo.php?workbook=16_15.xlsx&amp;sheet=A0&amp;row=275&amp;col=7&amp;number=2.0415e-05&amp;sourceID=54","2.0415e-05")</f>
        <v>2.0415e-05</v>
      </c>
      <c r="H275" s="4" t="str">
        <f>HYPERLINK("http://141.218.60.56/~jnz1568/getInfo.php?workbook=16_15.xlsx&amp;sheet=A0&amp;row=275&amp;col=8&amp;number=&amp;sourceID=54","")</f>
        <v/>
      </c>
      <c r="I275" s="4" t="str">
        <f>HYPERLINK("http://141.218.60.56/~jnz1568/getInfo.php?workbook=16_15.xlsx&amp;sheet=A0&amp;row=275&amp;col=9&amp;number=&amp;sourceID=54","")</f>
        <v/>
      </c>
      <c r="J275" s="4" t="str">
        <f>HYPERLINK("http://141.218.60.56/~jnz1568/getInfo.php?workbook=16_15.xlsx&amp;sheet=A0&amp;row=275&amp;col=10&amp;number=3.8103e-05&amp;sourceID=54","3.8103e-05")</f>
        <v>3.8103e-05</v>
      </c>
      <c r="K275" s="4" t="str">
        <f>HYPERLINK("http://141.218.60.56/~jnz1568/getInfo.php?workbook=16_15.xlsx&amp;sheet=A0&amp;row=275&amp;col=11&amp;number=&amp;sourceID=54","")</f>
        <v/>
      </c>
      <c r="L275" s="4" t="str">
        <f>HYPERLINK("http://141.218.60.56/~jnz1568/getInfo.php?workbook=16_15.xlsx&amp;sheet=A0&amp;row=275&amp;col=12&amp;number=&amp;sourceID=53","")</f>
        <v/>
      </c>
      <c r="M275" s="4" t="str">
        <f>HYPERLINK("http://141.218.60.56/~jnz1568/getInfo.php?workbook=16_15.xlsx&amp;sheet=A0&amp;row=275&amp;col=13&amp;number=&amp;sourceID=53","")</f>
        <v/>
      </c>
      <c r="N275" s="4" t="str">
        <f>HYPERLINK("http://141.218.60.56/~jnz1568/getInfo.php?workbook=16_15.xlsx&amp;sheet=A0&amp;row=275&amp;col=14&amp;number=&amp;sourceID=53","")</f>
        <v/>
      </c>
      <c r="O275" s="4" t="str">
        <f>HYPERLINK("http://141.218.60.56/~jnz1568/getInfo.php?workbook=16_15.xlsx&amp;sheet=A0&amp;row=275&amp;col=15&amp;number=&amp;sourceID=55","")</f>
        <v/>
      </c>
      <c r="P275" s="4" t="str">
        <f>HYPERLINK("http://141.218.60.56/~jnz1568/getInfo.php?workbook=16_15.xlsx&amp;sheet=A0&amp;row=275&amp;col=16&amp;number=&amp;sourceID=55","")</f>
        <v/>
      </c>
      <c r="Q275" s="4" t="str">
        <f>HYPERLINK("http://141.218.60.56/~jnz1568/getInfo.php?workbook=16_15.xlsx&amp;sheet=A0&amp;row=275&amp;col=17&amp;number=&amp;sourceID=56","")</f>
        <v/>
      </c>
      <c r="R275" s="4" t="str">
        <f>HYPERLINK("http://141.218.60.56/~jnz1568/getInfo.php?workbook=16_15.xlsx&amp;sheet=A0&amp;row=275&amp;col=18&amp;number=&amp;sourceID=56","")</f>
        <v/>
      </c>
      <c r="S275" s="4" t="str">
        <f>HYPERLINK("http://141.218.60.56/~jnz1568/getInfo.php?workbook=16_15.xlsx&amp;sheet=A0&amp;row=275&amp;col=19&amp;number=&amp;sourceID=57","")</f>
        <v/>
      </c>
      <c r="T275" s="4" t="str">
        <f>HYPERLINK("http://141.218.60.56/~jnz1568/getInfo.php?workbook=16_15.xlsx&amp;sheet=A0&amp;row=275&amp;col=20&amp;number=&amp;sourceID=57","")</f>
        <v/>
      </c>
      <c r="U275" s="4" t="str">
        <f>HYPERLINK("http://141.218.60.56/~jnz1568/getInfo.php?workbook=16_15.xlsx&amp;sheet=A0&amp;row=275&amp;col=21&amp;number=&amp;sourceID=47","")</f>
        <v/>
      </c>
      <c r="V275" s="4" t="str">
        <f>HYPERLINK("http://141.218.60.56/~jnz1568/getInfo.php?workbook=16_15.xlsx&amp;sheet=A0&amp;row=275&amp;col=22&amp;number=&amp;sourceID=47","")</f>
        <v/>
      </c>
    </row>
    <row r="276" spans="1:22">
      <c r="A276" s="3">
        <v>16</v>
      </c>
      <c r="B276" s="3">
        <v>15</v>
      </c>
      <c r="C276" s="3">
        <v>26</v>
      </c>
      <c r="D276" s="3">
        <v>20</v>
      </c>
      <c r="E276" s="3">
        <f>((1/(INDEX(E0!J$4:J$73,C276,1)-INDEX(E0!J$4:J$73,D276,1))))*100000000</f>
        <v>0</v>
      </c>
      <c r="F276" s="4" t="str">
        <f>HYPERLINK("http://141.218.60.56/~jnz1568/getInfo.php?workbook=16_15.xlsx&amp;sheet=A0&amp;row=276&amp;col=6&amp;number=&amp;sourceID=54","")</f>
        <v/>
      </c>
      <c r="G276" s="4" t="str">
        <f>HYPERLINK("http://141.218.60.56/~jnz1568/getInfo.php?workbook=16_15.xlsx&amp;sheet=A0&amp;row=276&amp;col=7&amp;number=0.00017711&amp;sourceID=54","0.00017711")</f>
        <v>0.00017711</v>
      </c>
      <c r="H276" s="4" t="str">
        <f>HYPERLINK("http://141.218.60.56/~jnz1568/getInfo.php?workbook=16_15.xlsx&amp;sheet=A0&amp;row=276&amp;col=8&amp;number=&amp;sourceID=54","")</f>
        <v/>
      </c>
      <c r="I276" s="4" t="str">
        <f>HYPERLINK("http://141.218.60.56/~jnz1568/getInfo.php?workbook=16_15.xlsx&amp;sheet=A0&amp;row=276&amp;col=9&amp;number=&amp;sourceID=54","")</f>
        <v/>
      </c>
      <c r="J276" s="4" t="str">
        <f>HYPERLINK("http://141.218.60.56/~jnz1568/getInfo.php?workbook=16_15.xlsx&amp;sheet=A0&amp;row=276&amp;col=10&amp;number=3.6988e-05&amp;sourceID=54","3.6988e-05")</f>
        <v>3.6988e-05</v>
      </c>
      <c r="K276" s="4" t="str">
        <f>HYPERLINK("http://141.218.60.56/~jnz1568/getInfo.php?workbook=16_15.xlsx&amp;sheet=A0&amp;row=276&amp;col=11&amp;number=&amp;sourceID=54","")</f>
        <v/>
      </c>
      <c r="L276" s="4" t="str">
        <f>HYPERLINK("http://141.218.60.56/~jnz1568/getInfo.php?workbook=16_15.xlsx&amp;sheet=A0&amp;row=276&amp;col=12&amp;number=&amp;sourceID=53","")</f>
        <v/>
      </c>
      <c r="M276" s="4" t="str">
        <f>HYPERLINK("http://141.218.60.56/~jnz1568/getInfo.php?workbook=16_15.xlsx&amp;sheet=A0&amp;row=276&amp;col=13&amp;number=&amp;sourceID=53","")</f>
        <v/>
      </c>
      <c r="N276" s="4" t="str">
        <f>HYPERLINK("http://141.218.60.56/~jnz1568/getInfo.php?workbook=16_15.xlsx&amp;sheet=A0&amp;row=276&amp;col=14&amp;number=&amp;sourceID=53","")</f>
        <v/>
      </c>
      <c r="O276" s="4" t="str">
        <f>HYPERLINK("http://141.218.60.56/~jnz1568/getInfo.php?workbook=16_15.xlsx&amp;sheet=A0&amp;row=276&amp;col=15&amp;number=&amp;sourceID=55","")</f>
        <v/>
      </c>
      <c r="P276" s="4" t="str">
        <f>HYPERLINK("http://141.218.60.56/~jnz1568/getInfo.php?workbook=16_15.xlsx&amp;sheet=A0&amp;row=276&amp;col=16&amp;number=&amp;sourceID=55","")</f>
        <v/>
      </c>
      <c r="Q276" s="4" t="str">
        <f>HYPERLINK("http://141.218.60.56/~jnz1568/getInfo.php?workbook=16_15.xlsx&amp;sheet=A0&amp;row=276&amp;col=17&amp;number=&amp;sourceID=56","")</f>
        <v/>
      </c>
      <c r="R276" s="4" t="str">
        <f>HYPERLINK("http://141.218.60.56/~jnz1568/getInfo.php?workbook=16_15.xlsx&amp;sheet=A0&amp;row=276&amp;col=18&amp;number=&amp;sourceID=56","")</f>
        <v/>
      </c>
      <c r="S276" s="4" t="str">
        <f>HYPERLINK("http://141.218.60.56/~jnz1568/getInfo.php?workbook=16_15.xlsx&amp;sheet=A0&amp;row=276&amp;col=19&amp;number=&amp;sourceID=57","")</f>
        <v/>
      </c>
      <c r="T276" s="4" t="str">
        <f>HYPERLINK("http://141.218.60.56/~jnz1568/getInfo.php?workbook=16_15.xlsx&amp;sheet=A0&amp;row=276&amp;col=20&amp;number=&amp;sourceID=57","")</f>
        <v/>
      </c>
      <c r="U276" s="4" t="str">
        <f>HYPERLINK("http://141.218.60.56/~jnz1568/getInfo.php?workbook=16_15.xlsx&amp;sheet=A0&amp;row=276&amp;col=21&amp;number=&amp;sourceID=47","")</f>
        <v/>
      </c>
      <c r="V276" s="4" t="str">
        <f>HYPERLINK("http://141.218.60.56/~jnz1568/getInfo.php?workbook=16_15.xlsx&amp;sheet=A0&amp;row=276&amp;col=22&amp;number=&amp;sourceID=47","")</f>
        <v/>
      </c>
    </row>
    <row r="277" spans="1:22">
      <c r="A277" s="3">
        <v>16</v>
      </c>
      <c r="B277" s="3">
        <v>15</v>
      </c>
      <c r="C277" s="3">
        <v>26</v>
      </c>
      <c r="D277" s="3">
        <v>21</v>
      </c>
      <c r="E277" s="3">
        <f>((1/(INDEX(E0!J$4:J$73,C277,1)-INDEX(E0!J$4:J$73,D277,1))))*100000000</f>
        <v>0</v>
      </c>
      <c r="F277" s="4" t="str">
        <f>HYPERLINK("http://141.218.60.56/~jnz1568/getInfo.php?workbook=16_15.xlsx&amp;sheet=A0&amp;row=277&amp;col=6&amp;number=&amp;sourceID=54","")</f>
        <v/>
      </c>
      <c r="G277" s="4" t="str">
        <f>HYPERLINK("http://141.218.60.56/~jnz1568/getInfo.php?workbook=16_15.xlsx&amp;sheet=A0&amp;row=277&amp;col=7&amp;number=2.0842e-05&amp;sourceID=54","2.0842e-05")</f>
        <v>2.0842e-05</v>
      </c>
      <c r="H277" s="4" t="str">
        <f>HYPERLINK("http://141.218.60.56/~jnz1568/getInfo.php?workbook=16_15.xlsx&amp;sheet=A0&amp;row=277&amp;col=8&amp;number=2.77e-13&amp;sourceID=54","2.77e-13")</f>
        <v>2.77e-13</v>
      </c>
      <c r="I277" s="4" t="str">
        <f>HYPERLINK("http://141.218.60.56/~jnz1568/getInfo.php?workbook=16_15.xlsx&amp;sheet=A0&amp;row=277&amp;col=9&amp;number=&amp;sourceID=54","")</f>
        <v/>
      </c>
      <c r="J277" s="4" t="str">
        <f>HYPERLINK("http://141.218.60.56/~jnz1568/getInfo.php?workbook=16_15.xlsx&amp;sheet=A0&amp;row=277&amp;col=10&amp;number=2.9073e-06&amp;sourceID=54","2.9073e-06")</f>
        <v>2.9073e-06</v>
      </c>
      <c r="K277" s="4" t="str">
        <f>HYPERLINK("http://141.218.60.56/~jnz1568/getInfo.php?workbook=16_15.xlsx&amp;sheet=A0&amp;row=277&amp;col=11&amp;number=3.8413e-11&amp;sourceID=54","3.8413e-11")</f>
        <v>3.8413e-11</v>
      </c>
      <c r="L277" s="4" t="str">
        <f>HYPERLINK("http://141.218.60.56/~jnz1568/getInfo.php?workbook=16_15.xlsx&amp;sheet=A0&amp;row=277&amp;col=12&amp;number=&amp;sourceID=53","")</f>
        <v/>
      </c>
      <c r="M277" s="4" t="str">
        <f>HYPERLINK("http://141.218.60.56/~jnz1568/getInfo.php?workbook=16_15.xlsx&amp;sheet=A0&amp;row=277&amp;col=13&amp;number=&amp;sourceID=53","")</f>
        <v/>
      </c>
      <c r="N277" s="4" t="str">
        <f>HYPERLINK("http://141.218.60.56/~jnz1568/getInfo.php?workbook=16_15.xlsx&amp;sheet=A0&amp;row=277&amp;col=14&amp;number=&amp;sourceID=53","")</f>
        <v/>
      </c>
      <c r="O277" s="4" t="str">
        <f>HYPERLINK("http://141.218.60.56/~jnz1568/getInfo.php?workbook=16_15.xlsx&amp;sheet=A0&amp;row=277&amp;col=15&amp;number=&amp;sourceID=55","")</f>
        <v/>
      </c>
      <c r="P277" s="4" t="str">
        <f>HYPERLINK("http://141.218.60.56/~jnz1568/getInfo.php?workbook=16_15.xlsx&amp;sheet=A0&amp;row=277&amp;col=16&amp;number=&amp;sourceID=55","")</f>
        <v/>
      </c>
      <c r="Q277" s="4" t="str">
        <f>HYPERLINK("http://141.218.60.56/~jnz1568/getInfo.php?workbook=16_15.xlsx&amp;sheet=A0&amp;row=277&amp;col=17&amp;number=&amp;sourceID=56","")</f>
        <v/>
      </c>
      <c r="R277" s="4" t="str">
        <f>HYPERLINK("http://141.218.60.56/~jnz1568/getInfo.php?workbook=16_15.xlsx&amp;sheet=A0&amp;row=277&amp;col=18&amp;number=&amp;sourceID=56","")</f>
        <v/>
      </c>
      <c r="S277" s="4" t="str">
        <f>HYPERLINK("http://141.218.60.56/~jnz1568/getInfo.php?workbook=16_15.xlsx&amp;sheet=A0&amp;row=277&amp;col=19&amp;number=&amp;sourceID=57","")</f>
        <v/>
      </c>
      <c r="T277" s="4" t="str">
        <f>HYPERLINK("http://141.218.60.56/~jnz1568/getInfo.php?workbook=16_15.xlsx&amp;sheet=A0&amp;row=277&amp;col=20&amp;number=&amp;sourceID=57","")</f>
        <v/>
      </c>
      <c r="U277" s="4" t="str">
        <f>HYPERLINK("http://141.218.60.56/~jnz1568/getInfo.php?workbook=16_15.xlsx&amp;sheet=A0&amp;row=277&amp;col=21&amp;number=&amp;sourceID=47","")</f>
        <v/>
      </c>
      <c r="V277" s="4" t="str">
        <f>HYPERLINK("http://141.218.60.56/~jnz1568/getInfo.php?workbook=16_15.xlsx&amp;sheet=A0&amp;row=277&amp;col=22&amp;number=&amp;sourceID=47","")</f>
        <v/>
      </c>
    </row>
    <row r="278" spans="1:22">
      <c r="A278" s="3">
        <v>16</v>
      </c>
      <c r="B278" s="3">
        <v>15</v>
      </c>
      <c r="C278" s="3">
        <v>26</v>
      </c>
      <c r="D278" s="3">
        <v>22</v>
      </c>
      <c r="E278" s="3">
        <f>((1/(INDEX(E0!J$4:J$73,C278,1)-INDEX(E0!J$4:J$73,D278,1))))*100000000</f>
        <v>0</v>
      </c>
      <c r="F278" s="4" t="str">
        <f>HYPERLINK("http://141.218.60.56/~jnz1568/getInfo.php?workbook=16_15.xlsx&amp;sheet=A0&amp;row=278&amp;col=6&amp;number=&amp;sourceID=54","")</f>
        <v/>
      </c>
      <c r="G278" s="4" t="str">
        <f>HYPERLINK("http://141.218.60.56/~jnz1568/getInfo.php?workbook=16_15.xlsx&amp;sheet=A0&amp;row=278&amp;col=7&amp;number=5.762e-09&amp;sourceID=54","5.762e-09")</f>
        <v>5.762e-09</v>
      </c>
      <c r="H278" s="4" t="str">
        <f>HYPERLINK("http://141.218.60.56/~jnz1568/getInfo.php?workbook=16_15.xlsx&amp;sheet=A0&amp;row=278&amp;col=8&amp;number=&amp;sourceID=54","")</f>
        <v/>
      </c>
      <c r="I278" s="4" t="str">
        <f>HYPERLINK("http://141.218.60.56/~jnz1568/getInfo.php?workbook=16_15.xlsx&amp;sheet=A0&amp;row=278&amp;col=9&amp;number=&amp;sourceID=54","")</f>
        <v/>
      </c>
      <c r="J278" s="4" t="str">
        <f>HYPERLINK("http://141.218.60.56/~jnz1568/getInfo.php?workbook=16_15.xlsx&amp;sheet=A0&amp;row=278&amp;col=10&amp;number=1.7422e-09&amp;sourceID=54","1.7422e-09")</f>
        <v>1.7422e-09</v>
      </c>
      <c r="K278" s="4" t="str">
        <f>HYPERLINK("http://141.218.60.56/~jnz1568/getInfo.php?workbook=16_15.xlsx&amp;sheet=A0&amp;row=278&amp;col=11&amp;number=&amp;sourceID=54","")</f>
        <v/>
      </c>
      <c r="L278" s="4" t="str">
        <f>HYPERLINK("http://141.218.60.56/~jnz1568/getInfo.php?workbook=16_15.xlsx&amp;sheet=A0&amp;row=278&amp;col=12&amp;number=&amp;sourceID=53","")</f>
        <v/>
      </c>
      <c r="M278" s="4" t="str">
        <f>HYPERLINK("http://141.218.60.56/~jnz1568/getInfo.php?workbook=16_15.xlsx&amp;sheet=A0&amp;row=278&amp;col=13&amp;number=&amp;sourceID=53","")</f>
        <v/>
      </c>
      <c r="N278" s="4" t="str">
        <f>HYPERLINK("http://141.218.60.56/~jnz1568/getInfo.php?workbook=16_15.xlsx&amp;sheet=A0&amp;row=278&amp;col=14&amp;number=&amp;sourceID=53","")</f>
        <v/>
      </c>
      <c r="O278" s="4" t="str">
        <f>HYPERLINK("http://141.218.60.56/~jnz1568/getInfo.php?workbook=16_15.xlsx&amp;sheet=A0&amp;row=278&amp;col=15&amp;number=&amp;sourceID=55","")</f>
        <v/>
      </c>
      <c r="P278" s="4" t="str">
        <f>HYPERLINK("http://141.218.60.56/~jnz1568/getInfo.php?workbook=16_15.xlsx&amp;sheet=A0&amp;row=278&amp;col=16&amp;number=&amp;sourceID=55","")</f>
        <v/>
      </c>
      <c r="Q278" s="4" t="str">
        <f>HYPERLINK("http://141.218.60.56/~jnz1568/getInfo.php?workbook=16_15.xlsx&amp;sheet=A0&amp;row=278&amp;col=17&amp;number=&amp;sourceID=56","")</f>
        <v/>
      </c>
      <c r="R278" s="4" t="str">
        <f>HYPERLINK("http://141.218.60.56/~jnz1568/getInfo.php?workbook=16_15.xlsx&amp;sheet=A0&amp;row=278&amp;col=18&amp;number=&amp;sourceID=56","")</f>
        <v/>
      </c>
      <c r="S278" s="4" t="str">
        <f>HYPERLINK("http://141.218.60.56/~jnz1568/getInfo.php?workbook=16_15.xlsx&amp;sheet=A0&amp;row=278&amp;col=19&amp;number=&amp;sourceID=57","")</f>
        <v/>
      </c>
      <c r="T278" s="4" t="str">
        <f>HYPERLINK("http://141.218.60.56/~jnz1568/getInfo.php?workbook=16_15.xlsx&amp;sheet=A0&amp;row=278&amp;col=20&amp;number=&amp;sourceID=57","")</f>
        <v/>
      </c>
      <c r="U278" s="4" t="str">
        <f>HYPERLINK("http://141.218.60.56/~jnz1568/getInfo.php?workbook=16_15.xlsx&amp;sheet=A0&amp;row=278&amp;col=21&amp;number=&amp;sourceID=47","")</f>
        <v/>
      </c>
      <c r="V278" s="4" t="str">
        <f>HYPERLINK("http://141.218.60.56/~jnz1568/getInfo.php?workbook=16_15.xlsx&amp;sheet=A0&amp;row=278&amp;col=22&amp;number=&amp;sourceID=47","")</f>
        <v/>
      </c>
    </row>
    <row r="279" spans="1:22">
      <c r="A279" s="3">
        <v>16</v>
      </c>
      <c r="B279" s="3">
        <v>15</v>
      </c>
      <c r="C279" s="3">
        <v>26</v>
      </c>
      <c r="D279" s="3">
        <v>23</v>
      </c>
      <c r="E279" s="3">
        <f>((1/(INDEX(E0!J$4:J$73,C279,1)-INDEX(E0!J$4:J$73,D279,1))))*100000000</f>
        <v>0</v>
      </c>
      <c r="F279" s="4" t="str">
        <f>HYPERLINK("http://141.218.60.56/~jnz1568/getInfo.php?workbook=16_15.xlsx&amp;sheet=A0&amp;row=279&amp;col=6&amp;number=&amp;sourceID=54","")</f>
        <v/>
      </c>
      <c r="G279" s="4" t="str">
        <f>HYPERLINK("http://141.218.60.56/~jnz1568/getInfo.php?workbook=16_15.xlsx&amp;sheet=A0&amp;row=279&amp;col=7&amp;number=1.1142e-08&amp;sourceID=54","1.1142e-08")</f>
        <v>1.1142e-08</v>
      </c>
      <c r="H279" s="4" t="str">
        <f>HYPERLINK("http://141.218.60.56/~jnz1568/getInfo.php?workbook=16_15.xlsx&amp;sheet=A0&amp;row=279&amp;col=8&amp;number=0.00068264&amp;sourceID=54","0.00068264")</f>
        <v>0.00068264</v>
      </c>
      <c r="I279" s="4" t="str">
        <f>HYPERLINK("http://141.218.60.56/~jnz1568/getInfo.php?workbook=16_15.xlsx&amp;sheet=A0&amp;row=279&amp;col=9&amp;number=&amp;sourceID=54","")</f>
        <v/>
      </c>
      <c r="J279" s="4" t="str">
        <f>HYPERLINK("http://141.218.60.56/~jnz1568/getInfo.php?workbook=16_15.xlsx&amp;sheet=A0&amp;row=279&amp;col=10&amp;number=3.5165e-09&amp;sourceID=54","3.5165e-09")</f>
        <v>3.5165e-09</v>
      </c>
      <c r="K279" s="4" t="str">
        <f>HYPERLINK("http://141.218.60.56/~jnz1568/getInfo.php?workbook=16_15.xlsx&amp;sheet=A0&amp;row=279&amp;col=11&amp;number=0.00046896&amp;sourceID=54","0.00046896")</f>
        <v>0.00046896</v>
      </c>
      <c r="L279" s="4" t="str">
        <f>HYPERLINK("http://141.218.60.56/~jnz1568/getInfo.php?workbook=16_15.xlsx&amp;sheet=A0&amp;row=279&amp;col=12&amp;number=&amp;sourceID=53","")</f>
        <v/>
      </c>
      <c r="M279" s="4" t="str">
        <f>HYPERLINK("http://141.218.60.56/~jnz1568/getInfo.php?workbook=16_15.xlsx&amp;sheet=A0&amp;row=279&amp;col=13&amp;number=&amp;sourceID=53","")</f>
        <v/>
      </c>
      <c r="N279" s="4" t="str">
        <f>HYPERLINK("http://141.218.60.56/~jnz1568/getInfo.php?workbook=16_15.xlsx&amp;sheet=A0&amp;row=279&amp;col=14&amp;number=&amp;sourceID=53","")</f>
        <v/>
      </c>
      <c r="O279" s="4" t="str">
        <f>HYPERLINK("http://141.218.60.56/~jnz1568/getInfo.php?workbook=16_15.xlsx&amp;sheet=A0&amp;row=279&amp;col=15&amp;number=&amp;sourceID=55","")</f>
        <v/>
      </c>
      <c r="P279" s="4" t="str">
        <f>HYPERLINK("http://141.218.60.56/~jnz1568/getInfo.php?workbook=16_15.xlsx&amp;sheet=A0&amp;row=279&amp;col=16&amp;number=&amp;sourceID=55","")</f>
        <v/>
      </c>
      <c r="Q279" s="4" t="str">
        <f>HYPERLINK("http://141.218.60.56/~jnz1568/getInfo.php?workbook=16_15.xlsx&amp;sheet=A0&amp;row=279&amp;col=17&amp;number=&amp;sourceID=56","")</f>
        <v/>
      </c>
      <c r="R279" s="4" t="str">
        <f>HYPERLINK("http://141.218.60.56/~jnz1568/getInfo.php?workbook=16_15.xlsx&amp;sheet=A0&amp;row=279&amp;col=18&amp;number=&amp;sourceID=56","")</f>
        <v/>
      </c>
      <c r="S279" s="4" t="str">
        <f>HYPERLINK("http://141.218.60.56/~jnz1568/getInfo.php?workbook=16_15.xlsx&amp;sheet=A0&amp;row=279&amp;col=19&amp;number=&amp;sourceID=57","")</f>
        <v/>
      </c>
      <c r="T279" s="4" t="str">
        <f>HYPERLINK("http://141.218.60.56/~jnz1568/getInfo.php?workbook=16_15.xlsx&amp;sheet=A0&amp;row=279&amp;col=20&amp;number=&amp;sourceID=57","")</f>
        <v/>
      </c>
      <c r="U279" s="4" t="str">
        <f>HYPERLINK("http://141.218.60.56/~jnz1568/getInfo.php?workbook=16_15.xlsx&amp;sheet=A0&amp;row=279&amp;col=21&amp;number=&amp;sourceID=47","")</f>
        <v/>
      </c>
      <c r="V279" s="4" t="str">
        <f>HYPERLINK("http://141.218.60.56/~jnz1568/getInfo.php?workbook=16_15.xlsx&amp;sheet=A0&amp;row=279&amp;col=22&amp;number=&amp;sourceID=47","")</f>
        <v/>
      </c>
    </row>
    <row r="280" spans="1:22">
      <c r="A280" s="3">
        <v>16</v>
      </c>
      <c r="B280" s="3">
        <v>15</v>
      </c>
      <c r="C280" s="3">
        <v>26</v>
      </c>
      <c r="D280" s="3">
        <v>24</v>
      </c>
      <c r="E280" s="3">
        <f>((1/(INDEX(E0!J$4:J$73,C280,1)-INDEX(E0!J$4:J$73,D280,1))))*100000000</f>
        <v>0</v>
      </c>
      <c r="F280" s="4" t="str">
        <f>HYPERLINK("http://141.218.60.56/~jnz1568/getInfo.php?workbook=16_15.xlsx&amp;sheet=A0&amp;row=280&amp;col=6&amp;number=&amp;sourceID=54","")</f>
        <v/>
      </c>
      <c r="G280" s="4" t="str">
        <f>HYPERLINK("http://141.218.60.56/~jnz1568/getInfo.php?workbook=16_15.xlsx&amp;sheet=A0&amp;row=280&amp;col=7&amp;number=2.2148e-09&amp;sourceID=54","2.2148e-09")</f>
        <v>2.2148e-09</v>
      </c>
      <c r="H280" s="4" t="str">
        <f>HYPERLINK("http://141.218.60.56/~jnz1568/getInfo.php?workbook=16_15.xlsx&amp;sheet=A0&amp;row=280&amp;col=8&amp;number=0.0009652&amp;sourceID=54","0.0009652")</f>
        <v>0.0009652</v>
      </c>
      <c r="I280" s="4" t="str">
        <f>HYPERLINK("http://141.218.60.56/~jnz1568/getInfo.php?workbook=16_15.xlsx&amp;sheet=A0&amp;row=280&amp;col=9&amp;number=&amp;sourceID=54","")</f>
        <v/>
      </c>
      <c r="J280" s="4" t="str">
        <f>HYPERLINK("http://141.218.60.56/~jnz1568/getInfo.php?workbook=16_15.xlsx&amp;sheet=A0&amp;row=280&amp;col=10&amp;number=6.3566e-10&amp;sourceID=54","6.3566e-10")</f>
        <v>6.3566e-10</v>
      </c>
      <c r="K280" s="4" t="str">
        <f>HYPERLINK("http://141.218.60.56/~jnz1568/getInfo.php?workbook=16_15.xlsx&amp;sheet=A0&amp;row=280&amp;col=11&amp;number=0.00063134&amp;sourceID=54","0.00063134")</f>
        <v>0.00063134</v>
      </c>
      <c r="L280" s="4" t="str">
        <f>HYPERLINK("http://141.218.60.56/~jnz1568/getInfo.php?workbook=16_15.xlsx&amp;sheet=A0&amp;row=280&amp;col=12&amp;number=&amp;sourceID=53","")</f>
        <v/>
      </c>
      <c r="M280" s="4" t="str">
        <f>HYPERLINK("http://141.218.60.56/~jnz1568/getInfo.php?workbook=16_15.xlsx&amp;sheet=A0&amp;row=280&amp;col=13&amp;number=&amp;sourceID=53","")</f>
        <v/>
      </c>
      <c r="N280" s="4" t="str">
        <f>HYPERLINK("http://141.218.60.56/~jnz1568/getInfo.php?workbook=16_15.xlsx&amp;sheet=A0&amp;row=280&amp;col=14&amp;number=&amp;sourceID=53","")</f>
        <v/>
      </c>
      <c r="O280" s="4" t="str">
        <f>HYPERLINK("http://141.218.60.56/~jnz1568/getInfo.php?workbook=16_15.xlsx&amp;sheet=A0&amp;row=280&amp;col=15&amp;number=&amp;sourceID=55","")</f>
        <v/>
      </c>
      <c r="P280" s="4" t="str">
        <f>HYPERLINK("http://141.218.60.56/~jnz1568/getInfo.php?workbook=16_15.xlsx&amp;sheet=A0&amp;row=280&amp;col=16&amp;number=&amp;sourceID=55","")</f>
        <v/>
      </c>
      <c r="Q280" s="4" t="str">
        <f>HYPERLINK("http://141.218.60.56/~jnz1568/getInfo.php?workbook=16_15.xlsx&amp;sheet=A0&amp;row=280&amp;col=17&amp;number=&amp;sourceID=56","")</f>
        <v/>
      </c>
      <c r="R280" s="4" t="str">
        <f>HYPERLINK("http://141.218.60.56/~jnz1568/getInfo.php?workbook=16_15.xlsx&amp;sheet=A0&amp;row=280&amp;col=18&amp;number=&amp;sourceID=56","")</f>
        <v/>
      </c>
      <c r="S280" s="4" t="str">
        <f>HYPERLINK("http://141.218.60.56/~jnz1568/getInfo.php?workbook=16_15.xlsx&amp;sheet=A0&amp;row=280&amp;col=19&amp;number=&amp;sourceID=57","")</f>
        <v/>
      </c>
      <c r="T280" s="4" t="str">
        <f>HYPERLINK("http://141.218.60.56/~jnz1568/getInfo.php?workbook=16_15.xlsx&amp;sheet=A0&amp;row=280&amp;col=20&amp;number=&amp;sourceID=57","")</f>
        <v/>
      </c>
      <c r="U280" s="4" t="str">
        <f>HYPERLINK("http://141.218.60.56/~jnz1568/getInfo.php?workbook=16_15.xlsx&amp;sheet=A0&amp;row=280&amp;col=21&amp;number=&amp;sourceID=47","")</f>
        <v/>
      </c>
      <c r="V280" s="4" t="str">
        <f>HYPERLINK("http://141.218.60.56/~jnz1568/getInfo.php?workbook=16_15.xlsx&amp;sheet=A0&amp;row=280&amp;col=22&amp;number=&amp;sourceID=47","")</f>
        <v/>
      </c>
    </row>
    <row r="281" spans="1:22">
      <c r="A281" s="3">
        <v>16</v>
      </c>
      <c r="B281" s="3">
        <v>15</v>
      </c>
      <c r="C281" s="3">
        <v>26</v>
      </c>
      <c r="D281" s="3">
        <v>25</v>
      </c>
      <c r="E281" s="3">
        <f>((1/(INDEX(E0!J$4:J$73,C281,1)-INDEX(E0!J$4:J$73,D281,1))))*100000000</f>
        <v>0</v>
      </c>
      <c r="F281" s="4" t="str">
        <f>HYPERLINK("http://141.218.60.56/~jnz1568/getInfo.php?workbook=16_15.xlsx&amp;sheet=A0&amp;row=281&amp;col=6&amp;number=&amp;sourceID=54","")</f>
        <v/>
      </c>
      <c r="G281" s="4" t="str">
        <f>HYPERLINK("http://141.218.60.56/~jnz1568/getInfo.php?workbook=16_15.xlsx&amp;sheet=A0&amp;row=281&amp;col=7&amp;number=1.6631e-09&amp;sourceID=54","1.6631e-09")</f>
        <v>1.6631e-09</v>
      </c>
      <c r="H281" s="4" t="str">
        <f>HYPERLINK("http://141.218.60.56/~jnz1568/getInfo.php?workbook=16_15.xlsx&amp;sheet=A0&amp;row=281&amp;col=8&amp;number=3.0166e-06&amp;sourceID=54","3.0166e-06")</f>
        <v>3.0166e-06</v>
      </c>
      <c r="I281" s="4" t="str">
        <f>HYPERLINK("http://141.218.60.56/~jnz1568/getInfo.php?workbook=16_15.xlsx&amp;sheet=A0&amp;row=281&amp;col=9&amp;number=&amp;sourceID=54","")</f>
        <v/>
      </c>
      <c r="J281" s="4" t="str">
        <f>HYPERLINK("http://141.218.60.56/~jnz1568/getInfo.php?workbook=16_15.xlsx&amp;sheet=A0&amp;row=281&amp;col=10&amp;number=5.904e-10&amp;sourceID=54","5.904e-10")</f>
        <v>5.904e-10</v>
      </c>
      <c r="K281" s="4" t="str">
        <f>HYPERLINK("http://141.218.60.56/~jnz1568/getInfo.php?workbook=16_15.xlsx&amp;sheet=A0&amp;row=281&amp;col=11&amp;number=8.9464e-07&amp;sourceID=54","8.9464e-07")</f>
        <v>8.9464e-07</v>
      </c>
      <c r="L281" s="4" t="str">
        <f>HYPERLINK("http://141.218.60.56/~jnz1568/getInfo.php?workbook=16_15.xlsx&amp;sheet=A0&amp;row=281&amp;col=12&amp;number=&amp;sourceID=53","")</f>
        <v/>
      </c>
      <c r="M281" s="4" t="str">
        <f>HYPERLINK("http://141.218.60.56/~jnz1568/getInfo.php?workbook=16_15.xlsx&amp;sheet=A0&amp;row=281&amp;col=13&amp;number=&amp;sourceID=53","")</f>
        <v/>
      </c>
      <c r="N281" s="4" t="str">
        <f>HYPERLINK("http://141.218.60.56/~jnz1568/getInfo.php?workbook=16_15.xlsx&amp;sheet=A0&amp;row=281&amp;col=14&amp;number=&amp;sourceID=53","")</f>
        <v/>
      </c>
      <c r="O281" s="4" t="str">
        <f>HYPERLINK("http://141.218.60.56/~jnz1568/getInfo.php?workbook=16_15.xlsx&amp;sheet=A0&amp;row=281&amp;col=15&amp;number=&amp;sourceID=55","")</f>
        <v/>
      </c>
      <c r="P281" s="4" t="str">
        <f>HYPERLINK("http://141.218.60.56/~jnz1568/getInfo.php?workbook=16_15.xlsx&amp;sheet=A0&amp;row=281&amp;col=16&amp;number=&amp;sourceID=55","")</f>
        <v/>
      </c>
      <c r="Q281" s="4" t="str">
        <f>HYPERLINK("http://141.218.60.56/~jnz1568/getInfo.php?workbook=16_15.xlsx&amp;sheet=A0&amp;row=281&amp;col=17&amp;number=&amp;sourceID=56","")</f>
        <v/>
      </c>
      <c r="R281" s="4" t="str">
        <f>HYPERLINK("http://141.218.60.56/~jnz1568/getInfo.php?workbook=16_15.xlsx&amp;sheet=A0&amp;row=281&amp;col=18&amp;number=&amp;sourceID=56","")</f>
        <v/>
      </c>
      <c r="S281" s="4" t="str">
        <f>HYPERLINK("http://141.218.60.56/~jnz1568/getInfo.php?workbook=16_15.xlsx&amp;sheet=A0&amp;row=281&amp;col=19&amp;number=&amp;sourceID=57","")</f>
        <v/>
      </c>
      <c r="T281" s="4" t="str">
        <f>HYPERLINK("http://141.218.60.56/~jnz1568/getInfo.php?workbook=16_15.xlsx&amp;sheet=A0&amp;row=281&amp;col=20&amp;number=&amp;sourceID=57","")</f>
        <v/>
      </c>
      <c r="U281" s="4" t="str">
        <f>HYPERLINK("http://141.218.60.56/~jnz1568/getInfo.php?workbook=16_15.xlsx&amp;sheet=A0&amp;row=281&amp;col=21&amp;number=&amp;sourceID=47","")</f>
        <v/>
      </c>
      <c r="V281" s="4" t="str">
        <f>HYPERLINK("http://141.218.60.56/~jnz1568/getInfo.php?workbook=16_15.xlsx&amp;sheet=A0&amp;row=281&amp;col=22&amp;number=&amp;sourceID=47","")</f>
        <v/>
      </c>
    </row>
    <row r="282" spans="1:22">
      <c r="A282" s="3">
        <v>16</v>
      </c>
      <c r="B282" s="3">
        <v>15</v>
      </c>
      <c r="C282" s="3">
        <v>27</v>
      </c>
      <c r="D282" s="3">
        <v>3</v>
      </c>
      <c r="E282" s="3">
        <f>((1/(INDEX(E0!J$4:J$73,C282,1)-INDEX(E0!J$4:J$73,D282,1))))*100000000</f>
        <v>0</v>
      </c>
      <c r="F282" s="4" t="str">
        <f>HYPERLINK("http://141.218.60.56/~jnz1568/getInfo.php?workbook=16_15.xlsx&amp;sheet=A0&amp;row=282&amp;col=6&amp;number=33510000&amp;sourceID=54","33510000")</f>
        <v>33510000</v>
      </c>
      <c r="G282" s="4" t="str">
        <f>HYPERLINK("http://141.218.60.56/~jnz1568/getInfo.php?workbook=16_15.xlsx&amp;sheet=A0&amp;row=282&amp;col=7&amp;number=&amp;sourceID=54","")</f>
        <v/>
      </c>
      <c r="H282" s="4" t="str">
        <f>HYPERLINK("http://141.218.60.56/~jnz1568/getInfo.php?workbook=16_15.xlsx&amp;sheet=A0&amp;row=282&amp;col=8&amp;number=&amp;sourceID=54","")</f>
        <v/>
      </c>
      <c r="I282" s="4" t="str">
        <f>HYPERLINK("http://141.218.60.56/~jnz1568/getInfo.php?workbook=16_15.xlsx&amp;sheet=A0&amp;row=282&amp;col=9&amp;number=32892000&amp;sourceID=54","32892000")</f>
        <v>32892000</v>
      </c>
      <c r="J282" s="4" t="str">
        <f>HYPERLINK("http://141.218.60.56/~jnz1568/getInfo.php?workbook=16_15.xlsx&amp;sheet=A0&amp;row=282&amp;col=10&amp;number=&amp;sourceID=54","")</f>
        <v/>
      </c>
      <c r="K282" s="4" t="str">
        <f>HYPERLINK("http://141.218.60.56/~jnz1568/getInfo.php?workbook=16_15.xlsx&amp;sheet=A0&amp;row=282&amp;col=11&amp;number=&amp;sourceID=54","")</f>
        <v/>
      </c>
      <c r="L282" s="4" t="str">
        <f>HYPERLINK("http://141.218.60.56/~jnz1568/getInfo.php?workbook=16_15.xlsx&amp;sheet=A0&amp;row=282&amp;col=12&amp;number=22172023.0326&amp;sourceID=53","22172023.0326")</f>
        <v>22172023.0326</v>
      </c>
      <c r="M282" s="4" t="str">
        <f>HYPERLINK("http://141.218.60.56/~jnz1568/getInfo.php?workbook=16_15.xlsx&amp;sheet=A0&amp;row=282&amp;col=13&amp;number=&amp;sourceID=53","")</f>
        <v/>
      </c>
      <c r="N282" s="4" t="str">
        <f>HYPERLINK("http://141.218.60.56/~jnz1568/getInfo.php?workbook=16_15.xlsx&amp;sheet=A0&amp;row=282&amp;col=14&amp;number=&amp;sourceID=53","")</f>
        <v/>
      </c>
      <c r="O282" s="4" t="str">
        <f>HYPERLINK("http://141.218.60.56/~jnz1568/getInfo.php?workbook=16_15.xlsx&amp;sheet=A0&amp;row=282&amp;col=15&amp;number=&amp;sourceID=55","")</f>
        <v/>
      </c>
      <c r="P282" s="4" t="str">
        <f>HYPERLINK("http://141.218.60.56/~jnz1568/getInfo.php?workbook=16_15.xlsx&amp;sheet=A0&amp;row=282&amp;col=16&amp;number=&amp;sourceID=55","")</f>
        <v/>
      </c>
      <c r="Q282" s="4" t="str">
        <f>HYPERLINK("http://141.218.60.56/~jnz1568/getInfo.php?workbook=16_15.xlsx&amp;sheet=A0&amp;row=282&amp;col=17&amp;number=&amp;sourceID=56","")</f>
        <v/>
      </c>
      <c r="R282" s="4" t="str">
        <f>HYPERLINK("http://141.218.60.56/~jnz1568/getInfo.php?workbook=16_15.xlsx&amp;sheet=A0&amp;row=282&amp;col=18&amp;number=&amp;sourceID=56","")</f>
        <v/>
      </c>
      <c r="S282" s="4" t="str">
        <f>HYPERLINK("http://141.218.60.56/~jnz1568/getInfo.php?workbook=16_15.xlsx&amp;sheet=A0&amp;row=282&amp;col=19&amp;number=&amp;sourceID=57","")</f>
        <v/>
      </c>
      <c r="T282" s="4" t="str">
        <f>HYPERLINK("http://141.218.60.56/~jnz1568/getInfo.php?workbook=16_15.xlsx&amp;sheet=A0&amp;row=282&amp;col=20&amp;number=&amp;sourceID=57","")</f>
        <v/>
      </c>
      <c r="U282" s="4" t="str">
        <f>HYPERLINK("http://141.218.60.56/~jnz1568/getInfo.php?workbook=16_15.xlsx&amp;sheet=A0&amp;row=282&amp;col=21&amp;number=&amp;sourceID=47","")</f>
        <v/>
      </c>
      <c r="V282" s="4" t="str">
        <f>HYPERLINK("http://141.218.60.56/~jnz1568/getInfo.php?workbook=16_15.xlsx&amp;sheet=A0&amp;row=282&amp;col=22&amp;number=&amp;sourceID=47","")</f>
        <v/>
      </c>
    </row>
    <row r="283" spans="1:22">
      <c r="A283" s="3">
        <v>16</v>
      </c>
      <c r="B283" s="3">
        <v>15</v>
      </c>
      <c r="C283" s="3">
        <v>27</v>
      </c>
      <c r="D283" s="3">
        <v>6</v>
      </c>
      <c r="E283" s="3">
        <f>((1/(INDEX(E0!J$4:J$73,C283,1)-INDEX(E0!J$4:J$73,D283,1))))*100000000</f>
        <v>0</v>
      </c>
      <c r="F283" s="4" t="str">
        <f>HYPERLINK("http://141.218.60.56/~jnz1568/getInfo.php?workbook=16_15.xlsx&amp;sheet=A0&amp;row=283&amp;col=6&amp;number=&amp;sourceID=54","")</f>
        <v/>
      </c>
      <c r="G283" s="4" t="str">
        <f>HYPERLINK("http://141.218.60.56/~jnz1568/getInfo.php?workbook=16_15.xlsx&amp;sheet=A0&amp;row=283&amp;col=7&amp;number=0.1767&amp;sourceID=54","0.1767")</f>
        <v>0.1767</v>
      </c>
      <c r="H283" s="4" t="str">
        <f>HYPERLINK("http://141.218.60.56/~jnz1568/getInfo.php?workbook=16_15.xlsx&amp;sheet=A0&amp;row=283&amp;col=8&amp;number=0&amp;sourceID=54","0")</f>
        <v>0</v>
      </c>
      <c r="I283" s="4" t="str">
        <f>HYPERLINK("http://141.218.60.56/~jnz1568/getInfo.php?workbook=16_15.xlsx&amp;sheet=A0&amp;row=283&amp;col=9&amp;number=&amp;sourceID=54","")</f>
        <v/>
      </c>
      <c r="J283" s="4" t="str">
        <f>HYPERLINK("http://141.218.60.56/~jnz1568/getInfo.php?workbook=16_15.xlsx&amp;sheet=A0&amp;row=283&amp;col=10&amp;number=0.26491&amp;sourceID=54","0.26491")</f>
        <v>0.26491</v>
      </c>
      <c r="K283" s="4" t="str">
        <f>HYPERLINK("http://141.218.60.56/~jnz1568/getInfo.php?workbook=16_15.xlsx&amp;sheet=A0&amp;row=283&amp;col=11&amp;number=0&amp;sourceID=54","0")</f>
        <v>0</v>
      </c>
      <c r="L283" s="4" t="str">
        <f>HYPERLINK("http://141.218.60.56/~jnz1568/getInfo.php?workbook=16_15.xlsx&amp;sheet=A0&amp;row=283&amp;col=12&amp;number=&amp;sourceID=53","")</f>
        <v/>
      </c>
      <c r="M283" s="4" t="str">
        <f>HYPERLINK("http://141.218.60.56/~jnz1568/getInfo.php?workbook=16_15.xlsx&amp;sheet=A0&amp;row=283&amp;col=13&amp;number=&amp;sourceID=53","")</f>
        <v/>
      </c>
      <c r="N283" s="4" t="str">
        <f>HYPERLINK("http://141.218.60.56/~jnz1568/getInfo.php?workbook=16_15.xlsx&amp;sheet=A0&amp;row=283&amp;col=14&amp;number=&amp;sourceID=53","")</f>
        <v/>
      </c>
      <c r="O283" s="4" t="str">
        <f>HYPERLINK("http://141.218.60.56/~jnz1568/getInfo.php?workbook=16_15.xlsx&amp;sheet=A0&amp;row=283&amp;col=15&amp;number=&amp;sourceID=55","")</f>
        <v/>
      </c>
      <c r="P283" s="4" t="str">
        <f>HYPERLINK("http://141.218.60.56/~jnz1568/getInfo.php?workbook=16_15.xlsx&amp;sheet=A0&amp;row=283&amp;col=16&amp;number=&amp;sourceID=55","")</f>
        <v/>
      </c>
      <c r="Q283" s="4" t="str">
        <f>HYPERLINK("http://141.218.60.56/~jnz1568/getInfo.php?workbook=16_15.xlsx&amp;sheet=A0&amp;row=283&amp;col=17&amp;number=&amp;sourceID=56","")</f>
        <v/>
      </c>
      <c r="R283" s="4" t="str">
        <f>HYPERLINK("http://141.218.60.56/~jnz1568/getInfo.php?workbook=16_15.xlsx&amp;sheet=A0&amp;row=283&amp;col=18&amp;number=&amp;sourceID=56","")</f>
        <v/>
      </c>
      <c r="S283" s="4" t="str">
        <f>HYPERLINK("http://141.218.60.56/~jnz1568/getInfo.php?workbook=16_15.xlsx&amp;sheet=A0&amp;row=283&amp;col=19&amp;number=&amp;sourceID=57","")</f>
        <v/>
      </c>
      <c r="T283" s="4" t="str">
        <f>HYPERLINK("http://141.218.60.56/~jnz1568/getInfo.php?workbook=16_15.xlsx&amp;sheet=A0&amp;row=283&amp;col=20&amp;number=&amp;sourceID=57","")</f>
        <v/>
      </c>
      <c r="U283" s="4" t="str">
        <f>HYPERLINK("http://141.218.60.56/~jnz1568/getInfo.php?workbook=16_15.xlsx&amp;sheet=A0&amp;row=283&amp;col=21&amp;number=&amp;sourceID=47","")</f>
        <v/>
      </c>
      <c r="V283" s="4" t="str">
        <f>HYPERLINK("http://141.218.60.56/~jnz1568/getInfo.php?workbook=16_15.xlsx&amp;sheet=A0&amp;row=283&amp;col=22&amp;number=&amp;sourceID=47","")</f>
        <v/>
      </c>
    </row>
    <row r="284" spans="1:22">
      <c r="A284" s="3">
        <v>16</v>
      </c>
      <c r="B284" s="3">
        <v>15</v>
      </c>
      <c r="C284" s="3">
        <v>27</v>
      </c>
      <c r="D284" s="3">
        <v>7</v>
      </c>
      <c r="E284" s="3">
        <f>((1/(INDEX(E0!J$4:J$73,C284,1)-INDEX(E0!J$4:J$73,D284,1))))*100000000</f>
        <v>0</v>
      </c>
      <c r="F284" s="4" t="str">
        <f>HYPERLINK("http://141.218.60.56/~jnz1568/getInfo.php?workbook=16_15.xlsx&amp;sheet=A0&amp;row=284&amp;col=6&amp;number=&amp;sourceID=54","")</f>
        <v/>
      </c>
      <c r="G284" s="4" t="str">
        <f>HYPERLINK("http://141.218.60.56/~jnz1568/getInfo.php?workbook=16_15.xlsx&amp;sheet=A0&amp;row=284&amp;col=7&amp;number=0.093531&amp;sourceID=54","0.093531")</f>
        <v>0.093531</v>
      </c>
      <c r="H284" s="4" t="str">
        <f>HYPERLINK("http://141.218.60.56/~jnz1568/getInfo.php?workbook=16_15.xlsx&amp;sheet=A0&amp;row=284&amp;col=8&amp;number=&amp;sourceID=54","")</f>
        <v/>
      </c>
      <c r="I284" s="4" t="str">
        <f>HYPERLINK("http://141.218.60.56/~jnz1568/getInfo.php?workbook=16_15.xlsx&amp;sheet=A0&amp;row=284&amp;col=9&amp;number=&amp;sourceID=54","")</f>
        <v/>
      </c>
      <c r="J284" s="4" t="str">
        <f>HYPERLINK("http://141.218.60.56/~jnz1568/getInfo.php?workbook=16_15.xlsx&amp;sheet=A0&amp;row=284&amp;col=10&amp;number=0.14379&amp;sourceID=54","0.14379")</f>
        <v>0.14379</v>
      </c>
      <c r="K284" s="4" t="str">
        <f>HYPERLINK("http://141.218.60.56/~jnz1568/getInfo.php?workbook=16_15.xlsx&amp;sheet=A0&amp;row=284&amp;col=11&amp;number=&amp;sourceID=54","")</f>
        <v/>
      </c>
      <c r="L284" s="4" t="str">
        <f>HYPERLINK("http://141.218.60.56/~jnz1568/getInfo.php?workbook=16_15.xlsx&amp;sheet=A0&amp;row=284&amp;col=12&amp;number=&amp;sourceID=53","")</f>
        <v/>
      </c>
      <c r="M284" s="4" t="str">
        <f>HYPERLINK("http://141.218.60.56/~jnz1568/getInfo.php?workbook=16_15.xlsx&amp;sheet=A0&amp;row=284&amp;col=13&amp;number=&amp;sourceID=53","")</f>
        <v/>
      </c>
      <c r="N284" s="4" t="str">
        <f>HYPERLINK("http://141.218.60.56/~jnz1568/getInfo.php?workbook=16_15.xlsx&amp;sheet=A0&amp;row=284&amp;col=14&amp;number=&amp;sourceID=53","")</f>
        <v/>
      </c>
      <c r="O284" s="4" t="str">
        <f>HYPERLINK("http://141.218.60.56/~jnz1568/getInfo.php?workbook=16_15.xlsx&amp;sheet=A0&amp;row=284&amp;col=15&amp;number=&amp;sourceID=55","")</f>
        <v/>
      </c>
      <c r="P284" s="4" t="str">
        <f>HYPERLINK("http://141.218.60.56/~jnz1568/getInfo.php?workbook=16_15.xlsx&amp;sheet=A0&amp;row=284&amp;col=16&amp;number=&amp;sourceID=55","")</f>
        <v/>
      </c>
      <c r="Q284" s="4" t="str">
        <f>HYPERLINK("http://141.218.60.56/~jnz1568/getInfo.php?workbook=16_15.xlsx&amp;sheet=A0&amp;row=284&amp;col=17&amp;number=&amp;sourceID=56","")</f>
        <v/>
      </c>
      <c r="R284" s="4" t="str">
        <f>HYPERLINK("http://141.218.60.56/~jnz1568/getInfo.php?workbook=16_15.xlsx&amp;sheet=A0&amp;row=284&amp;col=18&amp;number=&amp;sourceID=56","")</f>
        <v/>
      </c>
      <c r="S284" s="4" t="str">
        <f>HYPERLINK("http://141.218.60.56/~jnz1568/getInfo.php?workbook=16_15.xlsx&amp;sheet=A0&amp;row=284&amp;col=19&amp;number=&amp;sourceID=57","")</f>
        <v/>
      </c>
      <c r="T284" s="4" t="str">
        <f>HYPERLINK("http://141.218.60.56/~jnz1568/getInfo.php?workbook=16_15.xlsx&amp;sheet=A0&amp;row=284&amp;col=20&amp;number=&amp;sourceID=57","")</f>
        <v/>
      </c>
      <c r="U284" s="4" t="str">
        <f>HYPERLINK("http://141.218.60.56/~jnz1568/getInfo.php?workbook=16_15.xlsx&amp;sheet=A0&amp;row=284&amp;col=21&amp;number=&amp;sourceID=47","")</f>
        <v/>
      </c>
      <c r="V284" s="4" t="str">
        <f>HYPERLINK("http://141.218.60.56/~jnz1568/getInfo.php?workbook=16_15.xlsx&amp;sheet=A0&amp;row=284&amp;col=22&amp;number=&amp;sourceID=47","")</f>
        <v/>
      </c>
    </row>
    <row r="285" spans="1:22">
      <c r="A285" s="3">
        <v>16</v>
      </c>
      <c r="B285" s="3">
        <v>15</v>
      </c>
      <c r="C285" s="3">
        <v>27</v>
      </c>
      <c r="D285" s="3">
        <v>9</v>
      </c>
      <c r="E285" s="3">
        <f>((1/(INDEX(E0!J$4:J$73,C285,1)-INDEX(E0!J$4:J$73,D285,1))))*100000000</f>
        <v>0</v>
      </c>
      <c r="F285" s="4" t="str">
        <f>HYPERLINK("http://141.218.60.56/~jnz1568/getInfo.php?workbook=16_15.xlsx&amp;sheet=A0&amp;row=285&amp;col=6&amp;number=&amp;sourceID=54","")</f>
        <v/>
      </c>
      <c r="G285" s="4" t="str">
        <f>HYPERLINK("http://141.218.60.56/~jnz1568/getInfo.php?workbook=16_15.xlsx&amp;sheet=A0&amp;row=285&amp;col=7&amp;number=0.0040432&amp;sourceID=54","0.0040432")</f>
        <v>0.0040432</v>
      </c>
      <c r="H285" s="4" t="str">
        <f>HYPERLINK("http://141.218.60.56/~jnz1568/getInfo.php?workbook=16_15.xlsx&amp;sheet=A0&amp;row=285&amp;col=8&amp;number=&amp;sourceID=54","")</f>
        <v/>
      </c>
      <c r="I285" s="4" t="str">
        <f>HYPERLINK("http://141.218.60.56/~jnz1568/getInfo.php?workbook=16_15.xlsx&amp;sheet=A0&amp;row=285&amp;col=9&amp;number=&amp;sourceID=54","")</f>
        <v/>
      </c>
      <c r="J285" s="4" t="str">
        <f>HYPERLINK("http://141.218.60.56/~jnz1568/getInfo.php?workbook=16_15.xlsx&amp;sheet=A0&amp;row=285&amp;col=10&amp;number=0.0034514&amp;sourceID=54","0.0034514")</f>
        <v>0.0034514</v>
      </c>
      <c r="K285" s="4" t="str">
        <f>HYPERLINK("http://141.218.60.56/~jnz1568/getInfo.php?workbook=16_15.xlsx&amp;sheet=A0&amp;row=285&amp;col=11&amp;number=&amp;sourceID=54","")</f>
        <v/>
      </c>
      <c r="L285" s="4" t="str">
        <f>HYPERLINK("http://141.218.60.56/~jnz1568/getInfo.php?workbook=16_15.xlsx&amp;sheet=A0&amp;row=285&amp;col=12&amp;number=&amp;sourceID=53","")</f>
        <v/>
      </c>
      <c r="M285" s="4" t="str">
        <f>HYPERLINK("http://141.218.60.56/~jnz1568/getInfo.php?workbook=16_15.xlsx&amp;sheet=A0&amp;row=285&amp;col=13&amp;number=&amp;sourceID=53","")</f>
        <v/>
      </c>
      <c r="N285" s="4" t="str">
        <f>HYPERLINK("http://141.218.60.56/~jnz1568/getInfo.php?workbook=16_15.xlsx&amp;sheet=A0&amp;row=285&amp;col=14&amp;number=&amp;sourceID=53","")</f>
        <v/>
      </c>
      <c r="O285" s="4" t="str">
        <f>HYPERLINK("http://141.218.60.56/~jnz1568/getInfo.php?workbook=16_15.xlsx&amp;sheet=A0&amp;row=285&amp;col=15&amp;number=&amp;sourceID=55","")</f>
        <v/>
      </c>
      <c r="P285" s="4" t="str">
        <f>HYPERLINK("http://141.218.60.56/~jnz1568/getInfo.php?workbook=16_15.xlsx&amp;sheet=A0&amp;row=285&amp;col=16&amp;number=&amp;sourceID=55","")</f>
        <v/>
      </c>
      <c r="Q285" s="4" t="str">
        <f>HYPERLINK("http://141.218.60.56/~jnz1568/getInfo.php?workbook=16_15.xlsx&amp;sheet=A0&amp;row=285&amp;col=17&amp;number=&amp;sourceID=56","")</f>
        <v/>
      </c>
      <c r="R285" s="4" t="str">
        <f>HYPERLINK("http://141.218.60.56/~jnz1568/getInfo.php?workbook=16_15.xlsx&amp;sheet=A0&amp;row=285&amp;col=18&amp;number=&amp;sourceID=56","")</f>
        <v/>
      </c>
      <c r="S285" s="4" t="str">
        <f>HYPERLINK("http://141.218.60.56/~jnz1568/getInfo.php?workbook=16_15.xlsx&amp;sheet=A0&amp;row=285&amp;col=19&amp;number=&amp;sourceID=57","")</f>
        <v/>
      </c>
      <c r="T285" s="4" t="str">
        <f>HYPERLINK("http://141.218.60.56/~jnz1568/getInfo.php?workbook=16_15.xlsx&amp;sheet=A0&amp;row=285&amp;col=20&amp;number=&amp;sourceID=57","")</f>
        <v/>
      </c>
      <c r="U285" s="4" t="str">
        <f>HYPERLINK("http://141.218.60.56/~jnz1568/getInfo.php?workbook=16_15.xlsx&amp;sheet=A0&amp;row=285&amp;col=21&amp;number=&amp;sourceID=47","")</f>
        <v/>
      </c>
      <c r="V285" s="4" t="str">
        <f>HYPERLINK("http://141.218.60.56/~jnz1568/getInfo.php?workbook=16_15.xlsx&amp;sheet=A0&amp;row=285&amp;col=22&amp;number=&amp;sourceID=47","")</f>
        <v/>
      </c>
    </row>
    <row r="286" spans="1:22">
      <c r="A286" s="3">
        <v>16</v>
      </c>
      <c r="B286" s="3">
        <v>15</v>
      </c>
      <c r="C286" s="3">
        <v>27</v>
      </c>
      <c r="D286" s="3">
        <v>10</v>
      </c>
      <c r="E286" s="3">
        <f>((1/(INDEX(E0!J$4:J$73,C286,1)-INDEX(E0!J$4:J$73,D286,1))))*100000000</f>
        <v>0</v>
      </c>
      <c r="F286" s="4" t="str">
        <f>HYPERLINK("http://141.218.60.56/~jnz1568/getInfo.php?workbook=16_15.xlsx&amp;sheet=A0&amp;row=286&amp;col=6&amp;number=&amp;sourceID=54","")</f>
        <v/>
      </c>
      <c r="G286" s="4" t="str">
        <f>HYPERLINK("http://141.218.60.56/~jnz1568/getInfo.php?workbook=16_15.xlsx&amp;sheet=A0&amp;row=286&amp;col=7&amp;number=0.03232&amp;sourceID=54","0.03232")</f>
        <v>0.03232</v>
      </c>
      <c r="H286" s="4" t="str">
        <f>HYPERLINK("http://141.218.60.56/~jnz1568/getInfo.php?workbook=16_15.xlsx&amp;sheet=A0&amp;row=286&amp;col=8&amp;number=0&amp;sourceID=54","0")</f>
        <v>0</v>
      </c>
      <c r="I286" s="4" t="str">
        <f>HYPERLINK("http://141.218.60.56/~jnz1568/getInfo.php?workbook=16_15.xlsx&amp;sheet=A0&amp;row=286&amp;col=9&amp;number=&amp;sourceID=54","")</f>
        <v/>
      </c>
      <c r="J286" s="4" t="str">
        <f>HYPERLINK("http://141.218.60.56/~jnz1568/getInfo.php?workbook=16_15.xlsx&amp;sheet=A0&amp;row=286&amp;col=10&amp;number=0.026512&amp;sourceID=54","0.026512")</f>
        <v>0.026512</v>
      </c>
      <c r="K286" s="4" t="str">
        <f>HYPERLINK("http://141.218.60.56/~jnz1568/getInfo.php?workbook=16_15.xlsx&amp;sheet=A0&amp;row=286&amp;col=11&amp;number=0&amp;sourceID=54","0")</f>
        <v>0</v>
      </c>
      <c r="L286" s="4" t="str">
        <f>HYPERLINK("http://141.218.60.56/~jnz1568/getInfo.php?workbook=16_15.xlsx&amp;sheet=A0&amp;row=286&amp;col=12&amp;number=&amp;sourceID=53","")</f>
        <v/>
      </c>
      <c r="M286" s="4" t="str">
        <f>HYPERLINK("http://141.218.60.56/~jnz1568/getInfo.php?workbook=16_15.xlsx&amp;sheet=A0&amp;row=286&amp;col=13&amp;number=&amp;sourceID=53","")</f>
        <v/>
      </c>
      <c r="N286" s="4" t="str">
        <f>HYPERLINK("http://141.218.60.56/~jnz1568/getInfo.php?workbook=16_15.xlsx&amp;sheet=A0&amp;row=286&amp;col=14&amp;number=&amp;sourceID=53","")</f>
        <v/>
      </c>
      <c r="O286" s="4" t="str">
        <f>HYPERLINK("http://141.218.60.56/~jnz1568/getInfo.php?workbook=16_15.xlsx&amp;sheet=A0&amp;row=286&amp;col=15&amp;number=&amp;sourceID=55","")</f>
        <v/>
      </c>
      <c r="P286" s="4" t="str">
        <f>HYPERLINK("http://141.218.60.56/~jnz1568/getInfo.php?workbook=16_15.xlsx&amp;sheet=A0&amp;row=286&amp;col=16&amp;number=&amp;sourceID=55","")</f>
        <v/>
      </c>
      <c r="Q286" s="4" t="str">
        <f>HYPERLINK("http://141.218.60.56/~jnz1568/getInfo.php?workbook=16_15.xlsx&amp;sheet=A0&amp;row=286&amp;col=17&amp;number=&amp;sourceID=56","")</f>
        <v/>
      </c>
      <c r="R286" s="4" t="str">
        <f>HYPERLINK("http://141.218.60.56/~jnz1568/getInfo.php?workbook=16_15.xlsx&amp;sheet=A0&amp;row=286&amp;col=18&amp;number=&amp;sourceID=56","")</f>
        <v/>
      </c>
      <c r="S286" s="4" t="str">
        <f>HYPERLINK("http://141.218.60.56/~jnz1568/getInfo.php?workbook=16_15.xlsx&amp;sheet=A0&amp;row=286&amp;col=19&amp;number=&amp;sourceID=57","")</f>
        <v/>
      </c>
      <c r="T286" s="4" t="str">
        <f>HYPERLINK("http://141.218.60.56/~jnz1568/getInfo.php?workbook=16_15.xlsx&amp;sheet=A0&amp;row=286&amp;col=20&amp;number=&amp;sourceID=57","")</f>
        <v/>
      </c>
      <c r="U286" s="4" t="str">
        <f>HYPERLINK("http://141.218.60.56/~jnz1568/getInfo.php?workbook=16_15.xlsx&amp;sheet=A0&amp;row=286&amp;col=21&amp;number=&amp;sourceID=47","")</f>
        <v/>
      </c>
      <c r="V286" s="4" t="str">
        <f>HYPERLINK("http://141.218.60.56/~jnz1568/getInfo.php?workbook=16_15.xlsx&amp;sheet=A0&amp;row=286&amp;col=22&amp;number=&amp;sourceID=47","")</f>
        <v/>
      </c>
    </row>
    <row r="287" spans="1:22">
      <c r="A287" s="3">
        <v>16</v>
      </c>
      <c r="B287" s="3">
        <v>15</v>
      </c>
      <c r="C287" s="3">
        <v>27</v>
      </c>
      <c r="D287" s="3">
        <v>11</v>
      </c>
      <c r="E287" s="3">
        <f>((1/(INDEX(E0!J$4:J$73,C287,1)-INDEX(E0!J$4:J$73,D287,1))))*100000000</f>
        <v>0</v>
      </c>
      <c r="F287" s="4" t="str">
        <f>HYPERLINK("http://141.218.60.56/~jnz1568/getInfo.php?workbook=16_15.xlsx&amp;sheet=A0&amp;row=287&amp;col=6&amp;number=&amp;sourceID=54","")</f>
        <v/>
      </c>
      <c r="G287" s="4" t="str">
        <f>HYPERLINK("http://141.218.60.56/~jnz1568/getInfo.php?workbook=16_15.xlsx&amp;sheet=A0&amp;row=287&amp;col=7&amp;number=0.0082224&amp;sourceID=54","0.0082224")</f>
        <v>0.0082224</v>
      </c>
      <c r="H287" s="4" t="str">
        <f>HYPERLINK("http://141.218.60.56/~jnz1568/getInfo.php?workbook=16_15.xlsx&amp;sheet=A0&amp;row=287&amp;col=8&amp;number=&amp;sourceID=54","")</f>
        <v/>
      </c>
      <c r="I287" s="4" t="str">
        <f>HYPERLINK("http://141.218.60.56/~jnz1568/getInfo.php?workbook=16_15.xlsx&amp;sheet=A0&amp;row=287&amp;col=9&amp;number=&amp;sourceID=54","")</f>
        <v/>
      </c>
      <c r="J287" s="4" t="str">
        <f>HYPERLINK("http://141.218.60.56/~jnz1568/getInfo.php?workbook=16_15.xlsx&amp;sheet=A0&amp;row=287&amp;col=10&amp;number=0.006774&amp;sourceID=54","0.006774")</f>
        <v>0.006774</v>
      </c>
      <c r="K287" s="4" t="str">
        <f>HYPERLINK("http://141.218.60.56/~jnz1568/getInfo.php?workbook=16_15.xlsx&amp;sheet=A0&amp;row=287&amp;col=11&amp;number=&amp;sourceID=54","")</f>
        <v/>
      </c>
      <c r="L287" s="4" t="str">
        <f>HYPERLINK("http://141.218.60.56/~jnz1568/getInfo.php?workbook=16_15.xlsx&amp;sheet=A0&amp;row=287&amp;col=12&amp;number=&amp;sourceID=53","")</f>
        <v/>
      </c>
      <c r="M287" s="4" t="str">
        <f>HYPERLINK("http://141.218.60.56/~jnz1568/getInfo.php?workbook=16_15.xlsx&amp;sheet=A0&amp;row=287&amp;col=13&amp;number=&amp;sourceID=53","")</f>
        <v/>
      </c>
      <c r="N287" s="4" t="str">
        <f>HYPERLINK("http://141.218.60.56/~jnz1568/getInfo.php?workbook=16_15.xlsx&amp;sheet=A0&amp;row=287&amp;col=14&amp;number=&amp;sourceID=53","")</f>
        <v/>
      </c>
      <c r="O287" s="4" t="str">
        <f>HYPERLINK("http://141.218.60.56/~jnz1568/getInfo.php?workbook=16_15.xlsx&amp;sheet=A0&amp;row=287&amp;col=15&amp;number=&amp;sourceID=55","")</f>
        <v/>
      </c>
      <c r="P287" s="4" t="str">
        <f>HYPERLINK("http://141.218.60.56/~jnz1568/getInfo.php?workbook=16_15.xlsx&amp;sheet=A0&amp;row=287&amp;col=16&amp;number=&amp;sourceID=55","")</f>
        <v/>
      </c>
      <c r="Q287" s="4" t="str">
        <f>HYPERLINK("http://141.218.60.56/~jnz1568/getInfo.php?workbook=16_15.xlsx&amp;sheet=A0&amp;row=287&amp;col=17&amp;number=&amp;sourceID=56","")</f>
        <v/>
      </c>
      <c r="R287" s="4" t="str">
        <f>HYPERLINK("http://141.218.60.56/~jnz1568/getInfo.php?workbook=16_15.xlsx&amp;sheet=A0&amp;row=287&amp;col=18&amp;number=&amp;sourceID=56","")</f>
        <v/>
      </c>
      <c r="S287" s="4" t="str">
        <f>HYPERLINK("http://141.218.60.56/~jnz1568/getInfo.php?workbook=16_15.xlsx&amp;sheet=A0&amp;row=287&amp;col=19&amp;number=&amp;sourceID=57","")</f>
        <v/>
      </c>
      <c r="T287" s="4" t="str">
        <f>HYPERLINK("http://141.218.60.56/~jnz1568/getInfo.php?workbook=16_15.xlsx&amp;sheet=A0&amp;row=287&amp;col=20&amp;number=&amp;sourceID=57","")</f>
        <v/>
      </c>
      <c r="U287" s="4" t="str">
        <f>HYPERLINK("http://141.218.60.56/~jnz1568/getInfo.php?workbook=16_15.xlsx&amp;sheet=A0&amp;row=287&amp;col=21&amp;number=&amp;sourceID=47","")</f>
        <v/>
      </c>
      <c r="V287" s="4" t="str">
        <f>HYPERLINK("http://141.218.60.56/~jnz1568/getInfo.php?workbook=16_15.xlsx&amp;sheet=A0&amp;row=287&amp;col=22&amp;number=&amp;sourceID=47","")</f>
        <v/>
      </c>
    </row>
    <row r="288" spans="1:22">
      <c r="A288" s="3">
        <v>16</v>
      </c>
      <c r="B288" s="3">
        <v>15</v>
      </c>
      <c r="C288" s="3">
        <v>27</v>
      </c>
      <c r="D288" s="3">
        <v>14</v>
      </c>
      <c r="E288" s="3">
        <f>((1/(INDEX(E0!J$4:J$73,C288,1)-INDEX(E0!J$4:J$73,D288,1))))*100000000</f>
        <v>0</v>
      </c>
      <c r="F288" s="4" t="str">
        <f>HYPERLINK("http://141.218.60.56/~jnz1568/getInfo.php?workbook=16_15.xlsx&amp;sheet=A0&amp;row=288&amp;col=6&amp;number=&amp;sourceID=54","")</f>
        <v/>
      </c>
      <c r="G288" s="4" t="str">
        <f>HYPERLINK("http://141.218.60.56/~jnz1568/getInfo.php?workbook=16_15.xlsx&amp;sheet=A0&amp;row=288&amp;col=7&amp;number=0.00024242&amp;sourceID=54","0.00024242")</f>
        <v>0.00024242</v>
      </c>
      <c r="H288" s="4" t="str">
        <f>HYPERLINK("http://141.218.60.56/~jnz1568/getInfo.php?workbook=16_15.xlsx&amp;sheet=A0&amp;row=288&amp;col=8&amp;number=&amp;sourceID=54","")</f>
        <v/>
      </c>
      <c r="I288" s="4" t="str">
        <f>HYPERLINK("http://141.218.60.56/~jnz1568/getInfo.php?workbook=16_15.xlsx&amp;sheet=A0&amp;row=288&amp;col=9&amp;number=&amp;sourceID=54","")</f>
        <v/>
      </c>
      <c r="J288" s="4" t="str">
        <f>HYPERLINK("http://141.218.60.56/~jnz1568/getInfo.php?workbook=16_15.xlsx&amp;sheet=A0&amp;row=288&amp;col=10&amp;number=0.00023887&amp;sourceID=54","0.00023887")</f>
        <v>0.00023887</v>
      </c>
      <c r="K288" s="4" t="str">
        <f>HYPERLINK("http://141.218.60.56/~jnz1568/getInfo.php?workbook=16_15.xlsx&amp;sheet=A0&amp;row=288&amp;col=11&amp;number=&amp;sourceID=54","")</f>
        <v/>
      </c>
      <c r="L288" s="4" t="str">
        <f>HYPERLINK("http://141.218.60.56/~jnz1568/getInfo.php?workbook=16_15.xlsx&amp;sheet=A0&amp;row=288&amp;col=12&amp;number=&amp;sourceID=53","")</f>
        <v/>
      </c>
      <c r="M288" s="4" t="str">
        <f>HYPERLINK("http://141.218.60.56/~jnz1568/getInfo.php?workbook=16_15.xlsx&amp;sheet=A0&amp;row=288&amp;col=13&amp;number=&amp;sourceID=53","")</f>
        <v/>
      </c>
      <c r="N288" s="4" t="str">
        <f>HYPERLINK("http://141.218.60.56/~jnz1568/getInfo.php?workbook=16_15.xlsx&amp;sheet=A0&amp;row=288&amp;col=14&amp;number=&amp;sourceID=53","")</f>
        <v/>
      </c>
      <c r="O288" s="4" t="str">
        <f>HYPERLINK("http://141.218.60.56/~jnz1568/getInfo.php?workbook=16_15.xlsx&amp;sheet=A0&amp;row=288&amp;col=15&amp;number=&amp;sourceID=55","")</f>
        <v/>
      </c>
      <c r="P288" s="4" t="str">
        <f>HYPERLINK("http://141.218.60.56/~jnz1568/getInfo.php?workbook=16_15.xlsx&amp;sheet=A0&amp;row=288&amp;col=16&amp;number=&amp;sourceID=55","")</f>
        <v/>
      </c>
      <c r="Q288" s="4" t="str">
        <f>HYPERLINK("http://141.218.60.56/~jnz1568/getInfo.php?workbook=16_15.xlsx&amp;sheet=A0&amp;row=288&amp;col=17&amp;number=&amp;sourceID=56","")</f>
        <v/>
      </c>
      <c r="R288" s="4" t="str">
        <f>HYPERLINK("http://141.218.60.56/~jnz1568/getInfo.php?workbook=16_15.xlsx&amp;sheet=A0&amp;row=288&amp;col=18&amp;number=&amp;sourceID=56","")</f>
        <v/>
      </c>
      <c r="S288" s="4" t="str">
        <f>HYPERLINK("http://141.218.60.56/~jnz1568/getInfo.php?workbook=16_15.xlsx&amp;sheet=A0&amp;row=288&amp;col=19&amp;number=&amp;sourceID=57","")</f>
        <v/>
      </c>
      <c r="T288" s="4" t="str">
        <f>HYPERLINK("http://141.218.60.56/~jnz1568/getInfo.php?workbook=16_15.xlsx&amp;sheet=A0&amp;row=288&amp;col=20&amp;number=&amp;sourceID=57","")</f>
        <v/>
      </c>
      <c r="U288" s="4" t="str">
        <f>HYPERLINK("http://141.218.60.56/~jnz1568/getInfo.php?workbook=16_15.xlsx&amp;sheet=A0&amp;row=288&amp;col=21&amp;number=&amp;sourceID=47","")</f>
        <v/>
      </c>
      <c r="V288" s="4" t="str">
        <f>HYPERLINK("http://141.218.60.56/~jnz1568/getInfo.php?workbook=16_15.xlsx&amp;sheet=A0&amp;row=288&amp;col=22&amp;number=&amp;sourceID=47","")</f>
        <v/>
      </c>
    </row>
    <row r="289" spans="1:22">
      <c r="A289" s="3">
        <v>16</v>
      </c>
      <c r="B289" s="3">
        <v>15</v>
      </c>
      <c r="C289" s="3">
        <v>27</v>
      </c>
      <c r="D289" s="3">
        <v>15</v>
      </c>
      <c r="E289" s="3">
        <f>((1/(INDEX(E0!J$4:J$73,C289,1)-INDEX(E0!J$4:J$73,D289,1))))*100000000</f>
        <v>0</v>
      </c>
      <c r="F289" s="4" t="str">
        <f>HYPERLINK("http://141.218.60.56/~jnz1568/getInfo.php?workbook=16_15.xlsx&amp;sheet=A0&amp;row=289&amp;col=6&amp;number=&amp;sourceID=54","")</f>
        <v/>
      </c>
      <c r="G289" s="4" t="str">
        <f>HYPERLINK("http://141.218.60.56/~jnz1568/getInfo.php?workbook=16_15.xlsx&amp;sheet=A0&amp;row=289&amp;col=7&amp;number=6.0348e-07&amp;sourceID=54","6.0348e-07")</f>
        <v>6.0348e-07</v>
      </c>
      <c r="H289" s="4" t="str">
        <f>HYPERLINK("http://141.218.60.56/~jnz1568/getInfo.php?workbook=16_15.xlsx&amp;sheet=A0&amp;row=289&amp;col=8&amp;number=&amp;sourceID=54","")</f>
        <v/>
      </c>
      <c r="I289" s="4" t="str">
        <f>HYPERLINK("http://141.218.60.56/~jnz1568/getInfo.php?workbook=16_15.xlsx&amp;sheet=A0&amp;row=289&amp;col=9&amp;number=&amp;sourceID=54","")</f>
        <v/>
      </c>
      <c r="J289" s="4" t="str">
        <f>HYPERLINK("http://141.218.60.56/~jnz1568/getInfo.php?workbook=16_15.xlsx&amp;sheet=A0&amp;row=289&amp;col=10&amp;number=9.9886e-07&amp;sourceID=54","9.9886e-07")</f>
        <v>9.9886e-07</v>
      </c>
      <c r="K289" s="4" t="str">
        <f>HYPERLINK("http://141.218.60.56/~jnz1568/getInfo.php?workbook=16_15.xlsx&amp;sheet=A0&amp;row=289&amp;col=11&amp;number=&amp;sourceID=54","")</f>
        <v/>
      </c>
      <c r="L289" s="4" t="str">
        <f>HYPERLINK("http://141.218.60.56/~jnz1568/getInfo.php?workbook=16_15.xlsx&amp;sheet=A0&amp;row=289&amp;col=12&amp;number=&amp;sourceID=53","")</f>
        <v/>
      </c>
      <c r="M289" s="4" t="str">
        <f>HYPERLINK("http://141.218.60.56/~jnz1568/getInfo.php?workbook=16_15.xlsx&amp;sheet=A0&amp;row=289&amp;col=13&amp;number=&amp;sourceID=53","")</f>
        <v/>
      </c>
      <c r="N289" s="4" t="str">
        <f>HYPERLINK("http://141.218.60.56/~jnz1568/getInfo.php?workbook=16_15.xlsx&amp;sheet=A0&amp;row=289&amp;col=14&amp;number=&amp;sourceID=53","")</f>
        <v/>
      </c>
      <c r="O289" s="4" t="str">
        <f>HYPERLINK("http://141.218.60.56/~jnz1568/getInfo.php?workbook=16_15.xlsx&amp;sheet=A0&amp;row=289&amp;col=15&amp;number=&amp;sourceID=55","")</f>
        <v/>
      </c>
      <c r="P289" s="4" t="str">
        <f>HYPERLINK("http://141.218.60.56/~jnz1568/getInfo.php?workbook=16_15.xlsx&amp;sheet=A0&amp;row=289&amp;col=16&amp;number=&amp;sourceID=55","")</f>
        <v/>
      </c>
      <c r="Q289" s="4" t="str">
        <f>HYPERLINK("http://141.218.60.56/~jnz1568/getInfo.php?workbook=16_15.xlsx&amp;sheet=A0&amp;row=289&amp;col=17&amp;number=&amp;sourceID=56","")</f>
        <v/>
      </c>
      <c r="R289" s="4" t="str">
        <f>HYPERLINK("http://141.218.60.56/~jnz1568/getInfo.php?workbook=16_15.xlsx&amp;sheet=A0&amp;row=289&amp;col=18&amp;number=&amp;sourceID=56","")</f>
        <v/>
      </c>
      <c r="S289" s="4" t="str">
        <f>HYPERLINK("http://141.218.60.56/~jnz1568/getInfo.php?workbook=16_15.xlsx&amp;sheet=A0&amp;row=289&amp;col=19&amp;number=&amp;sourceID=57","")</f>
        <v/>
      </c>
      <c r="T289" s="4" t="str">
        <f>HYPERLINK("http://141.218.60.56/~jnz1568/getInfo.php?workbook=16_15.xlsx&amp;sheet=A0&amp;row=289&amp;col=20&amp;number=&amp;sourceID=57","")</f>
        <v/>
      </c>
      <c r="U289" s="4" t="str">
        <f>HYPERLINK("http://141.218.60.56/~jnz1568/getInfo.php?workbook=16_15.xlsx&amp;sheet=A0&amp;row=289&amp;col=21&amp;number=&amp;sourceID=47","")</f>
        <v/>
      </c>
      <c r="V289" s="4" t="str">
        <f>HYPERLINK("http://141.218.60.56/~jnz1568/getInfo.php?workbook=16_15.xlsx&amp;sheet=A0&amp;row=289&amp;col=22&amp;number=&amp;sourceID=47","")</f>
        <v/>
      </c>
    </row>
    <row r="290" spans="1:22">
      <c r="A290" s="3">
        <v>16</v>
      </c>
      <c r="B290" s="3">
        <v>15</v>
      </c>
      <c r="C290" s="3">
        <v>27</v>
      </c>
      <c r="D290" s="3">
        <v>16</v>
      </c>
      <c r="E290" s="3">
        <f>((1/(INDEX(E0!J$4:J$73,C290,1)-INDEX(E0!J$4:J$73,D290,1))))*100000000</f>
        <v>0</v>
      </c>
      <c r="F290" s="4" t="str">
        <f>HYPERLINK("http://141.218.60.56/~jnz1568/getInfo.php?workbook=16_15.xlsx&amp;sheet=A0&amp;row=290&amp;col=6&amp;number=&amp;sourceID=54","")</f>
        <v/>
      </c>
      <c r="G290" s="4" t="str">
        <f>HYPERLINK("http://141.218.60.56/~jnz1568/getInfo.php?workbook=16_15.xlsx&amp;sheet=A0&amp;row=290&amp;col=7&amp;number=0.00056934&amp;sourceID=54","0.00056934")</f>
        <v>0.00056934</v>
      </c>
      <c r="H290" s="4" t="str">
        <f>HYPERLINK("http://141.218.60.56/~jnz1568/getInfo.php?workbook=16_15.xlsx&amp;sheet=A0&amp;row=290&amp;col=8&amp;number=2.1396e-06&amp;sourceID=54","2.1396e-06")</f>
        <v>2.1396e-06</v>
      </c>
      <c r="I290" s="4" t="str">
        <f>HYPERLINK("http://141.218.60.56/~jnz1568/getInfo.php?workbook=16_15.xlsx&amp;sheet=A0&amp;row=290&amp;col=9&amp;number=&amp;sourceID=54","")</f>
        <v/>
      </c>
      <c r="J290" s="4" t="str">
        <f>HYPERLINK("http://141.218.60.56/~jnz1568/getInfo.php?workbook=16_15.xlsx&amp;sheet=A0&amp;row=290&amp;col=10&amp;number=0.00048675&amp;sourceID=54","0.00048675")</f>
        <v>0.00048675</v>
      </c>
      <c r="K290" s="4" t="str">
        <f>HYPERLINK("http://141.218.60.56/~jnz1568/getInfo.php?workbook=16_15.xlsx&amp;sheet=A0&amp;row=290&amp;col=11&amp;number=2.7248e-06&amp;sourceID=54","2.7248e-06")</f>
        <v>2.7248e-06</v>
      </c>
      <c r="L290" s="4" t="str">
        <f>HYPERLINK("http://141.218.60.56/~jnz1568/getInfo.php?workbook=16_15.xlsx&amp;sheet=A0&amp;row=290&amp;col=12&amp;number=&amp;sourceID=53","")</f>
        <v/>
      </c>
      <c r="M290" s="4" t="str">
        <f>HYPERLINK("http://141.218.60.56/~jnz1568/getInfo.php?workbook=16_15.xlsx&amp;sheet=A0&amp;row=290&amp;col=13&amp;number=&amp;sourceID=53","")</f>
        <v/>
      </c>
      <c r="N290" s="4" t="str">
        <f>HYPERLINK("http://141.218.60.56/~jnz1568/getInfo.php?workbook=16_15.xlsx&amp;sheet=A0&amp;row=290&amp;col=14&amp;number=&amp;sourceID=53","")</f>
        <v/>
      </c>
      <c r="O290" s="4" t="str">
        <f>HYPERLINK("http://141.218.60.56/~jnz1568/getInfo.php?workbook=16_15.xlsx&amp;sheet=A0&amp;row=290&amp;col=15&amp;number=&amp;sourceID=55","")</f>
        <v/>
      </c>
      <c r="P290" s="4" t="str">
        <f>HYPERLINK("http://141.218.60.56/~jnz1568/getInfo.php?workbook=16_15.xlsx&amp;sheet=A0&amp;row=290&amp;col=16&amp;number=&amp;sourceID=55","")</f>
        <v/>
      </c>
      <c r="Q290" s="4" t="str">
        <f>HYPERLINK("http://141.218.60.56/~jnz1568/getInfo.php?workbook=16_15.xlsx&amp;sheet=A0&amp;row=290&amp;col=17&amp;number=&amp;sourceID=56","")</f>
        <v/>
      </c>
      <c r="R290" s="4" t="str">
        <f>HYPERLINK("http://141.218.60.56/~jnz1568/getInfo.php?workbook=16_15.xlsx&amp;sheet=A0&amp;row=290&amp;col=18&amp;number=&amp;sourceID=56","")</f>
        <v/>
      </c>
      <c r="S290" s="4" t="str">
        <f>HYPERLINK("http://141.218.60.56/~jnz1568/getInfo.php?workbook=16_15.xlsx&amp;sheet=A0&amp;row=290&amp;col=19&amp;number=&amp;sourceID=57","")</f>
        <v/>
      </c>
      <c r="T290" s="4" t="str">
        <f>HYPERLINK("http://141.218.60.56/~jnz1568/getInfo.php?workbook=16_15.xlsx&amp;sheet=A0&amp;row=290&amp;col=20&amp;number=&amp;sourceID=57","")</f>
        <v/>
      </c>
      <c r="U290" s="4" t="str">
        <f>HYPERLINK("http://141.218.60.56/~jnz1568/getInfo.php?workbook=16_15.xlsx&amp;sheet=A0&amp;row=290&amp;col=21&amp;number=&amp;sourceID=47","")</f>
        <v/>
      </c>
      <c r="V290" s="4" t="str">
        <f>HYPERLINK("http://141.218.60.56/~jnz1568/getInfo.php?workbook=16_15.xlsx&amp;sheet=A0&amp;row=290&amp;col=22&amp;number=&amp;sourceID=47","")</f>
        <v/>
      </c>
    </row>
    <row r="291" spans="1:22">
      <c r="A291" s="3">
        <v>16</v>
      </c>
      <c r="B291" s="3">
        <v>15</v>
      </c>
      <c r="C291" s="3">
        <v>27</v>
      </c>
      <c r="D291" s="3">
        <v>17</v>
      </c>
      <c r="E291" s="3">
        <f>((1/(INDEX(E0!J$4:J$73,C291,1)-INDEX(E0!J$4:J$73,D291,1))))*100000000</f>
        <v>0</v>
      </c>
      <c r="F291" s="4" t="str">
        <f>HYPERLINK("http://141.218.60.56/~jnz1568/getInfo.php?workbook=16_15.xlsx&amp;sheet=A0&amp;row=291&amp;col=6&amp;number=&amp;sourceID=54","")</f>
        <v/>
      </c>
      <c r="G291" s="4" t="str">
        <f>HYPERLINK("http://141.218.60.56/~jnz1568/getInfo.php?workbook=16_15.xlsx&amp;sheet=A0&amp;row=291&amp;col=7&amp;number=1.409e-05&amp;sourceID=54","1.409e-05")</f>
        <v>1.409e-05</v>
      </c>
      <c r="H291" s="4" t="str">
        <f>HYPERLINK("http://141.218.60.56/~jnz1568/getInfo.php?workbook=16_15.xlsx&amp;sheet=A0&amp;row=291&amp;col=8&amp;number=0.00013389&amp;sourceID=54","0.00013389")</f>
        <v>0.00013389</v>
      </c>
      <c r="I291" s="4" t="str">
        <f>HYPERLINK("http://141.218.60.56/~jnz1568/getInfo.php?workbook=16_15.xlsx&amp;sheet=A0&amp;row=291&amp;col=9&amp;number=&amp;sourceID=54","")</f>
        <v/>
      </c>
      <c r="J291" s="4" t="str">
        <f>HYPERLINK("http://141.218.60.56/~jnz1568/getInfo.php?workbook=16_15.xlsx&amp;sheet=A0&amp;row=291&amp;col=10&amp;number=2.0043e-05&amp;sourceID=54","2.0043e-05")</f>
        <v>2.0043e-05</v>
      </c>
      <c r="K291" s="4" t="str">
        <f>HYPERLINK("http://141.218.60.56/~jnz1568/getInfo.php?workbook=16_15.xlsx&amp;sheet=A0&amp;row=291&amp;col=11&amp;number=0.00017093&amp;sourceID=54","0.00017093")</f>
        <v>0.00017093</v>
      </c>
      <c r="L291" s="4" t="str">
        <f>HYPERLINK("http://141.218.60.56/~jnz1568/getInfo.php?workbook=16_15.xlsx&amp;sheet=A0&amp;row=291&amp;col=12&amp;number=&amp;sourceID=53","")</f>
        <v/>
      </c>
      <c r="M291" s="4" t="str">
        <f>HYPERLINK("http://141.218.60.56/~jnz1568/getInfo.php?workbook=16_15.xlsx&amp;sheet=A0&amp;row=291&amp;col=13&amp;number=&amp;sourceID=53","")</f>
        <v/>
      </c>
      <c r="N291" s="4" t="str">
        <f>HYPERLINK("http://141.218.60.56/~jnz1568/getInfo.php?workbook=16_15.xlsx&amp;sheet=A0&amp;row=291&amp;col=14&amp;number=&amp;sourceID=53","")</f>
        <v/>
      </c>
      <c r="O291" s="4" t="str">
        <f>HYPERLINK("http://141.218.60.56/~jnz1568/getInfo.php?workbook=16_15.xlsx&amp;sheet=A0&amp;row=291&amp;col=15&amp;number=&amp;sourceID=55","")</f>
        <v/>
      </c>
      <c r="P291" s="4" t="str">
        <f>HYPERLINK("http://141.218.60.56/~jnz1568/getInfo.php?workbook=16_15.xlsx&amp;sheet=A0&amp;row=291&amp;col=16&amp;number=&amp;sourceID=55","")</f>
        <v/>
      </c>
      <c r="Q291" s="4" t="str">
        <f>HYPERLINK("http://141.218.60.56/~jnz1568/getInfo.php?workbook=16_15.xlsx&amp;sheet=A0&amp;row=291&amp;col=17&amp;number=&amp;sourceID=56","")</f>
        <v/>
      </c>
      <c r="R291" s="4" t="str">
        <f>HYPERLINK("http://141.218.60.56/~jnz1568/getInfo.php?workbook=16_15.xlsx&amp;sheet=A0&amp;row=291&amp;col=18&amp;number=&amp;sourceID=56","")</f>
        <v/>
      </c>
      <c r="S291" s="4" t="str">
        <f>HYPERLINK("http://141.218.60.56/~jnz1568/getInfo.php?workbook=16_15.xlsx&amp;sheet=A0&amp;row=291&amp;col=19&amp;number=&amp;sourceID=57","")</f>
        <v/>
      </c>
      <c r="T291" s="4" t="str">
        <f>HYPERLINK("http://141.218.60.56/~jnz1568/getInfo.php?workbook=16_15.xlsx&amp;sheet=A0&amp;row=291&amp;col=20&amp;number=&amp;sourceID=57","")</f>
        <v/>
      </c>
      <c r="U291" s="4" t="str">
        <f>HYPERLINK("http://141.218.60.56/~jnz1568/getInfo.php?workbook=16_15.xlsx&amp;sheet=A0&amp;row=291&amp;col=21&amp;number=&amp;sourceID=47","")</f>
        <v/>
      </c>
      <c r="V291" s="4" t="str">
        <f>HYPERLINK("http://141.218.60.56/~jnz1568/getInfo.php?workbook=16_15.xlsx&amp;sheet=A0&amp;row=291&amp;col=22&amp;number=&amp;sourceID=47","")</f>
        <v/>
      </c>
    </row>
    <row r="292" spans="1:22">
      <c r="A292" s="3">
        <v>16</v>
      </c>
      <c r="B292" s="3">
        <v>15</v>
      </c>
      <c r="C292" s="3">
        <v>27</v>
      </c>
      <c r="D292" s="3">
        <v>18</v>
      </c>
      <c r="E292" s="3">
        <f>((1/(INDEX(E0!J$4:J$73,C292,1)-INDEX(E0!J$4:J$73,D292,1))))*100000000</f>
        <v>0</v>
      </c>
      <c r="F292" s="4" t="str">
        <f>HYPERLINK("http://141.218.60.56/~jnz1568/getInfo.php?workbook=16_15.xlsx&amp;sheet=A0&amp;row=292&amp;col=6&amp;number=&amp;sourceID=54","")</f>
        <v/>
      </c>
      <c r="G292" s="4" t="str">
        <f>HYPERLINK("http://141.218.60.56/~jnz1568/getInfo.php?workbook=16_15.xlsx&amp;sheet=A0&amp;row=292&amp;col=7&amp;number=9.3102e-05&amp;sourceID=54","9.3102e-05")</f>
        <v>9.3102e-05</v>
      </c>
      <c r="H292" s="4" t="str">
        <f>HYPERLINK("http://141.218.60.56/~jnz1568/getInfo.php?workbook=16_15.xlsx&amp;sheet=A0&amp;row=292&amp;col=8&amp;number=0.00012617&amp;sourceID=54","0.00012617")</f>
        <v>0.00012617</v>
      </c>
      <c r="I292" s="4" t="str">
        <f>HYPERLINK("http://141.218.60.56/~jnz1568/getInfo.php?workbook=16_15.xlsx&amp;sheet=A0&amp;row=292&amp;col=9&amp;number=&amp;sourceID=54","")</f>
        <v/>
      </c>
      <c r="J292" s="4" t="str">
        <f>HYPERLINK("http://141.218.60.56/~jnz1568/getInfo.php?workbook=16_15.xlsx&amp;sheet=A0&amp;row=292&amp;col=10&amp;number=0.00013411&amp;sourceID=54","0.00013411")</f>
        <v>0.00013411</v>
      </c>
      <c r="K292" s="4" t="str">
        <f>HYPERLINK("http://141.218.60.56/~jnz1568/getInfo.php?workbook=16_15.xlsx&amp;sheet=A0&amp;row=292&amp;col=11&amp;number=0.00019953&amp;sourceID=54","0.00019953")</f>
        <v>0.00019953</v>
      </c>
      <c r="L292" s="4" t="str">
        <f>HYPERLINK("http://141.218.60.56/~jnz1568/getInfo.php?workbook=16_15.xlsx&amp;sheet=A0&amp;row=292&amp;col=12&amp;number=&amp;sourceID=53","")</f>
        <v/>
      </c>
      <c r="M292" s="4" t="str">
        <f>HYPERLINK("http://141.218.60.56/~jnz1568/getInfo.php?workbook=16_15.xlsx&amp;sheet=A0&amp;row=292&amp;col=13&amp;number=&amp;sourceID=53","")</f>
        <v/>
      </c>
      <c r="N292" s="4" t="str">
        <f>HYPERLINK("http://141.218.60.56/~jnz1568/getInfo.php?workbook=16_15.xlsx&amp;sheet=A0&amp;row=292&amp;col=14&amp;number=&amp;sourceID=53","")</f>
        <v/>
      </c>
      <c r="O292" s="4" t="str">
        <f>HYPERLINK("http://141.218.60.56/~jnz1568/getInfo.php?workbook=16_15.xlsx&amp;sheet=A0&amp;row=292&amp;col=15&amp;number=&amp;sourceID=55","")</f>
        <v/>
      </c>
      <c r="P292" s="4" t="str">
        <f>HYPERLINK("http://141.218.60.56/~jnz1568/getInfo.php?workbook=16_15.xlsx&amp;sheet=A0&amp;row=292&amp;col=16&amp;number=&amp;sourceID=55","")</f>
        <v/>
      </c>
      <c r="Q292" s="4" t="str">
        <f>HYPERLINK("http://141.218.60.56/~jnz1568/getInfo.php?workbook=16_15.xlsx&amp;sheet=A0&amp;row=292&amp;col=17&amp;number=&amp;sourceID=56","")</f>
        <v/>
      </c>
      <c r="R292" s="4" t="str">
        <f>HYPERLINK("http://141.218.60.56/~jnz1568/getInfo.php?workbook=16_15.xlsx&amp;sheet=A0&amp;row=292&amp;col=18&amp;number=&amp;sourceID=56","")</f>
        <v/>
      </c>
      <c r="S292" s="4" t="str">
        <f>HYPERLINK("http://141.218.60.56/~jnz1568/getInfo.php?workbook=16_15.xlsx&amp;sheet=A0&amp;row=292&amp;col=19&amp;number=&amp;sourceID=57","")</f>
        <v/>
      </c>
      <c r="T292" s="4" t="str">
        <f>HYPERLINK("http://141.218.60.56/~jnz1568/getInfo.php?workbook=16_15.xlsx&amp;sheet=A0&amp;row=292&amp;col=20&amp;number=&amp;sourceID=57","")</f>
        <v/>
      </c>
      <c r="U292" s="4" t="str">
        <f>HYPERLINK("http://141.218.60.56/~jnz1568/getInfo.php?workbook=16_15.xlsx&amp;sheet=A0&amp;row=292&amp;col=21&amp;number=&amp;sourceID=47","")</f>
        <v/>
      </c>
      <c r="V292" s="4" t="str">
        <f>HYPERLINK("http://141.218.60.56/~jnz1568/getInfo.php?workbook=16_15.xlsx&amp;sheet=A0&amp;row=292&amp;col=22&amp;number=&amp;sourceID=47","")</f>
        <v/>
      </c>
    </row>
    <row r="293" spans="1:22">
      <c r="A293" s="3">
        <v>16</v>
      </c>
      <c r="B293" s="3">
        <v>15</v>
      </c>
      <c r="C293" s="3">
        <v>27</v>
      </c>
      <c r="D293" s="3">
        <v>19</v>
      </c>
      <c r="E293" s="3">
        <f>((1/(INDEX(E0!J$4:J$73,C293,1)-INDEX(E0!J$4:J$73,D293,1))))*100000000</f>
        <v>0</v>
      </c>
      <c r="F293" s="4" t="str">
        <f>HYPERLINK("http://141.218.60.56/~jnz1568/getInfo.php?workbook=16_15.xlsx&amp;sheet=A0&amp;row=293&amp;col=6&amp;number=&amp;sourceID=54","")</f>
        <v/>
      </c>
      <c r="G293" s="4" t="str">
        <f>HYPERLINK("http://141.218.60.56/~jnz1568/getInfo.php?workbook=16_15.xlsx&amp;sheet=A0&amp;row=293&amp;col=7&amp;number=0.00020397&amp;sourceID=54","0.00020397")</f>
        <v>0.00020397</v>
      </c>
      <c r="H293" s="4" t="str">
        <f>HYPERLINK("http://141.218.60.56/~jnz1568/getInfo.php?workbook=16_15.xlsx&amp;sheet=A0&amp;row=293&amp;col=8&amp;number=0.00063531&amp;sourceID=54","0.00063531")</f>
        <v>0.00063531</v>
      </c>
      <c r="I293" s="4" t="str">
        <f>HYPERLINK("http://141.218.60.56/~jnz1568/getInfo.php?workbook=16_15.xlsx&amp;sheet=A0&amp;row=293&amp;col=9&amp;number=&amp;sourceID=54","")</f>
        <v/>
      </c>
      <c r="J293" s="4" t="str">
        <f>HYPERLINK("http://141.218.60.56/~jnz1568/getInfo.php?workbook=16_15.xlsx&amp;sheet=A0&amp;row=293&amp;col=10&amp;number=0.00028956&amp;sourceID=54","0.00028956")</f>
        <v>0.00028956</v>
      </c>
      <c r="K293" s="4" t="str">
        <f>HYPERLINK("http://141.218.60.56/~jnz1568/getInfo.php?workbook=16_15.xlsx&amp;sheet=A0&amp;row=293&amp;col=11&amp;number=0.00084317&amp;sourceID=54","0.00084317")</f>
        <v>0.00084317</v>
      </c>
      <c r="L293" s="4" t="str">
        <f>HYPERLINK("http://141.218.60.56/~jnz1568/getInfo.php?workbook=16_15.xlsx&amp;sheet=A0&amp;row=293&amp;col=12&amp;number=&amp;sourceID=53","")</f>
        <v/>
      </c>
      <c r="M293" s="4" t="str">
        <f>HYPERLINK("http://141.218.60.56/~jnz1568/getInfo.php?workbook=16_15.xlsx&amp;sheet=A0&amp;row=293&amp;col=13&amp;number=&amp;sourceID=53","")</f>
        <v/>
      </c>
      <c r="N293" s="4" t="str">
        <f>HYPERLINK("http://141.218.60.56/~jnz1568/getInfo.php?workbook=16_15.xlsx&amp;sheet=A0&amp;row=293&amp;col=14&amp;number=&amp;sourceID=53","")</f>
        <v/>
      </c>
      <c r="O293" s="4" t="str">
        <f>HYPERLINK("http://141.218.60.56/~jnz1568/getInfo.php?workbook=16_15.xlsx&amp;sheet=A0&amp;row=293&amp;col=15&amp;number=&amp;sourceID=55","")</f>
        <v/>
      </c>
      <c r="P293" s="4" t="str">
        <f>HYPERLINK("http://141.218.60.56/~jnz1568/getInfo.php?workbook=16_15.xlsx&amp;sheet=A0&amp;row=293&amp;col=16&amp;number=&amp;sourceID=55","")</f>
        <v/>
      </c>
      <c r="Q293" s="4" t="str">
        <f>HYPERLINK("http://141.218.60.56/~jnz1568/getInfo.php?workbook=16_15.xlsx&amp;sheet=A0&amp;row=293&amp;col=17&amp;number=&amp;sourceID=56","")</f>
        <v/>
      </c>
      <c r="R293" s="4" t="str">
        <f>HYPERLINK("http://141.218.60.56/~jnz1568/getInfo.php?workbook=16_15.xlsx&amp;sheet=A0&amp;row=293&amp;col=18&amp;number=&amp;sourceID=56","")</f>
        <v/>
      </c>
      <c r="S293" s="4" t="str">
        <f>HYPERLINK("http://141.218.60.56/~jnz1568/getInfo.php?workbook=16_15.xlsx&amp;sheet=A0&amp;row=293&amp;col=19&amp;number=&amp;sourceID=57","")</f>
        <v/>
      </c>
      <c r="T293" s="4" t="str">
        <f>HYPERLINK("http://141.218.60.56/~jnz1568/getInfo.php?workbook=16_15.xlsx&amp;sheet=A0&amp;row=293&amp;col=20&amp;number=&amp;sourceID=57","")</f>
        <v/>
      </c>
      <c r="U293" s="4" t="str">
        <f>HYPERLINK("http://141.218.60.56/~jnz1568/getInfo.php?workbook=16_15.xlsx&amp;sheet=A0&amp;row=293&amp;col=21&amp;number=&amp;sourceID=47","")</f>
        <v/>
      </c>
      <c r="V293" s="4" t="str">
        <f>HYPERLINK("http://141.218.60.56/~jnz1568/getInfo.php?workbook=16_15.xlsx&amp;sheet=A0&amp;row=293&amp;col=22&amp;number=&amp;sourceID=47","")</f>
        <v/>
      </c>
    </row>
    <row r="294" spans="1:22">
      <c r="A294" s="3">
        <v>16</v>
      </c>
      <c r="B294" s="3">
        <v>15</v>
      </c>
      <c r="C294" s="3">
        <v>27</v>
      </c>
      <c r="D294" s="3">
        <v>21</v>
      </c>
      <c r="E294" s="3">
        <f>((1/(INDEX(E0!J$4:J$73,C294,1)-INDEX(E0!J$4:J$73,D294,1))))*100000000</f>
        <v>0</v>
      </c>
      <c r="F294" s="4" t="str">
        <f>HYPERLINK("http://141.218.60.56/~jnz1568/getInfo.php?workbook=16_15.xlsx&amp;sheet=A0&amp;row=294&amp;col=6&amp;number=&amp;sourceID=54","")</f>
        <v/>
      </c>
      <c r="G294" s="4" t="str">
        <f>HYPERLINK("http://141.218.60.56/~jnz1568/getInfo.php?workbook=16_15.xlsx&amp;sheet=A0&amp;row=294&amp;col=7&amp;number=0.00019578&amp;sourceID=54","0.00019578")</f>
        <v>0.00019578</v>
      </c>
      <c r="H294" s="4" t="str">
        <f>HYPERLINK("http://141.218.60.56/~jnz1568/getInfo.php?workbook=16_15.xlsx&amp;sheet=A0&amp;row=294&amp;col=8&amp;number=&amp;sourceID=54","")</f>
        <v/>
      </c>
      <c r="I294" s="4" t="str">
        <f>HYPERLINK("http://141.218.60.56/~jnz1568/getInfo.php?workbook=16_15.xlsx&amp;sheet=A0&amp;row=294&amp;col=9&amp;number=&amp;sourceID=54","")</f>
        <v/>
      </c>
      <c r="J294" s="4" t="str">
        <f>HYPERLINK("http://141.218.60.56/~jnz1568/getInfo.php?workbook=16_15.xlsx&amp;sheet=A0&amp;row=294&amp;col=10&amp;number=4.0356e-05&amp;sourceID=54","4.0356e-05")</f>
        <v>4.0356e-05</v>
      </c>
      <c r="K294" s="4" t="str">
        <f>HYPERLINK("http://141.218.60.56/~jnz1568/getInfo.php?workbook=16_15.xlsx&amp;sheet=A0&amp;row=294&amp;col=11&amp;number=&amp;sourceID=54","")</f>
        <v/>
      </c>
      <c r="L294" s="4" t="str">
        <f>HYPERLINK("http://141.218.60.56/~jnz1568/getInfo.php?workbook=16_15.xlsx&amp;sheet=A0&amp;row=294&amp;col=12&amp;number=&amp;sourceID=53","")</f>
        <v/>
      </c>
      <c r="M294" s="4" t="str">
        <f>HYPERLINK("http://141.218.60.56/~jnz1568/getInfo.php?workbook=16_15.xlsx&amp;sheet=A0&amp;row=294&amp;col=13&amp;number=&amp;sourceID=53","")</f>
        <v/>
      </c>
      <c r="N294" s="4" t="str">
        <f>HYPERLINK("http://141.218.60.56/~jnz1568/getInfo.php?workbook=16_15.xlsx&amp;sheet=A0&amp;row=294&amp;col=14&amp;number=&amp;sourceID=53","")</f>
        <v/>
      </c>
      <c r="O294" s="4" t="str">
        <f>HYPERLINK("http://141.218.60.56/~jnz1568/getInfo.php?workbook=16_15.xlsx&amp;sheet=A0&amp;row=294&amp;col=15&amp;number=&amp;sourceID=55","")</f>
        <v/>
      </c>
      <c r="P294" s="4" t="str">
        <f>HYPERLINK("http://141.218.60.56/~jnz1568/getInfo.php?workbook=16_15.xlsx&amp;sheet=A0&amp;row=294&amp;col=16&amp;number=&amp;sourceID=55","")</f>
        <v/>
      </c>
      <c r="Q294" s="4" t="str">
        <f>HYPERLINK("http://141.218.60.56/~jnz1568/getInfo.php?workbook=16_15.xlsx&amp;sheet=A0&amp;row=294&amp;col=17&amp;number=&amp;sourceID=56","")</f>
        <v/>
      </c>
      <c r="R294" s="4" t="str">
        <f>HYPERLINK("http://141.218.60.56/~jnz1568/getInfo.php?workbook=16_15.xlsx&amp;sheet=A0&amp;row=294&amp;col=18&amp;number=&amp;sourceID=56","")</f>
        <v/>
      </c>
      <c r="S294" s="4" t="str">
        <f>HYPERLINK("http://141.218.60.56/~jnz1568/getInfo.php?workbook=16_15.xlsx&amp;sheet=A0&amp;row=294&amp;col=19&amp;number=&amp;sourceID=57","")</f>
        <v/>
      </c>
      <c r="T294" s="4" t="str">
        <f>HYPERLINK("http://141.218.60.56/~jnz1568/getInfo.php?workbook=16_15.xlsx&amp;sheet=A0&amp;row=294&amp;col=20&amp;number=&amp;sourceID=57","")</f>
        <v/>
      </c>
      <c r="U294" s="4" t="str">
        <f>HYPERLINK("http://141.218.60.56/~jnz1568/getInfo.php?workbook=16_15.xlsx&amp;sheet=A0&amp;row=294&amp;col=21&amp;number=&amp;sourceID=47","")</f>
        <v/>
      </c>
      <c r="V294" s="4" t="str">
        <f>HYPERLINK("http://141.218.60.56/~jnz1568/getInfo.php?workbook=16_15.xlsx&amp;sheet=A0&amp;row=294&amp;col=22&amp;number=&amp;sourceID=47","")</f>
        <v/>
      </c>
    </row>
    <row r="295" spans="1:22">
      <c r="A295" s="3">
        <v>16</v>
      </c>
      <c r="B295" s="3">
        <v>15</v>
      </c>
      <c r="C295" s="3">
        <v>27</v>
      </c>
      <c r="D295" s="3">
        <v>23</v>
      </c>
      <c r="E295" s="3">
        <f>((1/(INDEX(E0!J$4:J$73,C295,1)-INDEX(E0!J$4:J$73,D295,1))))*100000000</f>
        <v>0</v>
      </c>
      <c r="F295" s="4" t="str">
        <f>HYPERLINK("http://141.218.60.56/~jnz1568/getInfo.php?workbook=16_15.xlsx&amp;sheet=A0&amp;row=295&amp;col=6&amp;number=&amp;sourceID=54","")</f>
        <v/>
      </c>
      <c r="G295" s="4" t="str">
        <f>HYPERLINK("http://141.218.60.56/~jnz1568/getInfo.php?workbook=16_15.xlsx&amp;sheet=A0&amp;row=295&amp;col=7&amp;number=3.1872e-08&amp;sourceID=54","3.1872e-08")</f>
        <v>3.1872e-08</v>
      </c>
      <c r="H295" s="4" t="str">
        <f>HYPERLINK("http://141.218.60.56/~jnz1568/getInfo.php?workbook=16_15.xlsx&amp;sheet=A0&amp;row=295&amp;col=8&amp;number=&amp;sourceID=54","")</f>
        <v/>
      </c>
      <c r="I295" s="4" t="str">
        <f>HYPERLINK("http://141.218.60.56/~jnz1568/getInfo.php?workbook=16_15.xlsx&amp;sheet=A0&amp;row=295&amp;col=9&amp;number=&amp;sourceID=54","")</f>
        <v/>
      </c>
      <c r="J295" s="4" t="str">
        <f>HYPERLINK("http://141.218.60.56/~jnz1568/getInfo.php?workbook=16_15.xlsx&amp;sheet=A0&amp;row=295&amp;col=10&amp;number=1.4743e-08&amp;sourceID=54","1.4743e-08")</f>
        <v>1.4743e-08</v>
      </c>
      <c r="K295" s="4" t="str">
        <f>HYPERLINK("http://141.218.60.56/~jnz1568/getInfo.php?workbook=16_15.xlsx&amp;sheet=A0&amp;row=295&amp;col=11&amp;number=&amp;sourceID=54","")</f>
        <v/>
      </c>
      <c r="L295" s="4" t="str">
        <f>HYPERLINK("http://141.218.60.56/~jnz1568/getInfo.php?workbook=16_15.xlsx&amp;sheet=A0&amp;row=295&amp;col=12&amp;number=&amp;sourceID=53","")</f>
        <v/>
      </c>
      <c r="M295" s="4" t="str">
        <f>HYPERLINK("http://141.218.60.56/~jnz1568/getInfo.php?workbook=16_15.xlsx&amp;sheet=A0&amp;row=295&amp;col=13&amp;number=&amp;sourceID=53","")</f>
        <v/>
      </c>
      <c r="N295" s="4" t="str">
        <f>HYPERLINK("http://141.218.60.56/~jnz1568/getInfo.php?workbook=16_15.xlsx&amp;sheet=A0&amp;row=295&amp;col=14&amp;number=&amp;sourceID=53","")</f>
        <v/>
      </c>
      <c r="O295" s="4" t="str">
        <f>HYPERLINK("http://141.218.60.56/~jnz1568/getInfo.php?workbook=16_15.xlsx&amp;sheet=A0&amp;row=295&amp;col=15&amp;number=&amp;sourceID=55","")</f>
        <v/>
      </c>
      <c r="P295" s="4" t="str">
        <f>HYPERLINK("http://141.218.60.56/~jnz1568/getInfo.php?workbook=16_15.xlsx&amp;sheet=A0&amp;row=295&amp;col=16&amp;number=&amp;sourceID=55","")</f>
        <v/>
      </c>
      <c r="Q295" s="4" t="str">
        <f>HYPERLINK("http://141.218.60.56/~jnz1568/getInfo.php?workbook=16_15.xlsx&amp;sheet=A0&amp;row=295&amp;col=17&amp;number=&amp;sourceID=56","")</f>
        <v/>
      </c>
      <c r="R295" s="4" t="str">
        <f>HYPERLINK("http://141.218.60.56/~jnz1568/getInfo.php?workbook=16_15.xlsx&amp;sheet=A0&amp;row=295&amp;col=18&amp;number=&amp;sourceID=56","")</f>
        <v/>
      </c>
      <c r="S295" s="4" t="str">
        <f>HYPERLINK("http://141.218.60.56/~jnz1568/getInfo.php?workbook=16_15.xlsx&amp;sheet=A0&amp;row=295&amp;col=19&amp;number=&amp;sourceID=57","")</f>
        <v/>
      </c>
      <c r="T295" s="4" t="str">
        <f>HYPERLINK("http://141.218.60.56/~jnz1568/getInfo.php?workbook=16_15.xlsx&amp;sheet=A0&amp;row=295&amp;col=20&amp;number=&amp;sourceID=57","")</f>
        <v/>
      </c>
      <c r="U295" s="4" t="str">
        <f>HYPERLINK("http://141.218.60.56/~jnz1568/getInfo.php?workbook=16_15.xlsx&amp;sheet=A0&amp;row=295&amp;col=21&amp;number=&amp;sourceID=47","")</f>
        <v/>
      </c>
      <c r="V295" s="4" t="str">
        <f>HYPERLINK("http://141.218.60.56/~jnz1568/getInfo.php?workbook=16_15.xlsx&amp;sheet=A0&amp;row=295&amp;col=22&amp;number=&amp;sourceID=47","")</f>
        <v/>
      </c>
    </row>
    <row r="296" spans="1:22">
      <c r="A296" s="3">
        <v>16</v>
      </c>
      <c r="B296" s="3">
        <v>15</v>
      </c>
      <c r="C296" s="3">
        <v>27</v>
      </c>
      <c r="D296" s="3">
        <v>24</v>
      </c>
      <c r="E296" s="3">
        <f>((1/(INDEX(E0!J$4:J$73,C296,1)-INDEX(E0!J$4:J$73,D296,1))))*100000000</f>
        <v>0</v>
      </c>
      <c r="F296" s="4" t="str">
        <f>HYPERLINK("http://141.218.60.56/~jnz1568/getInfo.php?workbook=16_15.xlsx&amp;sheet=A0&amp;row=296&amp;col=6&amp;number=&amp;sourceID=54","")</f>
        <v/>
      </c>
      <c r="G296" s="4" t="str">
        <f>HYPERLINK("http://141.218.60.56/~jnz1568/getInfo.php?workbook=16_15.xlsx&amp;sheet=A0&amp;row=296&amp;col=7&amp;number=6.664e-08&amp;sourceID=54","6.664e-08")</f>
        <v>6.664e-08</v>
      </c>
      <c r="H296" s="4" t="str">
        <f>HYPERLINK("http://141.218.60.56/~jnz1568/getInfo.php?workbook=16_15.xlsx&amp;sheet=A0&amp;row=296&amp;col=8&amp;number=0.00072966&amp;sourceID=54","0.00072966")</f>
        <v>0.00072966</v>
      </c>
      <c r="I296" s="4" t="str">
        <f>HYPERLINK("http://141.218.60.56/~jnz1568/getInfo.php?workbook=16_15.xlsx&amp;sheet=A0&amp;row=296&amp;col=9&amp;number=&amp;sourceID=54","")</f>
        <v/>
      </c>
      <c r="J296" s="4" t="str">
        <f>HYPERLINK("http://141.218.60.56/~jnz1568/getInfo.php?workbook=16_15.xlsx&amp;sheet=A0&amp;row=296&amp;col=10&amp;number=2.8358e-08&amp;sourceID=54","2.8358e-08")</f>
        <v>2.8358e-08</v>
      </c>
      <c r="K296" s="4" t="str">
        <f>HYPERLINK("http://141.218.60.56/~jnz1568/getInfo.php?workbook=16_15.xlsx&amp;sheet=A0&amp;row=296&amp;col=11&amp;number=0.00042499&amp;sourceID=54","0.00042499")</f>
        <v>0.00042499</v>
      </c>
      <c r="L296" s="4" t="str">
        <f>HYPERLINK("http://141.218.60.56/~jnz1568/getInfo.php?workbook=16_15.xlsx&amp;sheet=A0&amp;row=296&amp;col=12&amp;number=&amp;sourceID=53","")</f>
        <v/>
      </c>
      <c r="M296" s="4" t="str">
        <f>HYPERLINK("http://141.218.60.56/~jnz1568/getInfo.php?workbook=16_15.xlsx&amp;sheet=A0&amp;row=296&amp;col=13&amp;number=&amp;sourceID=53","")</f>
        <v/>
      </c>
      <c r="N296" s="4" t="str">
        <f>HYPERLINK("http://141.218.60.56/~jnz1568/getInfo.php?workbook=16_15.xlsx&amp;sheet=A0&amp;row=296&amp;col=14&amp;number=&amp;sourceID=53","")</f>
        <v/>
      </c>
      <c r="O296" s="4" t="str">
        <f>HYPERLINK("http://141.218.60.56/~jnz1568/getInfo.php?workbook=16_15.xlsx&amp;sheet=A0&amp;row=296&amp;col=15&amp;number=&amp;sourceID=55","")</f>
        <v/>
      </c>
      <c r="P296" s="4" t="str">
        <f>HYPERLINK("http://141.218.60.56/~jnz1568/getInfo.php?workbook=16_15.xlsx&amp;sheet=A0&amp;row=296&amp;col=16&amp;number=&amp;sourceID=55","")</f>
        <v/>
      </c>
      <c r="Q296" s="4" t="str">
        <f>HYPERLINK("http://141.218.60.56/~jnz1568/getInfo.php?workbook=16_15.xlsx&amp;sheet=A0&amp;row=296&amp;col=17&amp;number=&amp;sourceID=56","")</f>
        <v/>
      </c>
      <c r="R296" s="4" t="str">
        <f>HYPERLINK("http://141.218.60.56/~jnz1568/getInfo.php?workbook=16_15.xlsx&amp;sheet=A0&amp;row=296&amp;col=18&amp;number=&amp;sourceID=56","")</f>
        <v/>
      </c>
      <c r="S296" s="4" t="str">
        <f>HYPERLINK("http://141.218.60.56/~jnz1568/getInfo.php?workbook=16_15.xlsx&amp;sheet=A0&amp;row=296&amp;col=19&amp;number=&amp;sourceID=57","")</f>
        <v/>
      </c>
      <c r="T296" s="4" t="str">
        <f>HYPERLINK("http://141.218.60.56/~jnz1568/getInfo.php?workbook=16_15.xlsx&amp;sheet=A0&amp;row=296&amp;col=20&amp;number=&amp;sourceID=57","")</f>
        <v/>
      </c>
      <c r="U296" s="4" t="str">
        <f>HYPERLINK("http://141.218.60.56/~jnz1568/getInfo.php?workbook=16_15.xlsx&amp;sheet=A0&amp;row=296&amp;col=21&amp;number=&amp;sourceID=47","")</f>
        <v/>
      </c>
      <c r="V296" s="4" t="str">
        <f>HYPERLINK("http://141.218.60.56/~jnz1568/getInfo.php?workbook=16_15.xlsx&amp;sheet=A0&amp;row=296&amp;col=22&amp;number=&amp;sourceID=47","")</f>
        <v/>
      </c>
    </row>
    <row r="297" spans="1:22">
      <c r="A297" s="3">
        <v>16</v>
      </c>
      <c r="B297" s="3">
        <v>15</v>
      </c>
      <c r="C297" s="3">
        <v>27</v>
      </c>
      <c r="D297" s="3">
        <v>25</v>
      </c>
      <c r="E297" s="3">
        <f>((1/(INDEX(E0!J$4:J$73,C297,1)-INDEX(E0!J$4:J$73,D297,1))))*100000000</f>
        <v>0</v>
      </c>
      <c r="F297" s="4" t="str">
        <f>HYPERLINK("http://141.218.60.56/~jnz1568/getInfo.php?workbook=16_15.xlsx&amp;sheet=A0&amp;row=297&amp;col=6&amp;number=&amp;sourceID=54","")</f>
        <v/>
      </c>
      <c r="G297" s="4" t="str">
        <f>HYPERLINK("http://141.218.60.56/~jnz1568/getInfo.php?workbook=16_15.xlsx&amp;sheet=A0&amp;row=297&amp;col=7&amp;number=5.3592e-09&amp;sourceID=54","5.3592e-09")</f>
        <v>5.3592e-09</v>
      </c>
      <c r="H297" s="4" t="str">
        <f>HYPERLINK("http://141.218.60.56/~jnz1568/getInfo.php?workbook=16_15.xlsx&amp;sheet=A0&amp;row=297&amp;col=8&amp;number=0.0031929&amp;sourceID=54","0.0031929")</f>
        <v>0.0031929</v>
      </c>
      <c r="I297" s="4" t="str">
        <f>HYPERLINK("http://141.218.60.56/~jnz1568/getInfo.php?workbook=16_15.xlsx&amp;sheet=A0&amp;row=297&amp;col=9&amp;number=&amp;sourceID=54","")</f>
        <v/>
      </c>
      <c r="J297" s="4" t="str">
        <f>HYPERLINK("http://141.218.60.56/~jnz1568/getInfo.php?workbook=16_15.xlsx&amp;sheet=A0&amp;row=297&amp;col=10&amp;number=2.5065e-09&amp;sourceID=54","2.5065e-09")</f>
        <v>2.5065e-09</v>
      </c>
      <c r="K297" s="4" t="str">
        <f>HYPERLINK("http://141.218.60.56/~jnz1568/getInfo.php?workbook=16_15.xlsx&amp;sheet=A0&amp;row=297&amp;col=11&amp;number=0.0024411&amp;sourceID=54","0.0024411")</f>
        <v>0.0024411</v>
      </c>
      <c r="L297" s="4" t="str">
        <f>HYPERLINK("http://141.218.60.56/~jnz1568/getInfo.php?workbook=16_15.xlsx&amp;sheet=A0&amp;row=297&amp;col=12&amp;number=&amp;sourceID=53","")</f>
        <v/>
      </c>
      <c r="M297" s="4" t="str">
        <f>HYPERLINK("http://141.218.60.56/~jnz1568/getInfo.php?workbook=16_15.xlsx&amp;sheet=A0&amp;row=297&amp;col=13&amp;number=&amp;sourceID=53","")</f>
        <v/>
      </c>
      <c r="N297" s="4" t="str">
        <f>HYPERLINK("http://141.218.60.56/~jnz1568/getInfo.php?workbook=16_15.xlsx&amp;sheet=A0&amp;row=297&amp;col=14&amp;number=&amp;sourceID=53","")</f>
        <v/>
      </c>
      <c r="O297" s="4" t="str">
        <f>HYPERLINK("http://141.218.60.56/~jnz1568/getInfo.php?workbook=16_15.xlsx&amp;sheet=A0&amp;row=297&amp;col=15&amp;number=&amp;sourceID=55","")</f>
        <v/>
      </c>
      <c r="P297" s="4" t="str">
        <f>HYPERLINK("http://141.218.60.56/~jnz1568/getInfo.php?workbook=16_15.xlsx&amp;sheet=A0&amp;row=297&amp;col=16&amp;number=&amp;sourceID=55","")</f>
        <v/>
      </c>
      <c r="Q297" s="4" t="str">
        <f>HYPERLINK("http://141.218.60.56/~jnz1568/getInfo.php?workbook=16_15.xlsx&amp;sheet=A0&amp;row=297&amp;col=17&amp;number=&amp;sourceID=56","")</f>
        <v/>
      </c>
      <c r="R297" s="4" t="str">
        <f>HYPERLINK("http://141.218.60.56/~jnz1568/getInfo.php?workbook=16_15.xlsx&amp;sheet=A0&amp;row=297&amp;col=18&amp;number=&amp;sourceID=56","")</f>
        <v/>
      </c>
      <c r="S297" s="4" t="str">
        <f>HYPERLINK("http://141.218.60.56/~jnz1568/getInfo.php?workbook=16_15.xlsx&amp;sheet=A0&amp;row=297&amp;col=19&amp;number=&amp;sourceID=57","")</f>
        <v/>
      </c>
      <c r="T297" s="4" t="str">
        <f>HYPERLINK("http://141.218.60.56/~jnz1568/getInfo.php?workbook=16_15.xlsx&amp;sheet=A0&amp;row=297&amp;col=20&amp;number=&amp;sourceID=57","")</f>
        <v/>
      </c>
      <c r="U297" s="4" t="str">
        <f>HYPERLINK("http://141.218.60.56/~jnz1568/getInfo.php?workbook=16_15.xlsx&amp;sheet=A0&amp;row=297&amp;col=21&amp;number=&amp;sourceID=47","")</f>
        <v/>
      </c>
      <c r="V297" s="4" t="str">
        <f>HYPERLINK("http://141.218.60.56/~jnz1568/getInfo.php?workbook=16_15.xlsx&amp;sheet=A0&amp;row=297&amp;col=22&amp;number=&amp;sourceID=47","")</f>
        <v/>
      </c>
    </row>
    <row r="298" spans="1:22">
      <c r="A298" s="3">
        <v>16</v>
      </c>
      <c r="B298" s="3">
        <v>15</v>
      </c>
      <c r="C298" s="3">
        <v>27</v>
      </c>
      <c r="D298" s="3">
        <v>26</v>
      </c>
      <c r="E298" s="3">
        <f>((1/(INDEX(E0!J$4:J$73,C298,1)-INDEX(E0!J$4:J$73,D298,1))))*100000000</f>
        <v>0</v>
      </c>
      <c r="F298" s="4" t="str">
        <f>HYPERLINK("http://141.218.60.56/~jnz1568/getInfo.php?workbook=16_15.xlsx&amp;sheet=A0&amp;row=298&amp;col=6&amp;number=&amp;sourceID=54","")</f>
        <v/>
      </c>
      <c r="G298" s="4" t="str">
        <f>HYPERLINK("http://141.218.60.56/~jnz1568/getInfo.php?workbook=16_15.xlsx&amp;sheet=A0&amp;row=298&amp;col=7&amp;number=1.2108e-09&amp;sourceID=54","1.2108e-09")</f>
        <v>1.2108e-09</v>
      </c>
      <c r="H298" s="4" t="str">
        <f>HYPERLINK("http://141.218.60.56/~jnz1568/getInfo.php?workbook=16_15.xlsx&amp;sheet=A0&amp;row=298&amp;col=8&amp;number=0.00086604&amp;sourceID=54","0.00086604")</f>
        <v>0.00086604</v>
      </c>
      <c r="I298" s="4" t="str">
        <f>HYPERLINK("http://141.218.60.56/~jnz1568/getInfo.php?workbook=16_15.xlsx&amp;sheet=A0&amp;row=298&amp;col=9&amp;number=&amp;sourceID=54","")</f>
        <v/>
      </c>
      <c r="J298" s="4" t="str">
        <f>HYPERLINK("http://141.218.60.56/~jnz1568/getInfo.php?workbook=16_15.xlsx&amp;sheet=A0&amp;row=298&amp;col=10&amp;number=1.4893e-09&amp;sourceID=54","1.4893e-09")</f>
        <v>1.4893e-09</v>
      </c>
      <c r="K298" s="4" t="str">
        <f>HYPERLINK("http://141.218.60.56/~jnz1568/getInfo.php?workbook=16_15.xlsx&amp;sheet=A0&amp;row=298&amp;col=11&amp;number=0.0009507&amp;sourceID=54","0.0009507")</f>
        <v>0.0009507</v>
      </c>
      <c r="L298" s="4" t="str">
        <f>HYPERLINK("http://141.218.60.56/~jnz1568/getInfo.php?workbook=16_15.xlsx&amp;sheet=A0&amp;row=298&amp;col=12&amp;number=&amp;sourceID=53","")</f>
        <v/>
      </c>
      <c r="M298" s="4" t="str">
        <f>HYPERLINK("http://141.218.60.56/~jnz1568/getInfo.php?workbook=16_15.xlsx&amp;sheet=A0&amp;row=298&amp;col=13&amp;number=&amp;sourceID=53","")</f>
        <v/>
      </c>
      <c r="N298" s="4" t="str">
        <f>HYPERLINK("http://141.218.60.56/~jnz1568/getInfo.php?workbook=16_15.xlsx&amp;sheet=A0&amp;row=298&amp;col=14&amp;number=&amp;sourceID=53","")</f>
        <v/>
      </c>
      <c r="O298" s="4" t="str">
        <f>HYPERLINK("http://141.218.60.56/~jnz1568/getInfo.php?workbook=16_15.xlsx&amp;sheet=A0&amp;row=298&amp;col=15&amp;number=&amp;sourceID=55","")</f>
        <v/>
      </c>
      <c r="P298" s="4" t="str">
        <f>HYPERLINK("http://141.218.60.56/~jnz1568/getInfo.php?workbook=16_15.xlsx&amp;sheet=A0&amp;row=298&amp;col=16&amp;number=&amp;sourceID=55","")</f>
        <v/>
      </c>
      <c r="Q298" s="4" t="str">
        <f>HYPERLINK("http://141.218.60.56/~jnz1568/getInfo.php?workbook=16_15.xlsx&amp;sheet=A0&amp;row=298&amp;col=17&amp;number=&amp;sourceID=56","")</f>
        <v/>
      </c>
      <c r="R298" s="4" t="str">
        <f>HYPERLINK("http://141.218.60.56/~jnz1568/getInfo.php?workbook=16_15.xlsx&amp;sheet=A0&amp;row=298&amp;col=18&amp;number=&amp;sourceID=56","")</f>
        <v/>
      </c>
      <c r="S298" s="4" t="str">
        <f>HYPERLINK("http://141.218.60.56/~jnz1568/getInfo.php?workbook=16_15.xlsx&amp;sheet=A0&amp;row=298&amp;col=19&amp;number=&amp;sourceID=57","")</f>
        <v/>
      </c>
      <c r="T298" s="4" t="str">
        <f>HYPERLINK("http://141.218.60.56/~jnz1568/getInfo.php?workbook=16_15.xlsx&amp;sheet=A0&amp;row=298&amp;col=20&amp;number=&amp;sourceID=57","")</f>
        <v/>
      </c>
      <c r="U298" s="4" t="str">
        <f>HYPERLINK("http://141.218.60.56/~jnz1568/getInfo.php?workbook=16_15.xlsx&amp;sheet=A0&amp;row=298&amp;col=21&amp;number=&amp;sourceID=47","")</f>
        <v/>
      </c>
      <c r="V298" s="4" t="str">
        <f>HYPERLINK("http://141.218.60.56/~jnz1568/getInfo.php?workbook=16_15.xlsx&amp;sheet=A0&amp;row=298&amp;col=22&amp;number=&amp;sourceID=47","")</f>
        <v/>
      </c>
    </row>
    <row r="299" spans="1:22">
      <c r="A299" s="3">
        <v>16</v>
      </c>
      <c r="B299" s="3">
        <v>15</v>
      </c>
      <c r="C299" s="3">
        <v>28</v>
      </c>
      <c r="D299" s="3">
        <v>1</v>
      </c>
      <c r="E299" s="3">
        <f>((1/(INDEX(E0!J$4:J$73,C299,1)-INDEX(E0!J$4:J$73,D299,1))))*100000000</f>
        <v>0</v>
      </c>
      <c r="F299" s="4" t="str">
        <f>HYPERLINK("http://141.218.60.56/~jnz1568/getInfo.php?workbook=16_15.xlsx&amp;sheet=A0&amp;row=299&amp;col=6&amp;number=1609.1&amp;sourceID=54","1609.1")</f>
        <v>1609.1</v>
      </c>
      <c r="G299" s="4" t="str">
        <f>HYPERLINK("http://141.218.60.56/~jnz1568/getInfo.php?workbook=16_15.xlsx&amp;sheet=A0&amp;row=299&amp;col=7&amp;number=&amp;sourceID=54","")</f>
        <v/>
      </c>
      <c r="H299" s="4" t="str">
        <f>HYPERLINK("http://141.218.60.56/~jnz1568/getInfo.php?workbook=16_15.xlsx&amp;sheet=A0&amp;row=299&amp;col=8&amp;number=&amp;sourceID=54","")</f>
        <v/>
      </c>
      <c r="I299" s="4" t="str">
        <f>HYPERLINK("http://141.218.60.56/~jnz1568/getInfo.php?workbook=16_15.xlsx&amp;sheet=A0&amp;row=299&amp;col=9&amp;number=5227.1&amp;sourceID=54","5227.1")</f>
        <v>5227.1</v>
      </c>
      <c r="J299" s="4" t="str">
        <f>HYPERLINK("http://141.218.60.56/~jnz1568/getInfo.php?workbook=16_15.xlsx&amp;sheet=A0&amp;row=299&amp;col=10&amp;number=&amp;sourceID=54","")</f>
        <v/>
      </c>
      <c r="K299" s="4" t="str">
        <f>HYPERLINK("http://141.218.60.56/~jnz1568/getInfo.php?workbook=16_15.xlsx&amp;sheet=A0&amp;row=299&amp;col=11&amp;number=&amp;sourceID=54","")</f>
        <v/>
      </c>
      <c r="L299" s="4" t="str">
        <f>HYPERLINK("http://141.218.60.56/~jnz1568/getInfo.php?workbook=16_15.xlsx&amp;sheet=A0&amp;row=299&amp;col=12&amp;number=6825.21987733&amp;sourceID=53","6825.21987733")</f>
        <v>6825.21987733</v>
      </c>
      <c r="M299" s="4" t="str">
        <f>HYPERLINK("http://141.218.60.56/~jnz1568/getInfo.php?workbook=16_15.xlsx&amp;sheet=A0&amp;row=299&amp;col=13&amp;number=&amp;sourceID=53","")</f>
        <v/>
      </c>
      <c r="N299" s="4" t="str">
        <f>HYPERLINK("http://141.218.60.56/~jnz1568/getInfo.php?workbook=16_15.xlsx&amp;sheet=A0&amp;row=299&amp;col=14&amp;number=&amp;sourceID=53","")</f>
        <v/>
      </c>
      <c r="O299" s="4" t="str">
        <f>HYPERLINK("http://141.218.60.56/~jnz1568/getInfo.php?workbook=16_15.xlsx&amp;sheet=A0&amp;row=299&amp;col=15&amp;number=&amp;sourceID=55","")</f>
        <v/>
      </c>
      <c r="P299" s="4" t="str">
        <f>HYPERLINK("http://141.218.60.56/~jnz1568/getInfo.php?workbook=16_15.xlsx&amp;sheet=A0&amp;row=299&amp;col=16&amp;number=&amp;sourceID=55","")</f>
        <v/>
      </c>
      <c r="Q299" s="4" t="str">
        <f>HYPERLINK("http://141.218.60.56/~jnz1568/getInfo.php?workbook=16_15.xlsx&amp;sheet=A0&amp;row=299&amp;col=17&amp;number=&amp;sourceID=56","")</f>
        <v/>
      </c>
      <c r="R299" s="4" t="str">
        <f>HYPERLINK("http://141.218.60.56/~jnz1568/getInfo.php?workbook=16_15.xlsx&amp;sheet=A0&amp;row=299&amp;col=18&amp;number=&amp;sourceID=56","")</f>
        <v/>
      </c>
      <c r="S299" s="4" t="str">
        <f>HYPERLINK("http://141.218.60.56/~jnz1568/getInfo.php?workbook=16_15.xlsx&amp;sheet=A0&amp;row=299&amp;col=19&amp;number=&amp;sourceID=57","")</f>
        <v/>
      </c>
      <c r="T299" s="4" t="str">
        <f>HYPERLINK("http://141.218.60.56/~jnz1568/getInfo.php?workbook=16_15.xlsx&amp;sheet=A0&amp;row=299&amp;col=20&amp;number=&amp;sourceID=57","")</f>
        <v/>
      </c>
      <c r="U299" s="4" t="str">
        <f>HYPERLINK("http://141.218.60.56/~jnz1568/getInfo.php?workbook=16_15.xlsx&amp;sheet=A0&amp;row=299&amp;col=21&amp;number=&amp;sourceID=47","")</f>
        <v/>
      </c>
      <c r="V299" s="4" t="str">
        <f>HYPERLINK("http://141.218.60.56/~jnz1568/getInfo.php?workbook=16_15.xlsx&amp;sheet=A0&amp;row=299&amp;col=22&amp;number=&amp;sourceID=47","")</f>
        <v/>
      </c>
    </row>
    <row r="300" spans="1:22">
      <c r="A300" s="3">
        <v>16</v>
      </c>
      <c r="B300" s="3">
        <v>15</v>
      </c>
      <c r="C300" s="3">
        <v>28</v>
      </c>
      <c r="D300" s="3">
        <v>2</v>
      </c>
      <c r="E300" s="3">
        <f>((1/(INDEX(E0!J$4:J$73,C300,1)-INDEX(E0!J$4:J$73,D300,1))))*100000000</f>
        <v>0</v>
      </c>
      <c r="F300" s="4" t="str">
        <f>HYPERLINK("http://141.218.60.56/~jnz1568/getInfo.php?workbook=16_15.xlsx&amp;sheet=A0&amp;row=300&amp;col=6&amp;number=745200&amp;sourceID=54","745200")</f>
        <v>745200</v>
      </c>
      <c r="G300" s="4" t="str">
        <f>HYPERLINK("http://141.218.60.56/~jnz1568/getInfo.php?workbook=16_15.xlsx&amp;sheet=A0&amp;row=300&amp;col=7&amp;number=&amp;sourceID=54","")</f>
        <v/>
      </c>
      <c r="H300" s="4" t="str">
        <f>HYPERLINK("http://141.218.60.56/~jnz1568/getInfo.php?workbook=16_15.xlsx&amp;sheet=A0&amp;row=300&amp;col=8&amp;number=&amp;sourceID=54","")</f>
        <v/>
      </c>
      <c r="I300" s="4" t="str">
        <f>HYPERLINK("http://141.218.60.56/~jnz1568/getInfo.php?workbook=16_15.xlsx&amp;sheet=A0&amp;row=300&amp;col=9&amp;number=744440&amp;sourceID=54","744440")</f>
        <v>744440</v>
      </c>
      <c r="J300" s="4" t="str">
        <f>HYPERLINK("http://141.218.60.56/~jnz1568/getInfo.php?workbook=16_15.xlsx&amp;sheet=A0&amp;row=300&amp;col=10&amp;number=&amp;sourceID=54","")</f>
        <v/>
      </c>
      <c r="K300" s="4" t="str">
        <f>HYPERLINK("http://141.218.60.56/~jnz1568/getInfo.php?workbook=16_15.xlsx&amp;sheet=A0&amp;row=300&amp;col=11&amp;number=&amp;sourceID=54","")</f>
        <v/>
      </c>
      <c r="L300" s="4" t="str">
        <f>HYPERLINK("http://141.218.60.56/~jnz1568/getInfo.php?workbook=16_15.xlsx&amp;sheet=A0&amp;row=300&amp;col=12&amp;number=719815.322372&amp;sourceID=53","719815.322372")</f>
        <v>719815.322372</v>
      </c>
      <c r="M300" s="4" t="str">
        <f>HYPERLINK("http://141.218.60.56/~jnz1568/getInfo.php?workbook=16_15.xlsx&amp;sheet=A0&amp;row=300&amp;col=13&amp;number=&amp;sourceID=53","")</f>
        <v/>
      </c>
      <c r="N300" s="4" t="str">
        <f>HYPERLINK("http://141.218.60.56/~jnz1568/getInfo.php?workbook=16_15.xlsx&amp;sheet=A0&amp;row=300&amp;col=14&amp;number=&amp;sourceID=53","")</f>
        <v/>
      </c>
      <c r="O300" s="4" t="str">
        <f>HYPERLINK("http://141.218.60.56/~jnz1568/getInfo.php?workbook=16_15.xlsx&amp;sheet=A0&amp;row=300&amp;col=15&amp;number=&amp;sourceID=55","")</f>
        <v/>
      </c>
      <c r="P300" s="4" t="str">
        <f>HYPERLINK("http://141.218.60.56/~jnz1568/getInfo.php?workbook=16_15.xlsx&amp;sheet=A0&amp;row=300&amp;col=16&amp;number=&amp;sourceID=55","")</f>
        <v/>
      </c>
      <c r="Q300" s="4" t="str">
        <f>HYPERLINK("http://141.218.60.56/~jnz1568/getInfo.php?workbook=16_15.xlsx&amp;sheet=A0&amp;row=300&amp;col=17&amp;number=&amp;sourceID=56","")</f>
        <v/>
      </c>
      <c r="R300" s="4" t="str">
        <f>HYPERLINK("http://141.218.60.56/~jnz1568/getInfo.php?workbook=16_15.xlsx&amp;sheet=A0&amp;row=300&amp;col=18&amp;number=&amp;sourceID=56","")</f>
        <v/>
      </c>
      <c r="S300" s="4" t="str">
        <f>HYPERLINK("http://141.218.60.56/~jnz1568/getInfo.php?workbook=16_15.xlsx&amp;sheet=A0&amp;row=300&amp;col=19&amp;number=&amp;sourceID=57","")</f>
        <v/>
      </c>
      <c r="T300" s="4" t="str">
        <f>HYPERLINK("http://141.218.60.56/~jnz1568/getInfo.php?workbook=16_15.xlsx&amp;sheet=A0&amp;row=300&amp;col=20&amp;number=&amp;sourceID=57","")</f>
        <v/>
      </c>
      <c r="U300" s="4" t="str">
        <f>HYPERLINK("http://141.218.60.56/~jnz1568/getInfo.php?workbook=16_15.xlsx&amp;sheet=A0&amp;row=300&amp;col=21&amp;number=&amp;sourceID=47","")</f>
        <v/>
      </c>
      <c r="V300" s="4" t="str">
        <f>HYPERLINK("http://141.218.60.56/~jnz1568/getInfo.php?workbook=16_15.xlsx&amp;sheet=A0&amp;row=300&amp;col=22&amp;number=&amp;sourceID=47","")</f>
        <v/>
      </c>
    </row>
    <row r="301" spans="1:22">
      <c r="A301" s="3">
        <v>16</v>
      </c>
      <c r="B301" s="3">
        <v>15</v>
      </c>
      <c r="C301" s="3">
        <v>28</v>
      </c>
      <c r="D301" s="3">
        <v>4</v>
      </c>
      <c r="E301" s="3">
        <f>((1/(INDEX(E0!J$4:J$73,C301,1)-INDEX(E0!J$4:J$73,D301,1))))*100000000</f>
        <v>0</v>
      </c>
      <c r="F301" s="4" t="str">
        <f>HYPERLINK("http://141.218.60.56/~jnz1568/getInfo.php?workbook=16_15.xlsx&amp;sheet=A0&amp;row=301&amp;col=6&amp;number=58462000&amp;sourceID=54","58462000")</f>
        <v>58462000</v>
      </c>
      <c r="G301" s="4" t="str">
        <f>HYPERLINK("http://141.218.60.56/~jnz1568/getInfo.php?workbook=16_15.xlsx&amp;sheet=A0&amp;row=301&amp;col=7&amp;number=&amp;sourceID=54","")</f>
        <v/>
      </c>
      <c r="H301" s="4" t="str">
        <f>HYPERLINK("http://141.218.60.56/~jnz1568/getInfo.php?workbook=16_15.xlsx&amp;sheet=A0&amp;row=301&amp;col=8&amp;number=&amp;sourceID=54","")</f>
        <v/>
      </c>
      <c r="I301" s="4" t="str">
        <f>HYPERLINK("http://141.218.60.56/~jnz1568/getInfo.php?workbook=16_15.xlsx&amp;sheet=A0&amp;row=301&amp;col=9&amp;number=61182000&amp;sourceID=54","61182000")</f>
        <v>61182000</v>
      </c>
      <c r="J301" s="4" t="str">
        <f>HYPERLINK("http://141.218.60.56/~jnz1568/getInfo.php?workbook=16_15.xlsx&amp;sheet=A0&amp;row=301&amp;col=10&amp;number=&amp;sourceID=54","")</f>
        <v/>
      </c>
      <c r="K301" s="4" t="str">
        <f>HYPERLINK("http://141.218.60.56/~jnz1568/getInfo.php?workbook=16_15.xlsx&amp;sheet=A0&amp;row=301&amp;col=11&amp;number=&amp;sourceID=54","")</f>
        <v/>
      </c>
      <c r="L301" s="4" t="str">
        <f>HYPERLINK("http://141.218.60.56/~jnz1568/getInfo.php?workbook=16_15.xlsx&amp;sheet=A0&amp;row=301&amp;col=12&amp;number=61211222.9307&amp;sourceID=53","61211222.9307")</f>
        <v>61211222.9307</v>
      </c>
      <c r="M301" s="4" t="str">
        <f>HYPERLINK("http://141.218.60.56/~jnz1568/getInfo.php?workbook=16_15.xlsx&amp;sheet=A0&amp;row=301&amp;col=13&amp;number=&amp;sourceID=53","")</f>
        <v/>
      </c>
      <c r="N301" s="4" t="str">
        <f>HYPERLINK("http://141.218.60.56/~jnz1568/getInfo.php?workbook=16_15.xlsx&amp;sheet=A0&amp;row=301&amp;col=14&amp;number=&amp;sourceID=53","")</f>
        <v/>
      </c>
      <c r="O301" s="4" t="str">
        <f>HYPERLINK("http://141.218.60.56/~jnz1568/getInfo.php?workbook=16_15.xlsx&amp;sheet=A0&amp;row=301&amp;col=15&amp;number=&amp;sourceID=55","")</f>
        <v/>
      </c>
      <c r="P301" s="4" t="str">
        <f>HYPERLINK("http://141.218.60.56/~jnz1568/getInfo.php?workbook=16_15.xlsx&amp;sheet=A0&amp;row=301&amp;col=16&amp;number=&amp;sourceID=55","")</f>
        <v/>
      </c>
      <c r="Q301" s="4" t="str">
        <f>HYPERLINK("http://141.218.60.56/~jnz1568/getInfo.php?workbook=16_15.xlsx&amp;sheet=A0&amp;row=301&amp;col=17&amp;number=&amp;sourceID=56","")</f>
        <v/>
      </c>
      <c r="R301" s="4" t="str">
        <f>HYPERLINK("http://141.218.60.56/~jnz1568/getInfo.php?workbook=16_15.xlsx&amp;sheet=A0&amp;row=301&amp;col=18&amp;number=&amp;sourceID=56","")</f>
        <v/>
      </c>
      <c r="S301" s="4" t="str">
        <f>HYPERLINK("http://141.218.60.56/~jnz1568/getInfo.php?workbook=16_15.xlsx&amp;sheet=A0&amp;row=301&amp;col=19&amp;number=&amp;sourceID=57","")</f>
        <v/>
      </c>
      <c r="T301" s="4" t="str">
        <f>HYPERLINK("http://141.218.60.56/~jnz1568/getInfo.php?workbook=16_15.xlsx&amp;sheet=A0&amp;row=301&amp;col=20&amp;number=&amp;sourceID=57","")</f>
        <v/>
      </c>
      <c r="U301" s="4" t="str">
        <f>HYPERLINK("http://141.218.60.56/~jnz1568/getInfo.php?workbook=16_15.xlsx&amp;sheet=A0&amp;row=301&amp;col=21&amp;number=&amp;sourceID=47","")</f>
        <v/>
      </c>
      <c r="V301" s="4" t="str">
        <f>HYPERLINK("http://141.218.60.56/~jnz1568/getInfo.php?workbook=16_15.xlsx&amp;sheet=A0&amp;row=301&amp;col=22&amp;number=&amp;sourceID=47","")</f>
        <v/>
      </c>
    </row>
    <row r="302" spans="1:22">
      <c r="A302" s="3">
        <v>16</v>
      </c>
      <c r="B302" s="3">
        <v>15</v>
      </c>
      <c r="C302" s="3">
        <v>28</v>
      </c>
      <c r="D302" s="3">
        <v>5</v>
      </c>
      <c r="E302" s="3">
        <f>((1/(INDEX(E0!J$4:J$73,C302,1)-INDEX(E0!J$4:J$73,D302,1))))*100000000</f>
        <v>0</v>
      </c>
      <c r="F302" s="4" t="str">
        <f>HYPERLINK("http://141.218.60.56/~jnz1568/getInfo.php?workbook=16_15.xlsx&amp;sheet=A0&amp;row=302&amp;col=6&amp;number=107710000&amp;sourceID=54","107710000")</f>
        <v>107710000</v>
      </c>
      <c r="G302" s="4" t="str">
        <f>HYPERLINK("http://141.218.60.56/~jnz1568/getInfo.php?workbook=16_15.xlsx&amp;sheet=A0&amp;row=302&amp;col=7&amp;number=&amp;sourceID=54","")</f>
        <v/>
      </c>
      <c r="H302" s="4" t="str">
        <f>HYPERLINK("http://141.218.60.56/~jnz1568/getInfo.php?workbook=16_15.xlsx&amp;sheet=A0&amp;row=302&amp;col=8&amp;number=&amp;sourceID=54","")</f>
        <v/>
      </c>
      <c r="I302" s="4" t="str">
        <f>HYPERLINK("http://141.218.60.56/~jnz1568/getInfo.php?workbook=16_15.xlsx&amp;sheet=A0&amp;row=302&amp;col=9&amp;number=113740000&amp;sourceID=54","113740000")</f>
        <v>113740000</v>
      </c>
      <c r="J302" s="4" t="str">
        <f>HYPERLINK("http://141.218.60.56/~jnz1568/getInfo.php?workbook=16_15.xlsx&amp;sheet=A0&amp;row=302&amp;col=10&amp;number=&amp;sourceID=54","")</f>
        <v/>
      </c>
      <c r="K302" s="4" t="str">
        <f>HYPERLINK("http://141.218.60.56/~jnz1568/getInfo.php?workbook=16_15.xlsx&amp;sheet=A0&amp;row=302&amp;col=11&amp;number=&amp;sourceID=54","")</f>
        <v/>
      </c>
      <c r="L302" s="4" t="str">
        <f>HYPERLINK("http://141.218.60.56/~jnz1568/getInfo.php?workbook=16_15.xlsx&amp;sheet=A0&amp;row=302&amp;col=12&amp;number=113673232.552&amp;sourceID=53","113673232.552")</f>
        <v>113673232.552</v>
      </c>
      <c r="M302" s="4" t="str">
        <f>HYPERLINK("http://141.218.60.56/~jnz1568/getInfo.php?workbook=16_15.xlsx&amp;sheet=A0&amp;row=302&amp;col=13&amp;number=&amp;sourceID=53","")</f>
        <v/>
      </c>
      <c r="N302" s="4" t="str">
        <f>HYPERLINK("http://141.218.60.56/~jnz1568/getInfo.php?workbook=16_15.xlsx&amp;sheet=A0&amp;row=302&amp;col=14&amp;number=&amp;sourceID=53","")</f>
        <v/>
      </c>
      <c r="O302" s="4" t="str">
        <f>HYPERLINK("http://141.218.60.56/~jnz1568/getInfo.php?workbook=16_15.xlsx&amp;sheet=A0&amp;row=302&amp;col=15&amp;number=&amp;sourceID=55","")</f>
        <v/>
      </c>
      <c r="P302" s="4" t="str">
        <f>HYPERLINK("http://141.218.60.56/~jnz1568/getInfo.php?workbook=16_15.xlsx&amp;sheet=A0&amp;row=302&amp;col=16&amp;number=&amp;sourceID=55","")</f>
        <v/>
      </c>
      <c r="Q302" s="4" t="str">
        <f>HYPERLINK("http://141.218.60.56/~jnz1568/getInfo.php?workbook=16_15.xlsx&amp;sheet=A0&amp;row=302&amp;col=17&amp;number=&amp;sourceID=56","")</f>
        <v/>
      </c>
      <c r="R302" s="4" t="str">
        <f>HYPERLINK("http://141.218.60.56/~jnz1568/getInfo.php?workbook=16_15.xlsx&amp;sheet=A0&amp;row=302&amp;col=18&amp;number=&amp;sourceID=56","")</f>
        <v/>
      </c>
      <c r="S302" s="4" t="str">
        <f>HYPERLINK("http://141.218.60.56/~jnz1568/getInfo.php?workbook=16_15.xlsx&amp;sheet=A0&amp;row=302&amp;col=19&amp;number=&amp;sourceID=57","")</f>
        <v/>
      </c>
      <c r="T302" s="4" t="str">
        <f>HYPERLINK("http://141.218.60.56/~jnz1568/getInfo.php?workbook=16_15.xlsx&amp;sheet=A0&amp;row=302&amp;col=20&amp;number=&amp;sourceID=57","")</f>
        <v/>
      </c>
      <c r="U302" s="4" t="str">
        <f>HYPERLINK("http://141.218.60.56/~jnz1568/getInfo.php?workbook=16_15.xlsx&amp;sheet=A0&amp;row=302&amp;col=21&amp;number=&amp;sourceID=47","")</f>
        <v/>
      </c>
      <c r="V302" s="4" t="str">
        <f>HYPERLINK("http://141.218.60.56/~jnz1568/getInfo.php?workbook=16_15.xlsx&amp;sheet=A0&amp;row=302&amp;col=22&amp;number=&amp;sourceID=47","")</f>
        <v/>
      </c>
    </row>
    <row r="303" spans="1:22">
      <c r="A303" s="3">
        <v>16</v>
      </c>
      <c r="B303" s="3">
        <v>15</v>
      </c>
      <c r="C303" s="3">
        <v>28</v>
      </c>
      <c r="D303" s="3">
        <v>6</v>
      </c>
      <c r="E303" s="3">
        <f>((1/(INDEX(E0!J$4:J$73,C303,1)-INDEX(E0!J$4:J$73,D303,1))))*100000000</f>
        <v>0</v>
      </c>
      <c r="F303" s="4" t="str">
        <f>HYPERLINK("http://141.218.60.56/~jnz1568/getInfo.php?workbook=16_15.xlsx&amp;sheet=A0&amp;row=303&amp;col=6&amp;number=&amp;sourceID=54","")</f>
        <v/>
      </c>
      <c r="G303" s="4" t="str">
        <f>HYPERLINK("http://141.218.60.56/~jnz1568/getInfo.php?workbook=16_15.xlsx&amp;sheet=A0&amp;row=303&amp;col=7&amp;number=0.017249&amp;sourceID=54","0.017249")</f>
        <v>0.017249</v>
      </c>
      <c r="H303" s="4" t="str">
        <f>HYPERLINK("http://141.218.60.56/~jnz1568/getInfo.php?workbook=16_15.xlsx&amp;sheet=A0&amp;row=303&amp;col=8&amp;number=&amp;sourceID=54","")</f>
        <v/>
      </c>
      <c r="I303" s="4" t="str">
        <f>HYPERLINK("http://141.218.60.56/~jnz1568/getInfo.php?workbook=16_15.xlsx&amp;sheet=A0&amp;row=303&amp;col=9&amp;number=&amp;sourceID=54","")</f>
        <v/>
      </c>
      <c r="J303" s="4" t="str">
        <f>HYPERLINK("http://141.218.60.56/~jnz1568/getInfo.php?workbook=16_15.xlsx&amp;sheet=A0&amp;row=303&amp;col=10&amp;number=0.018119&amp;sourceID=54","0.018119")</f>
        <v>0.018119</v>
      </c>
      <c r="K303" s="4" t="str">
        <f>HYPERLINK("http://141.218.60.56/~jnz1568/getInfo.php?workbook=16_15.xlsx&amp;sheet=A0&amp;row=303&amp;col=11&amp;number=&amp;sourceID=54","")</f>
        <v/>
      </c>
      <c r="L303" s="4" t="str">
        <f>HYPERLINK("http://141.218.60.56/~jnz1568/getInfo.php?workbook=16_15.xlsx&amp;sheet=A0&amp;row=303&amp;col=12&amp;number=&amp;sourceID=53","")</f>
        <v/>
      </c>
      <c r="M303" s="4" t="str">
        <f>HYPERLINK("http://141.218.60.56/~jnz1568/getInfo.php?workbook=16_15.xlsx&amp;sheet=A0&amp;row=303&amp;col=13&amp;number=&amp;sourceID=53","")</f>
        <v/>
      </c>
      <c r="N303" s="4" t="str">
        <f>HYPERLINK("http://141.218.60.56/~jnz1568/getInfo.php?workbook=16_15.xlsx&amp;sheet=A0&amp;row=303&amp;col=14&amp;number=&amp;sourceID=53","")</f>
        <v/>
      </c>
      <c r="O303" s="4" t="str">
        <f>HYPERLINK("http://141.218.60.56/~jnz1568/getInfo.php?workbook=16_15.xlsx&amp;sheet=A0&amp;row=303&amp;col=15&amp;number=&amp;sourceID=55","")</f>
        <v/>
      </c>
      <c r="P303" s="4" t="str">
        <f>HYPERLINK("http://141.218.60.56/~jnz1568/getInfo.php?workbook=16_15.xlsx&amp;sheet=A0&amp;row=303&amp;col=16&amp;number=&amp;sourceID=55","")</f>
        <v/>
      </c>
      <c r="Q303" s="4" t="str">
        <f>HYPERLINK("http://141.218.60.56/~jnz1568/getInfo.php?workbook=16_15.xlsx&amp;sheet=A0&amp;row=303&amp;col=17&amp;number=&amp;sourceID=56","")</f>
        <v/>
      </c>
      <c r="R303" s="4" t="str">
        <f>HYPERLINK("http://141.218.60.56/~jnz1568/getInfo.php?workbook=16_15.xlsx&amp;sheet=A0&amp;row=303&amp;col=18&amp;number=&amp;sourceID=56","")</f>
        <v/>
      </c>
      <c r="S303" s="4" t="str">
        <f>HYPERLINK("http://141.218.60.56/~jnz1568/getInfo.php?workbook=16_15.xlsx&amp;sheet=A0&amp;row=303&amp;col=19&amp;number=&amp;sourceID=57","")</f>
        <v/>
      </c>
      <c r="T303" s="4" t="str">
        <f>HYPERLINK("http://141.218.60.56/~jnz1568/getInfo.php?workbook=16_15.xlsx&amp;sheet=A0&amp;row=303&amp;col=20&amp;number=&amp;sourceID=57","")</f>
        <v/>
      </c>
      <c r="U303" s="4" t="str">
        <f>HYPERLINK("http://141.218.60.56/~jnz1568/getInfo.php?workbook=16_15.xlsx&amp;sheet=A0&amp;row=303&amp;col=21&amp;number=&amp;sourceID=47","")</f>
        <v/>
      </c>
      <c r="V303" s="4" t="str">
        <f>HYPERLINK("http://141.218.60.56/~jnz1568/getInfo.php?workbook=16_15.xlsx&amp;sheet=A0&amp;row=303&amp;col=22&amp;number=&amp;sourceID=47","")</f>
        <v/>
      </c>
    </row>
    <row r="304" spans="1:22">
      <c r="A304" s="3">
        <v>16</v>
      </c>
      <c r="B304" s="3">
        <v>15</v>
      </c>
      <c r="C304" s="3">
        <v>28</v>
      </c>
      <c r="D304" s="3">
        <v>7</v>
      </c>
      <c r="E304" s="3">
        <f>((1/(INDEX(E0!J$4:J$73,C304,1)-INDEX(E0!J$4:J$73,D304,1))))*100000000</f>
        <v>0</v>
      </c>
      <c r="F304" s="4" t="str">
        <f>HYPERLINK("http://141.218.60.56/~jnz1568/getInfo.php?workbook=16_15.xlsx&amp;sheet=A0&amp;row=304&amp;col=6&amp;number=&amp;sourceID=54","")</f>
        <v/>
      </c>
      <c r="G304" s="4" t="str">
        <f>HYPERLINK("http://141.218.60.56/~jnz1568/getInfo.php?workbook=16_15.xlsx&amp;sheet=A0&amp;row=304&amp;col=7&amp;number=0.002312&amp;sourceID=54","0.002312")</f>
        <v>0.002312</v>
      </c>
      <c r="H304" s="4" t="str">
        <f>HYPERLINK("http://141.218.60.56/~jnz1568/getInfo.php?workbook=16_15.xlsx&amp;sheet=A0&amp;row=304&amp;col=8&amp;number=0.32595&amp;sourceID=54","0.32595")</f>
        <v>0.32595</v>
      </c>
      <c r="I304" s="4" t="str">
        <f>HYPERLINK("http://141.218.60.56/~jnz1568/getInfo.php?workbook=16_15.xlsx&amp;sheet=A0&amp;row=304&amp;col=9&amp;number=&amp;sourceID=54","")</f>
        <v/>
      </c>
      <c r="J304" s="4" t="str">
        <f>HYPERLINK("http://141.218.60.56/~jnz1568/getInfo.php?workbook=16_15.xlsx&amp;sheet=A0&amp;row=304&amp;col=10&amp;number=0.0021703&amp;sourceID=54","0.0021703")</f>
        <v>0.0021703</v>
      </c>
      <c r="K304" s="4" t="str">
        <f>HYPERLINK("http://141.218.60.56/~jnz1568/getInfo.php?workbook=16_15.xlsx&amp;sheet=A0&amp;row=304&amp;col=11&amp;number=0.26793&amp;sourceID=54","0.26793")</f>
        <v>0.26793</v>
      </c>
      <c r="L304" s="4" t="str">
        <f>HYPERLINK("http://141.218.60.56/~jnz1568/getInfo.php?workbook=16_15.xlsx&amp;sheet=A0&amp;row=304&amp;col=12&amp;number=&amp;sourceID=53","")</f>
        <v/>
      </c>
      <c r="M304" s="4" t="str">
        <f>HYPERLINK("http://141.218.60.56/~jnz1568/getInfo.php?workbook=16_15.xlsx&amp;sheet=A0&amp;row=304&amp;col=13&amp;number=&amp;sourceID=53","")</f>
        <v/>
      </c>
      <c r="N304" s="4" t="str">
        <f>HYPERLINK("http://141.218.60.56/~jnz1568/getInfo.php?workbook=16_15.xlsx&amp;sheet=A0&amp;row=304&amp;col=14&amp;number=&amp;sourceID=53","")</f>
        <v/>
      </c>
      <c r="O304" s="4" t="str">
        <f>HYPERLINK("http://141.218.60.56/~jnz1568/getInfo.php?workbook=16_15.xlsx&amp;sheet=A0&amp;row=304&amp;col=15&amp;number=&amp;sourceID=55","")</f>
        <v/>
      </c>
      <c r="P304" s="4" t="str">
        <f>HYPERLINK("http://141.218.60.56/~jnz1568/getInfo.php?workbook=16_15.xlsx&amp;sheet=A0&amp;row=304&amp;col=16&amp;number=&amp;sourceID=55","")</f>
        <v/>
      </c>
      <c r="Q304" s="4" t="str">
        <f>HYPERLINK("http://141.218.60.56/~jnz1568/getInfo.php?workbook=16_15.xlsx&amp;sheet=A0&amp;row=304&amp;col=17&amp;number=&amp;sourceID=56","")</f>
        <v/>
      </c>
      <c r="R304" s="4" t="str">
        <f>HYPERLINK("http://141.218.60.56/~jnz1568/getInfo.php?workbook=16_15.xlsx&amp;sheet=A0&amp;row=304&amp;col=18&amp;number=&amp;sourceID=56","")</f>
        <v/>
      </c>
      <c r="S304" s="4" t="str">
        <f>HYPERLINK("http://141.218.60.56/~jnz1568/getInfo.php?workbook=16_15.xlsx&amp;sheet=A0&amp;row=304&amp;col=19&amp;number=&amp;sourceID=57","")</f>
        <v/>
      </c>
      <c r="T304" s="4" t="str">
        <f>HYPERLINK("http://141.218.60.56/~jnz1568/getInfo.php?workbook=16_15.xlsx&amp;sheet=A0&amp;row=304&amp;col=20&amp;number=&amp;sourceID=57","")</f>
        <v/>
      </c>
      <c r="U304" s="4" t="str">
        <f>HYPERLINK("http://141.218.60.56/~jnz1568/getInfo.php?workbook=16_15.xlsx&amp;sheet=A0&amp;row=304&amp;col=21&amp;number=&amp;sourceID=47","")</f>
        <v/>
      </c>
      <c r="V304" s="4" t="str">
        <f>HYPERLINK("http://141.218.60.56/~jnz1568/getInfo.php?workbook=16_15.xlsx&amp;sheet=A0&amp;row=304&amp;col=22&amp;number=&amp;sourceID=47","")</f>
        <v/>
      </c>
    </row>
    <row r="305" spans="1:22">
      <c r="A305" s="3">
        <v>16</v>
      </c>
      <c r="B305" s="3">
        <v>15</v>
      </c>
      <c r="C305" s="3">
        <v>28</v>
      </c>
      <c r="D305" s="3">
        <v>8</v>
      </c>
      <c r="E305" s="3">
        <f>((1/(INDEX(E0!J$4:J$73,C305,1)-INDEX(E0!J$4:J$73,D305,1))))*100000000</f>
        <v>0</v>
      </c>
      <c r="F305" s="4" t="str">
        <f>HYPERLINK("http://141.218.60.56/~jnz1568/getInfo.php?workbook=16_15.xlsx&amp;sheet=A0&amp;row=305&amp;col=6&amp;number=&amp;sourceID=54","")</f>
        <v/>
      </c>
      <c r="G305" s="4" t="str">
        <f>HYPERLINK("http://141.218.60.56/~jnz1568/getInfo.php?workbook=16_15.xlsx&amp;sheet=A0&amp;row=305&amp;col=7&amp;number=&amp;sourceID=54","")</f>
        <v/>
      </c>
      <c r="H305" s="4" t="str">
        <f>HYPERLINK("http://141.218.60.56/~jnz1568/getInfo.php?workbook=16_15.xlsx&amp;sheet=A0&amp;row=305&amp;col=8&amp;number=0.10414&amp;sourceID=54","0.10414")</f>
        <v>0.10414</v>
      </c>
      <c r="I305" s="4" t="str">
        <f>HYPERLINK("http://141.218.60.56/~jnz1568/getInfo.php?workbook=16_15.xlsx&amp;sheet=A0&amp;row=305&amp;col=9&amp;number=&amp;sourceID=54","")</f>
        <v/>
      </c>
      <c r="J305" s="4" t="str">
        <f>HYPERLINK("http://141.218.60.56/~jnz1568/getInfo.php?workbook=16_15.xlsx&amp;sheet=A0&amp;row=305&amp;col=10&amp;number=&amp;sourceID=54","")</f>
        <v/>
      </c>
      <c r="K305" s="4" t="str">
        <f>HYPERLINK("http://141.218.60.56/~jnz1568/getInfo.php?workbook=16_15.xlsx&amp;sheet=A0&amp;row=305&amp;col=11&amp;number=0.053341&amp;sourceID=54","0.053341")</f>
        <v>0.053341</v>
      </c>
      <c r="L305" s="4" t="str">
        <f>HYPERLINK("http://141.218.60.56/~jnz1568/getInfo.php?workbook=16_15.xlsx&amp;sheet=A0&amp;row=305&amp;col=12&amp;number=&amp;sourceID=53","")</f>
        <v/>
      </c>
      <c r="M305" s="4" t="str">
        <f>HYPERLINK("http://141.218.60.56/~jnz1568/getInfo.php?workbook=16_15.xlsx&amp;sheet=A0&amp;row=305&amp;col=13&amp;number=&amp;sourceID=53","")</f>
        <v/>
      </c>
      <c r="N305" s="4" t="str">
        <f>HYPERLINK("http://141.218.60.56/~jnz1568/getInfo.php?workbook=16_15.xlsx&amp;sheet=A0&amp;row=305&amp;col=14&amp;number=&amp;sourceID=53","")</f>
        <v/>
      </c>
      <c r="O305" s="4" t="str">
        <f>HYPERLINK("http://141.218.60.56/~jnz1568/getInfo.php?workbook=16_15.xlsx&amp;sheet=A0&amp;row=305&amp;col=15&amp;number=&amp;sourceID=55","")</f>
        <v/>
      </c>
      <c r="P305" s="4" t="str">
        <f>HYPERLINK("http://141.218.60.56/~jnz1568/getInfo.php?workbook=16_15.xlsx&amp;sheet=A0&amp;row=305&amp;col=16&amp;number=&amp;sourceID=55","")</f>
        <v/>
      </c>
      <c r="Q305" s="4" t="str">
        <f>HYPERLINK("http://141.218.60.56/~jnz1568/getInfo.php?workbook=16_15.xlsx&amp;sheet=A0&amp;row=305&amp;col=17&amp;number=&amp;sourceID=56","")</f>
        <v/>
      </c>
      <c r="R305" s="4" t="str">
        <f>HYPERLINK("http://141.218.60.56/~jnz1568/getInfo.php?workbook=16_15.xlsx&amp;sheet=A0&amp;row=305&amp;col=18&amp;number=&amp;sourceID=56","")</f>
        <v/>
      </c>
      <c r="S305" s="4" t="str">
        <f>HYPERLINK("http://141.218.60.56/~jnz1568/getInfo.php?workbook=16_15.xlsx&amp;sheet=A0&amp;row=305&amp;col=19&amp;number=&amp;sourceID=57","")</f>
        <v/>
      </c>
      <c r="T305" s="4" t="str">
        <f>HYPERLINK("http://141.218.60.56/~jnz1568/getInfo.php?workbook=16_15.xlsx&amp;sheet=A0&amp;row=305&amp;col=20&amp;number=&amp;sourceID=57","")</f>
        <v/>
      </c>
      <c r="U305" s="4" t="str">
        <f>HYPERLINK("http://141.218.60.56/~jnz1568/getInfo.php?workbook=16_15.xlsx&amp;sheet=A0&amp;row=305&amp;col=21&amp;number=&amp;sourceID=47","")</f>
        <v/>
      </c>
      <c r="V305" s="4" t="str">
        <f>HYPERLINK("http://141.218.60.56/~jnz1568/getInfo.php?workbook=16_15.xlsx&amp;sheet=A0&amp;row=305&amp;col=22&amp;number=&amp;sourceID=47","")</f>
        <v/>
      </c>
    </row>
    <row r="306" spans="1:22">
      <c r="A306" s="3">
        <v>16</v>
      </c>
      <c r="B306" s="3">
        <v>15</v>
      </c>
      <c r="C306" s="3">
        <v>28</v>
      </c>
      <c r="D306" s="3">
        <v>9</v>
      </c>
      <c r="E306" s="3">
        <f>((1/(INDEX(E0!J$4:J$73,C306,1)-INDEX(E0!J$4:J$73,D306,1))))*100000000</f>
        <v>0</v>
      </c>
      <c r="F306" s="4" t="str">
        <f>HYPERLINK("http://141.218.60.56/~jnz1568/getInfo.php?workbook=16_15.xlsx&amp;sheet=A0&amp;row=306&amp;col=6&amp;number=&amp;sourceID=54","")</f>
        <v/>
      </c>
      <c r="G306" s="4" t="str">
        <f>HYPERLINK("http://141.218.60.56/~jnz1568/getInfo.php?workbook=16_15.xlsx&amp;sheet=A0&amp;row=306&amp;col=7&amp;number=6.9974&amp;sourceID=54","6.9974")</f>
        <v>6.9974</v>
      </c>
      <c r="H306" s="4" t="str">
        <f>HYPERLINK("http://141.218.60.56/~jnz1568/getInfo.php?workbook=16_15.xlsx&amp;sheet=A0&amp;row=306&amp;col=8&amp;number=4.8782e-05&amp;sourceID=54","4.8782e-05")</f>
        <v>4.8782e-05</v>
      </c>
      <c r="I306" s="4" t="str">
        <f>HYPERLINK("http://141.218.60.56/~jnz1568/getInfo.php?workbook=16_15.xlsx&amp;sheet=A0&amp;row=306&amp;col=9&amp;number=&amp;sourceID=54","")</f>
        <v/>
      </c>
      <c r="J306" s="4" t="str">
        <f>HYPERLINK("http://141.218.60.56/~jnz1568/getInfo.php?workbook=16_15.xlsx&amp;sheet=A0&amp;row=306&amp;col=10&amp;number=6.1853&amp;sourceID=54","6.1853")</f>
        <v>6.1853</v>
      </c>
      <c r="K306" s="4" t="str">
        <f>HYPERLINK("http://141.218.60.56/~jnz1568/getInfo.php?workbook=16_15.xlsx&amp;sheet=A0&amp;row=306&amp;col=11&amp;number=4.6572e-05&amp;sourceID=54","4.6572e-05")</f>
        <v>4.6572e-05</v>
      </c>
      <c r="L306" s="4" t="str">
        <f>HYPERLINK("http://141.218.60.56/~jnz1568/getInfo.php?workbook=16_15.xlsx&amp;sheet=A0&amp;row=306&amp;col=12&amp;number=&amp;sourceID=53","")</f>
        <v/>
      </c>
      <c r="M306" s="4" t="str">
        <f>HYPERLINK("http://141.218.60.56/~jnz1568/getInfo.php?workbook=16_15.xlsx&amp;sheet=A0&amp;row=306&amp;col=13&amp;number=&amp;sourceID=53","")</f>
        <v/>
      </c>
      <c r="N306" s="4" t="str">
        <f>HYPERLINK("http://141.218.60.56/~jnz1568/getInfo.php?workbook=16_15.xlsx&amp;sheet=A0&amp;row=306&amp;col=14&amp;number=&amp;sourceID=53","")</f>
        <v/>
      </c>
      <c r="O306" s="4" t="str">
        <f>HYPERLINK("http://141.218.60.56/~jnz1568/getInfo.php?workbook=16_15.xlsx&amp;sheet=A0&amp;row=306&amp;col=15&amp;number=&amp;sourceID=55","")</f>
        <v/>
      </c>
      <c r="P306" s="4" t="str">
        <f>HYPERLINK("http://141.218.60.56/~jnz1568/getInfo.php?workbook=16_15.xlsx&amp;sheet=A0&amp;row=306&amp;col=16&amp;number=&amp;sourceID=55","")</f>
        <v/>
      </c>
      <c r="Q306" s="4" t="str">
        <f>HYPERLINK("http://141.218.60.56/~jnz1568/getInfo.php?workbook=16_15.xlsx&amp;sheet=A0&amp;row=306&amp;col=17&amp;number=&amp;sourceID=56","")</f>
        <v/>
      </c>
      <c r="R306" s="4" t="str">
        <f>HYPERLINK("http://141.218.60.56/~jnz1568/getInfo.php?workbook=16_15.xlsx&amp;sheet=A0&amp;row=306&amp;col=18&amp;number=&amp;sourceID=56","")</f>
        <v/>
      </c>
      <c r="S306" s="4" t="str">
        <f>HYPERLINK("http://141.218.60.56/~jnz1568/getInfo.php?workbook=16_15.xlsx&amp;sheet=A0&amp;row=306&amp;col=19&amp;number=&amp;sourceID=57","")</f>
        <v/>
      </c>
      <c r="T306" s="4" t="str">
        <f>HYPERLINK("http://141.218.60.56/~jnz1568/getInfo.php?workbook=16_15.xlsx&amp;sheet=A0&amp;row=306&amp;col=20&amp;number=&amp;sourceID=57","")</f>
        <v/>
      </c>
      <c r="U306" s="4" t="str">
        <f>HYPERLINK("http://141.218.60.56/~jnz1568/getInfo.php?workbook=16_15.xlsx&amp;sheet=A0&amp;row=306&amp;col=21&amp;number=&amp;sourceID=47","")</f>
        <v/>
      </c>
      <c r="V306" s="4" t="str">
        <f>HYPERLINK("http://141.218.60.56/~jnz1568/getInfo.php?workbook=16_15.xlsx&amp;sheet=A0&amp;row=306&amp;col=22&amp;number=&amp;sourceID=47","")</f>
        <v/>
      </c>
    </row>
    <row r="307" spans="1:22">
      <c r="A307" s="3">
        <v>16</v>
      </c>
      <c r="B307" s="3">
        <v>15</v>
      </c>
      <c r="C307" s="3">
        <v>28</v>
      </c>
      <c r="D307" s="3">
        <v>10</v>
      </c>
      <c r="E307" s="3">
        <f>((1/(INDEX(E0!J$4:J$73,C307,1)-INDEX(E0!J$4:J$73,D307,1))))*100000000</f>
        <v>0</v>
      </c>
      <c r="F307" s="4" t="str">
        <f>HYPERLINK("http://141.218.60.56/~jnz1568/getInfo.php?workbook=16_15.xlsx&amp;sheet=A0&amp;row=307&amp;col=6&amp;number=&amp;sourceID=54","")</f>
        <v/>
      </c>
      <c r="G307" s="4" t="str">
        <f>HYPERLINK("http://141.218.60.56/~jnz1568/getInfo.php?workbook=16_15.xlsx&amp;sheet=A0&amp;row=307&amp;col=7&amp;number=10.355&amp;sourceID=54","10.355")</f>
        <v>10.355</v>
      </c>
      <c r="H307" s="4" t="str">
        <f>HYPERLINK("http://141.218.60.56/~jnz1568/getInfo.php?workbook=16_15.xlsx&amp;sheet=A0&amp;row=307&amp;col=8&amp;number=&amp;sourceID=54","")</f>
        <v/>
      </c>
      <c r="I307" s="4" t="str">
        <f>HYPERLINK("http://141.218.60.56/~jnz1568/getInfo.php?workbook=16_15.xlsx&amp;sheet=A0&amp;row=307&amp;col=9&amp;number=&amp;sourceID=54","")</f>
        <v/>
      </c>
      <c r="J307" s="4" t="str">
        <f>HYPERLINK("http://141.218.60.56/~jnz1568/getInfo.php?workbook=16_15.xlsx&amp;sheet=A0&amp;row=307&amp;col=10&amp;number=9.1615&amp;sourceID=54","9.1615")</f>
        <v>9.1615</v>
      </c>
      <c r="K307" s="4" t="str">
        <f>HYPERLINK("http://141.218.60.56/~jnz1568/getInfo.php?workbook=16_15.xlsx&amp;sheet=A0&amp;row=307&amp;col=11&amp;number=&amp;sourceID=54","")</f>
        <v/>
      </c>
      <c r="L307" s="4" t="str">
        <f>HYPERLINK("http://141.218.60.56/~jnz1568/getInfo.php?workbook=16_15.xlsx&amp;sheet=A0&amp;row=307&amp;col=12&amp;number=&amp;sourceID=53","")</f>
        <v/>
      </c>
      <c r="M307" s="4" t="str">
        <f>HYPERLINK("http://141.218.60.56/~jnz1568/getInfo.php?workbook=16_15.xlsx&amp;sheet=A0&amp;row=307&amp;col=13&amp;number=&amp;sourceID=53","")</f>
        <v/>
      </c>
      <c r="N307" s="4" t="str">
        <f>HYPERLINK("http://141.218.60.56/~jnz1568/getInfo.php?workbook=16_15.xlsx&amp;sheet=A0&amp;row=307&amp;col=14&amp;number=&amp;sourceID=53","")</f>
        <v/>
      </c>
      <c r="O307" s="4" t="str">
        <f>HYPERLINK("http://141.218.60.56/~jnz1568/getInfo.php?workbook=16_15.xlsx&amp;sheet=A0&amp;row=307&amp;col=15&amp;number=&amp;sourceID=55","")</f>
        <v/>
      </c>
      <c r="P307" s="4" t="str">
        <f>HYPERLINK("http://141.218.60.56/~jnz1568/getInfo.php?workbook=16_15.xlsx&amp;sheet=A0&amp;row=307&amp;col=16&amp;number=&amp;sourceID=55","")</f>
        <v/>
      </c>
      <c r="Q307" s="4" t="str">
        <f>HYPERLINK("http://141.218.60.56/~jnz1568/getInfo.php?workbook=16_15.xlsx&amp;sheet=A0&amp;row=307&amp;col=17&amp;number=&amp;sourceID=56","")</f>
        <v/>
      </c>
      <c r="R307" s="4" t="str">
        <f>HYPERLINK("http://141.218.60.56/~jnz1568/getInfo.php?workbook=16_15.xlsx&amp;sheet=A0&amp;row=307&amp;col=18&amp;number=&amp;sourceID=56","")</f>
        <v/>
      </c>
      <c r="S307" s="4" t="str">
        <f>HYPERLINK("http://141.218.60.56/~jnz1568/getInfo.php?workbook=16_15.xlsx&amp;sheet=A0&amp;row=307&amp;col=19&amp;number=&amp;sourceID=57","")</f>
        <v/>
      </c>
      <c r="T307" s="4" t="str">
        <f>HYPERLINK("http://141.218.60.56/~jnz1568/getInfo.php?workbook=16_15.xlsx&amp;sheet=A0&amp;row=307&amp;col=20&amp;number=&amp;sourceID=57","")</f>
        <v/>
      </c>
      <c r="U307" s="4" t="str">
        <f>HYPERLINK("http://141.218.60.56/~jnz1568/getInfo.php?workbook=16_15.xlsx&amp;sheet=A0&amp;row=307&amp;col=21&amp;number=&amp;sourceID=47","")</f>
        <v/>
      </c>
      <c r="V307" s="4" t="str">
        <f>HYPERLINK("http://141.218.60.56/~jnz1568/getInfo.php?workbook=16_15.xlsx&amp;sheet=A0&amp;row=307&amp;col=22&amp;number=&amp;sourceID=47","")</f>
        <v/>
      </c>
    </row>
    <row r="308" spans="1:22">
      <c r="A308" s="3">
        <v>16</v>
      </c>
      <c r="B308" s="3">
        <v>15</v>
      </c>
      <c r="C308" s="3">
        <v>28</v>
      </c>
      <c r="D308" s="3">
        <v>11</v>
      </c>
      <c r="E308" s="3">
        <f>((1/(INDEX(E0!J$4:J$73,C308,1)-INDEX(E0!J$4:J$73,D308,1))))*100000000</f>
        <v>0</v>
      </c>
      <c r="F308" s="4" t="str">
        <f>HYPERLINK("http://141.218.60.56/~jnz1568/getInfo.php?workbook=16_15.xlsx&amp;sheet=A0&amp;row=308&amp;col=6&amp;number=&amp;sourceID=54","")</f>
        <v/>
      </c>
      <c r="G308" s="4" t="str">
        <f>HYPERLINK("http://141.218.60.56/~jnz1568/getInfo.php?workbook=16_15.xlsx&amp;sheet=A0&amp;row=308&amp;col=7&amp;number=0.00099523&amp;sourceID=54","0.00099523")</f>
        <v>0.00099523</v>
      </c>
      <c r="H308" s="4" t="str">
        <f>HYPERLINK("http://141.218.60.56/~jnz1568/getInfo.php?workbook=16_15.xlsx&amp;sheet=A0&amp;row=308&amp;col=8&amp;number=0.013366&amp;sourceID=54","0.013366")</f>
        <v>0.013366</v>
      </c>
      <c r="I308" s="4" t="str">
        <f>HYPERLINK("http://141.218.60.56/~jnz1568/getInfo.php?workbook=16_15.xlsx&amp;sheet=A0&amp;row=308&amp;col=9&amp;number=&amp;sourceID=54","")</f>
        <v/>
      </c>
      <c r="J308" s="4" t="str">
        <f>HYPERLINK("http://141.218.60.56/~jnz1568/getInfo.php?workbook=16_15.xlsx&amp;sheet=A0&amp;row=308&amp;col=10&amp;number=0.00088653&amp;sourceID=54","0.00088653")</f>
        <v>0.00088653</v>
      </c>
      <c r="K308" s="4" t="str">
        <f>HYPERLINK("http://141.218.60.56/~jnz1568/getInfo.php?workbook=16_15.xlsx&amp;sheet=A0&amp;row=308&amp;col=11&amp;number=0.010184&amp;sourceID=54","0.010184")</f>
        <v>0.010184</v>
      </c>
      <c r="L308" s="4" t="str">
        <f>HYPERLINK("http://141.218.60.56/~jnz1568/getInfo.php?workbook=16_15.xlsx&amp;sheet=A0&amp;row=308&amp;col=12&amp;number=&amp;sourceID=53","")</f>
        <v/>
      </c>
      <c r="M308" s="4" t="str">
        <f>HYPERLINK("http://141.218.60.56/~jnz1568/getInfo.php?workbook=16_15.xlsx&amp;sheet=A0&amp;row=308&amp;col=13&amp;number=&amp;sourceID=53","")</f>
        <v/>
      </c>
      <c r="N308" s="4" t="str">
        <f>HYPERLINK("http://141.218.60.56/~jnz1568/getInfo.php?workbook=16_15.xlsx&amp;sheet=A0&amp;row=308&amp;col=14&amp;number=&amp;sourceID=53","")</f>
        <v/>
      </c>
      <c r="O308" s="4" t="str">
        <f>HYPERLINK("http://141.218.60.56/~jnz1568/getInfo.php?workbook=16_15.xlsx&amp;sheet=A0&amp;row=308&amp;col=15&amp;number=&amp;sourceID=55","")</f>
        <v/>
      </c>
      <c r="P308" s="4" t="str">
        <f>HYPERLINK("http://141.218.60.56/~jnz1568/getInfo.php?workbook=16_15.xlsx&amp;sheet=A0&amp;row=308&amp;col=16&amp;number=&amp;sourceID=55","")</f>
        <v/>
      </c>
      <c r="Q308" s="4" t="str">
        <f>HYPERLINK("http://141.218.60.56/~jnz1568/getInfo.php?workbook=16_15.xlsx&amp;sheet=A0&amp;row=308&amp;col=17&amp;number=&amp;sourceID=56","")</f>
        <v/>
      </c>
      <c r="R308" s="4" t="str">
        <f>HYPERLINK("http://141.218.60.56/~jnz1568/getInfo.php?workbook=16_15.xlsx&amp;sheet=A0&amp;row=308&amp;col=18&amp;number=&amp;sourceID=56","")</f>
        <v/>
      </c>
      <c r="S308" s="4" t="str">
        <f>HYPERLINK("http://141.218.60.56/~jnz1568/getInfo.php?workbook=16_15.xlsx&amp;sheet=A0&amp;row=308&amp;col=19&amp;number=&amp;sourceID=57","")</f>
        <v/>
      </c>
      <c r="T308" s="4" t="str">
        <f>HYPERLINK("http://141.218.60.56/~jnz1568/getInfo.php?workbook=16_15.xlsx&amp;sheet=A0&amp;row=308&amp;col=20&amp;number=&amp;sourceID=57","")</f>
        <v/>
      </c>
      <c r="U308" s="4" t="str">
        <f>HYPERLINK("http://141.218.60.56/~jnz1568/getInfo.php?workbook=16_15.xlsx&amp;sheet=A0&amp;row=308&amp;col=21&amp;number=&amp;sourceID=47","")</f>
        <v/>
      </c>
      <c r="V308" s="4" t="str">
        <f>HYPERLINK("http://141.218.60.56/~jnz1568/getInfo.php?workbook=16_15.xlsx&amp;sheet=A0&amp;row=308&amp;col=22&amp;number=&amp;sourceID=47","")</f>
        <v/>
      </c>
    </row>
    <row r="309" spans="1:22">
      <c r="A309" s="3">
        <v>16</v>
      </c>
      <c r="B309" s="3">
        <v>15</v>
      </c>
      <c r="C309" s="3">
        <v>28</v>
      </c>
      <c r="D309" s="3">
        <v>12</v>
      </c>
      <c r="E309" s="3">
        <f>((1/(INDEX(E0!J$4:J$73,C309,1)-INDEX(E0!J$4:J$73,D309,1))))*100000000</f>
        <v>0</v>
      </c>
      <c r="F309" s="4" t="str">
        <f>HYPERLINK("http://141.218.60.56/~jnz1568/getInfo.php?workbook=16_15.xlsx&amp;sheet=A0&amp;row=309&amp;col=6&amp;number=&amp;sourceID=54","")</f>
        <v/>
      </c>
      <c r="G309" s="4" t="str">
        <f>HYPERLINK("http://141.218.60.56/~jnz1568/getInfo.php?workbook=16_15.xlsx&amp;sheet=A0&amp;row=309&amp;col=7&amp;number=&amp;sourceID=54","")</f>
        <v/>
      </c>
      <c r="H309" s="4" t="str">
        <f>HYPERLINK("http://141.218.60.56/~jnz1568/getInfo.php?workbook=16_15.xlsx&amp;sheet=A0&amp;row=309&amp;col=8&amp;number=0.024354&amp;sourceID=54","0.024354")</f>
        <v>0.024354</v>
      </c>
      <c r="I309" s="4" t="str">
        <f>HYPERLINK("http://141.218.60.56/~jnz1568/getInfo.php?workbook=16_15.xlsx&amp;sheet=A0&amp;row=309&amp;col=9&amp;number=&amp;sourceID=54","")</f>
        <v/>
      </c>
      <c r="J309" s="4" t="str">
        <f>HYPERLINK("http://141.218.60.56/~jnz1568/getInfo.php?workbook=16_15.xlsx&amp;sheet=A0&amp;row=309&amp;col=10&amp;number=&amp;sourceID=54","")</f>
        <v/>
      </c>
      <c r="K309" s="4" t="str">
        <f>HYPERLINK("http://141.218.60.56/~jnz1568/getInfo.php?workbook=16_15.xlsx&amp;sheet=A0&amp;row=309&amp;col=11&amp;number=0.024683&amp;sourceID=54","0.024683")</f>
        <v>0.024683</v>
      </c>
      <c r="L309" s="4" t="str">
        <f>HYPERLINK("http://141.218.60.56/~jnz1568/getInfo.php?workbook=16_15.xlsx&amp;sheet=A0&amp;row=309&amp;col=12&amp;number=&amp;sourceID=53","")</f>
        <v/>
      </c>
      <c r="M309" s="4" t="str">
        <f>HYPERLINK("http://141.218.60.56/~jnz1568/getInfo.php?workbook=16_15.xlsx&amp;sheet=A0&amp;row=309&amp;col=13&amp;number=&amp;sourceID=53","")</f>
        <v/>
      </c>
      <c r="N309" s="4" t="str">
        <f>HYPERLINK("http://141.218.60.56/~jnz1568/getInfo.php?workbook=16_15.xlsx&amp;sheet=A0&amp;row=309&amp;col=14&amp;number=&amp;sourceID=53","")</f>
        <v/>
      </c>
      <c r="O309" s="4" t="str">
        <f>HYPERLINK("http://141.218.60.56/~jnz1568/getInfo.php?workbook=16_15.xlsx&amp;sheet=A0&amp;row=309&amp;col=15&amp;number=&amp;sourceID=55","")</f>
        <v/>
      </c>
      <c r="P309" s="4" t="str">
        <f>HYPERLINK("http://141.218.60.56/~jnz1568/getInfo.php?workbook=16_15.xlsx&amp;sheet=A0&amp;row=309&amp;col=16&amp;number=&amp;sourceID=55","")</f>
        <v/>
      </c>
      <c r="Q309" s="4" t="str">
        <f>HYPERLINK("http://141.218.60.56/~jnz1568/getInfo.php?workbook=16_15.xlsx&amp;sheet=A0&amp;row=309&amp;col=17&amp;number=&amp;sourceID=56","")</f>
        <v/>
      </c>
      <c r="R309" s="4" t="str">
        <f>HYPERLINK("http://141.218.60.56/~jnz1568/getInfo.php?workbook=16_15.xlsx&amp;sheet=A0&amp;row=309&amp;col=18&amp;number=&amp;sourceID=56","")</f>
        <v/>
      </c>
      <c r="S309" s="4" t="str">
        <f>HYPERLINK("http://141.218.60.56/~jnz1568/getInfo.php?workbook=16_15.xlsx&amp;sheet=A0&amp;row=309&amp;col=19&amp;number=&amp;sourceID=57","")</f>
        <v/>
      </c>
      <c r="T309" s="4" t="str">
        <f>HYPERLINK("http://141.218.60.56/~jnz1568/getInfo.php?workbook=16_15.xlsx&amp;sheet=A0&amp;row=309&amp;col=20&amp;number=&amp;sourceID=57","")</f>
        <v/>
      </c>
      <c r="U309" s="4" t="str">
        <f>HYPERLINK("http://141.218.60.56/~jnz1568/getInfo.php?workbook=16_15.xlsx&amp;sheet=A0&amp;row=309&amp;col=21&amp;number=&amp;sourceID=47","")</f>
        <v/>
      </c>
      <c r="V309" s="4" t="str">
        <f>HYPERLINK("http://141.218.60.56/~jnz1568/getInfo.php?workbook=16_15.xlsx&amp;sheet=A0&amp;row=309&amp;col=22&amp;number=&amp;sourceID=47","")</f>
        <v/>
      </c>
    </row>
    <row r="310" spans="1:22">
      <c r="A310" s="3">
        <v>16</v>
      </c>
      <c r="B310" s="3">
        <v>15</v>
      </c>
      <c r="C310" s="3">
        <v>28</v>
      </c>
      <c r="D310" s="3">
        <v>13</v>
      </c>
      <c r="E310" s="3">
        <f>((1/(INDEX(E0!J$4:J$73,C310,1)-INDEX(E0!J$4:J$73,D310,1))))*100000000</f>
        <v>0</v>
      </c>
      <c r="F310" s="4" t="str">
        <f>HYPERLINK("http://141.218.60.56/~jnz1568/getInfo.php?workbook=16_15.xlsx&amp;sheet=A0&amp;row=310&amp;col=6&amp;number=&amp;sourceID=54","")</f>
        <v/>
      </c>
      <c r="G310" s="4" t="str">
        <f>HYPERLINK("http://141.218.60.56/~jnz1568/getInfo.php?workbook=16_15.xlsx&amp;sheet=A0&amp;row=310&amp;col=7&amp;number=&amp;sourceID=54","")</f>
        <v/>
      </c>
      <c r="H310" s="4" t="str">
        <f>HYPERLINK("http://141.218.60.56/~jnz1568/getInfo.php?workbook=16_15.xlsx&amp;sheet=A0&amp;row=310&amp;col=8&amp;number=1.9099e-07&amp;sourceID=54","1.9099e-07")</f>
        <v>1.9099e-07</v>
      </c>
      <c r="I310" s="4" t="str">
        <f>HYPERLINK("http://141.218.60.56/~jnz1568/getInfo.php?workbook=16_15.xlsx&amp;sheet=A0&amp;row=310&amp;col=9&amp;number=&amp;sourceID=54","")</f>
        <v/>
      </c>
      <c r="J310" s="4" t="str">
        <f>HYPERLINK("http://141.218.60.56/~jnz1568/getInfo.php?workbook=16_15.xlsx&amp;sheet=A0&amp;row=310&amp;col=10&amp;number=&amp;sourceID=54","")</f>
        <v/>
      </c>
      <c r="K310" s="4" t="str">
        <f>HYPERLINK("http://141.218.60.56/~jnz1568/getInfo.php?workbook=16_15.xlsx&amp;sheet=A0&amp;row=310&amp;col=11&amp;number=1.0356e-06&amp;sourceID=54","1.0356e-06")</f>
        <v>1.0356e-06</v>
      </c>
      <c r="L310" s="4" t="str">
        <f>HYPERLINK("http://141.218.60.56/~jnz1568/getInfo.php?workbook=16_15.xlsx&amp;sheet=A0&amp;row=310&amp;col=12&amp;number=&amp;sourceID=53","")</f>
        <v/>
      </c>
      <c r="M310" s="4" t="str">
        <f>HYPERLINK("http://141.218.60.56/~jnz1568/getInfo.php?workbook=16_15.xlsx&amp;sheet=A0&amp;row=310&amp;col=13&amp;number=&amp;sourceID=53","")</f>
        <v/>
      </c>
      <c r="N310" s="4" t="str">
        <f>HYPERLINK("http://141.218.60.56/~jnz1568/getInfo.php?workbook=16_15.xlsx&amp;sheet=A0&amp;row=310&amp;col=14&amp;number=&amp;sourceID=53","")</f>
        <v/>
      </c>
      <c r="O310" s="4" t="str">
        <f>HYPERLINK("http://141.218.60.56/~jnz1568/getInfo.php?workbook=16_15.xlsx&amp;sheet=A0&amp;row=310&amp;col=15&amp;number=&amp;sourceID=55","")</f>
        <v/>
      </c>
      <c r="P310" s="4" t="str">
        <f>HYPERLINK("http://141.218.60.56/~jnz1568/getInfo.php?workbook=16_15.xlsx&amp;sheet=A0&amp;row=310&amp;col=16&amp;number=&amp;sourceID=55","")</f>
        <v/>
      </c>
      <c r="Q310" s="4" t="str">
        <f>HYPERLINK("http://141.218.60.56/~jnz1568/getInfo.php?workbook=16_15.xlsx&amp;sheet=A0&amp;row=310&amp;col=17&amp;number=&amp;sourceID=56","")</f>
        <v/>
      </c>
      <c r="R310" s="4" t="str">
        <f>HYPERLINK("http://141.218.60.56/~jnz1568/getInfo.php?workbook=16_15.xlsx&amp;sheet=A0&amp;row=310&amp;col=18&amp;number=&amp;sourceID=56","")</f>
        <v/>
      </c>
      <c r="S310" s="4" t="str">
        <f>HYPERLINK("http://141.218.60.56/~jnz1568/getInfo.php?workbook=16_15.xlsx&amp;sheet=A0&amp;row=310&amp;col=19&amp;number=&amp;sourceID=57","")</f>
        <v/>
      </c>
      <c r="T310" s="4" t="str">
        <f>HYPERLINK("http://141.218.60.56/~jnz1568/getInfo.php?workbook=16_15.xlsx&amp;sheet=A0&amp;row=310&amp;col=20&amp;number=&amp;sourceID=57","")</f>
        <v/>
      </c>
      <c r="U310" s="4" t="str">
        <f>HYPERLINK("http://141.218.60.56/~jnz1568/getInfo.php?workbook=16_15.xlsx&amp;sheet=A0&amp;row=310&amp;col=21&amp;number=&amp;sourceID=47","")</f>
        <v/>
      </c>
      <c r="V310" s="4" t="str">
        <f>HYPERLINK("http://141.218.60.56/~jnz1568/getInfo.php?workbook=16_15.xlsx&amp;sheet=A0&amp;row=310&amp;col=22&amp;number=&amp;sourceID=47","")</f>
        <v/>
      </c>
    </row>
    <row r="311" spans="1:22">
      <c r="A311" s="3">
        <v>16</v>
      </c>
      <c r="B311" s="3">
        <v>15</v>
      </c>
      <c r="C311" s="3">
        <v>28</v>
      </c>
      <c r="D311" s="3">
        <v>14</v>
      </c>
      <c r="E311" s="3">
        <f>((1/(INDEX(E0!J$4:J$73,C311,1)-INDEX(E0!J$4:J$73,D311,1))))*100000000</f>
        <v>0</v>
      </c>
      <c r="F311" s="4" t="str">
        <f>HYPERLINK("http://141.218.60.56/~jnz1568/getInfo.php?workbook=16_15.xlsx&amp;sheet=A0&amp;row=311&amp;col=6&amp;number=&amp;sourceID=54","")</f>
        <v/>
      </c>
      <c r="G311" s="4" t="str">
        <f>HYPERLINK("http://141.218.60.56/~jnz1568/getInfo.php?workbook=16_15.xlsx&amp;sheet=A0&amp;row=311&amp;col=7&amp;number=5.9544e-06&amp;sourceID=54","5.9544e-06")</f>
        <v>5.9544e-06</v>
      </c>
      <c r="H311" s="4" t="str">
        <f>HYPERLINK("http://141.218.60.56/~jnz1568/getInfo.php?workbook=16_15.xlsx&amp;sheet=A0&amp;row=311&amp;col=8&amp;number=1.3484e-06&amp;sourceID=54","1.3484e-06")</f>
        <v>1.3484e-06</v>
      </c>
      <c r="I311" s="4" t="str">
        <f>HYPERLINK("http://141.218.60.56/~jnz1568/getInfo.php?workbook=16_15.xlsx&amp;sheet=A0&amp;row=311&amp;col=9&amp;number=&amp;sourceID=54","")</f>
        <v/>
      </c>
      <c r="J311" s="4" t="str">
        <f>HYPERLINK("http://141.218.60.56/~jnz1568/getInfo.php?workbook=16_15.xlsx&amp;sheet=A0&amp;row=311&amp;col=10&amp;number=5.6693e-06&amp;sourceID=54","5.6693e-06")</f>
        <v>5.6693e-06</v>
      </c>
      <c r="K311" s="4" t="str">
        <f>HYPERLINK("http://141.218.60.56/~jnz1568/getInfo.php?workbook=16_15.xlsx&amp;sheet=A0&amp;row=311&amp;col=11&amp;number=4.7307e-06&amp;sourceID=54","4.7307e-06")</f>
        <v>4.7307e-06</v>
      </c>
      <c r="L311" s="4" t="str">
        <f>HYPERLINK("http://141.218.60.56/~jnz1568/getInfo.php?workbook=16_15.xlsx&amp;sheet=A0&amp;row=311&amp;col=12&amp;number=&amp;sourceID=53","")</f>
        <v/>
      </c>
      <c r="M311" s="4" t="str">
        <f>HYPERLINK("http://141.218.60.56/~jnz1568/getInfo.php?workbook=16_15.xlsx&amp;sheet=A0&amp;row=311&amp;col=13&amp;number=&amp;sourceID=53","")</f>
        <v/>
      </c>
      <c r="N311" s="4" t="str">
        <f>HYPERLINK("http://141.218.60.56/~jnz1568/getInfo.php?workbook=16_15.xlsx&amp;sheet=A0&amp;row=311&amp;col=14&amp;number=&amp;sourceID=53","")</f>
        <v/>
      </c>
      <c r="O311" s="4" t="str">
        <f>HYPERLINK("http://141.218.60.56/~jnz1568/getInfo.php?workbook=16_15.xlsx&amp;sheet=A0&amp;row=311&amp;col=15&amp;number=&amp;sourceID=55","")</f>
        <v/>
      </c>
      <c r="P311" s="4" t="str">
        <f>HYPERLINK("http://141.218.60.56/~jnz1568/getInfo.php?workbook=16_15.xlsx&amp;sheet=A0&amp;row=311&amp;col=16&amp;number=&amp;sourceID=55","")</f>
        <v/>
      </c>
      <c r="Q311" s="4" t="str">
        <f>HYPERLINK("http://141.218.60.56/~jnz1568/getInfo.php?workbook=16_15.xlsx&amp;sheet=A0&amp;row=311&amp;col=17&amp;number=&amp;sourceID=56","")</f>
        <v/>
      </c>
      <c r="R311" s="4" t="str">
        <f>HYPERLINK("http://141.218.60.56/~jnz1568/getInfo.php?workbook=16_15.xlsx&amp;sheet=A0&amp;row=311&amp;col=18&amp;number=&amp;sourceID=56","")</f>
        <v/>
      </c>
      <c r="S311" s="4" t="str">
        <f>HYPERLINK("http://141.218.60.56/~jnz1568/getInfo.php?workbook=16_15.xlsx&amp;sheet=A0&amp;row=311&amp;col=19&amp;number=&amp;sourceID=57","")</f>
        <v/>
      </c>
      <c r="T311" s="4" t="str">
        <f>HYPERLINK("http://141.218.60.56/~jnz1568/getInfo.php?workbook=16_15.xlsx&amp;sheet=A0&amp;row=311&amp;col=20&amp;number=&amp;sourceID=57","")</f>
        <v/>
      </c>
      <c r="U311" s="4" t="str">
        <f>HYPERLINK("http://141.218.60.56/~jnz1568/getInfo.php?workbook=16_15.xlsx&amp;sheet=A0&amp;row=311&amp;col=21&amp;number=&amp;sourceID=47","")</f>
        <v/>
      </c>
      <c r="V311" s="4" t="str">
        <f>HYPERLINK("http://141.218.60.56/~jnz1568/getInfo.php?workbook=16_15.xlsx&amp;sheet=A0&amp;row=311&amp;col=22&amp;number=&amp;sourceID=47","")</f>
        <v/>
      </c>
    </row>
    <row r="312" spans="1:22">
      <c r="A312" s="3">
        <v>16</v>
      </c>
      <c r="B312" s="3">
        <v>15</v>
      </c>
      <c r="C312" s="3">
        <v>28</v>
      </c>
      <c r="D312" s="3">
        <v>15</v>
      </c>
      <c r="E312" s="3">
        <f>((1/(INDEX(E0!J$4:J$73,C312,1)-INDEX(E0!J$4:J$73,D312,1))))*100000000</f>
        <v>0</v>
      </c>
      <c r="F312" s="4" t="str">
        <f>HYPERLINK("http://141.218.60.56/~jnz1568/getInfo.php?workbook=16_15.xlsx&amp;sheet=A0&amp;row=312&amp;col=6&amp;number=&amp;sourceID=54","")</f>
        <v/>
      </c>
      <c r="G312" s="4" t="str">
        <f>HYPERLINK("http://141.218.60.56/~jnz1568/getInfo.php?workbook=16_15.xlsx&amp;sheet=A0&amp;row=312&amp;col=7&amp;number=3.3874e-05&amp;sourceID=54","3.3874e-05")</f>
        <v>3.3874e-05</v>
      </c>
      <c r="H312" s="4" t="str">
        <f>HYPERLINK("http://141.218.60.56/~jnz1568/getInfo.php?workbook=16_15.xlsx&amp;sheet=A0&amp;row=312&amp;col=8&amp;number=7.8286e-08&amp;sourceID=54","7.8286e-08")</f>
        <v>7.8286e-08</v>
      </c>
      <c r="I312" s="4" t="str">
        <f>HYPERLINK("http://141.218.60.56/~jnz1568/getInfo.php?workbook=16_15.xlsx&amp;sheet=A0&amp;row=312&amp;col=9&amp;number=&amp;sourceID=54","")</f>
        <v/>
      </c>
      <c r="J312" s="4" t="str">
        <f>HYPERLINK("http://141.218.60.56/~jnz1568/getInfo.php?workbook=16_15.xlsx&amp;sheet=A0&amp;row=312&amp;col=10&amp;number=2.7841e-05&amp;sourceID=54","2.7841e-05")</f>
        <v>2.7841e-05</v>
      </c>
      <c r="K312" s="4" t="str">
        <f>HYPERLINK("http://141.218.60.56/~jnz1568/getInfo.php?workbook=16_15.xlsx&amp;sheet=A0&amp;row=312&amp;col=11&amp;number=4.4678e-09&amp;sourceID=54","4.4678e-09")</f>
        <v>4.4678e-09</v>
      </c>
      <c r="L312" s="4" t="str">
        <f>HYPERLINK("http://141.218.60.56/~jnz1568/getInfo.php?workbook=16_15.xlsx&amp;sheet=A0&amp;row=312&amp;col=12&amp;number=&amp;sourceID=53","")</f>
        <v/>
      </c>
      <c r="M312" s="4" t="str">
        <f>HYPERLINK("http://141.218.60.56/~jnz1568/getInfo.php?workbook=16_15.xlsx&amp;sheet=A0&amp;row=312&amp;col=13&amp;number=&amp;sourceID=53","")</f>
        <v/>
      </c>
      <c r="N312" s="4" t="str">
        <f>HYPERLINK("http://141.218.60.56/~jnz1568/getInfo.php?workbook=16_15.xlsx&amp;sheet=A0&amp;row=312&amp;col=14&amp;number=&amp;sourceID=53","")</f>
        <v/>
      </c>
      <c r="O312" s="4" t="str">
        <f>HYPERLINK("http://141.218.60.56/~jnz1568/getInfo.php?workbook=16_15.xlsx&amp;sheet=A0&amp;row=312&amp;col=15&amp;number=&amp;sourceID=55","")</f>
        <v/>
      </c>
      <c r="P312" s="4" t="str">
        <f>HYPERLINK("http://141.218.60.56/~jnz1568/getInfo.php?workbook=16_15.xlsx&amp;sheet=A0&amp;row=312&amp;col=16&amp;number=&amp;sourceID=55","")</f>
        <v/>
      </c>
      <c r="Q312" s="4" t="str">
        <f>HYPERLINK("http://141.218.60.56/~jnz1568/getInfo.php?workbook=16_15.xlsx&amp;sheet=A0&amp;row=312&amp;col=17&amp;number=&amp;sourceID=56","")</f>
        <v/>
      </c>
      <c r="R312" s="4" t="str">
        <f>HYPERLINK("http://141.218.60.56/~jnz1568/getInfo.php?workbook=16_15.xlsx&amp;sheet=A0&amp;row=312&amp;col=18&amp;number=&amp;sourceID=56","")</f>
        <v/>
      </c>
      <c r="S312" s="4" t="str">
        <f>HYPERLINK("http://141.218.60.56/~jnz1568/getInfo.php?workbook=16_15.xlsx&amp;sheet=A0&amp;row=312&amp;col=19&amp;number=&amp;sourceID=57","")</f>
        <v/>
      </c>
      <c r="T312" s="4" t="str">
        <f>HYPERLINK("http://141.218.60.56/~jnz1568/getInfo.php?workbook=16_15.xlsx&amp;sheet=A0&amp;row=312&amp;col=20&amp;number=&amp;sourceID=57","")</f>
        <v/>
      </c>
      <c r="U312" s="4" t="str">
        <f>HYPERLINK("http://141.218.60.56/~jnz1568/getInfo.php?workbook=16_15.xlsx&amp;sheet=A0&amp;row=312&amp;col=21&amp;number=&amp;sourceID=47","")</f>
        <v/>
      </c>
      <c r="V312" s="4" t="str">
        <f>HYPERLINK("http://141.218.60.56/~jnz1568/getInfo.php?workbook=16_15.xlsx&amp;sheet=A0&amp;row=312&amp;col=22&amp;number=&amp;sourceID=47","")</f>
        <v/>
      </c>
    </row>
    <row r="313" spans="1:22">
      <c r="A313" s="3">
        <v>16</v>
      </c>
      <c r="B313" s="3">
        <v>15</v>
      </c>
      <c r="C313" s="3">
        <v>28</v>
      </c>
      <c r="D313" s="3">
        <v>16</v>
      </c>
      <c r="E313" s="3">
        <f>((1/(INDEX(E0!J$4:J$73,C313,1)-INDEX(E0!J$4:J$73,D313,1))))*100000000</f>
        <v>0</v>
      </c>
      <c r="F313" s="4" t="str">
        <f>HYPERLINK("http://141.218.60.56/~jnz1568/getInfo.php?workbook=16_15.xlsx&amp;sheet=A0&amp;row=313&amp;col=6&amp;number=&amp;sourceID=54","")</f>
        <v/>
      </c>
      <c r="G313" s="4" t="str">
        <f>HYPERLINK("http://141.218.60.56/~jnz1568/getInfo.php?workbook=16_15.xlsx&amp;sheet=A0&amp;row=313&amp;col=7&amp;number=5.7767e-05&amp;sourceID=54","5.7767e-05")</f>
        <v>5.7767e-05</v>
      </c>
      <c r="H313" s="4" t="str">
        <f>HYPERLINK("http://141.218.60.56/~jnz1568/getInfo.php?workbook=16_15.xlsx&amp;sheet=A0&amp;row=313&amp;col=8&amp;number=&amp;sourceID=54","")</f>
        <v/>
      </c>
      <c r="I313" s="4" t="str">
        <f>HYPERLINK("http://141.218.60.56/~jnz1568/getInfo.php?workbook=16_15.xlsx&amp;sheet=A0&amp;row=313&amp;col=9&amp;number=&amp;sourceID=54","")</f>
        <v/>
      </c>
      <c r="J313" s="4" t="str">
        <f>HYPERLINK("http://141.218.60.56/~jnz1568/getInfo.php?workbook=16_15.xlsx&amp;sheet=A0&amp;row=313&amp;col=10&amp;number=3.6723e-05&amp;sourceID=54","3.6723e-05")</f>
        <v>3.6723e-05</v>
      </c>
      <c r="K313" s="4" t="str">
        <f>HYPERLINK("http://141.218.60.56/~jnz1568/getInfo.php?workbook=16_15.xlsx&amp;sheet=A0&amp;row=313&amp;col=11&amp;number=&amp;sourceID=54","")</f>
        <v/>
      </c>
      <c r="L313" s="4" t="str">
        <f>HYPERLINK("http://141.218.60.56/~jnz1568/getInfo.php?workbook=16_15.xlsx&amp;sheet=A0&amp;row=313&amp;col=12&amp;number=&amp;sourceID=53","")</f>
        <v/>
      </c>
      <c r="M313" s="4" t="str">
        <f>HYPERLINK("http://141.218.60.56/~jnz1568/getInfo.php?workbook=16_15.xlsx&amp;sheet=A0&amp;row=313&amp;col=13&amp;number=&amp;sourceID=53","")</f>
        <v/>
      </c>
      <c r="N313" s="4" t="str">
        <f>HYPERLINK("http://141.218.60.56/~jnz1568/getInfo.php?workbook=16_15.xlsx&amp;sheet=A0&amp;row=313&amp;col=14&amp;number=&amp;sourceID=53","")</f>
        <v/>
      </c>
      <c r="O313" s="4" t="str">
        <f>HYPERLINK("http://141.218.60.56/~jnz1568/getInfo.php?workbook=16_15.xlsx&amp;sheet=A0&amp;row=313&amp;col=15&amp;number=&amp;sourceID=55","")</f>
        <v/>
      </c>
      <c r="P313" s="4" t="str">
        <f>HYPERLINK("http://141.218.60.56/~jnz1568/getInfo.php?workbook=16_15.xlsx&amp;sheet=A0&amp;row=313&amp;col=16&amp;number=&amp;sourceID=55","")</f>
        <v/>
      </c>
      <c r="Q313" s="4" t="str">
        <f>HYPERLINK("http://141.218.60.56/~jnz1568/getInfo.php?workbook=16_15.xlsx&amp;sheet=A0&amp;row=313&amp;col=17&amp;number=&amp;sourceID=56","")</f>
        <v/>
      </c>
      <c r="R313" s="4" t="str">
        <f>HYPERLINK("http://141.218.60.56/~jnz1568/getInfo.php?workbook=16_15.xlsx&amp;sheet=A0&amp;row=313&amp;col=18&amp;number=&amp;sourceID=56","")</f>
        <v/>
      </c>
      <c r="S313" s="4" t="str">
        <f>HYPERLINK("http://141.218.60.56/~jnz1568/getInfo.php?workbook=16_15.xlsx&amp;sheet=A0&amp;row=313&amp;col=19&amp;number=&amp;sourceID=57","")</f>
        <v/>
      </c>
      <c r="T313" s="4" t="str">
        <f>HYPERLINK("http://141.218.60.56/~jnz1568/getInfo.php?workbook=16_15.xlsx&amp;sheet=A0&amp;row=313&amp;col=20&amp;number=&amp;sourceID=57","")</f>
        <v/>
      </c>
      <c r="U313" s="4" t="str">
        <f>HYPERLINK("http://141.218.60.56/~jnz1568/getInfo.php?workbook=16_15.xlsx&amp;sheet=A0&amp;row=313&amp;col=21&amp;number=&amp;sourceID=47","")</f>
        <v/>
      </c>
      <c r="V313" s="4" t="str">
        <f>HYPERLINK("http://141.218.60.56/~jnz1568/getInfo.php?workbook=16_15.xlsx&amp;sheet=A0&amp;row=313&amp;col=22&amp;number=&amp;sourceID=47","")</f>
        <v/>
      </c>
    </row>
    <row r="314" spans="1:22">
      <c r="A314" s="3">
        <v>16</v>
      </c>
      <c r="B314" s="3">
        <v>15</v>
      </c>
      <c r="C314" s="3">
        <v>28</v>
      </c>
      <c r="D314" s="3">
        <v>17</v>
      </c>
      <c r="E314" s="3">
        <f>((1/(INDEX(E0!J$4:J$73,C314,1)-INDEX(E0!J$4:J$73,D314,1))))*100000000</f>
        <v>0</v>
      </c>
      <c r="F314" s="4" t="str">
        <f>HYPERLINK("http://141.218.60.56/~jnz1568/getInfo.php?workbook=16_15.xlsx&amp;sheet=A0&amp;row=314&amp;col=6&amp;number=&amp;sourceID=54","")</f>
        <v/>
      </c>
      <c r="G314" s="4" t="str">
        <f>HYPERLINK("http://141.218.60.56/~jnz1568/getInfo.php?workbook=16_15.xlsx&amp;sheet=A0&amp;row=314&amp;col=7&amp;number=1.7784e-05&amp;sourceID=54","1.7784e-05")</f>
        <v>1.7784e-05</v>
      </c>
      <c r="H314" s="4" t="str">
        <f>HYPERLINK("http://141.218.60.56/~jnz1568/getInfo.php?workbook=16_15.xlsx&amp;sheet=A0&amp;row=314&amp;col=8&amp;number=&amp;sourceID=54","")</f>
        <v/>
      </c>
      <c r="I314" s="4" t="str">
        <f>HYPERLINK("http://141.218.60.56/~jnz1568/getInfo.php?workbook=16_15.xlsx&amp;sheet=A0&amp;row=314&amp;col=9&amp;number=&amp;sourceID=54","")</f>
        <v/>
      </c>
      <c r="J314" s="4" t="str">
        <f>HYPERLINK("http://141.218.60.56/~jnz1568/getInfo.php?workbook=16_15.xlsx&amp;sheet=A0&amp;row=314&amp;col=10&amp;number=1.8115e-05&amp;sourceID=54","1.8115e-05")</f>
        <v>1.8115e-05</v>
      </c>
      <c r="K314" s="4" t="str">
        <f>HYPERLINK("http://141.218.60.56/~jnz1568/getInfo.php?workbook=16_15.xlsx&amp;sheet=A0&amp;row=314&amp;col=11&amp;number=&amp;sourceID=54","")</f>
        <v/>
      </c>
      <c r="L314" s="4" t="str">
        <f>HYPERLINK("http://141.218.60.56/~jnz1568/getInfo.php?workbook=16_15.xlsx&amp;sheet=A0&amp;row=314&amp;col=12&amp;number=&amp;sourceID=53","")</f>
        <v/>
      </c>
      <c r="M314" s="4" t="str">
        <f>HYPERLINK("http://141.218.60.56/~jnz1568/getInfo.php?workbook=16_15.xlsx&amp;sheet=A0&amp;row=314&amp;col=13&amp;number=&amp;sourceID=53","")</f>
        <v/>
      </c>
      <c r="N314" s="4" t="str">
        <f>HYPERLINK("http://141.218.60.56/~jnz1568/getInfo.php?workbook=16_15.xlsx&amp;sheet=A0&amp;row=314&amp;col=14&amp;number=&amp;sourceID=53","")</f>
        <v/>
      </c>
      <c r="O314" s="4" t="str">
        <f>HYPERLINK("http://141.218.60.56/~jnz1568/getInfo.php?workbook=16_15.xlsx&amp;sheet=A0&amp;row=314&amp;col=15&amp;number=&amp;sourceID=55","")</f>
        <v/>
      </c>
      <c r="P314" s="4" t="str">
        <f>HYPERLINK("http://141.218.60.56/~jnz1568/getInfo.php?workbook=16_15.xlsx&amp;sheet=A0&amp;row=314&amp;col=16&amp;number=&amp;sourceID=55","")</f>
        <v/>
      </c>
      <c r="Q314" s="4" t="str">
        <f>HYPERLINK("http://141.218.60.56/~jnz1568/getInfo.php?workbook=16_15.xlsx&amp;sheet=A0&amp;row=314&amp;col=17&amp;number=&amp;sourceID=56","")</f>
        <v/>
      </c>
      <c r="R314" s="4" t="str">
        <f>HYPERLINK("http://141.218.60.56/~jnz1568/getInfo.php?workbook=16_15.xlsx&amp;sheet=A0&amp;row=314&amp;col=18&amp;number=&amp;sourceID=56","")</f>
        <v/>
      </c>
      <c r="S314" s="4" t="str">
        <f>HYPERLINK("http://141.218.60.56/~jnz1568/getInfo.php?workbook=16_15.xlsx&amp;sheet=A0&amp;row=314&amp;col=19&amp;number=&amp;sourceID=57","")</f>
        <v/>
      </c>
      <c r="T314" s="4" t="str">
        <f>HYPERLINK("http://141.218.60.56/~jnz1568/getInfo.php?workbook=16_15.xlsx&amp;sheet=A0&amp;row=314&amp;col=20&amp;number=&amp;sourceID=57","")</f>
        <v/>
      </c>
      <c r="U314" s="4" t="str">
        <f>HYPERLINK("http://141.218.60.56/~jnz1568/getInfo.php?workbook=16_15.xlsx&amp;sheet=A0&amp;row=314&amp;col=21&amp;number=&amp;sourceID=47","")</f>
        <v/>
      </c>
      <c r="V314" s="4" t="str">
        <f>HYPERLINK("http://141.218.60.56/~jnz1568/getInfo.php?workbook=16_15.xlsx&amp;sheet=A0&amp;row=314&amp;col=22&amp;number=&amp;sourceID=47","")</f>
        <v/>
      </c>
    </row>
    <row r="315" spans="1:22">
      <c r="A315" s="3">
        <v>16</v>
      </c>
      <c r="B315" s="3">
        <v>15</v>
      </c>
      <c r="C315" s="3">
        <v>28</v>
      </c>
      <c r="D315" s="3">
        <v>20</v>
      </c>
      <c r="E315" s="3">
        <f>((1/(INDEX(E0!J$4:J$73,C315,1)-INDEX(E0!J$4:J$73,D315,1))))*100000000</f>
        <v>0</v>
      </c>
      <c r="F315" s="4" t="str">
        <f>HYPERLINK("http://141.218.60.56/~jnz1568/getInfo.php?workbook=16_15.xlsx&amp;sheet=A0&amp;row=315&amp;col=6&amp;number=&amp;sourceID=54","")</f>
        <v/>
      </c>
      <c r="G315" s="4" t="str">
        <f>HYPERLINK("http://141.218.60.56/~jnz1568/getInfo.php?workbook=16_15.xlsx&amp;sheet=A0&amp;row=315&amp;col=7&amp;number=&amp;sourceID=54","")</f>
        <v/>
      </c>
      <c r="H315" s="4" t="str">
        <f>HYPERLINK("http://141.218.60.56/~jnz1568/getInfo.php?workbook=16_15.xlsx&amp;sheet=A0&amp;row=315&amp;col=8&amp;number=9.1428e-05&amp;sourceID=54","9.1428e-05")</f>
        <v>9.1428e-05</v>
      </c>
      <c r="I315" s="4" t="str">
        <f>HYPERLINK("http://141.218.60.56/~jnz1568/getInfo.php?workbook=16_15.xlsx&amp;sheet=A0&amp;row=315&amp;col=9&amp;number=&amp;sourceID=54","")</f>
        <v/>
      </c>
      <c r="J315" s="4" t="str">
        <f>HYPERLINK("http://141.218.60.56/~jnz1568/getInfo.php?workbook=16_15.xlsx&amp;sheet=A0&amp;row=315&amp;col=10&amp;number=&amp;sourceID=54","")</f>
        <v/>
      </c>
      <c r="K315" s="4" t="str">
        <f>HYPERLINK("http://141.218.60.56/~jnz1568/getInfo.php?workbook=16_15.xlsx&amp;sheet=A0&amp;row=315&amp;col=11&amp;number=9.9192e-05&amp;sourceID=54","9.9192e-05")</f>
        <v>9.9192e-05</v>
      </c>
      <c r="L315" s="4" t="str">
        <f>HYPERLINK("http://141.218.60.56/~jnz1568/getInfo.php?workbook=16_15.xlsx&amp;sheet=A0&amp;row=315&amp;col=12&amp;number=&amp;sourceID=53","")</f>
        <v/>
      </c>
      <c r="M315" s="4" t="str">
        <f>HYPERLINK("http://141.218.60.56/~jnz1568/getInfo.php?workbook=16_15.xlsx&amp;sheet=A0&amp;row=315&amp;col=13&amp;number=&amp;sourceID=53","")</f>
        <v/>
      </c>
      <c r="N315" s="4" t="str">
        <f>HYPERLINK("http://141.218.60.56/~jnz1568/getInfo.php?workbook=16_15.xlsx&amp;sheet=A0&amp;row=315&amp;col=14&amp;number=&amp;sourceID=53","")</f>
        <v/>
      </c>
      <c r="O315" s="4" t="str">
        <f>HYPERLINK("http://141.218.60.56/~jnz1568/getInfo.php?workbook=16_15.xlsx&amp;sheet=A0&amp;row=315&amp;col=15&amp;number=&amp;sourceID=55","")</f>
        <v/>
      </c>
      <c r="P315" s="4" t="str">
        <f>HYPERLINK("http://141.218.60.56/~jnz1568/getInfo.php?workbook=16_15.xlsx&amp;sheet=A0&amp;row=315&amp;col=16&amp;number=&amp;sourceID=55","")</f>
        <v/>
      </c>
      <c r="Q315" s="4" t="str">
        <f>HYPERLINK("http://141.218.60.56/~jnz1568/getInfo.php?workbook=16_15.xlsx&amp;sheet=A0&amp;row=315&amp;col=17&amp;number=&amp;sourceID=56","")</f>
        <v/>
      </c>
      <c r="R315" s="4" t="str">
        <f>HYPERLINK("http://141.218.60.56/~jnz1568/getInfo.php?workbook=16_15.xlsx&amp;sheet=A0&amp;row=315&amp;col=18&amp;number=&amp;sourceID=56","")</f>
        <v/>
      </c>
      <c r="S315" s="4" t="str">
        <f>HYPERLINK("http://141.218.60.56/~jnz1568/getInfo.php?workbook=16_15.xlsx&amp;sheet=A0&amp;row=315&amp;col=19&amp;number=&amp;sourceID=57","")</f>
        <v/>
      </c>
      <c r="T315" s="4" t="str">
        <f>HYPERLINK("http://141.218.60.56/~jnz1568/getInfo.php?workbook=16_15.xlsx&amp;sheet=A0&amp;row=315&amp;col=20&amp;number=&amp;sourceID=57","")</f>
        <v/>
      </c>
      <c r="U315" s="4" t="str">
        <f>HYPERLINK("http://141.218.60.56/~jnz1568/getInfo.php?workbook=16_15.xlsx&amp;sheet=A0&amp;row=315&amp;col=21&amp;number=&amp;sourceID=47","")</f>
        <v/>
      </c>
      <c r="V315" s="4" t="str">
        <f>HYPERLINK("http://141.218.60.56/~jnz1568/getInfo.php?workbook=16_15.xlsx&amp;sheet=A0&amp;row=315&amp;col=22&amp;number=&amp;sourceID=47","")</f>
        <v/>
      </c>
    </row>
    <row r="316" spans="1:22">
      <c r="A316" s="3">
        <v>16</v>
      </c>
      <c r="B316" s="3">
        <v>15</v>
      </c>
      <c r="C316" s="3">
        <v>28</v>
      </c>
      <c r="D316" s="3">
        <v>21</v>
      </c>
      <c r="E316" s="3">
        <f>((1/(INDEX(E0!J$4:J$73,C316,1)-INDEX(E0!J$4:J$73,D316,1))))*100000000</f>
        <v>0</v>
      </c>
      <c r="F316" s="4" t="str">
        <f>HYPERLINK("http://141.218.60.56/~jnz1568/getInfo.php?workbook=16_15.xlsx&amp;sheet=A0&amp;row=316&amp;col=6&amp;number=&amp;sourceID=54","")</f>
        <v/>
      </c>
      <c r="G316" s="4" t="str">
        <f>HYPERLINK("http://141.218.60.56/~jnz1568/getInfo.php?workbook=16_15.xlsx&amp;sheet=A0&amp;row=316&amp;col=7&amp;number=6.4681e-07&amp;sourceID=54","6.4681e-07")</f>
        <v>6.4681e-07</v>
      </c>
      <c r="H316" s="4" t="str">
        <f>HYPERLINK("http://141.218.60.56/~jnz1568/getInfo.php?workbook=16_15.xlsx&amp;sheet=A0&amp;row=316&amp;col=8&amp;number=3.5154e-05&amp;sourceID=54","3.5154e-05")</f>
        <v>3.5154e-05</v>
      </c>
      <c r="I316" s="4" t="str">
        <f>HYPERLINK("http://141.218.60.56/~jnz1568/getInfo.php?workbook=16_15.xlsx&amp;sheet=A0&amp;row=316&amp;col=9&amp;number=&amp;sourceID=54","")</f>
        <v/>
      </c>
      <c r="J316" s="4" t="str">
        <f>HYPERLINK("http://141.218.60.56/~jnz1568/getInfo.php?workbook=16_15.xlsx&amp;sheet=A0&amp;row=316&amp;col=10&amp;number=3.7136e-09&amp;sourceID=54","3.7136e-09")</f>
        <v>3.7136e-09</v>
      </c>
      <c r="K316" s="4" t="str">
        <f>HYPERLINK("http://141.218.60.56/~jnz1568/getInfo.php?workbook=16_15.xlsx&amp;sheet=A0&amp;row=316&amp;col=11&amp;number=2.1642e-05&amp;sourceID=54","2.1642e-05")</f>
        <v>2.1642e-05</v>
      </c>
      <c r="L316" s="4" t="str">
        <f>HYPERLINK("http://141.218.60.56/~jnz1568/getInfo.php?workbook=16_15.xlsx&amp;sheet=A0&amp;row=316&amp;col=12&amp;number=&amp;sourceID=53","")</f>
        <v/>
      </c>
      <c r="M316" s="4" t="str">
        <f>HYPERLINK("http://141.218.60.56/~jnz1568/getInfo.php?workbook=16_15.xlsx&amp;sheet=A0&amp;row=316&amp;col=13&amp;number=&amp;sourceID=53","")</f>
        <v/>
      </c>
      <c r="N316" s="4" t="str">
        <f>HYPERLINK("http://141.218.60.56/~jnz1568/getInfo.php?workbook=16_15.xlsx&amp;sheet=A0&amp;row=316&amp;col=14&amp;number=&amp;sourceID=53","")</f>
        <v/>
      </c>
      <c r="O316" s="4" t="str">
        <f>HYPERLINK("http://141.218.60.56/~jnz1568/getInfo.php?workbook=16_15.xlsx&amp;sheet=A0&amp;row=316&amp;col=15&amp;number=&amp;sourceID=55","")</f>
        <v/>
      </c>
      <c r="P316" s="4" t="str">
        <f>HYPERLINK("http://141.218.60.56/~jnz1568/getInfo.php?workbook=16_15.xlsx&amp;sheet=A0&amp;row=316&amp;col=16&amp;number=&amp;sourceID=55","")</f>
        <v/>
      </c>
      <c r="Q316" s="4" t="str">
        <f>HYPERLINK("http://141.218.60.56/~jnz1568/getInfo.php?workbook=16_15.xlsx&amp;sheet=A0&amp;row=316&amp;col=17&amp;number=&amp;sourceID=56","")</f>
        <v/>
      </c>
      <c r="R316" s="4" t="str">
        <f>HYPERLINK("http://141.218.60.56/~jnz1568/getInfo.php?workbook=16_15.xlsx&amp;sheet=A0&amp;row=316&amp;col=18&amp;number=&amp;sourceID=56","")</f>
        <v/>
      </c>
      <c r="S316" s="4" t="str">
        <f>HYPERLINK("http://141.218.60.56/~jnz1568/getInfo.php?workbook=16_15.xlsx&amp;sheet=A0&amp;row=316&amp;col=19&amp;number=&amp;sourceID=57","")</f>
        <v/>
      </c>
      <c r="T316" s="4" t="str">
        <f>HYPERLINK("http://141.218.60.56/~jnz1568/getInfo.php?workbook=16_15.xlsx&amp;sheet=A0&amp;row=316&amp;col=20&amp;number=&amp;sourceID=57","")</f>
        <v/>
      </c>
      <c r="U316" s="4" t="str">
        <f>HYPERLINK("http://141.218.60.56/~jnz1568/getInfo.php?workbook=16_15.xlsx&amp;sheet=A0&amp;row=316&amp;col=21&amp;number=&amp;sourceID=47","")</f>
        <v/>
      </c>
      <c r="V316" s="4" t="str">
        <f>HYPERLINK("http://141.218.60.56/~jnz1568/getInfo.php?workbook=16_15.xlsx&amp;sheet=A0&amp;row=316&amp;col=22&amp;number=&amp;sourceID=47","")</f>
        <v/>
      </c>
    </row>
    <row r="317" spans="1:22">
      <c r="A317" s="3">
        <v>16</v>
      </c>
      <c r="B317" s="3">
        <v>15</v>
      </c>
      <c r="C317" s="3">
        <v>28</v>
      </c>
      <c r="D317" s="3">
        <v>22</v>
      </c>
      <c r="E317" s="3">
        <f>((1/(INDEX(E0!J$4:J$73,C317,1)-INDEX(E0!J$4:J$73,D317,1))))*100000000</f>
        <v>0</v>
      </c>
      <c r="F317" s="4" t="str">
        <f>HYPERLINK("http://141.218.60.56/~jnz1568/getInfo.php?workbook=16_15.xlsx&amp;sheet=A0&amp;row=317&amp;col=6&amp;number=&amp;sourceID=54","")</f>
        <v/>
      </c>
      <c r="G317" s="4" t="str">
        <f>HYPERLINK("http://141.218.60.56/~jnz1568/getInfo.php?workbook=16_15.xlsx&amp;sheet=A0&amp;row=317&amp;col=7&amp;number=&amp;sourceID=54","")</f>
        <v/>
      </c>
      <c r="H317" s="4" t="str">
        <f>HYPERLINK("http://141.218.60.56/~jnz1568/getInfo.php?workbook=16_15.xlsx&amp;sheet=A0&amp;row=317&amp;col=8&amp;number=1.4417e-05&amp;sourceID=54","1.4417e-05")</f>
        <v>1.4417e-05</v>
      </c>
      <c r="I317" s="4" t="str">
        <f>HYPERLINK("http://141.218.60.56/~jnz1568/getInfo.php?workbook=16_15.xlsx&amp;sheet=A0&amp;row=317&amp;col=9&amp;number=&amp;sourceID=54","")</f>
        <v/>
      </c>
      <c r="J317" s="4" t="str">
        <f>HYPERLINK("http://141.218.60.56/~jnz1568/getInfo.php?workbook=16_15.xlsx&amp;sheet=A0&amp;row=317&amp;col=10&amp;number=&amp;sourceID=54","")</f>
        <v/>
      </c>
      <c r="K317" s="4" t="str">
        <f>HYPERLINK("http://141.218.60.56/~jnz1568/getInfo.php?workbook=16_15.xlsx&amp;sheet=A0&amp;row=317&amp;col=11&amp;number=1.1998e-05&amp;sourceID=54","1.1998e-05")</f>
        <v>1.1998e-05</v>
      </c>
      <c r="L317" s="4" t="str">
        <f>HYPERLINK("http://141.218.60.56/~jnz1568/getInfo.php?workbook=16_15.xlsx&amp;sheet=A0&amp;row=317&amp;col=12&amp;number=&amp;sourceID=53","")</f>
        <v/>
      </c>
      <c r="M317" s="4" t="str">
        <f>HYPERLINK("http://141.218.60.56/~jnz1568/getInfo.php?workbook=16_15.xlsx&amp;sheet=A0&amp;row=317&amp;col=13&amp;number=&amp;sourceID=53","")</f>
        <v/>
      </c>
      <c r="N317" s="4" t="str">
        <f>HYPERLINK("http://141.218.60.56/~jnz1568/getInfo.php?workbook=16_15.xlsx&amp;sheet=A0&amp;row=317&amp;col=14&amp;number=&amp;sourceID=53","")</f>
        <v/>
      </c>
      <c r="O317" s="4" t="str">
        <f>HYPERLINK("http://141.218.60.56/~jnz1568/getInfo.php?workbook=16_15.xlsx&amp;sheet=A0&amp;row=317&amp;col=15&amp;number=&amp;sourceID=55","")</f>
        <v/>
      </c>
      <c r="P317" s="4" t="str">
        <f>HYPERLINK("http://141.218.60.56/~jnz1568/getInfo.php?workbook=16_15.xlsx&amp;sheet=A0&amp;row=317&amp;col=16&amp;number=&amp;sourceID=55","")</f>
        <v/>
      </c>
      <c r="Q317" s="4" t="str">
        <f>HYPERLINK("http://141.218.60.56/~jnz1568/getInfo.php?workbook=16_15.xlsx&amp;sheet=A0&amp;row=317&amp;col=17&amp;number=&amp;sourceID=56","")</f>
        <v/>
      </c>
      <c r="R317" s="4" t="str">
        <f>HYPERLINK("http://141.218.60.56/~jnz1568/getInfo.php?workbook=16_15.xlsx&amp;sheet=A0&amp;row=317&amp;col=18&amp;number=&amp;sourceID=56","")</f>
        <v/>
      </c>
      <c r="S317" s="4" t="str">
        <f>HYPERLINK("http://141.218.60.56/~jnz1568/getInfo.php?workbook=16_15.xlsx&amp;sheet=A0&amp;row=317&amp;col=19&amp;number=&amp;sourceID=57","")</f>
        <v/>
      </c>
      <c r="T317" s="4" t="str">
        <f>HYPERLINK("http://141.218.60.56/~jnz1568/getInfo.php?workbook=16_15.xlsx&amp;sheet=A0&amp;row=317&amp;col=20&amp;number=&amp;sourceID=57","")</f>
        <v/>
      </c>
      <c r="U317" s="4" t="str">
        <f>HYPERLINK("http://141.218.60.56/~jnz1568/getInfo.php?workbook=16_15.xlsx&amp;sheet=A0&amp;row=317&amp;col=21&amp;number=&amp;sourceID=47","")</f>
        <v/>
      </c>
      <c r="V317" s="4" t="str">
        <f>HYPERLINK("http://141.218.60.56/~jnz1568/getInfo.php?workbook=16_15.xlsx&amp;sheet=A0&amp;row=317&amp;col=22&amp;number=&amp;sourceID=47","")</f>
        <v/>
      </c>
    </row>
    <row r="318" spans="1:22">
      <c r="A318" s="3">
        <v>16</v>
      </c>
      <c r="B318" s="3">
        <v>15</v>
      </c>
      <c r="C318" s="3">
        <v>28</v>
      </c>
      <c r="D318" s="3">
        <v>23</v>
      </c>
      <c r="E318" s="3">
        <f>((1/(INDEX(E0!J$4:J$73,C318,1)-INDEX(E0!J$4:J$73,D318,1))))*100000000</f>
        <v>0</v>
      </c>
      <c r="F318" s="4" t="str">
        <f>HYPERLINK("http://141.218.60.56/~jnz1568/getInfo.php?workbook=16_15.xlsx&amp;sheet=A0&amp;row=318&amp;col=6&amp;number=&amp;sourceID=54","")</f>
        <v/>
      </c>
      <c r="G318" s="4" t="str">
        <f>HYPERLINK("http://141.218.60.56/~jnz1568/getInfo.php?workbook=16_15.xlsx&amp;sheet=A0&amp;row=318&amp;col=7&amp;number=3.0339e-08&amp;sourceID=54","3.0339e-08")</f>
        <v>3.0339e-08</v>
      </c>
      <c r="H318" s="4" t="str">
        <f>HYPERLINK("http://141.218.60.56/~jnz1568/getInfo.php?workbook=16_15.xlsx&amp;sheet=A0&amp;row=318&amp;col=8&amp;number=1.0113e-05&amp;sourceID=54","1.0113e-05")</f>
        <v>1.0113e-05</v>
      </c>
      <c r="I318" s="4" t="str">
        <f>HYPERLINK("http://141.218.60.56/~jnz1568/getInfo.php?workbook=16_15.xlsx&amp;sheet=A0&amp;row=318&amp;col=9&amp;number=&amp;sourceID=54","")</f>
        <v/>
      </c>
      <c r="J318" s="4" t="str">
        <f>HYPERLINK("http://141.218.60.56/~jnz1568/getInfo.php?workbook=16_15.xlsx&amp;sheet=A0&amp;row=318&amp;col=10&amp;number=3.9423e-08&amp;sourceID=54","3.9423e-08")</f>
        <v>3.9423e-08</v>
      </c>
      <c r="K318" s="4" t="str">
        <f>HYPERLINK("http://141.218.60.56/~jnz1568/getInfo.php?workbook=16_15.xlsx&amp;sheet=A0&amp;row=318&amp;col=11&amp;number=7.0315e-08&amp;sourceID=54","7.0315e-08")</f>
        <v>7.0315e-08</v>
      </c>
      <c r="L318" s="4" t="str">
        <f>HYPERLINK("http://141.218.60.56/~jnz1568/getInfo.php?workbook=16_15.xlsx&amp;sheet=A0&amp;row=318&amp;col=12&amp;number=&amp;sourceID=53","")</f>
        <v/>
      </c>
      <c r="M318" s="4" t="str">
        <f>HYPERLINK("http://141.218.60.56/~jnz1568/getInfo.php?workbook=16_15.xlsx&amp;sheet=A0&amp;row=318&amp;col=13&amp;number=&amp;sourceID=53","")</f>
        <v/>
      </c>
      <c r="N318" s="4" t="str">
        <f>HYPERLINK("http://141.218.60.56/~jnz1568/getInfo.php?workbook=16_15.xlsx&amp;sheet=A0&amp;row=318&amp;col=14&amp;number=&amp;sourceID=53","")</f>
        <v/>
      </c>
      <c r="O318" s="4" t="str">
        <f>HYPERLINK("http://141.218.60.56/~jnz1568/getInfo.php?workbook=16_15.xlsx&amp;sheet=A0&amp;row=318&amp;col=15&amp;number=&amp;sourceID=55","")</f>
        <v/>
      </c>
      <c r="P318" s="4" t="str">
        <f>HYPERLINK("http://141.218.60.56/~jnz1568/getInfo.php?workbook=16_15.xlsx&amp;sheet=A0&amp;row=318&amp;col=16&amp;number=&amp;sourceID=55","")</f>
        <v/>
      </c>
      <c r="Q318" s="4" t="str">
        <f>HYPERLINK("http://141.218.60.56/~jnz1568/getInfo.php?workbook=16_15.xlsx&amp;sheet=A0&amp;row=318&amp;col=17&amp;number=&amp;sourceID=56","")</f>
        <v/>
      </c>
      <c r="R318" s="4" t="str">
        <f>HYPERLINK("http://141.218.60.56/~jnz1568/getInfo.php?workbook=16_15.xlsx&amp;sheet=A0&amp;row=318&amp;col=18&amp;number=&amp;sourceID=56","")</f>
        <v/>
      </c>
      <c r="S318" s="4" t="str">
        <f>HYPERLINK("http://141.218.60.56/~jnz1568/getInfo.php?workbook=16_15.xlsx&amp;sheet=A0&amp;row=318&amp;col=19&amp;number=&amp;sourceID=57","")</f>
        <v/>
      </c>
      <c r="T318" s="4" t="str">
        <f>HYPERLINK("http://141.218.60.56/~jnz1568/getInfo.php?workbook=16_15.xlsx&amp;sheet=A0&amp;row=318&amp;col=20&amp;number=&amp;sourceID=57","")</f>
        <v/>
      </c>
      <c r="U318" s="4" t="str">
        <f>HYPERLINK("http://141.218.60.56/~jnz1568/getInfo.php?workbook=16_15.xlsx&amp;sheet=A0&amp;row=318&amp;col=21&amp;number=&amp;sourceID=47","")</f>
        <v/>
      </c>
      <c r="V318" s="4" t="str">
        <f>HYPERLINK("http://141.218.60.56/~jnz1568/getInfo.php?workbook=16_15.xlsx&amp;sheet=A0&amp;row=318&amp;col=22&amp;number=&amp;sourceID=47","")</f>
        <v/>
      </c>
    </row>
    <row r="319" spans="1:22">
      <c r="A319" s="3">
        <v>16</v>
      </c>
      <c r="B319" s="3">
        <v>15</v>
      </c>
      <c r="C319" s="3">
        <v>28</v>
      </c>
      <c r="D319" s="3">
        <v>24</v>
      </c>
      <c r="E319" s="3">
        <f>((1/(INDEX(E0!J$4:J$73,C319,1)-INDEX(E0!J$4:J$73,D319,1))))*100000000</f>
        <v>0</v>
      </c>
      <c r="F319" s="4" t="str">
        <f>HYPERLINK("http://141.218.60.56/~jnz1568/getInfo.php?workbook=16_15.xlsx&amp;sheet=A0&amp;row=319&amp;col=6&amp;number=&amp;sourceID=54","")</f>
        <v/>
      </c>
      <c r="G319" s="4" t="str">
        <f>HYPERLINK("http://141.218.60.56/~jnz1568/getInfo.php?workbook=16_15.xlsx&amp;sheet=A0&amp;row=319&amp;col=7&amp;number=1.8068e-07&amp;sourceID=54","1.8068e-07")</f>
        <v>1.8068e-07</v>
      </c>
      <c r="H319" s="4" t="str">
        <f>HYPERLINK("http://141.218.60.56/~jnz1568/getInfo.php?workbook=16_15.xlsx&amp;sheet=A0&amp;row=319&amp;col=8&amp;number=&amp;sourceID=54","")</f>
        <v/>
      </c>
      <c r="I319" s="4" t="str">
        <f>HYPERLINK("http://141.218.60.56/~jnz1568/getInfo.php?workbook=16_15.xlsx&amp;sheet=A0&amp;row=319&amp;col=9&amp;number=&amp;sourceID=54","")</f>
        <v/>
      </c>
      <c r="J319" s="4" t="str">
        <f>HYPERLINK("http://141.218.60.56/~jnz1568/getInfo.php?workbook=16_15.xlsx&amp;sheet=A0&amp;row=319&amp;col=10&amp;number=8.3771e-08&amp;sourceID=54","8.3771e-08")</f>
        <v>8.3771e-08</v>
      </c>
      <c r="K319" s="4" t="str">
        <f>HYPERLINK("http://141.218.60.56/~jnz1568/getInfo.php?workbook=16_15.xlsx&amp;sheet=A0&amp;row=319&amp;col=11&amp;number=&amp;sourceID=54","")</f>
        <v/>
      </c>
      <c r="L319" s="4" t="str">
        <f>HYPERLINK("http://141.218.60.56/~jnz1568/getInfo.php?workbook=16_15.xlsx&amp;sheet=A0&amp;row=319&amp;col=12&amp;number=&amp;sourceID=53","")</f>
        <v/>
      </c>
      <c r="M319" s="4" t="str">
        <f>HYPERLINK("http://141.218.60.56/~jnz1568/getInfo.php?workbook=16_15.xlsx&amp;sheet=A0&amp;row=319&amp;col=13&amp;number=&amp;sourceID=53","")</f>
        <v/>
      </c>
      <c r="N319" s="4" t="str">
        <f>HYPERLINK("http://141.218.60.56/~jnz1568/getInfo.php?workbook=16_15.xlsx&amp;sheet=A0&amp;row=319&amp;col=14&amp;number=&amp;sourceID=53","")</f>
        <v/>
      </c>
      <c r="O319" s="4" t="str">
        <f>HYPERLINK("http://141.218.60.56/~jnz1568/getInfo.php?workbook=16_15.xlsx&amp;sheet=A0&amp;row=319&amp;col=15&amp;number=&amp;sourceID=55","")</f>
        <v/>
      </c>
      <c r="P319" s="4" t="str">
        <f>HYPERLINK("http://141.218.60.56/~jnz1568/getInfo.php?workbook=16_15.xlsx&amp;sheet=A0&amp;row=319&amp;col=16&amp;number=&amp;sourceID=55","")</f>
        <v/>
      </c>
      <c r="Q319" s="4" t="str">
        <f>HYPERLINK("http://141.218.60.56/~jnz1568/getInfo.php?workbook=16_15.xlsx&amp;sheet=A0&amp;row=319&amp;col=17&amp;number=&amp;sourceID=56","")</f>
        <v/>
      </c>
      <c r="R319" s="4" t="str">
        <f>HYPERLINK("http://141.218.60.56/~jnz1568/getInfo.php?workbook=16_15.xlsx&amp;sheet=A0&amp;row=319&amp;col=18&amp;number=&amp;sourceID=56","")</f>
        <v/>
      </c>
      <c r="S319" s="4" t="str">
        <f>HYPERLINK("http://141.218.60.56/~jnz1568/getInfo.php?workbook=16_15.xlsx&amp;sheet=A0&amp;row=319&amp;col=19&amp;number=&amp;sourceID=57","")</f>
        <v/>
      </c>
      <c r="T319" s="4" t="str">
        <f>HYPERLINK("http://141.218.60.56/~jnz1568/getInfo.php?workbook=16_15.xlsx&amp;sheet=A0&amp;row=319&amp;col=20&amp;number=&amp;sourceID=57","")</f>
        <v/>
      </c>
      <c r="U319" s="4" t="str">
        <f>HYPERLINK("http://141.218.60.56/~jnz1568/getInfo.php?workbook=16_15.xlsx&amp;sheet=A0&amp;row=319&amp;col=21&amp;number=&amp;sourceID=47","")</f>
        <v/>
      </c>
      <c r="V319" s="4" t="str">
        <f>HYPERLINK("http://141.218.60.56/~jnz1568/getInfo.php?workbook=16_15.xlsx&amp;sheet=A0&amp;row=319&amp;col=22&amp;number=&amp;sourceID=47","")</f>
        <v/>
      </c>
    </row>
    <row r="320" spans="1:22">
      <c r="A320" s="3">
        <v>16</v>
      </c>
      <c r="B320" s="3">
        <v>15</v>
      </c>
      <c r="C320" s="3">
        <v>28</v>
      </c>
      <c r="D320" s="3">
        <v>26</v>
      </c>
      <c r="E320" s="3">
        <f>((1/(INDEX(E0!J$4:J$73,C320,1)-INDEX(E0!J$4:J$73,D320,1))))*100000000</f>
        <v>0</v>
      </c>
      <c r="F320" s="4" t="str">
        <f>HYPERLINK("http://141.218.60.56/~jnz1568/getInfo.php?workbook=16_15.xlsx&amp;sheet=A0&amp;row=320&amp;col=6&amp;number=&amp;sourceID=54","")</f>
        <v/>
      </c>
      <c r="G320" s="4" t="str">
        <f>HYPERLINK("http://141.218.60.56/~jnz1568/getInfo.php?workbook=16_15.xlsx&amp;sheet=A0&amp;row=320&amp;col=7&amp;number=1.3524e-07&amp;sourceID=54","1.3524e-07")</f>
        <v>1.3524e-07</v>
      </c>
      <c r="H320" s="4" t="str">
        <f>HYPERLINK("http://141.218.60.56/~jnz1568/getInfo.php?workbook=16_15.xlsx&amp;sheet=A0&amp;row=320&amp;col=8&amp;number=&amp;sourceID=54","")</f>
        <v/>
      </c>
      <c r="I320" s="4" t="str">
        <f>HYPERLINK("http://141.218.60.56/~jnz1568/getInfo.php?workbook=16_15.xlsx&amp;sheet=A0&amp;row=320&amp;col=9&amp;number=&amp;sourceID=54","")</f>
        <v/>
      </c>
      <c r="J320" s="4" t="str">
        <f>HYPERLINK("http://141.218.60.56/~jnz1568/getInfo.php?workbook=16_15.xlsx&amp;sheet=A0&amp;row=320&amp;col=10&amp;number=9.1266e-08&amp;sourceID=54","9.1266e-08")</f>
        <v>9.1266e-08</v>
      </c>
      <c r="K320" s="4" t="str">
        <f>HYPERLINK("http://141.218.60.56/~jnz1568/getInfo.php?workbook=16_15.xlsx&amp;sheet=A0&amp;row=320&amp;col=11&amp;number=&amp;sourceID=54","")</f>
        <v/>
      </c>
      <c r="L320" s="4" t="str">
        <f>HYPERLINK("http://141.218.60.56/~jnz1568/getInfo.php?workbook=16_15.xlsx&amp;sheet=A0&amp;row=320&amp;col=12&amp;number=&amp;sourceID=53","")</f>
        <v/>
      </c>
      <c r="M320" s="4" t="str">
        <f>HYPERLINK("http://141.218.60.56/~jnz1568/getInfo.php?workbook=16_15.xlsx&amp;sheet=A0&amp;row=320&amp;col=13&amp;number=&amp;sourceID=53","")</f>
        <v/>
      </c>
      <c r="N320" s="4" t="str">
        <f>HYPERLINK("http://141.218.60.56/~jnz1568/getInfo.php?workbook=16_15.xlsx&amp;sheet=A0&amp;row=320&amp;col=14&amp;number=&amp;sourceID=53","")</f>
        <v/>
      </c>
      <c r="O320" s="4" t="str">
        <f>HYPERLINK("http://141.218.60.56/~jnz1568/getInfo.php?workbook=16_15.xlsx&amp;sheet=A0&amp;row=320&amp;col=15&amp;number=&amp;sourceID=55","")</f>
        <v/>
      </c>
      <c r="P320" s="4" t="str">
        <f>HYPERLINK("http://141.218.60.56/~jnz1568/getInfo.php?workbook=16_15.xlsx&amp;sheet=A0&amp;row=320&amp;col=16&amp;number=&amp;sourceID=55","")</f>
        <v/>
      </c>
      <c r="Q320" s="4" t="str">
        <f>HYPERLINK("http://141.218.60.56/~jnz1568/getInfo.php?workbook=16_15.xlsx&amp;sheet=A0&amp;row=320&amp;col=17&amp;number=&amp;sourceID=56","")</f>
        <v/>
      </c>
      <c r="R320" s="4" t="str">
        <f>HYPERLINK("http://141.218.60.56/~jnz1568/getInfo.php?workbook=16_15.xlsx&amp;sheet=A0&amp;row=320&amp;col=18&amp;number=&amp;sourceID=56","")</f>
        <v/>
      </c>
      <c r="S320" s="4" t="str">
        <f>HYPERLINK("http://141.218.60.56/~jnz1568/getInfo.php?workbook=16_15.xlsx&amp;sheet=A0&amp;row=320&amp;col=19&amp;number=&amp;sourceID=57","")</f>
        <v/>
      </c>
      <c r="T320" s="4" t="str">
        <f>HYPERLINK("http://141.218.60.56/~jnz1568/getInfo.php?workbook=16_15.xlsx&amp;sheet=A0&amp;row=320&amp;col=20&amp;number=&amp;sourceID=57","")</f>
        <v/>
      </c>
      <c r="U320" s="4" t="str">
        <f>HYPERLINK("http://141.218.60.56/~jnz1568/getInfo.php?workbook=16_15.xlsx&amp;sheet=A0&amp;row=320&amp;col=21&amp;number=&amp;sourceID=47","")</f>
        <v/>
      </c>
      <c r="V320" s="4" t="str">
        <f>HYPERLINK("http://141.218.60.56/~jnz1568/getInfo.php?workbook=16_15.xlsx&amp;sheet=A0&amp;row=320&amp;col=22&amp;number=&amp;sourceID=47","")</f>
        <v/>
      </c>
    </row>
    <row r="321" spans="1:22">
      <c r="A321" s="3">
        <v>16</v>
      </c>
      <c r="B321" s="3">
        <v>15</v>
      </c>
      <c r="C321" s="3">
        <v>29</v>
      </c>
      <c r="D321" s="3">
        <v>1</v>
      </c>
      <c r="E321" s="3">
        <f>((1/(INDEX(E0!J$4:J$73,C321,1)-INDEX(E0!J$4:J$73,D321,1))))*100000000</f>
        <v>0</v>
      </c>
      <c r="F321" s="4" t="str">
        <f>HYPERLINK("http://141.218.60.56/~jnz1568/getInfo.php?workbook=16_15.xlsx&amp;sheet=A0&amp;row=321&amp;col=6&amp;number=215470&amp;sourceID=54","215470")</f>
        <v>215470</v>
      </c>
      <c r="G321" s="4" t="str">
        <f>HYPERLINK("http://141.218.60.56/~jnz1568/getInfo.php?workbook=16_15.xlsx&amp;sheet=A0&amp;row=321&amp;col=7&amp;number=&amp;sourceID=54","")</f>
        <v/>
      </c>
      <c r="H321" s="4" t="str">
        <f>HYPERLINK("http://141.218.60.56/~jnz1568/getInfo.php?workbook=16_15.xlsx&amp;sheet=A0&amp;row=321&amp;col=8&amp;number=&amp;sourceID=54","")</f>
        <v/>
      </c>
      <c r="I321" s="4" t="str">
        <f>HYPERLINK("http://141.218.60.56/~jnz1568/getInfo.php?workbook=16_15.xlsx&amp;sheet=A0&amp;row=321&amp;col=9&amp;number=226380&amp;sourceID=54","226380")</f>
        <v>226380</v>
      </c>
      <c r="J321" s="4" t="str">
        <f>HYPERLINK("http://141.218.60.56/~jnz1568/getInfo.php?workbook=16_15.xlsx&amp;sheet=A0&amp;row=321&amp;col=10&amp;number=&amp;sourceID=54","")</f>
        <v/>
      </c>
      <c r="K321" s="4" t="str">
        <f>HYPERLINK("http://141.218.60.56/~jnz1568/getInfo.php?workbook=16_15.xlsx&amp;sheet=A0&amp;row=321&amp;col=11&amp;number=&amp;sourceID=54","")</f>
        <v/>
      </c>
      <c r="L321" s="4" t="str">
        <f>HYPERLINK("http://141.218.60.56/~jnz1568/getInfo.php?workbook=16_15.xlsx&amp;sheet=A0&amp;row=321&amp;col=12&amp;number=247293.286547&amp;sourceID=53","247293.286547")</f>
        <v>247293.286547</v>
      </c>
      <c r="M321" s="4" t="str">
        <f>HYPERLINK("http://141.218.60.56/~jnz1568/getInfo.php?workbook=16_15.xlsx&amp;sheet=A0&amp;row=321&amp;col=13&amp;number=&amp;sourceID=53","")</f>
        <v/>
      </c>
      <c r="N321" s="4" t="str">
        <f>HYPERLINK("http://141.218.60.56/~jnz1568/getInfo.php?workbook=16_15.xlsx&amp;sheet=A0&amp;row=321&amp;col=14&amp;number=&amp;sourceID=53","")</f>
        <v/>
      </c>
      <c r="O321" s="4" t="str">
        <f>HYPERLINK("http://141.218.60.56/~jnz1568/getInfo.php?workbook=16_15.xlsx&amp;sheet=A0&amp;row=321&amp;col=15&amp;number=&amp;sourceID=55","")</f>
        <v/>
      </c>
      <c r="P321" s="4" t="str">
        <f>HYPERLINK("http://141.218.60.56/~jnz1568/getInfo.php?workbook=16_15.xlsx&amp;sheet=A0&amp;row=321&amp;col=16&amp;number=&amp;sourceID=55","")</f>
        <v/>
      </c>
      <c r="Q321" s="4" t="str">
        <f>HYPERLINK("http://141.218.60.56/~jnz1568/getInfo.php?workbook=16_15.xlsx&amp;sheet=A0&amp;row=321&amp;col=17&amp;number=&amp;sourceID=56","")</f>
        <v/>
      </c>
      <c r="R321" s="4" t="str">
        <f>HYPERLINK("http://141.218.60.56/~jnz1568/getInfo.php?workbook=16_15.xlsx&amp;sheet=A0&amp;row=321&amp;col=18&amp;number=&amp;sourceID=56","")</f>
        <v/>
      </c>
      <c r="S321" s="4" t="str">
        <f>HYPERLINK("http://141.218.60.56/~jnz1568/getInfo.php?workbook=16_15.xlsx&amp;sheet=A0&amp;row=321&amp;col=19&amp;number=&amp;sourceID=57","")</f>
        <v/>
      </c>
      <c r="T321" s="4" t="str">
        <f>HYPERLINK("http://141.218.60.56/~jnz1568/getInfo.php?workbook=16_15.xlsx&amp;sheet=A0&amp;row=321&amp;col=20&amp;number=&amp;sourceID=57","")</f>
        <v/>
      </c>
      <c r="U321" s="4" t="str">
        <f>HYPERLINK("http://141.218.60.56/~jnz1568/getInfo.php?workbook=16_15.xlsx&amp;sheet=A0&amp;row=321&amp;col=21&amp;number=&amp;sourceID=47","")</f>
        <v/>
      </c>
      <c r="V321" s="4" t="str">
        <f>HYPERLINK("http://141.218.60.56/~jnz1568/getInfo.php?workbook=16_15.xlsx&amp;sheet=A0&amp;row=321&amp;col=22&amp;number=&amp;sourceID=47","")</f>
        <v/>
      </c>
    </row>
    <row r="322" spans="1:22">
      <c r="A322" s="3">
        <v>16</v>
      </c>
      <c r="B322" s="3">
        <v>15</v>
      </c>
      <c r="C322" s="3">
        <v>29</v>
      </c>
      <c r="D322" s="3">
        <v>2</v>
      </c>
      <c r="E322" s="3">
        <f>((1/(INDEX(E0!J$4:J$73,C322,1)-INDEX(E0!J$4:J$73,D322,1))))*100000000</f>
        <v>0</v>
      </c>
      <c r="F322" s="4" t="str">
        <f>HYPERLINK("http://141.218.60.56/~jnz1568/getInfo.php?workbook=16_15.xlsx&amp;sheet=A0&amp;row=322&amp;col=6&amp;number=1117800000&amp;sourceID=54","1117800000")</f>
        <v>1117800000</v>
      </c>
      <c r="G322" s="4" t="str">
        <f>HYPERLINK("http://141.218.60.56/~jnz1568/getInfo.php?workbook=16_15.xlsx&amp;sheet=A0&amp;row=322&amp;col=7&amp;number=&amp;sourceID=54","")</f>
        <v/>
      </c>
      <c r="H322" s="4" t="str">
        <f>HYPERLINK("http://141.218.60.56/~jnz1568/getInfo.php?workbook=16_15.xlsx&amp;sheet=A0&amp;row=322&amp;col=8&amp;number=&amp;sourceID=54","")</f>
        <v/>
      </c>
      <c r="I322" s="4" t="str">
        <f>HYPERLINK("http://141.218.60.56/~jnz1568/getInfo.php?workbook=16_15.xlsx&amp;sheet=A0&amp;row=322&amp;col=9&amp;number=1138900000&amp;sourceID=54","1138900000")</f>
        <v>1138900000</v>
      </c>
      <c r="J322" s="4" t="str">
        <f>HYPERLINK("http://141.218.60.56/~jnz1568/getInfo.php?workbook=16_15.xlsx&amp;sheet=A0&amp;row=322&amp;col=10&amp;number=&amp;sourceID=54","")</f>
        <v/>
      </c>
      <c r="K322" s="4" t="str">
        <f>HYPERLINK("http://141.218.60.56/~jnz1568/getInfo.php?workbook=16_15.xlsx&amp;sheet=A0&amp;row=322&amp;col=11&amp;number=&amp;sourceID=54","")</f>
        <v/>
      </c>
      <c r="L322" s="4" t="str">
        <f>HYPERLINK("http://141.218.60.56/~jnz1568/getInfo.php?workbook=16_15.xlsx&amp;sheet=A0&amp;row=322&amp;col=12&amp;number=1131415060.32&amp;sourceID=53","1131415060.32")</f>
        <v>1131415060.32</v>
      </c>
      <c r="M322" s="4" t="str">
        <f>HYPERLINK("http://141.218.60.56/~jnz1568/getInfo.php?workbook=16_15.xlsx&amp;sheet=A0&amp;row=322&amp;col=13&amp;number=&amp;sourceID=53","")</f>
        <v/>
      </c>
      <c r="N322" s="4" t="str">
        <f>HYPERLINK("http://141.218.60.56/~jnz1568/getInfo.php?workbook=16_15.xlsx&amp;sheet=A0&amp;row=322&amp;col=14&amp;number=&amp;sourceID=53","")</f>
        <v/>
      </c>
      <c r="O322" s="4" t="str">
        <f>HYPERLINK("http://141.218.60.56/~jnz1568/getInfo.php?workbook=16_15.xlsx&amp;sheet=A0&amp;row=322&amp;col=15&amp;number=&amp;sourceID=55","")</f>
        <v/>
      </c>
      <c r="P322" s="4" t="str">
        <f>HYPERLINK("http://141.218.60.56/~jnz1568/getInfo.php?workbook=16_15.xlsx&amp;sheet=A0&amp;row=322&amp;col=16&amp;number=&amp;sourceID=55","")</f>
        <v/>
      </c>
      <c r="Q322" s="4" t="str">
        <f>HYPERLINK("http://141.218.60.56/~jnz1568/getInfo.php?workbook=16_15.xlsx&amp;sheet=A0&amp;row=322&amp;col=17&amp;number=&amp;sourceID=56","")</f>
        <v/>
      </c>
      <c r="R322" s="4" t="str">
        <f>HYPERLINK("http://141.218.60.56/~jnz1568/getInfo.php?workbook=16_15.xlsx&amp;sheet=A0&amp;row=322&amp;col=18&amp;number=&amp;sourceID=56","")</f>
        <v/>
      </c>
      <c r="S322" s="4" t="str">
        <f>HYPERLINK("http://141.218.60.56/~jnz1568/getInfo.php?workbook=16_15.xlsx&amp;sheet=A0&amp;row=322&amp;col=19&amp;number=&amp;sourceID=57","")</f>
        <v/>
      </c>
      <c r="T322" s="4" t="str">
        <f>HYPERLINK("http://141.218.60.56/~jnz1568/getInfo.php?workbook=16_15.xlsx&amp;sheet=A0&amp;row=322&amp;col=20&amp;number=&amp;sourceID=57","")</f>
        <v/>
      </c>
      <c r="U322" s="4" t="str">
        <f>HYPERLINK("http://141.218.60.56/~jnz1568/getInfo.php?workbook=16_15.xlsx&amp;sheet=A0&amp;row=322&amp;col=21&amp;number=&amp;sourceID=47","")</f>
        <v/>
      </c>
      <c r="V322" s="4" t="str">
        <f>HYPERLINK("http://141.218.60.56/~jnz1568/getInfo.php?workbook=16_15.xlsx&amp;sheet=A0&amp;row=322&amp;col=22&amp;number=&amp;sourceID=47","")</f>
        <v/>
      </c>
    </row>
    <row r="323" spans="1:22">
      <c r="A323" s="3">
        <v>16</v>
      </c>
      <c r="B323" s="3">
        <v>15</v>
      </c>
      <c r="C323" s="3">
        <v>29</v>
      </c>
      <c r="D323" s="3">
        <v>3</v>
      </c>
      <c r="E323" s="3">
        <f>((1/(INDEX(E0!J$4:J$73,C323,1)-INDEX(E0!J$4:J$73,D323,1))))*100000000</f>
        <v>0</v>
      </c>
      <c r="F323" s="4" t="str">
        <f>HYPERLINK("http://141.218.60.56/~jnz1568/getInfo.php?workbook=16_15.xlsx&amp;sheet=A0&amp;row=323&amp;col=6&amp;number=89476000&amp;sourceID=54","89476000")</f>
        <v>89476000</v>
      </c>
      <c r="G323" s="4" t="str">
        <f>HYPERLINK("http://141.218.60.56/~jnz1568/getInfo.php?workbook=16_15.xlsx&amp;sheet=A0&amp;row=323&amp;col=7&amp;number=&amp;sourceID=54","")</f>
        <v/>
      </c>
      <c r="H323" s="4" t="str">
        <f>HYPERLINK("http://141.218.60.56/~jnz1568/getInfo.php?workbook=16_15.xlsx&amp;sheet=A0&amp;row=323&amp;col=8&amp;number=&amp;sourceID=54","")</f>
        <v/>
      </c>
      <c r="I323" s="4" t="str">
        <f>HYPERLINK("http://141.218.60.56/~jnz1568/getInfo.php?workbook=16_15.xlsx&amp;sheet=A0&amp;row=323&amp;col=9&amp;number=91401000&amp;sourceID=54","91401000")</f>
        <v>91401000</v>
      </c>
      <c r="J323" s="4" t="str">
        <f>HYPERLINK("http://141.218.60.56/~jnz1568/getInfo.php?workbook=16_15.xlsx&amp;sheet=A0&amp;row=323&amp;col=10&amp;number=&amp;sourceID=54","")</f>
        <v/>
      </c>
      <c r="K323" s="4" t="str">
        <f>HYPERLINK("http://141.218.60.56/~jnz1568/getInfo.php?workbook=16_15.xlsx&amp;sheet=A0&amp;row=323&amp;col=11&amp;number=&amp;sourceID=54","")</f>
        <v/>
      </c>
      <c r="L323" s="4" t="str">
        <f>HYPERLINK("http://141.218.60.56/~jnz1568/getInfo.php?workbook=16_15.xlsx&amp;sheet=A0&amp;row=323&amp;col=12&amp;number=90923788.4989&amp;sourceID=53","90923788.4989")</f>
        <v>90923788.4989</v>
      </c>
      <c r="M323" s="4" t="str">
        <f>HYPERLINK("http://141.218.60.56/~jnz1568/getInfo.php?workbook=16_15.xlsx&amp;sheet=A0&amp;row=323&amp;col=13&amp;number=&amp;sourceID=53","")</f>
        <v/>
      </c>
      <c r="N323" s="4" t="str">
        <f>HYPERLINK("http://141.218.60.56/~jnz1568/getInfo.php?workbook=16_15.xlsx&amp;sheet=A0&amp;row=323&amp;col=14&amp;number=&amp;sourceID=53","")</f>
        <v/>
      </c>
      <c r="O323" s="4" t="str">
        <f>HYPERLINK("http://141.218.60.56/~jnz1568/getInfo.php?workbook=16_15.xlsx&amp;sheet=A0&amp;row=323&amp;col=15&amp;number=&amp;sourceID=55","")</f>
        <v/>
      </c>
      <c r="P323" s="4" t="str">
        <f>HYPERLINK("http://141.218.60.56/~jnz1568/getInfo.php?workbook=16_15.xlsx&amp;sheet=A0&amp;row=323&amp;col=16&amp;number=&amp;sourceID=55","")</f>
        <v/>
      </c>
      <c r="Q323" s="4" t="str">
        <f>HYPERLINK("http://141.218.60.56/~jnz1568/getInfo.php?workbook=16_15.xlsx&amp;sheet=A0&amp;row=323&amp;col=17&amp;number=&amp;sourceID=56","")</f>
        <v/>
      </c>
      <c r="R323" s="4" t="str">
        <f>HYPERLINK("http://141.218.60.56/~jnz1568/getInfo.php?workbook=16_15.xlsx&amp;sheet=A0&amp;row=323&amp;col=18&amp;number=&amp;sourceID=56","")</f>
        <v/>
      </c>
      <c r="S323" s="4" t="str">
        <f>HYPERLINK("http://141.218.60.56/~jnz1568/getInfo.php?workbook=16_15.xlsx&amp;sheet=A0&amp;row=323&amp;col=19&amp;number=&amp;sourceID=57","")</f>
        <v/>
      </c>
      <c r="T323" s="4" t="str">
        <f>HYPERLINK("http://141.218.60.56/~jnz1568/getInfo.php?workbook=16_15.xlsx&amp;sheet=A0&amp;row=323&amp;col=20&amp;number=&amp;sourceID=57","")</f>
        <v/>
      </c>
      <c r="U323" s="4" t="str">
        <f>HYPERLINK("http://141.218.60.56/~jnz1568/getInfo.php?workbook=16_15.xlsx&amp;sheet=A0&amp;row=323&amp;col=21&amp;number=&amp;sourceID=47","")</f>
        <v/>
      </c>
      <c r="V323" s="4" t="str">
        <f>HYPERLINK("http://141.218.60.56/~jnz1568/getInfo.php?workbook=16_15.xlsx&amp;sheet=A0&amp;row=323&amp;col=22&amp;number=&amp;sourceID=47","")</f>
        <v/>
      </c>
    </row>
    <row r="324" spans="1:22">
      <c r="A324" s="3">
        <v>16</v>
      </c>
      <c r="B324" s="3">
        <v>15</v>
      </c>
      <c r="C324" s="3">
        <v>29</v>
      </c>
      <c r="D324" s="3">
        <v>4</v>
      </c>
      <c r="E324" s="3">
        <f>((1/(INDEX(E0!J$4:J$73,C324,1)-INDEX(E0!J$4:J$73,D324,1))))*100000000</f>
        <v>0</v>
      </c>
      <c r="F324" s="4" t="str">
        <f>HYPERLINK("http://141.218.60.56/~jnz1568/getInfo.php?workbook=16_15.xlsx&amp;sheet=A0&amp;row=324&amp;col=6&amp;number=139270000&amp;sourceID=54","139270000")</f>
        <v>139270000</v>
      </c>
      <c r="G324" s="4" t="str">
        <f>HYPERLINK("http://141.218.60.56/~jnz1568/getInfo.php?workbook=16_15.xlsx&amp;sheet=A0&amp;row=324&amp;col=7&amp;number=&amp;sourceID=54","")</f>
        <v/>
      </c>
      <c r="H324" s="4" t="str">
        <f>HYPERLINK("http://141.218.60.56/~jnz1568/getInfo.php?workbook=16_15.xlsx&amp;sheet=A0&amp;row=324&amp;col=8&amp;number=&amp;sourceID=54","")</f>
        <v/>
      </c>
      <c r="I324" s="4" t="str">
        <f>HYPERLINK("http://141.218.60.56/~jnz1568/getInfo.php?workbook=16_15.xlsx&amp;sheet=A0&amp;row=324&amp;col=9&amp;number=141550000&amp;sourceID=54","141550000")</f>
        <v>141550000</v>
      </c>
      <c r="J324" s="4" t="str">
        <f>HYPERLINK("http://141.218.60.56/~jnz1568/getInfo.php?workbook=16_15.xlsx&amp;sheet=A0&amp;row=324&amp;col=10&amp;number=&amp;sourceID=54","")</f>
        <v/>
      </c>
      <c r="K324" s="4" t="str">
        <f>HYPERLINK("http://141.218.60.56/~jnz1568/getInfo.php?workbook=16_15.xlsx&amp;sheet=A0&amp;row=324&amp;col=11&amp;number=&amp;sourceID=54","")</f>
        <v/>
      </c>
      <c r="L324" s="4" t="str">
        <f>HYPERLINK("http://141.218.60.56/~jnz1568/getInfo.php?workbook=16_15.xlsx&amp;sheet=A0&amp;row=324&amp;col=12&amp;number=134544853.95&amp;sourceID=53","134544853.95")</f>
        <v>134544853.95</v>
      </c>
      <c r="M324" s="4" t="str">
        <f>HYPERLINK("http://141.218.60.56/~jnz1568/getInfo.php?workbook=16_15.xlsx&amp;sheet=A0&amp;row=324&amp;col=13&amp;number=&amp;sourceID=53","")</f>
        <v/>
      </c>
      <c r="N324" s="4" t="str">
        <f>HYPERLINK("http://141.218.60.56/~jnz1568/getInfo.php?workbook=16_15.xlsx&amp;sheet=A0&amp;row=324&amp;col=14&amp;number=&amp;sourceID=53","")</f>
        <v/>
      </c>
      <c r="O324" s="4" t="str">
        <f>HYPERLINK("http://141.218.60.56/~jnz1568/getInfo.php?workbook=16_15.xlsx&amp;sheet=A0&amp;row=324&amp;col=15&amp;number=&amp;sourceID=55","")</f>
        <v/>
      </c>
      <c r="P324" s="4" t="str">
        <f>HYPERLINK("http://141.218.60.56/~jnz1568/getInfo.php?workbook=16_15.xlsx&amp;sheet=A0&amp;row=324&amp;col=16&amp;number=&amp;sourceID=55","")</f>
        <v/>
      </c>
      <c r="Q324" s="4" t="str">
        <f>HYPERLINK("http://141.218.60.56/~jnz1568/getInfo.php?workbook=16_15.xlsx&amp;sheet=A0&amp;row=324&amp;col=17&amp;number=&amp;sourceID=56","")</f>
        <v/>
      </c>
      <c r="R324" s="4" t="str">
        <f>HYPERLINK("http://141.218.60.56/~jnz1568/getInfo.php?workbook=16_15.xlsx&amp;sheet=A0&amp;row=324&amp;col=18&amp;number=&amp;sourceID=56","")</f>
        <v/>
      </c>
      <c r="S324" s="4" t="str">
        <f>HYPERLINK("http://141.218.60.56/~jnz1568/getInfo.php?workbook=16_15.xlsx&amp;sheet=A0&amp;row=324&amp;col=19&amp;number=&amp;sourceID=57","")</f>
        <v/>
      </c>
      <c r="T324" s="4" t="str">
        <f>HYPERLINK("http://141.218.60.56/~jnz1568/getInfo.php?workbook=16_15.xlsx&amp;sheet=A0&amp;row=324&amp;col=20&amp;number=&amp;sourceID=57","")</f>
        <v/>
      </c>
      <c r="U324" s="4" t="str">
        <f>HYPERLINK("http://141.218.60.56/~jnz1568/getInfo.php?workbook=16_15.xlsx&amp;sheet=A0&amp;row=324&amp;col=21&amp;number=&amp;sourceID=47","")</f>
        <v/>
      </c>
      <c r="V324" s="4" t="str">
        <f>HYPERLINK("http://141.218.60.56/~jnz1568/getInfo.php?workbook=16_15.xlsx&amp;sheet=A0&amp;row=324&amp;col=22&amp;number=&amp;sourceID=47","")</f>
        <v/>
      </c>
    </row>
    <row r="325" spans="1:22">
      <c r="A325" s="3">
        <v>16</v>
      </c>
      <c r="B325" s="3">
        <v>15</v>
      </c>
      <c r="C325" s="3">
        <v>29</v>
      </c>
      <c r="D325" s="3">
        <v>5</v>
      </c>
      <c r="E325" s="3">
        <f>((1/(INDEX(E0!J$4:J$73,C325,1)-INDEX(E0!J$4:J$73,D325,1))))*100000000</f>
        <v>0</v>
      </c>
      <c r="F325" s="4" t="str">
        <f>HYPERLINK("http://141.218.60.56/~jnz1568/getInfo.php?workbook=16_15.xlsx&amp;sheet=A0&amp;row=325&amp;col=6&amp;number=59282000&amp;sourceID=54","59282000")</f>
        <v>59282000</v>
      </c>
      <c r="G325" s="4" t="str">
        <f>HYPERLINK("http://141.218.60.56/~jnz1568/getInfo.php?workbook=16_15.xlsx&amp;sheet=A0&amp;row=325&amp;col=7&amp;number=&amp;sourceID=54","")</f>
        <v/>
      </c>
      <c r="H325" s="4" t="str">
        <f>HYPERLINK("http://141.218.60.56/~jnz1568/getInfo.php?workbook=16_15.xlsx&amp;sheet=A0&amp;row=325&amp;col=8&amp;number=&amp;sourceID=54","")</f>
        <v/>
      </c>
      <c r="I325" s="4" t="str">
        <f>HYPERLINK("http://141.218.60.56/~jnz1568/getInfo.php?workbook=16_15.xlsx&amp;sheet=A0&amp;row=325&amp;col=9&amp;number=59762000&amp;sourceID=54","59762000")</f>
        <v>59762000</v>
      </c>
      <c r="J325" s="4" t="str">
        <f>HYPERLINK("http://141.218.60.56/~jnz1568/getInfo.php?workbook=16_15.xlsx&amp;sheet=A0&amp;row=325&amp;col=10&amp;number=&amp;sourceID=54","")</f>
        <v/>
      </c>
      <c r="K325" s="4" t="str">
        <f>HYPERLINK("http://141.218.60.56/~jnz1568/getInfo.php?workbook=16_15.xlsx&amp;sheet=A0&amp;row=325&amp;col=11&amp;number=&amp;sourceID=54","")</f>
        <v/>
      </c>
      <c r="L325" s="4" t="str">
        <f>HYPERLINK("http://141.218.60.56/~jnz1568/getInfo.php?workbook=16_15.xlsx&amp;sheet=A0&amp;row=325&amp;col=12&amp;number=58172418.9197&amp;sourceID=53","58172418.9197")</f>
        <v>58172418.9197</v>
      </c>
      <c r="M325" s="4" t="str">
        <f>HYPERLINK("http://141.218.60.56/~jnz1568/getInfo.php?workbook=16_15.xlsx&amp;sheet=A0&amp;row=325&amp;col=13&amp;number=&amp;sourceID=53","")</f>
        <v/>
      </c>
      <c r="N325" s="4" t="str">
        <f>HYPERLINK("http://141.218.60.56/~jnz1568/getInfo.php?workbook=16_15.xlsx&amp;sheet=A0&amp;row=325&amp;col=14&amp;number=&amp;sourceID=53","")</f>
        <v/>
      </c>
      <c r="O325" s="4" t="str">
        <f>HYPERLINK("http://141.218.60.56/~jnz1568/getInfo.php?workbook=16_15.xlsx&amp;sheet=A0&amp;row=325&amp;col=15&amp;number=&amp;sourceID=55","")</f>
        <v/>
      </c>
      <c r="P325" s="4" t="str">
        <f>HYPERLINK("http://141.218.60.56/~jnz1568/getInfo.php?workbook=16_15.xlsx&amp;sheet=A0&amp;row=325&amp;col=16&amp;number=&amp;sourceID=55","")</f>
        <v/>
      </c>
      <c r="Q325" s="4" t="str">
        <f>HYPERLINK("http://141.218.60.56/~jnz1568/getInfo.php?workbook=16_15.xlsx&amp;sheet=A0&amp;row=325&amp;col=17&amp;number=&amp;sourceID=56","")</f>
        <v/>
      </c>
      <c r="R325" s="4" t="str">
        <f>HYPERLINK("http://141.218.60.56/~jnz1568/getInfo.php?workbook=16_15.xlsx&amp;sheet=A0&amp;row=325&amp;col=18&amp;number=&amp;sourceID=56","")</f>
        <v/>
      </c>
      <c r="S325" s="4" t="str">
        <f>HYPERLINK("http://141.218.60.56/~jnz1568/getInfo.php?workbook=16_15.xlsx&amp;sheet=A0&amp;row=325&amp;col=19&amp;number=&amp;sourceID=57","")</f>
        <v/>
      </c>
      <c r="T325" s="4" t="str">
        <f>HYPERLINK("http://141.218.60.56/~jnz1568/getInfo.php?workbook=16_15.xlsx&amp;sheet=A0&amp;row=325&amp;col=20&amp;number=&amp;sourceID=57","")</f>
        <v/>
      </c>
      <c r="U325" s="4" t="str">
        <f>HYPERLINK("http://141.218.60.56/~jnz1568/getInfo.php?workbook=16_15.xlsx&amp;sheet=A0&amp;row=325&amp;col=21&amp;number=&amp;sourceID=47","")</f>
        <v/>
      </c>
      <c r="V325" s="4" t="str">
        <f>HYPERLINK("http://141.218.60.56/~jnz1568/getInfo.php?workbook=16_15.xlsx&amp;sheet=A0&amp;row=325&amp;col=22&amp;number=&amp;sourceID=47","")</f>
        <v/>
      </c>
    </row>
    <row r="326" spans="1:22">
      <c r="A326" s="3">
        <v>16</v>
      </c>
      <c r="B326" s="3">
        <v>15</v>
      </c>
      <c r="C326" s="3">
        <v>29</v>
      </c>
      <c r="D326" s="3">
        <v>6</v>
      </c>
      <c r="E326" s="3">
        <f>((1/(INDEX(E0!J$4:J$73,C326,1)-INDEX(E0!J$4:J$73,D326,1))))*100000000</f>
        <v>0</v>
      </c>
      <c r="F326" s="4" t="str">
        <f>HYPERLINK("http://141.218.60.56/~jnz1568/getInfo.php?workbook=16_15.xlsx&amp;sheet=A0&amp;row=326&amp;col=6&amp;number=&amp;sourceID=54","")</f>
        <v/>
      </c>
      <c r="G326" s="4" t="str">
        <f>HYPERLINK("http://141.218.60.56/~jnz1568/getInfo.php?workbook=16_15.xlsx&amp;sheet=A0&amp;row=326&amp;col=7&amp;number=5.9046e-05&amp;sourceID=54","5.9046e-05")</f>
        <v>5.9046e-05</v>
      </c>
      <c r="H326" s="4" t="str">
        <f>HYPERLINK("http://141.218.60.56/~jnz1568/getInfo.php?workbook=16_15.xlsx&amp;sheet=A0&amp;row=326&amp;col=8&amp;number=1.5795e-06&amp;sourceID=54","1.5795e-06")</f>
        <v>1.5795e-06</v>
      </c>
      <c r="I326" s="4" t="str">
        <f>HYPERLINK("http://141.218.60.56/~jnz1568/getInfo.php?workbook=16_15.xlsx&amp;sheet=A0&amp;row=326&amp;col=9&amp;number=&amp;sourceID=54","")</f>
        <v/>
      </c>
      <c r="J326" s="4" t="str">
        <f>HYPERLINK("http://141.218.60.56/~jnz1568/getInfo.php?workbook=16_15.xlsx&amp;sheet=A0&amp;row=326&amp;col=10&amp;number=6.3952e-05&amp;sourceID=54","6.3952e-05")</f>
        <v>6.3952e-05</v>
      </c>
      <c r="K326" s="4" t="str">
        <f>HYPERLINK("http://141.218.60.56/~jnz1568/getInfo.php?workbook=16_15.xlsx&amp;sheet=A0&amp;row=326&amp;col=11&amp;number=1.421e-06&amp;sourceID=54","1.421e-06")</f>
        <v>1.421e-06</v>
      </c>
      <c r="L326" s="4" t="str">
        <f>HYPERLINK("http://141.218.60.56/~jnz1568/getInfo.php?workbook=16_15.xlsx&amp;sheet=A0&amp;row=326&amp;col=12&amp;number=&amp;sourceID=53","")</f>
        <v/>
      </c>
      <c r="M326" s="4" t="str">
        <f>HYPERLINK("http://141.218.60.56/~jnz1568/getInfo.php?workbook=16_15.xlsx&amp;sheet=A0&amp;row=326&amp;col=13&amp;number=&amp;sourceID=53","")</f>
        <v/>
      </c>
      <c r="N326" s="4" t="str">
        <f>HYPERLINK("http://141.218.60.56/~jnz1568/getInfo.php?workbook=16_15.xlsx&amp;sheet=A0&amp;row=326&amp;col=14&amp;number=&amp;sourceID=53","")</f>
        <v/>
      </c>
      <c r="O326" s="4" t="str">
        <f>HYPERLINK("http://141.218.60.56/~jnz1568/getInfo.php?workbook=16_15.xlsx&amp;sheet=A0&amp;row=326&amp;col=15&amp;number=&amp;sourceID=55","")</f>
        <v/>
      </c>
      <c r="P326" s="4" t="str">
        <f>HYPERLINK("http://141.218.60.56/~jnz1568/getInfo.php?workbook=16_15.xlsx&amp;sheet=A0&amp;row=326&amp;col=16&amp;number=&amp;sourceID=55","")</f>
        <v/>
      </c>
      <c r="Q326" s="4" t="str">
        <f>HYPERLINK("http://141.218.60.56/~jnz1568/getInfo.php?workbook=16_15.xlsx&amp;sheet=A0&amp;row=326&amp;col=17&amp;number=&amp;sourceID=56","")</f>
        <v/>
      </c>
      <c r="R326" s="4" t="str">
        <f>HYPERLINK("http://141.218.60.56/~jnz1568/getInfo.php?workbook=16_15.xlsx&amp;sheet=A0&amp;row=326&amp;col=18&amp;number=&amp;sourceID=56","")</f>
        <v/>
      </c>
      <c r="S326" s="4" t="str">
        <f>HYPERLINK("http://141.218.60.56/~jnz1568/getInfo.php?workbook=16_15.xlsx&amp;sheet=A0&amp;row=326&amp;col=19&amp;number=&amp;sourceID=57","")</f>
        <v/>
      </c>
      <c r="T326" s="4" t="str">
        <f>HYPERLINK("http://141.218.60.56/~jnz1568/getInfo.php?workbook=16_15.xlsx&amp;sheet=A0&amp;row=326&amp;col=20&amp;number=&amp;sourceID=57","")</f>
        <v/>
      </c>
      <c r="U326" s="4" t="str">
        <f>HYPERLINK("http://141.218.60.56/~jnz1568/getInfo.php?workbook=16_15.xlsx&amp;sheet=A0&amp;row=326&amp;col=21&amp;number=&amp;sourceID=47","")</f>
        <v/>
      </c>
      <c r="V326" s="4" t="str">
        <f>HYPERLINK("http://141.218.60.56/~jnz1568/getInfo.php?workbook=16_15.xlsx&amp;sheet=A0&amp;row=326&amp;col=22&amp;number=&amp;sourceID=47","")</f>
        <v/>
      </c>
    </row>
    <row r="327" spans="1:22">
      <c r="A327" s="3">
        <v>16</v>
      </c>
      <c r="B327" s="3">
        <v>15</v>
      </c>
      <c r="C327" s="3">
        <v>29</v>
      </c>
      <c r="D327" s="3">
        <v>7</v>
      </c>
      <c r="E327" s="3">
        <f>((1/(INDEX(E0!J$4:J$73,C327,1)-INDEX(E0!J$4:J$73,D327,1))))*100000000</f>
        <v>0</v>
      </c>
      <c r="F327" s="4" t="str">
        <f>HYPERLINK("http://141.218.60.56/~jnz1568/getInfo.php?workbook=16_15.xlsx&amp;sheet=A0&amp;row=327&amp;col=6&amp;number=&amp;sourceID=54","")</f>
        <v/>
      </c>
      <c r="G327" s="4" t="str">
        <f>HYPERLINK("http://141.218.60.56/~jnz1568/getInfo.php?workbook=16_15.xlsx&amp;sheet=A0&amp;row=327&amp;col=7&amp;number=0.0034988&amp;sourceID=54","0.0034988")</f>
        <v>0.0034988</v>
      </c>
      <c r="H327" s="4" t="str">
        <f>HYPERLINK("http://141.218.60.56/~jnz1568/getInfo.php?workbook=16_15.xlsx&amp;sheet=A0&amp;row=327&amp;col=8&amp;number=1.3674e-06&amp;sourceID=54","1.3674e-06")</f>
        <v>1.3674e-06</v>
      </c>
      <c r="I327" s="4" t="str">
        <f>HYPERLINK("http://141.218.60.56/~jnz1568/getInfo.php?workbook=16_15.xlsx&amp;sheet=A0&amp;row=327&amp;col=9&amp;number=&amp;sourceID=54","")</f>
        <v/>
      </c>
      <c r="J327" s="4" t="str">
        <f>HYPERLINK("http://141.218.60.56/~jnz1568/getInfo.php?workbook=16_15.xlsx&amp;sheet=A0&amp;row=327&amp;col=10&amp;number=0.0035278&amp;sourceID=54","0.0035278")</f>
        <v>0.0035278</v>
      </c>
      <c r="K327" s="4" t="str">
        <f>HYPERLINK("http://141.218.60.56/~jnz1568/getInfo.php?workbook=16_15.xlsx&amp;sheet=A0&amp;row=327&amp;col=11&amp;number=1.6423e-06&amp;sourceID=54","1.6423e-06")</f>
        <v>1.6423e-06</v>
      </c>
      <c r="L327" s="4" t="str">
        <f>HYPERLINK("http://141.218.60.56/~jnz1568/getInfo.php?workbook=16_15.xlsx&amp;sheet=A0&amp;row=327&amp;col=12&amp;number=&amp;sourceID=53","")</f>
        <v/>
      </c>
      <c r="M327" s="4" t="str">
        <f>HYPERLINK("http://141.218.60.56/~jnz1568/getInfo.php?workbook=16_15.xlsx&amp;sheet=A0&amp;row=327&amp;col=13&amp;number=&amp;sourceID=53","")</f>
        <v/>
      </c>
      <c r="N327" s="4" t="str">
        <f>HYPERLINK("http://141.218.60.56/~jnz1568/getInfo.php?workbook=16_15.xlsx&amp;sheet=A0&amp;row=327&amp;col=14&amp;number=&amp;sourceID=53","")</f>
        <v/>
      </c>
      <c r="O327" s="4" t="str">
        <f>HYPERLINK("http://141.218.60.56/~jnz1568/getInfo.php?workbook=16_15.xlsx&amp;sheet=A0&amp;row=327&amp;col=15&amp;number=&amp;sourceID=55","")</f>
        <v/>
      </c>
      <c r="P327" s="4" t="str">
        <f>HYPERLINK("http://141.218.60.56/~jnz1568/getInfo.php?workbook=16_15.xlsx&amp;sheet=A0&amp;row=327&amp;col=16&amp;number=&amp;sourceID=55","")</f>
        <v/>
      </c>
      <c r="Q327" s="4" t="str">
        <f>HYPERLINK("http://141.218.60.56/~jnz1568/getInfo.php?workbook=16_15.xlsx&amp;sheet=A0&amp;row=327&amp;col=17&amp;number=&amp;sourceID=56","")</f>
        <v/>
      </c>
      <c r="R327" s="4" t="str">
        <f>HYPERLINK("http://141.218.60.56/~jnz1568/getInfo.php?workbook=16_15.xlsx&amp;sheet=A0&amp;row=327&amp;col=18&amp;number=&amp;sourceID=56","")</f>
        <v/>
      </c>
      <c r="S327" s="4" t="str">
        <f>HYPERLINK("http://141.218.60.56/~jnz1568/getInfo.php?workbook=16_15.xlsx&amp;sheet=A0&amp;row=327&amp;col=19&amp;number=&amp;sourceID=57","")</f>
        <v/>
      </c>
      <c r="T327" s="4" t="str">
        <f>HYPERLINK("http://141.218.60.56/~jnz1568/getInfo.php?workbook=16_15.xlsx&amp;sheet=A0&amp;row=327&amp;col=20&amp;number=&amp;sourceID=57","")</f>
        <v/>
      </c>
      <c r="U327" s="4" t="str">
        <f>HYPERLINK("http://141.218.60.56/~jnz1568/getInfo.php?workbook=16_15.xlsx&amp;sheet=A0&amp;row=327&amp;col=21&amp;number=&amp;sourceID=47","")</f>
        <v/>
      </c>
      <c r="V327" s="4" t="str">
        <f>HYPERLINK("http://141.218.60.56/~jnz1568/getInfo.php?workbook=16_15.xlsx&amp;sheet=A0&amp;row=327&amp;col=22&amp;number=&amp;sourceID=47","")</f>
        <v/>
      </c>
    </row>
    <row r="328" spans="1:22">
      <c r="A328" s="3">
        <v>16</v>
      </c>
      <c r="B328" s="3">
        <v>15</v>
      </c>
      <c r="C328" s="3">
        <v>29</v>
      </c>
      <c r="D328" s="3">
        <v>8</v>
      </c>
      <c r="E328" s="3">
        <f>((1/(INDEX(E0!J$4:J$73,C328,1)-INDEX(E0!J$4:J$73,D328,1))))*100000000</f>
        <v>0</v>
      </c>
      <c r="F328" s="4" t="str">
        <f>HYPERLINK("http://141.218.60.56/~jnz1568/getInfo.php?workbook=16_15.xlsx&amp;sheet=A0&amp;row=328&amp;col=6&amp;number=&amp;sourceID=54","")</f>
        <v/>
      </c>
      <c r="G328" s="4" t="str">
        <f>HYPERLINK("http://141.218.60.56/~jnz1568/getInfo.php?workbook=16_15.xlsx&amp;sheet=A0&amp;row=328&amp;col=7&amp;number=0.00014337&amp;sourceID=54","0.00014337")</f>
        <v>0.00014337</v>
      </c>
      <c r="H328" s="4" t="str">
        <f>HYPERLINK("http://141.218.60.56/~jnz1568/getInfo.php?workbook=16_15.xlsx&amp;sheet=A0&amp;row=328&amp;col=8&amp;number=1.0471e-06&amp;sourceID=54","1.0471e-06")</f>
        <v>1.0471e-06</v>
      </c>
      <c r="I328" s="4" t="str">
        <f>HYPERLINK("http://141.218.60.56/~jnz1568/getInfo.php?workbook=16_15.xlsx&amp;sheet=A0&amp;row=328&amp;col=9&amp;number=&amp;sourceID=54","")</f>
        <v/>
      </c>
      <c r="J328" s="4" t="str">
        <f>HYPERLINK("http://141.218.60.56/~jnz1568/getInfo.php?workbook=16_15.xlsx&amp;sheet=A0&amp;row=328&amp;col=10&amp;number=0.00013928&amp;sourceID=54","0.00013928")</f>
        <v>0.00013928</v>
      </c>
      <c r="K328" s="4" t="str">
        <f>HYPERLINK("http://141.218.60.56/~jnz1568/getInfo.php?workbook=16_15.xlsx&amp;sheet=A0&amp;row=328&amp;col=11&amp;number=1.0907e-06&amp;sourceID=54","1.0907e-06")</f>
        <v>1.0907e-06</v>
      </c>
      <c r="L328" s="4" t="str">
        <f>HYPERLINK("http://141.218.60.56/~jnz1568/getInfo.php?workbook=16_15.xlsx&amp;sheet=A0&amp;row=328&amp;col=12&amp;number=&amp;sourceID=53","")</f>
        <v/>
      </c>
      <c r="M328" s="4" t="str">
        <f>HYPERLINK("http://141.218.60.56/~jnz1568/getInfo.php?workbook=16_15.xlsx&amp;sheet=A0&amp;row=328&amp;col=13&amp;number=&amp;sourceID=53","")</f>
        <v/>
      </c>
      <c r="N328" s="4" t="str">
        <f>HYPERLINK("http://141.218.60.56/~jnz1568/getInfo.php?workbook=16_15.xlsx&amp;sheet=A0&amp;row=328&amp;col=14&amp;number=&amp;sourceID=53","")</f>
        <v/>
      </c>
      <c r="O328" s="4" t="str">
        <f>HYPERLINK("http://141.218.60.56/~jnz1568/getInfo.php?workbook=16_15.xlsx&amp;sheet=A0&amp;row=328&amp;col=15&amp;number=&amp;sourceID=55","")</f>
        <v/>
      </c>
      <c r="P328" s="4" t="str">
        <f>HYPERLINK("http://141.218.60.56/~jnz1568/getInfo.php?workbook=16_15.xlsx&amp;sheet=A0&amp;row=328&amp;col=16&amp;number=&amp;sourceID=55","")</f>
        <v/>
      </c>
      <c r="Q328" s="4" t="str">
        <f>HYPERLINK("http://141.218.60.56/~jnz1568/getInfo.php?workbook=16_15.xlsx&amp;sheet=A0&amp;row=328&amp;col=17&amp;number=&amp;sourceID=56","")</f>
        <v/>
      </c>
      <c r="R328" s="4" t="str">
        <f>HYPERLINK("http://141.218.60.56/~jnz1568/getInfo.php?workbook=16_15.xlsx&amp;sheet=A0&amp;row=328&amp;col=18&amp;number=&amp;sourceID=56","")</f>
        <v/>
      </c>
      <c r="S328" s="4" t="str">
        <f>HYPERLINK("http://141.218.60.56/~jnz1568/getInfo.php?workbook=16_15.xlsx&amp;sheet=A0&amp;row=328&amp;col=19&amp;number=&amp;sourceID=57","")</f>
        <v/>
      </c>
      <c r="T328" s="4" t="str">
        <f>HYPERLINK("http://141.218.60.56/~jnz1568/getInfo.php?workbook=16_15.xlsx&amp;sheet=A0&amp;row=328&amp;col=20&amp;number=&amp;sourceID=57","")</f>
        <v/>
      </c>
      <c r="U328" s="4" t="str">
        <f>HYPERLINK("http://141.218.60.56/~jnz1568/getInfo.php?workbook=16_15.xlsx&amp;sheet=A0&amp;row=328&amp;col=21&amp;number=&amp;sourceID=47","")</f>
        <v/>
      </c>
      <c r="V328" s="4" t="str">
        <f>HYPERLINK("http://141.218.60.56/~jnz1568/getInfo.php?workbook=16_15.xlsx&amp;sheet=A0&amp;row=328&amp;col=22&amp;number=&amp;sourceID=47","")</f>
        <v/>
      </c>
    </row>
    <row r="329" spans="1:22">
      <c r="A329" s="3">
        <v>16</v>
      </c>
      <c r="B329" s="3">
        <v>15</v>
      </c>
      <c r="C329" s="3">
        <v>29</v>
      </c>
      <c r="D329" s="3">
        <v>9</v>
      </c>
      <c r="E329" s="3">
        <f>((1/(INDEX(E0!J$4:J$73,C329,1)-INDEX(E0!J$4:J$73,D329,1))))*100000000</f>
        <v>0</v>
      </c>
      <c r="F329" s="4" t="str">
        <f>HYPERLINK("http://141.218.60.56/~jnz1568/getInfo.php?workbook=16_15.xlsx&amp;sheet=A0&amp;row=329&amp;col=6&amp;number=&amp;sourceID=54","")</f>
        <v/>
      </c>
      <c r="G329" s="4" t="str">
        <f>HYPERLINK("http://141.218.60.56/~jnz1568/getInfo.php?workbook=16_15.xlsx&amp;sheet=A0&amp;row=329&amp;col=7&amp;number=3.1798&amp;sourceID=54","3.1798")</f>
        <v>3.1798</v>
      </c>
      <c r="H329" s="4" t="str">
        <f>HYPERLINK("http://141.218.60.56/~jnz1568/getInfo.php?workbook=16_15.xlsx&amp;sheet=A0&amp;row=329&amp;col=8&amp;number=0.00071408&amp;sourceID=54","0.00071408")</f>
        <v>0.00071408</v>
      </c>
      <c r="I329" s="4" t="str">
        <f>HYPERLINK("http://141.218.60.56/~jnz1568/getInfo.php?workbook=16_15.xlsx&amp;sheet=A0&amp;row=329&amp;col=9&amp;number=&amp;sourceID=54","")</f>
        <v/>
      </c>
      <c r="J329" s="4" t="str">
        <f>HYPERLINK("http://141.218.60.56/~jnz1568/getInfo.php?workbook=16_15.xlsx&amp;sheet=A0&amp;row=329&amp;col=10&amp;number=3.0634&amp;sourceID=54","3.0634")</f>
        <v>3.0634</v>
      </c>
      <c r="K329" s="4" t="str">
        <f>HYPERLINK("http://141.218.60.56/~jnz1568/getInfo.php?workbook=16_15.xlsx&amp;sheet=A0&amp;row=329&amp;col=11&amp;number=0.00069693&amp;sourceID=54","0.00069693")</f>
        <v>0.00069693</v>
      </c>
      <c r="L329" s="4" t="str">
        <f>HYPERLINK("http://141.218.60.56/~jnz1568/getInfo.php?workbook=16_15.xlsx&amp;sheet=A0&amp;row=329&amp;col=12&amp;number=&amp;sourceID=53","")</f>
        <v/>
      </c>
      <c r="M329" s="4" t="str">
        <f>HYPERLINK("http://141.218.60.56/~jnz1568/getInfo.php?workbook=16_15.xlsx&amp;sheet=A0&amp;row=329&amp;col=13&amp;number=&amp;sourceID=53","")</f>
        <v/>
      </c>
      <c r="N329" s="4" t="str">
        <f>HYPERLINK("http://141.218.60.56/~jnz1568/getInfo.php?workbook=16_15.xlsx&amp;sheet=A0&amp;row=329&amp;col=14&amp;number=&amp;sourceID=53","")</f>
        <v/>
      </c>
      <c r="O329" s="4" t="str">
        <f>HYPERLINK("http://141.218.60.56/~jnz1568/getInfo.php?workbook=16_15.xlsx&amp;sheet=A0&amp;row=329&amp;col=15&amp;number=&amp;sourceID=55","")</f>
        <v/>
      </c>
      <c r="P329" s="4" t="str">
        <f>HYPERLINK("http://141.218.60.56/~jnz1568/getInfo.php?workbook=16_15.xlsx&amp;sheet=A0&amp;row=329&amp;col=16&amp;number=&amp;sourceID=55","")</f>
        <v/>
      </c>
      <c r="Q329" s="4" t="str">
        <f>HYPERLINK("http://141.218.60.56/~jnz1568/getInfo.php?workbook=16_15.xlsx&amp;sheet=A0&amp;row=329&amp;col=17&amp;number=&amp;sourceID=56","")</f>
        <v/>
      </c>
      <c r="R329" s="4" t="str">
        <f>HYPERLINK("http://141.218.60.56/~jnz1568/getInfo.php?workbook=16_15.xlsx&amp;sheet=A0&amp;row=329&amp;col=18&amp;number=&amp;sourceID=56","")</f>
        <v/>
      </c>
      <c r="S329" s="4" t="str">
        <f>HYPERLINK("http://141.218.60.56/~jnz1568/getInfo.php?workbook=16_15.xlsx&amp;sheet=A0&amp;row=329&amp;col=19&amp;number=&amp;sourceID=57","")</f>
        <v/>
      </c>
      <c r="T329" s="4" t="str">
        <f>HYPERLINK("http://141.218.60.56/~jnz1568/getInfo.php?workbook=16_15.xlsx&amp;sheet=A0&amp;row=329&amp;col=20&amp;number=&amp;sourceID=57","")</f>
        <v/>
      </c>
      <c r="U329" s="4" t="str">
        <f>HYPERLINK("http://141.218.60.56/~jnz1568/getInfo.php?workbook=16_15.xlsx&amp;sheet=A0&amp;row=329&amp;col=21&amp;number=&amp;sourceID=47","")</f>
        <v/>
      </c>
      <c r="V329" s="4" t="str">
        <f>HYPERLINK("http://141.218.60.56/~jnz1568/getInfo.php?workbook=16_15.xlsx&amp;sheet=A0&amp;row=329&amp;col=22&amp;number=&amp;sourceID=47","")</f>
        <v/>
      </c>
    </row>
    <row r="330" spans="1:22">
      <c r="A330" s="3">
        <v>16</v>
      </c>
      <c r="B330" s="3">
        <v>15</v>
      </c>
      <c r="C330" s="3">
        <v>29</v>
      </c>
      <c r="D330" s="3">
        <v>10</v>
      </c>
      <c r="E330" s="3">
        <f>((1/(INDEX(E0!J$4:J$73,C330,1)-INDEX(E0!J$4:J$73,D330,1))))*100000000</f>
        <v>0</v>
      </c>
      <c r="F330" s="4" t="str">
        <f>HYPERLINK("http://141.218.60.56/~jnz1568/getInfo.php?workbook=16_15.xlsx&amp;sheet=A0&amp;row=330&amp;col=6&amp;number=&amp;sourceID=54","")</f>
        <v/>
      </c>
      <c r="G330" s="4" t="str">
        <f>HYPERLINK("http://141.218.60.56/~jnz1568/getInfo.php?workbook=16_15.xlsx&amp;sheet=A0&amp;row=330&amp;col=7&amp;number=1.2915&amp;sourceID=54","1.2915")</f>
        <v>1.2915</v>
      </c>
      <c r="H330" s="4" t="str">
        <f>HYPERLINK("http://141.218.60.56/~jnz1568/getInfo.php?workbook=16_15.xlsx&amp;sheet=A0&amp;row=330&amp;col=8&amp;number=0.00017988&amp;sourceID=54","0.00017988")</f>
        <v>0.00017988</v>
      </c>
      <c r="I330" s="4" t="str">
        <f>HYPERLINK("http://141.218.60.56/~jnz1568/getInfo.php?workbook=16_15.xlsx&amp;sheet=A0&amp;row=330&amp;col=9&amp;number=&amp;sourceID=54","")</f>
        <v/>
      </c>
      <c r="J330" s="4" t="str">
        <f>HYPERLINK("http://141.218.60.56/~jnz1568/getInfo.php?workbook=16_15.xlsx&amp;sheet=A0&amp;row=330&amp;col=10&amp;number=1.2416&amp;sourceID=54","1.2416")</f>
        <v>1.2416</v>
      </c>
      <c r="K330" s="4" t="str">
        <f>HYPERLINK("http://141.218.60.56/~jnz1568/getInfo.php?workbook=16_15.xlsx&amp;sheet=A0&amp;row=330&amp;col=11&amp;number=0.00017567&amp;sourceID=54","0.00017567")</f>
        <v>0.00017567</v>
      </c>
      <c r="L330" s="4" t="str">
        <f>HYPERLINK("http://141.218.60.56/~jnz1568/getInfo.php?workbook=16_15.xlsx&amp;sheet=A0&amp;row=330&amp;col=12&amp;number=&amp;sourceID=53","")</f>
        <v/>
      </c>
      <c r="M330" s="4" t="str">
        <f>HYPERLINK("http://141.218.60.56/~jnz1568/getInfo.php?workbook=16_15.xlsx&amp;sheet=A0&amp;row=330&amp;col=13&amp;number=&amp;sourceID=53","")</f>
        <v/>
      </c>
      <c r="N330" s="4" t="str">
        <f>HYPERLINK("http://141.218.60.56/~jnz1568/getInfo.php?workbook=16_15.xlsx&amp;sheet=A0&amp;row=330&amp;col=14&amp;number=&amp;sourceID=53","")</f>
        <v/>
      </c>
      <c r="O330" s="4" t="str">
        <f>HYPERLINK("http://141.218.60.56/~jnz1568/getInfo.php?workbook=16_15.xlsx&amp;sheet=A0&amp;row=330&amp;col=15&amp;number=&amp;sourceID=55","")</f>
        <v/>
      </c>
      <c r="P330" s="4" t="str">
        <f>HYPERLINK("http://141.218.60.56/~jnz1568/getInfo.php?workbook=16_15.xlsx&amp;sheet=A0&amp;row=330&amp;col=16&amp;number=&amp;sourceID=55","")</f>
        <v/>
      </c>
      <c r="Q330" s="4" t="str">
        <f>HYPERLINK("http://141.218.60.56/~jnz1568/getInfo.php?workbook=16_15.xlsx&amp;sheet=A0&amp;row=330&amp;col=17&amp;number=&amp;sourceID=56","")</f>
        <v/>
      </c>
      <c r="R330" s="4" t="str">
        <f>HYPERLINK("http://141.218.60.56/~jnz1568/getInfo.php?workbook=16_15.xlsx&amp;sheet=A0&amp;row=330&amp;col=18&amp;number=&amp;sourceID=56","")</f>
        <v/>
      </c>
      <c r="S330" s="4" t="str">
        <f>HYPERLINK("http://141.218.60.56/~jnz1568/getInfo.php?workbook=16_15.xlsx&amp;sheet=A0&amp;row=330&amp;col=19&amp;number=&amp;sourceID=57","")</f>
        <v/>
      </c>
      <c r="T330" s="4" t="str">
        <f>HYPERLINK("http://141.218.60.56/~jnz1568/getInfo.php?workbook=16_15.xlsx&amp;sheet=A0&amp;row=330&amp;col=20&amp;number=&amp;sourceID=57","")</f>
        <v/>
      </c>
      <c r="U330" s="4" t="str">
        <f>HYPERLINK("http://141.218.60.56/~jnz1568/getInfo.php?workbook=16_15.xlsx&amp;sheet=A0&amp;row=330&amp;col=21&amp;number=&amp;sourceID=47","")</f>
        <v/>
      </c>
      <c r="V330" s="4" t="str">
        <f>HYPERLINK("http://141.218.60.56/~jnz1568/getInfo.php?workbook=16_15.xlsx&amp;sheet=A0&amp;row=330&amp;col=22&amp;number=&amp;sourceID=47","")</f>
        <v/>
      </c>
    </row>
    <row r="331" spans="1:22">
      <c r="A331" s="3">
        <v>16</v>
      </c>
      <c r="B331" s="3">
        <v>15</v>
      </c>
      <c r="C331" s="3">
        <v>29</v>
      </c>
      <c r="D331" s="3">
        <v>11</v>
      </c>
      <c r="E331" s="3">
        <f>((1/(INDEX(E0!J$4:J$73,C331,1)-INDEX(E0!J$4:J$73,D331,1))))*100000000</f>
        <v>0</v>
      </c>
      <c r="F331" s="4" t="str">
        <f>HYPERLINK("http://141.218.60.56/~jnz1568/getInfo.php?workbook=16_15.xlsx&amp;sheet=A0&amp;row=331&amp;col=6&amp;number=&amp;sourceID=54","")</f>
        <v/>
      </c>
      <c r="G331" s="4" t="str">
        <f>HYPERLINK("http://141.218.60.56/~jnz1568/getInfo.php?workbook=16_15.xlsx&amp;sheet=A0&amp;row=331&amp;col=7&amp;number=0.04804&amp;sourceID=54","0.04804")</f>
        <v>0.04804</v>
      </c>
      <c r="H331" s="4" t="str">
        <f>HYPERLINK("http://141.218.60.56/~jnz1568/getInfo.php?workbook=16_15.xlsx&amp;sheet=A0&amp;row=331&amp;col=8&amp;number=9.8221e-05&amp;sourceID=54","9.8221e-05")</f>
        <v>9.8221e-05</v>
      </c>
      <c r="I331" s="4" t="str">
        <f>HYPERLINK("http://141.218.60.56/~jnz1568/getInfo.php?workbook=16_15.xlsx&amp;sheet=A0&amp;row=331&amp;col=9&amp;number=&amp;sourceID=54","")</f>
        <v/>
      </c>
      <c r="J331" s="4" t="str">
        <f>HYPERLINK("http://141.218.60.56/~jnz1568/getInfo.php?workbook=16_15.xlsx&amp;sheet=A0&amp;row=331&amp;col=10&amp;number=0.049256&amp;sourceID=54","0.049256")</f>
        <v>0.049256</v>
      </c>
      <c r="K331" s="4" t="str">
        <f>HYPERLINK("http://141.218.60.56/~jnz1568/getInfo.php?workbook=16_15.xlsx&amp;sheet=A0&amp;row=331&amp;col=11&amp;number=9.9152e-05&amp;sourceID=54","9.9152e-05")</f>
        <v>9.9152e-05</v>
      </c>
      <c r="L331" s="4" t="str">
        <f>HYPERLINK("http://141.218.60.56/~jnz1568/getInfo.php?workbook=16_15.xlsx&amp;sheet=A0&amp;row=331&amp;col=12&amp;number=&amp;sourceID=53","")</f>
        <v/>
      </c>
      <c r="M331" s="4" t="str">
        <f>HYPERLINK("http://141.218.60.56/~jnz1568/getInfo.php?workbook=16_15.xlsx&amp;sheet=A0&amp;row=331&amp;col=13&amp;number=&amp;sourceID=53","")</f>
        <v/>
      </c>
      <c r="N331" s="4" t="str">
        <f>HYPERLINK("http://141.218.60.56/~jnz1568/getInfo.php?workbook=16_15.xlsx&amp;sheet=A0&amp;row=331&amp;col=14&amp;number=&amp;sourceID=53","")</f>
        <v/>
      </c>
      <c r="O331" s="4" t="str">
        <f>HYPERLINK("http://141.218.60.56/~jnz1568/getInfo.php?workbook=16_15.xlsx&amp;sheet=A0&amp;row=331&amp;col=15&amp;number=&amp;sourceID=55","")</f>
        <v/>
      </c>
      <c r="P331" s="4" t="str">
        <f>HYPERLINK("http://141.218.60.56/~jnz1568/getInfo.php?workbook=16_15.xlsx&amp;sheet=A0&amp;row=331&amp;col=16&amp;number=&amp;sourceID=55","")</f>
        <v/>
      </c>
      <c r="Q331" s="4" t="str">
        <f>HYPERLINK("http://141.218.60.56/~jnz1568/getInfo.php?workbook=16_15.xlsx&amp;sheet=A0&amp;row=331&amp;col=17&amp;number=&amp;sourceID=56","")</f>
        <v/>
      </c>
      <c r="R331" s="4" t="str">
        <f>HYPERLINK("http://141.218.60.56/~jnz1568/getInfo.php?workbook=16_15.xlsx&amp;sheet=A0&amp;row=331&amp;col=18&amp;number=&amp;sourceID=56","")</f>
        <v/>
      </c>
      <c r="S331" s="4" t="str">
        <f>HYPERLINK("http://141.218.60.56/~jnz1568/getInfo.php?workbook=16_15.xlsx&amp;sheet=A0&amp;row=331&amp;col=19&amp;number=&amp;sourceID=57","")</f>
        <v/>
      </c>
      <c r="T331" s="4" t="str">
        <f>HYPERLINK("http://141.218.60.56/~jnz1568/getInfo.php?workbook=16_15.xlsx&amp;sheet=A0&amp;row=331&amp;col=20&amp;number=&amp;sourceID=57","")</f>
        <v/>
      </c>
      <c r="U331" s="4" t="str">
        <f>HYPERLINK("http://141.218.60.56/~jnz1568/getInfo.php?workbook=16_15.xlsx&amp;sheet=A0&amp;row=331&amp;col=21&amp;number=&amp;sourceID=47","")</f>
        <v/>
      </c>
      <c r="V331" s="4" t="str">
        <f>HYPERLINK("http://141.218.60.56/~jnz1568/getInfo.php?workbook=16_15.xlsx&amp;sheet=A0&amp;row=331&amp;col=22&amp;number=&amp;sourceID=47","")</f>
        <v/>
      </c>
    </row>
    <row r="332" spans="1:22">
      <c r="A332" s="3">
        <v>16</v>
      </c>
      <c r="B332" s="3">
        <v>15</v>
      </c>
      <c r="C332" s="3">
        <v>29</v>
      </c>
      <c r="D332" s="3">
        <v>12</v>
      </c>
      <c r="E332" s="3">
        <f>((1/(INDEX(E0!J$4:J$73,C332,1)-INDEX(E0!J$4:J$73,D332,1))))*100000000</f>
        <v>0</v>
      </c>
      <c r="F332" s="4" t="str">
        <f>HYPERLINK("http://141.218.60.56/~jnz1568/getInfo.php?workbook=16_15.xlsx&amp;sheet=A0&amp;row=332&amp;col=6&amp;number=&amp;sourceID=54","")</f>
        <v/>
      </c>
      <c r="G332" s="4" t="str">
        <f>HYPERLINK("http://141.218.60.56/~jnz1568/getInfo.php?workbook=16_15.xlsx&amp;sheet=A0&amp;row=332&amp;col=7&amp;number=0.081884&amp;sourceID=54","0.081884")</f>
        <v>0.081884</v>
      </c>
      <c r="H332" s="4" t="str">
        <f>HYPERLINK("http://141.218.60.56/~jnz1568/getInfo.php?workbook=16_15.xlsx&amp;sheet=A0&amp;row=332&amp;col=8&amp;number=4.7326e-05&amp;sourceID=54","4.7326e-05")</f>
        <v>4.7326e-05</v>
      </c>
      <c r="I332" s="4" t="str">
        <f>HYPERLINK("http://141.218.60.56/~jnz1568/getInfo.php?workbook=16_15.xlsx&amp;sheet=A0&amp;row=332&amp;col=9&amp;number=&amp;sourceID=54","")</f>
        <v/>
      </c>
      <c r="J332" s="4" t="str">
        <f>HYPERLINK("http://141.218.60.56/~jnz1568/getInfo.php?workbook=16_15.xlsx&amp;sheet=A0&amp;row=332&amp;col=10&amp;number=0.083729&amp;sourceID=54","0.083729")</f>
        <v>0.083729</v>
      </c>
      <c r="K332" s="4" t="str">
        <f>HYPERLINK("http://141.218.60.56/~jnz1568/getInfo.php?workbook=16_15.xlsx&amp;sheet=A0&amp;row=332&amp;col=11&amp;number=4.7666e-05&amp;sourceID=54","4.7666e-05")</f>
        <v>4.7666e-05</v>
      </c>
      <c r="L332" s="4" t="str">
        <f>HYPERLINK("http://141.218.60.56/~jnz1568/getInfo.php?workbook=16_15.xlsx&amp;sheet=A0&amp;row=332&amp;col=12&amp;number=&amp;sourceID=53","")</f>
        <v/>
      </c>
      <c r="M332" s="4" t="str">
        <f>HYPERLINK("http://141.218.60.56/~jnz1568/getInfo.php?workbook=16_15.xlsx&amp;sheet=A0&amp;row=332&amp;col=13&amp;number=&amp;sourceID=53","")</f>
        <v/>
      </c>
      <c r="N332" s="4" t="str">
        <f>HYPERLINK("http://141.218.60.56/~jnz1568/getInfo.php?workbook=16_15.xlsx&amp;sheet=A0&amp;row=332&amp;col=14&amp;number=&amp;sourceID=53","")</f>
        <v/>
      </c>
      <c r="O332" s="4" t="str">
        <f>HYPERLINK("http://141.218.60.56/~jnz1568/getInfo.php?workbook=16_15.xlsx&amp;sheet=A0&amp;row=332&amp;col=15&amp;number=&amp;sourceID=55","")</f>
        <v/>
      </c>
      <c r="P332" s="4" t="str">
        <f>HYPERLINK("http://141.218.60.56/~jnz1568/getInfo.php?workbook=16_15.xlsx&amp;sheet=A0&amp;row=332&amp;col=16&amp;number=&amp;sourceID=55","")</f>
        <v/>
      </c>
      <c r="Q332" s="4" t="str">
        <f>HYPERLINK("http://141.218.60.56/~jnz1568/getInfo.php?workbook=16_15.xlsx&amp;sheet=A0&amp;row=332&amp;col=17&amp;number=&amp;sourceID=56","")</f>
        <v/>
      </c>
      <c r="R332" s="4" t="str">
        <f>HYPERLINK("http://141.218.60.56/~jnz1568/getInfo.php?workbook=16_15.xlsx&amp;sheet=A0&amp;row=332&amp;col=18&amp;number=&amp;sourceID=56","")</f>
        <v/>
      </c>
      <c r="S332" s="4" t="str">
        <f>HYPERLINK("http://141.218.60.56/~jnz1568/getInfo.php?workbook=16_15.xlsx&amp;sheet=A0&amp;row=332&amp;col=19&amp;number=&amp;sourceID=57","")</f>
        <v/>
      </c>
      <c r="T332" s="4" t="str">
        <f>HYPERLINK("http://141.218.60.56/~jnz1568/getInfo.php?workbook=16_15.xlsx&amp;sheet=A0&amp;row=332&amp;col=20&amp;number=&amp;sourceID=57","")</f>
        <v/>
      </c>
      <c r="U332" s="4" t="str">
        <f>HYPERLINK("http://141.218.60.56/~jnz1568/getInfo.php?workbook=16_15.xlsx&amp;sheet=A0&amp;row=332&amp;col=21&amp;number=&amp;sourceID=47","")</f>
        <v/>
      </c>
      <c r="V332" s="4" t="str">
        <f>HYPERLINK("http://141.218.60.56/~jnz1568/getInfo.php?workbook=16_15.xlsx&amp;sheet=A0&amp;row=332&amp;col=22&amp;number=&amp;sourceID=47","")</f>
        <v/>
      </c>
    </row>
    <row r="333" spans="1:22">
      <c r="A333" s="3">
        <v>16</v>
      </c>
      <c r="B333" s="3">
        <v>15</v>
      </c>
      <c r="C333" s="3">
        <v>29</v>
      </c>
      <c r="D333" s="3">
        <v>13</v>
      </c>
      <c r="E333" s="3">
        <f>((1/(INDEX(E0!J$4:J$73,C333,1)-INDEX(E0!J$4:J$73,D333,1))))*100000000</f>
        <v>0</v>
      </c>
      <c r="F333" s="4" t="str">
        <f>HYPERLINK("http://141.218.60.56/~jnz1568/getInfo.php?workbook=16_15.xlsx&amp;sheet=A0&amp;row=333&amp;col=6&amp;number=&amp;sourceID=54","")</f>
        <v/>
      </c>
      <c r="G333" s="4" t="str">
        <f>HYPERLINK("http://141.218.60.56/~jnz1568/getInfo.php?workbook=16_15.xlsx&amp;sheet=A0&amp;row=333&amp;col=7&amp;number=1.4538e-05&amp;sourceID=54","1.4538e-05")</f>
        <v>1.4538e-05</v>
      </c>
      <c r="H333" s="4" t="str">
        <f>HYPERLINK("http://141.218.60.56/~jnz1568/getInfo.php?workbook=16_15.xlsx&amp;sheet=A0&amp;row=333&amp;col=8&amp;number=0.0050238&amp;sourceID=54","0.0050238")</f>
        <v>0.0050238</v>
      </c>
      <c r="I333" s="4" t="str">
        <f>HYPERLINK("http://141.218.60.56/~jnz1568/getInfo.php?workbook=16_15.xlsx&amp;sheet=A0&amp;row=333&amp;col=9&amp;number=&amp;sourceID=54","")</f>
        <v/>
      </c>
      <c r="J333" s="4" t="str">
        <f>HYPERLINK("http://141.218.60.56/~jnz1568/getInfo.php?workbook=16_15.xlsx&amp;sheet=A0&amp;row=333&amp;col=10&amp;number=9.1038e-06&amp;sourceID=54","9.1038e-06")</f>
        <v>9.1038e-06</v>
      </c>
      <c r="K333" s="4" t="str">
        <f>HYPERLINK("http://141.218.60.56/~jnz1568/getInfo.php?workbook=16_15.xlsx&amp;sheet=A0&amp;row=333&amp;col=11&amp;number=0.0047495&amp;sourceID=54","0.0047495")</f>
        <v>0.0047495</v>
      </c>
      <c r="L333" s="4" t="str">
        <f>HYPERLINK("http://141.218.60.56/~jnz1568/getInfo.php?workbook=16_15.xlsx&amp;sheet=A0&amp;row=333&amp;col=12&amp;number=&amp;sourceID=53","")</f>
        <v/>
      </c>
      <c r="M333" s="4" t="str">
        <f>HYPERLINK("http://141.218.60.56/~jnz1568/getInfo.php?workbook=16_15.xlsx&amp;sheet=A0&amp;row=333&amp;col=13&amp;number=&amp;sourceID=53","")</f>
        <v/>
      </c>
      <c r="N333" s="4" t="str">
        <f>HYPERLINK("http://141.218.60.56/~jnz1568/getInfo.php?workbook=16_15.xlsx&amp;sheet=A0&amp;row=333&amp;col=14&amp;number=&amp;sourceID=53","")</f>
        <v/>
      </c>
      <c r="O333" s="4" t="str">
        <f>HYPERLINK("http://141.218.60.56/~jnz1568/getInfo.php?workbook=16_15.xlsx&amp;sheet=A0&amp;row=333&amp;col=15&amp;number=&amp;sourceID=55","")</f>
        <v/>
      </c>
      <c r="P333" s="4" t="str">
        <f>HYPERLINK("http://141.218.60.56/~jnz1568/getInfo.php?workbook=16_15.xlsx&amp;sheet=A0&amp;row=333&amp;col=16&amp;number=&amp;sourceID=55","")</f>
        <v/>
      </c>
      <c r="Q333" s="4" t="str">
        <f>HYPERLINK("http://141.218.60.56/~jnz1568/getInfo.php?workbook=16_15.xlsx&amp;sheet=A0&amp;row=333&amp;col=17&amp;number=&amp;sourceID=56","")</f>
        <v/>
      </c>
      <c r="R333" s="4" t="str">
        <f>HYPERLINK("http://141.218.60.56/~jnz1568/getInfo.php?workbook=16_15.xlsx&amp;sheet=A0&amp;row=333&amp;col=18&amp;number=&amp;sourceID=56","")</f>
        <v/>
      </c>
      <c r="S333" s="4" t="str">
        <f>HYPERLINK("http://141.218.60.56/~jnz1568/getInfo.php?workbook=16_15.xlsx&amp;sheet=A0&amp;row=333&amp;col=19&amp;number=&amp;sourceID=57","")</f>
        <v/>
      </c>
      <c r="T333" s="4" t="str">
        <f>HYPERLINK("http://141.218.60.56/~jnz1568/getInfo.php?workbook=16_15.xlsx&amp;sheet=A0&amp;row=333&amp;col=20&amp;number=&amp;sourceID=57","")</f>
        <v/>
      </c>
      <c r="U333" s="4" t="str">
        <f>HYPERLINK("http://141.218.60.56/~jnz1568/getInfo.php?workbook=16_15.xlsx&amp;sheet=A0&amp;row=333&amp;col=21&amp;number=&amp;sourceID=47","")</f>
        <v/>
      </c>
      <c r="V333" s="4" t="str">
        <f>HYPERLINK("http://141.218.60.56/~jnz1568/getInfo.php?workbook=16_15.xlsx&amp;sheet=A0&amp;row=333&amp;col=22&amp;number=&amp;sourceID=47","")</f>
        <v/>
      </c>
    </row>
    <row r="334" spans="1:22">
      <c r="A334" s="3">
        <v>16</v>
      </c>
      <c r="B334" s="3">
        <v>15</v>
      </c>
      <c r="C334" s="3">
        <v>29</v>
      </c>
      <c r="D334" s="3">
        <v>14</v>
      </c>
      <c r="E334" s="3">
        <f>((1/(INDEX(E0!J$4:J$73,C334,1)-INDEX(E0!J$4:J$73,D334,1))))*100000000</f>
        <v>0</v>
      </c>
      <c r="F334" s="4" t="str">
        <f>HYPERLINK("http://141.218.60.56/~jnz1568/getInfo.php?workbook=16_15.xlsx&amp;sheet=A0&amp;row=334&amp;col=6&amp;number=&amp;sourceID=54","")</f>
        <v/>
      </c>
      <c r="G334" s="4" t="str">
        <f>HYPERLINK("http://141.218.60.56/~jnz1568/getInfo.php?workbook=16_15.xlsx&amp;sheet=A0&amp;row=334&amp;col=7&amp;number=4.8064e-05&amp;sourceID=54","4.8064e-05")</f>
        <v>4.8064e-05</v>
      </c>
      <c r="H334" s="4" t="str">
        <f>HYPERLINK("http://141.218.60.56/~jnz1568/getInfo.php?workbook=16_15.xlsx&amp;sheet=A0&amp;row=334&amp;col=8&amp;number=0.017975&amp;sourceID=54","0.017975")</f>
        <v>0.017975</v>
      </c>
      <c r="I334" s="4" t="str">
        <f>HYPERLINK("http://141.218.60.56/~jnz1568/getInfo.php?workbook=16_15.xlsx&amp;sheet=A0&amp;row=334&amp;col=9&amp;number=&amp;sourceID=54","")</f>
        <v/>
      </c>
      <c r="J334" s="4" t="str">
        <f>HYPERLINK("http://141.218.60.56/~jnz1568/getInfo.php?workbook=16_15.xlsx&amp;sheet=A0&amp;row=334&amp;col=10&amp;number=4.5077e-05&amp;sourceID=54","4.5077e-05")</f>
        <v>4.5077e-05</v>
      </c>
      <c r="K334" s="4" t="str">
        <f>HYPERLINK("http://141.218.60.56/~jnz1568/getInfo.php?workbook=16_15.xlsx&amp;sheet=A0&amp;row=334&amp;col=11&amp;number=0.016917&amp;sourceID=54","0.016917")</f>
        <v>0.016917</v>
      </c>
      <c r="L334" s="4" t="str">
        <f>HYPERLINK("http://141.218.60.56/~jnz1568/getInfo.php?workbook=16_15.xlsx&amp;sheet=A0&amp;row=334&amp;col=12&amp;number=&amp;sourceID=53","")</f>
        <v/>
      </c>
      <c r="M334" s="4" t="str">
        <f>HYPERLINK("http://141.218.60.56/~jnz1568/getInfo.php?workbook=16_15.xlsx&amp;sheet=A0&amp;row=334&amp;col=13&amp;number=&amp;sourceID=53","")</f>
        <v/>
      </c>
      <c r="N334" s="4" t="str">
        <f>HYPERLINK("http://141.218.60.56/~jnz1568/getInfo.php?workbook=16_15.xlsx&amp;sheet=A0&amp;row=334&amp;col=14&amp;number=&amp;sourceID=53","")</f>
        <v/>
      </c>
      <c r="O334" s="4" t="str">
        <f>HYPERLINK("http://141.218.60.56/~jnz1568/getInfo.php?workbook=16_15.xlsx&amp;sheet=A0&amp;row=334&amp;col=15&amp;number=&amp;sourceID=55","")</f>
        <v/>
      </c>
      <c r="P334" s="4" t="str">
        <f>HYPERLINK("http://141.218.60.56/~jnz1568/getInfo.php?workbook=16_15.xlsx&amp;sheet=A0&amp;row=334&amp;col=16&amp;number=&amp;sourceID=55","")</f>
        <v/>
      </c>
      <c r="Q334" s="4" t="str">
        <f>HYPERLINK("http://141.218.60.56/~jnz1568/getInfo.php?workbook=16_15.xlsx&amp;sheet=A0&amp;row=334&amp;col=17&amp;number=&amp;sourceID=56","")</f>
        <v/>
      </c>
      <c r="R334" s="4" t="str">
        <f>HYPERLINK("http://141.218.60.56/~jnz1568/getInfo.php?workbook=16_15.xlsx&amp;sheet=A0&amp;row=334&amp;col=18&amp;number=&amp;sourceID=56","")</f>
        <v/>
      </c>
      <c r="S334" s="4" t="str">
        <f>HYPERLINK("http://141.218.60.56/~jnz1568/getInfo.php?workbook=16_15.xlsx&amp;sheet=A0&amp;row=334&amp;col=19&amp;number=&amp;sourceID=57","")</f>
        <v/>
      </c>
      <c r="T334" s="4" t="str">
        <f>HYPERLINK("http://141.218.60.56/~jnz1568/getInfo.php?workbook=16_15.xlsx&amp;sheet=A0&amp;row=334&amp;col=20&amp;number=&amp;sourceID=57","")</f>
        <v/>
      </c>
      <c r="U334" s="4" t="str">
        <f>HYPERLINK("http://141.218.60.56/~jnz1568/getInfo.php?workbook=16_15.xlsx&amp;sheet=A0&amp;row=334&amp;col=21&amp;number=&amp;sourceID=47","")</f>
        <v/>
      </c>
      <c r="V334" s="4" t="str">
        <f>HYPERLINK("http://141.218.60.56/~jnz1568/getInfo.php?workbook=16_15.xlsx&amp;sheet=A0&amp;row=334&amp;col=22&amp;number=&amp;sourceID=47","")</f>
        <v/>
      </c>
    </row>
    <row r="335" spans="1:22">
      <c r="A335" s="3">
        <v>16</v>
      </c>
      <c r="B335" s="3">
        <v>15</v>
      </c>
      <c r="C335" s="3">
        <v>29</v>
      </c>
      <c r="D335" s="3">
        <v>15</v>
      </c>
      <c r="E335" s="3">
        <f>((1/(INDEX(E0!J$4:J$73,C335,1)-INDEX(E0!J$4:J$73,D335,1))))*100000000</f>
        <v>0</v>
      </c>
      <c r="F335" s="4" t="str">
        <f>HYPERLINK("http://141.218.60.56/~jnz1568/getInfo.php?workbook=16_15.xlsx&amp;sheet=A0&amp;row=335&amp;col=6&amp;number=&amp;sourceID=54","")</f>
        <v/>
      </c>
      <c r="G335" s="4" t="str">
        <f>HYPERLINK("http://141.218.60.56/~jnz1568/getInfo.php?workbook=16_15.xlsx&amp;sheet=A0&amp;row=335&amp;col=7&amp;number=7.3169e-05&amp;sourceID=54","7.3169e-05")</f>
        <v>7.3169e-05</v>
      </c>
      <c r="H335" s="4" t="str">
        <f>HYPERLINK("http://141.218.60.56/~jnz1568/getInfo.php?workbook=16_15.xlsx&amp;sheet=A0&amp;row=335&amp;col=8&amp;number=3.1044e-05&amp;sourceID=54","3.1044e-05")</f>
        <v>3.1044e-05</v>
      </c>
      <c r="I335" s="4" t="str">
        <f>HYPERLINK("http://141.218.60.56/~jnz1568/getInfo.php?workbook=16_15.xlsx&amp;sheet=A0&amp;row=335&amp;col=9&amp;number=&amp;sourceID=54","")</f>
        <v/>
      </c>
      <c r="J335" s="4" t="str">
        <f>HYPERLINK("http://141.218.60.56/~jnz1568/getInfo.php?workbook=16_15.xlsx&amp;sheet=A0&amp;row=335&amp;col=10&amp;number=8.3196e-05&amp;sourceID=54","8.3196e-05")</f>
        <v>8.3196e-05</v>
      </c>
      <c r="K335" s="4" t="str">
        <f>HYPERLINK("http://141.218.60.56/~jnz1568/getInfo.php?workbook=16_15.xlsx&amp;sheet=A0&amp;row=335&amp;col=11&amp;number=3.3103e-05&amp;sourceID=54","3.3103e-05")</f>
        <v>3.3103e-05</v>
      </c>
      <c r="L335" s="4" t="str">
        <f>HYPERLINK("http://141.218.60.56/~jnz1568/getInfo.php?workbook=16_15.xlsx&amp;sheet=A0&amp;row=335&amp;col=12&amp;number=&amp;sourceID=53","")</f>
        <v/>
      </c>
      <c r="M335" s="4" t="str">
        <f>HYPERLINK("http://141.218.60.56/~jnz1568/getInfo.php?workbook=16_15.xlsx&amp;sheet=A0&amp;row=335&amp;col=13&amp;number=&amp;sourceID=53","")</f>
        <v/>
      </c>
      <c r="N335" s="4" t="str">
        <f>HYPERLINK("http://141.218.60.56/~jnz1568/getInfo.php?workbook=16_15.xlsx&amp;sheet=A0&amp;row=335&amp;col=14&amp;number=&amp;sourceID=53","")</f>
        <v/>
      </c>
      <c r="O335" s="4" t="str">
        <f>HYPERLINK("http://141.218.60.56/~jnz1568/getInfo.php?workbook=16_15.xlsx&amp;sheet=A0&amp;row=335&amp;col=15&amp;number=&amp;sourceID=55","")</f>
        <v/>
      </c>
      <c r="P335" s="4" t="str">
        <f>HYPERLINK("http://141.218.60.56/~jnz1568/getInfo.php?workbook=16_15.xlsx&amp;sheet=A0&amp;row=335&amp;col=16&amp;number=&amp;sourceID=55","")</f>
        <v/>
      </c>
      <c r="Q335" s="4" t="str">
        <f>HYPERLINK("http://141.218.60.56/~jnz1568/getInfo.php?workbook=16_15.xlsx&amp;sheet=A0&amp;row=335&amp;col=17&amp;number=&amp;sourceID=56","")</f>
        <v/>
      </c>
      <c r="R335" s="4" t="str">
        <f>HYPERLINK("http://141.218.60.56/~jnz1568/getInfo.php?workbook=16_15.xlsx&amp;sheet=A0&amp;row=335&amp;col=18&amp;number=&amp;sourceID=56","")</f>
        <v/>
      </c>
      <c r="S335" s="4" t="str">
        <f>HYPERLINK("http://141.218.60.56/~jnz1568/getInfo.php?workbook=16_15.xlsx&amp;sheet=A0&amp;row=335&amp;col=19&amp;number=&amp;sourceID=57","")</f>
        <v/>
      </c>
      <c r="T335" s="4" t="str">
        <f>HYPERLINK("http://141.218.60.56/~jnz1568/getInfo.php?workbook=16_15.xlsx&amp;sheet=A0&amp;row=335&amp;col=20&amp;number=&amp;sourceID=57","")</f>
        <v/>
      </c>
      <c r="U335" s="4" t="str">
        <f>HYPERLINK("http://141.218.60.56/~jnz1568/getInfo.php?workbook=16_15.xlsx&amp;sheet=A0&amp;row=335&amp;col=21&amp;number=&amp;sourceID=47","")</f>
        <v/>
      </c>
      <c r="V335" s="4" t="str">
        <f>HYPERLINK("http://141.218.60.56/~jnz1568/getInfo.php?workbook=16_15.xlsx&amp;sheet=A0&amp;row=335&amp;col=22&amp;number=&amp;sourceID=47","")</f>
        <v/>
      </c>
    </row>
    <row r="336" spans="1:22">
      <c r="A336" s="3">
        <v>16</v>
      </c>
      <c r="B336" s="3">
        <v>15</v>
      </c>
      <c r="C336" s="3">
        <v>29</v>
      </c>
      <c r="D336" s="3">
        <v>16</v>
      </c>
      <c r="E336" s="3">
        <f>((1/(INDEX(E0!J$4:J$73,C336,1)-INDEX(E0!J$4:J$73,D336,1))))*100000000</f>
        <v>0</v>
      </c>
      <c r="F336" s="4" t="str">
        <f>HYPERLINK("http://141.218.60.56/~jnz1568/getInfo.php?workbook=16_15.xlsx&amp;sheet=A0&amp;row=336&amp;col=6&amp;number=&amp;sourceID=54","")</f>
        <v/>
      </c>
      <c r="G336" s="4" t="str">
        <f>HYPERLINK("http://141.218.60.56/~jnz1568/getInfo.php?workbook=16_15.xlsx&amp;sheet=A0&amp;row=336&amp;col=7&amp;number=1.5225e-05&amp;sourceID=54","1.5225e-05")</f>
        <v>1.5225e-05</v>
      </c>
      <c r="H336" s="4" t="str">
        <f>HYPERLINK("http://141.218.60.56/~jnz1568/getInfo.php?workbook=16_15.xlsx&amp;sheet=A0&amp;row=336&amp;col=8&amp;number=0.0050487&amp;sourceID=54","0.0050487")</f>
        <v>0.0050487</v>
      </c>
      <c r="I336" s="4" t="str">
        <f>HYPERLINK("http://141.218.60.56/~jnz1568/getInfo.php?workbook=16_15.xlsx&amp;sheet=A0&amp;row=336&amp;col=9&amp;number=&amp;sourceID=54","")</f>
        <v/>
      </c>
      <c r="J336" s="4" t="str">
        <f>HYPERLINK("http://141.218.60.56/~jnz1568/getInfo.php?workbook=16_15.xlsx&amp;sheet=A0&amp;row=336&amp;col=10&amp;number=1.418e-05&amp;sourceID=54","1.418e-05")</f>
        <v>1.418e-05</v>
      </c>
      <c r="K336" s="4" t="str">
        <f>HYPERLINK("http://141.218.60.56/~jnz1568/getInfo.php?workbook=16_15.xlsx&amp;sheet=A0&amp;row=336&amp;col=11&amp;number=0.0048516&amp;sourceID=54","0.0048516")</f>
        <v>0.0048516</v>
      </c>
      <c r="L336" s="4" t="str">
        <f>HYPERLINK("http://141.218.60.56/~jnz1568/getInfo.php?workbook=16_15.xlsx&amp;sheet=A0&amp;row=336&amp;col=12&amp;number=&amp;sourceID=53","")</f>
        <v/>
      </c>
      <c r="M336" s="4" t="str">
        <f>HYPERLINK("http://141.218.60.56/~jnz1568/getInfo.php?workbook=16_15.xlsx&amp;sheet=A0&amp;row=336&amp;col=13&amp;number=&amp;sourceID=53","")</f>
        <v/>
      </c>
      <c r="N336" s="4" t="str">
        <f>HYPERLINK("http://141.218.60.56/~jnz1568/getInfo.php?workbook=16_15.xlsx&amp;sheet=A0&amp;row=336&amp;col=14&amp;number=&amp;sourceID=53","")</f>
        <v/>
      </c>
      <c r="O336" s="4" t="str">
        <f>HYPERLINK("http://141.218.60.56/~jnz1568/getInfo.php?workbook=16_15.xlsx&amp;sheet=A0&amp;row=336&amp;col=15&amp;number=&amp;sourceID=55","")</f>
        <v/>
      </c>
      <c r="P336" s="4" t="str">
        <f>HYPERLINK("http://141.218.60.56/~jnz1568/getInfo.php?workbook=16_15.xlsx&amp;sheet=A0&amp;row=336&amp;col=16&amp;number=&amp;sourceID=55","")</f>
        <v/>
      </c>
      <c r="Q336" s="4" t="str">
        <f>HYPERLINK("http://141.218.60.56/~jnz1568/getInfo.php?workbook=16_15.xlsx&amp;sheet=A0&amp;row=336&amp;col=17&amp;number=&amp;sourceID=56","")</f>
        <v/>
      </c>
      <c r="R336" s="4" t="str">
        <f>HYPERLINK("http://141.218.60.56/~jnz1568/getInfo.php?workbook=16_15.xlsx&amp;sheet=A0&amp;row=336&amp;col=18&amp;number=&amp;sourceID=56","")</f>
        <v/>
      </c>
      <c r="S336" s="4" t="str">
        <f>HYPERLINK("http://141.218.60.56/~jnz1568/getInfo.php?workbook=16_15.xlsx&amp;sheet=A0&amp;row=336&amp;col=19&amp;number=&amp;sourceID=57","")</f>
        <v/>
      </c>
      <c r="T336" s="4" t="str">
        <f>HYPERLINK("http://141.218.60.56/~jnz1568/getInfo.php?workbook=16_15.xlsx&amp;sheet=A0&amp;row=336&amp;col=20&amp;number=&amp;sourceID=57","")</f>
        <v/>
      </c>
      <c r="U336" s="4" t="str">
        <f>HYPERLINK("http://141.218.60.56/~jnz1568/getInfo.php?workbook=16_15.xlsx&amp;sheet=A0&amp;row=336&amp;col=21&amp;number=&amp;sourceID=47","")</f>
        <v/>
      </c>
      <c r="V336" s="4" t="str">
        <f>HYPERLINK("http://141.218.60.56/~jnz1568/getInfo.php?workbook=16_15.xlsx&amp;sheet=A0&amp;row=336&amp;col=22&amp;number=&amp;sourceID=47","")</f>
        <v/>
      </c>
    </row>
    <row r="337" spans="1:22">
      <c r="A337" s="3">
        <v>16</v>
      </c>
      <c r="B337" s="3">
        <v>15</v>
      </c>
      <c r="C337" s="3">
        <v>29</v>
      </c>
      <c r="D337" s="3">
        <v>17</v>
      </c>
      <c r="E337" s="3">
        <f>((1/(INDEX(E0!J$4:J$73,C337,1)-INDEX(E0!J$4:J$73,D337,1))))*100000000</f>
        <v>0</v>
      </c>
      <c r="F337" s="4" t="str">
        <f>HYPERLINK("http://141.218.60.56/~jnz1568/getInfo.php?workbook=16_15.xlsx&amp;sheet=A0&amp;row=337&amp;col=6&amp;number=&amp;sourceID=54","")</f>
        <v/>
      </c>
      <c r="G337" s="4" t="str">
        <f>HYPERLINK("http://141.218.60.56/~jnz1568/getInfo.php?workbook=16_15.xlsx&amp;sheet=A0&amp;row=337&amp;col=7&amp;number=2.2162e-06&amp;sourceID=54","2.2162e-06")</f>
        <v>2.2162e-06</v>
      </c>
      <c r="H337" s="4" t="str">
        <f>HYPERLINK("http://141.218.60.56/~jnz1568/getInfo.php?workbook=16_15.xlsx&amp;sheet=A0&amp;row=337&amp;col=8&amp;number=7.6762e-05&amp;sourceID=54","7.6762e-05")</f>
        <v>7.6762e-05</v>
      </c>
      <c r="I337" s="4" t="str">
        <f>HYPERLINK("http://141.218.60.56/~jnz1568/getInfo.php?workbook=16_15.xlsx&amp;sheet=A0&amp;row=337&amp;col=9&amp;number=&amp;sourceID=54","")</f>
        <v/>
      </c>
      <c r="J337" s="4" t="str">
        <f>HYPERLINK("http://141.218.60.56/~jnz1568/getInfo.php?workbook=16_15.xlsx&amp;sheet=A0&amp;row=337&amp;col=10&amp;number=2.8396e-06&amp;sourceID=54","2.8396e-06")</f>
        <v>2.8396e-06</v>
      </c>
      <c r="K337" s="4" t="str">
        <f>HYPERLINK("http://141.218.60.56/~jnz1568/getInfo.php?workbook=16_15.xlsx&amp;sheet=A0&amp;row=337&amp;col=11&amp;number=9.0102e-05&amp;sourceID=54","9.0102e-05")</f>
        <v>9.0102e-05</v>
      </c>
      <c r="L337" s="4" t="str">
        <f>HYPERLINK("http://141.218.60.56/~jnz1568/getInfo.php?workbook=16_15.xlsx&amp;sheet=A0&amp;row=337&amp;col=12&amp;number=&amp;sourceID=53","")</f>
        <v/>
      </c>
      <c r="M337" s="4" t="str">
        <f>HYPERLINK("http://141.218.60.56/~jnz1568/getInfo.php?workbook=16_15.xlsx&amp;sheet=A0&amp;row=337&amp;col=13&amp;number=&amp;sourceID=53","")</f>
        <v/>
      </c>
      <c r="N337" s="4" t="str">
        <f>HYPERLINK("http://141.218.60.56/~jnz1568/getInfo.php?workbook=16_15.xlsx&amp;sheet=A0&amp;row=337&amp;col=14&amp;number=&amp;sourceID=53","")</f>
        <v/>
      </c>
      <c r="O337" s="4" t="str">
        <f>HYPERLINK("http://141.218.60.56/~jnz1568/getInfo.php?workbook=16_15.xlsx&amp;sheet=A0&amp;row=337&amp;col=15&amp;number=&amp;sourceID=55","")</f>
        <v/>
      </c>
      <c r="P337" s="4" t="str">
        <f>HYPERLINK("http://141.218.60.56/~jnz1568/getInfo.php?workbook=16_15.xlsx&amp;sheet=A0&amp;row=337&amp;col=16&amp;number=&amp;sourceID=55","")</f>
        <v/>
      </c>
      <c r="Q337" s="4" t="str">
        <f>HYPERLINK("http://141.218.60.56/~jnz1568/getInfo.php?workbook=16_15.xlsx&amp;sheet=A0&amp;row=337&amp;col=17&amp;number=&amp;sourceID=56","")</f>
        <v/>
      </c>
      <c r="R337" s="4" t="str">
        <f>HYPERLINK("http://141.218.60.56/~jnz1568/getInfo.php?workbook=16_15.xlsx&amp;sheet=A0&amp;row=337&amp;col=18&amp;number=&amp;sourceID=56","")</f>
        <v/>
      </c>
      <c r="S337" s="4" t="str">
        <f>HYPERLINK("http://141.218.60.56/~jnz1568/getInfo.php?workbook=16_15.xlsx&amp;sheet=A0&amp;row=337&amp;col=19&amp;number=&amp;sourceID=57","")</f>
        <v/>
      </c>
      <c r="T337" s="4" t="str">
        <f>HYPERLINK("http://141.218.60.56/~jnz1568/getInfo.php?workbook=16_15.xlsx&amp;sheet=A0&amp;row=337&amp;col=20&amp;number=&amp;sourceID=57","")</f>
        <v/>
      </c>
      <c r="U337" s="4" t="str">
        <f>HYPERLINK("http://141.218.60.56/~jnz1568/getInfo.php?workbook=16_15.xlsx&amp;sheet=A0&amp;row=337&amp;col=21&amp;number=&amp;sourceID=47","")</f>
        <v/>
      </c>
      <c r="V337" s="4" t="str">
        <f>HYPERLINK("http://141.218.60.56/~jnz1568/getInfo.php?workbook=16_15.xlsx&amp;sheet=A0&amp;row=337&amp;col=22&amp;number=&amp;sourceID=47","")</f>
        <v/>
      </c>
    </row>
    <row r="338" spans="1:22">
      <c r="A338" s="3">
        <v>16</v>
      </c>
      <c r="B338" s="3">
        <v>15</v>
      </c>
      <c r="C338" s="3">
        <v>29</v>
      </c>
      <c r="D338" s="3">
        <v>18</v>
      </c>
      <c r="E338" s="3">
        <f>((1/(INDEX(E0!J$4:J$73,C338,1)-INDEX(E0!J$4:J$73,D338,1))))*100000000</f>
        <v>0</v>
      </c>
      <c r="F338" s="4" t="str">
        <f>HYPERLINK("http://141.218.60.56/~jnz1568/getInfo.php?workbook=16_15.xlsx&amp;sheet=A0&amp;row=338&amp;col=6&amp;number=&amp;sourceID=54","")</f>
        <v/>
      </c>
      <c r="G338" s="4" t="str">
        <f>HYPERLINK("http://141.218.60.56/~jnz1568/getInfo.php?workbook=16_15.xlsx&amp;sheet=A0&amp;row=338&amp;col=7&amp;number=2.3873e-06&amp;sourceID=54","2.3873e-06")</f>
        <v>2.3873e-06</v>
      </c>
      <c r="H338" s="4" t="str">
        <f>HYPERLINK("http://141.218.60.56/~jnz1568/getInfo.php?workbook=16_15.xlsx&amp;sheet=A0&amp;row=338&amp;col=8&amp;number=&amp;sourceID=54","")</f>
        <v/>
      </c>
      <c r="I338" s="4" t="str">
        <f>HYPERLINK("http://141.218.60.56/~jnz1568/getInfo.php?workbook=16_15.xlsx&amp;sheet=A0&amp;row=338&amp;col=9&amp;number=&amp;sourceID=54","")</f>
        <v/>
      </c>
      <c r="J338" s="4" t="str">
        <f>HYPERLINK("http://141.218.60.56/~jnz1568/getInfo.php?workbook=16_15.xlsx&amp;sheet=A0&amp;row=338&amp;col=10&amp;number=2.8285e-06&amp;sourceID=54","2.8285e-06")</f>
        <v>2.8285e-06</v>
      </c>
      <c r="K338" s="4" t="str">
        <f>HYPERLINK("http://141.218.60.56/~jnz1568/getInfo.php?workbook=16_15.xlsx&amp;sheet=A0&amp;row=338&amp;col=11&amp;number=&amp;sourceID=54","")</f>
        <v/>
      </c>
      <c r="L338" s="4" t="str">
        <f>HYPERLINK("http://141.218.60.56/~jnz1568/getInfo.php?workbook=16_15.xlsx&amp;sheet=A0&amp;row=338&amp;col=12&amp;number=&amp;sourceID=53","")</f>
        <v/>
      </c>
      <c r="M338" s="4" t="str">
        <f>HYPERLINK("http://141.218.60.56/~jnz1568/getInfo.php?workbook=16_15.xlsx&amp;sheet=A0&amp;row=338&amp;col=13&amp;number=&amp;sourceID=53","")</f>
        <v/>
      </c>
      <c r="N338" s="4" t="str">
        <f>HYPERLINK("http://141.218.60.56/~jnz1568/getInfo.php?workbook=16_15.xlsx&amp;sheet=A0&amp;row=338&amp;col=14&amp;number=&amp;sourceID=53","")</f>
        <v/>
      </c>
      <c r="O338" s="4" t="str">
        <f>HYPERLINK("http://141.218.60.56/~jnz1568/getInfo.php?workbook=16_15.xlsx&amp;sheet=A0&amp;row=338&amp;col=15&amp;number=&amp;sourceID=55","")</f>
        <v/>
      </c>
      <c r="P338" s="4" t="str">
        <f>HYPERLINK("http://141.218.60.56/~jnz1568/getInfo.php?workbook=16_15.xlsx&amp;sheet=A0&amp;row=338&amp;col=16&amp;number=&amp;sourceID=55","")</f>
        <v/>
      </c>
      <c r="Q338" s="4" t="str">
        <f>HYPERLINK("http://141.218.60.56/~jnz1568/getInfo.php?workbook=16_15.xlsx&amp;sheet=A0&amp;row=338&amp;col=17&amp;number=&amp;sourceID=56","")</f>
        <v/>
      </c>
      <c r="R338" s="4" t="str">
        <f>HYPERLINK("http://141.218.60.56/~jnz1568/getInfo.php?workbook=16_15.xlsx&amp;sheet=A0&amp;row=338&amp;col=18&amp;number=&amp;sourceID=56","")</f>
        <v/>
      </c>
      <c r="S338" s="4" t="str">
        <f>HYPERLINK("http://141.218.60.56/~jnz1568/getInfo.php?workbook=16_15.xlsx&amp;sheet=A0&amp;row=338&amp;col=19&amp;number=&amp;sourceID=57","")</f>
        <v/>
      </c>
      <c r="T338" s="4" t="str">
        <f>HYPERLINK("http://141.218.60.56/~jnz1568/getInfo.php?workbook=16_15.xlsx&amp;sheet=A0&amp;row=338&amp;col=20&amp;number=&amp;sourceID=57","")</f>
        <v/>
      </c>
      <c r="U338" s="4" t="str">
        <f>HYPERLINK("http://141.218.60.56/~jnz1568/getInfo.php?workbook=16_15.xlsx&amp;sheet=A0&amp;row=338&amp;col=21&amp;number=&amp;sourceID=47","")</f>
        <v/>
      </c>
      <c r="V338" s="4" t="str">
        <f>HYPERLINK("http://141.218.60.56/~jnz1568/getInfo.php?workbook=16_15.xlsx&amp;sheet=A0&amp;row=338&amp;col=22&amp;number=&amp;sourceID=47","")</f>
        <v/>
      </c>
    </row>
    <row r="339" spans="1:22">
      <c r="A339" s="3">
        <v>16</v>
      </c>
      <c r="B339" s="3">
        <v>15</v>
      </c>
      <c r="C339" s="3">
        <v>29</v>
      </c>
      <c r="D339" s="3">
        <v>20</v>
      </c>
      <c r="E339" s="3">
        <f>((1/(INDEX(E0!J$4:J$73,C339,1)-INDEX(E0!J$4:J$73,D339,1))))*100000000</f>
        <v>0</v>
      </c>
      <c r="F339" s="4" t="str">
        <f>HYPERLINK("http://141.218.60.56/~jnz1568/getInfo.php?workbook=16_15.xlsx&amp;sheet=A0&amp;row=339&amp;col=6&amp;number=&amp;sourceID=54","")</f>
        <v/>
      </c>
      <c r="G339" s="4" t="str">
        <f>HYPERLINK("http://141.218.60.56/~jnz1568/getInfo.php?workbook=16_15.xlsx&amp;sheet=A0&amp;row=339&amp;col=7&amp;number=0.0012715&amp;sourceID=54","0.0012715")</f>
        <v>0.0012715</v>
      </c>
      <c r="H339" s="4" t="str">
        <f>HYPERLINK("http://141.218.60.56/~jnz1568/getInfo.php?workbook=16_15.xlsx&amp;sheet=A0&amp;row=339&amp;col=8&amp;number=0.0084405&amp;sourceID=54","0.0084405")</f>
        <v>0.0084405</v>
      </c>
      <c r="I339" s="4" t="str">
        <f>HYPERLINK("http://141.218.60.56/~jnz1568/getInfo.php?workbook=16_15.xlsx&amp;sheet=A0&amp;row=339&amp;col=9&amp;number=&amp;sourceID=54","")</f>
        <v/>
      </c>
      <c r="J339" s="4" t="str">
        <f>HYPERLINK("http://141.218.60.56/~jnz1568/getInfo.php?workbook=16_15.xlsx&amp;sheet=A0&amp;row=339&amp;col=10&amp;number=0.0010765&amp;sourceID=54","0.0010765")</f>
        <v>0.0010765</v>
      </c>
      <c r="K339" s="4" t="str">
        <f>HYPERLINK("http://141.218.60.56/~jnz1568/getInfo.php?workbook=16_15.xlsx&amp;sheet=A0&amp;row=339&amp;col=11&amp;number=0.0074817&amp;sourceID=54","0.0074817")</f>
        <v>0.0074817</v>
      </c>
      <c r="L339" s="4" t="str">
        <f>HYPERLINK("http://141.218.60.56/~jnz1568/getInfo.php?workbook=16_15.xlsx&amp;sheet=A0&amp;row=339&amp;col=12&amp;number=&amp;sourceID=53","")</f>
        <v/>
      </c>
      <c r="M339" s="4" t="str">
        <f>HYPERLINK("http://141.218.60.56/~jnz1568/getInfo.php?workbook=16_15.xlsx&amp;sheet=A0&amp;row=339&amp;col=13&amp;number=&amp;sourceID=53","")</f>
        <v/>
      </c>
      <c r="N339" s="4" t="str">
        <f>HYPERLINK("http://141.218.60.56/~jnz1568/getInfo.php?workbook=16_15.xlsx&amp;sheet=A0&amp;row=339&amp;col=14&amp;number=&amp;sourceID=53","")</f>
        <v/>
      </c>
      <c r="O339" s="4" t="str">
        <f>HYPERLINK("http://141.218.60.56/~jnz1568/getInfo.php?workbook=16_15.xlsx&amp;sheet=A0&amp;row=339&amp;col=15&amp;number=&amp;sourceID=55","")</f>
        <v/>
      </c>
      <c r="P339" s="4" t="str">
        <f>HYPERLINK("http://141.218.60.56/~jnz1568/getInfo.php?workbook=16_15.xlsx&amp;sheet=A0&amp;row=339&amp;col=16&amp;number=&amp;sourceID=55","")</f>
        <v/>
      </c>
      <c r="Q339" s="4" t="str">
        <f>HYPERLINK("http://141.218.60.56/~jnz1568/getInfo.php?workbook=16_15.xlsx&amp;sheet=A0&amp;row=339&amp;col=17&amp;number=&amp;sourceID=56","")</f>
        <v/>
      </c>
      <c r="R339" s="4" t="str">
        <f>HYPERLINK("http://141.218.60.56/~jnz1568/getInfo.php?workbook=16_15.xlsx&amp;sheet=A0&amp;row=339&amp;col=18&amp;number=&amp;sourceID=56","")</f>
        <v/>
      </c>
      <c r="S339" s="4" t="str">
        <f>HYPERLINK("http://141.218.60.56/~jnz1568/getInfo.php?workbook=16_15.xlsx&amp;sheet=A0&amp;row=339&amp;col=19&amp;number=&amp;sourceID=57","")</f>
        <v/>
      </c>
      <c r="T339" s="4" t="str">
        <f>HYPERLINK("http://141.218.60.56/~jnz1568/getInfo.php?workbook=16_15.xlsx&amp;sheet=A0&amp;row=339&amp;col=20&amp;number=&amp;sourceID=57","")</f>
        <v/>
      </c>
      <c r="U339" s="4" t="str">
        <f>HYPERLINK("http://141.218.60.56/~jnz1568/getInfo.php?workbook=16_15.xlsx&amp;sheet=A0&amp;row=339&amp;col=21&amp;number=&amp;sourceID=47","")</f>
        <v/>
      </c>
      <c r="V339" s="4" t="str">
        <f>HYPERLINK("http://141.218.60.56/~jnz1568/getInfo.php?workbook=16_15.xlsx&amp;sheet=A0&amp;row=339&amp;col=22&amp;number=&amp;sourceID=47","")</f>
        <v/>
      </c>
    </row>
    <row r="340" spans="1:22">
      <c r="A340" s="3">
        <v>16</v>
      </c>
      <c r="B340" s="3">
        <v>15</v>
      </c>
      <c r="C340" s="3">
        <v>29</v>
      </c>
      <c r="D340" s="3">
        <v>21</v>
      </c>
      <c r="E340" s="3">
        <f>((1/(INDEX(E0!J$4:J$73,C340,1)-INDEX(E0!J$4:J$73,D340,1))))*100000000</f>
        <v>0</v>
      </c>
      <c r="F340" s="4" t="str">
        <f>HYPERLINK("http://141.218.60.56/~jnz1568/getInfo.php?workbook=16_15.xlsx&amp;sheet=A0&amp;row=340&amp;col=6&amp;number=&amp;sourceID=54","")</f>
        <v/>
      </c>
      <c r="G340" s="4" t="str">
        <f>HYPERLINK("http://141.218.60.56/~jnz1568/getInfo.php?workbook=16_15.xlsx&amp;sheet=A0&amp;row=340&amp;col=7&amp;number=0.00078197&amp;sourceID=54","0.00078197")</f>
        <v>0.00078197</v>
      </c>
      <c r="H340" s="4" t="str">
        <f>HYPERLINK("http://141.218.60.56/~jnz1568/getInfo.php?workbook=16_15.xlsx&amp;sheet=A0&amp;row=340&amp;col=8&amp;number=0.023294&amp;sourceID=54","0.023294")</f>
        <v>0.023294</v>
      </c>
      <c r="I340" s="4" t="str">
        <f>HYPERLINK("http://141.218.60.56/~jnz1568/getInfo.php?workbook=16_15.xlsx&amp;sheet=A0&amp;row=340&amp;col=9&amp;number=&amp;sourceID=54","")</f>
        <v/>
      </c>
      <c r="J340" s="4" t="str">
        <f>HYPERLINK("http://141.218.60.56/~jnz1568/getInfo.php?workbook=16_15.xlsx&amp;sheet=A0&amp;row=340&amp;col=10&amp;number=0.00064906&amp;sourceID=54","0.00064906")</f>
        <v>0.00064906</v>
      </c>
      <c r="K340" s="4" t="str">
        <f>HYPERLINK("http://141.218.60.56/~jnz1568/getInfo.php?workbook=16_15.xlsx&amp;sheet=A0&amp;row=340&amp;col=11&amp;number=0.01236&amp;sourceID=54","0.01236")</f>
        <v>0.01236</v>
      </c>
      <c r="L340" s="4" t="str">
        <f>HYPERLINK("http://141.218.60.56/~jnz1568/getInfo.php?workbook=16_15.xlsx&amp;sheet=A0&amp;row=340&amp;col=12&amp;number=&amp;sourceID=53","")</f>
        <v/>
      </c>
      <c r="M340" s="4" t="str">
        <f>HYPERLINK("http://141.218.60.56/~jnz1568/getInfo.php?workbook=16_15.xlsx&amp;sheet=A0&amp;row=340&amp;col=13&amp;number=&amp;sourceID=53","")</f>
        <v/>
      </c>
      <c r="N340" s="4" t="str">
        <f>HYPERLINK("http://141.218.60.56/~jnz1568/getInfo.php?workbook=16_15.xlsx&amp;sheet=A0&amp;row=340&amp;col=14&amp;number=&amp;sourceID=53","")</f>
        <v/>
      </c>
      <c r="O340" s="4" t="str">
        <f>HYPERLINK("http://141.218.60.56/~jnz1568/getInfo.php?workbook=16_15.xlsx&amp;sheet=A0&amp;row=340&amp;col=15&amp;number=&amp;sourceID=55","")</f>
        <v/>
      </c>
      <c r="P340" s="4" t="str">
        <f>HYPERLINK("http://141.218.60.56/~jnz1568/getInfo.php?workbook=16_15.xlsx&amp;sheet=A0&amp;row=340&amp;col=16&amp;number=&amp;sourceID=55","")</f>
        <v/>
      </c>
      <c r="Q340" s="4" t="str">
        <f>HYPERLINK("http://141.218.60.56/~jnz1568/getInfo.php?workbook=16_15.xlsx&amp;sheet=A0&amp;row=340&amp;col=17&amp;number=&amp;sourceID=56","")</f>
        <v/>
      </c>
      <c r="R340" s="4" t="str">
        <f>HYPERLINK("http://141.218.60.56/~jnz1568/getInfo.php?workbook=16_15.xlsx&amp;sheet=A0&amp;row=340&amp;col=18&amp;number=&amp;sourceID=56","")</f>
        <v/>
      </c>
      <c r="S340" s="4" t="str">
        <f>HYPERLINK("http://141.218.60.56/~jnz1568/getInfo.php?workbook=16_15.xlsx&amp;sheet=A0&amp;row=340&amp;col=19&amp;number=&amp;sourceID=57","")</f>
        <v/>
      </c>
      <c r="T340" s="4" t="str">
        <f>HYPERLINK("http://141.218.60.56/~jnz1568/getInfo.php?workbook=16_15.xlsx&amp;sheet=A0&amp;row=340&amp;col=20&amp;number=&amp;sourceID=57","")</f>
        <v/>
      </c>
      <c r="U340" s="4" t="str">
        <f>HYPERLINK("http://141.218.60.56/~jnz1568/getInfo.php?workbook=16_15.xlsx&amp;sheet=A0&amp;row=340&amp;col=21&amp;number=&amp;sourceID=47","")</f>
        <v/>
      </c>
      <c r="V340" s="4" t="str">
        <f>HYPERLINK("http://141.218.60.56/~jnz1568/getInfo.php?workbook=16_15.xlsx&amp;sheet=A0&amp;row=340&amp;col=22&amp;number=&amp;sourceID=47","")</f>
        <v/>
      </c>
    </row>
    <row r="341" spans="1:22">
      <c r="A341" s="3">
        <v>16</v>
      </c>
      <c r="B341" s="3">
        <v>15</v>
      </c>
      <c r="C341" s="3">
        <v>29</v>
      </c>
      <c r="D341" s="3">
        <v>22</v>
      </c>
      <c r="E341" s="3">
        <f>((1/(INDEX(E0!J$4:J$73,C341,1)-INDEX(E0!J$4:J$73,D341,1))))*100000000</f>
        <v>0</v>
      </c>
      <c r="F341" s="4" t="str">
        <f>HYPERLINK("http://141.218.60.56/~jnz1568/getInfo.php?workbook=16_15.xlsx&amp;sheet=A0&amp;row=341&amp;col=6&amp;number=&amp;sourceID=54","")</f>
        <v/>
      </c>
      <c r="G341" s="4" t="str">
        <f>HYPERLINK("http://141.218.60.56/~jnz1568/getInfo.php?workbook=16_15.xlsx&amp;sheet=A0&amp;row=341&amp;col=7&amp;number=3.6919e-06&amp;sourceID=54","3.6919e-06")</f>
        <v>3.6919e-06</v>
      </c>
      <c r="H341" s="4" t="str">
        <f>HYPERLINK("http://141.218.60.56/~jnz1568/getInfo.php?workbook=16_15.xlsx&amp;sheet=A0&amp;row=341&amp;col=8&amp;number=0.00014408&amp;sourceID=54","0.00014408")</f>
        <v>0.00014408</v>
      </c>
      <c r="I341" s="4" t="str">
        <f>HYPERLINK("http://141.218.60.56/~jnz1568/getInfo.php?workbook=16_15.xlsx&amp;sheet=A0&amp;row=341&amp;col=9&amp;number=&amp;sourceID=54","")</f>
        <v/>
      </c>
      <c r="J341" s="4" t="str">
        <f>HYPERLINK("http://141.218.60.56/~jnz1568/getInfo.php?workbook=16_15.xlsx&amp;sheet=A0&amp;row=341&amp;col=10&amp;number=4.196e-06&amp;sourceID=54","4.196e-06")</f>
        <v>4.196e-06</v>
      </c>
      <c r="K341" s="4" t="str">
        <f>HYPERLINK("http://141.218.60.56/~jnz1568/getInfo.php?workbook=16_15.xlsx&amp;sheet=A0&amp;row=341&amp;col=11&amp;number=0.00014489&amp;sourceID=54","0.00014489")</f>
        <v>0.00014489</v>
      </c>
      <c r="L341" s="4" t="str">
        <f>HYPERLINK("http://141.218.60.56/~jnz1568/getInfo.php?workbook=16_15.xlsx&amp;sheet=A0&amp;row=341&amp;col=12&amp;number=&amp;sourceID=53","")</f>
        <v/>
      </c>
      <c r="M341" s="4" t="str">
        <f>HYPERLINK("http://141.218.60.56/~jnz1568/getInfo.php?workbook=16_15.xlsx&amp;sheet=A0&amp;row=341&amp;col=13&amp;number=&amp;sourceID=53","")</f>
        <v/>
      </c>
      <c r="N341" s="4" t="str">
        <f>HYPERLINK("http://141.218.60.56/~jnz1568/getInfo.php?workbook=16_15.xlsx&amp;sheet=A0&amp;row=341&amp;col=14&amp;number=&amp;sourceID=53","")</f>
        <v/>
      </c>
      <c r="O341" s="4" t="str">
        <f>HYPERLINK("http://141.218.60.56/~jnz1568/getInfo.php?workbook=16_15.xlsx&amp;sheet=A0&amp;row=341&amp;col=15&amp;number=&amp;sourceID=55","")</f>
        <v/>
      </c>
      <c r="P341" s="4" t="str">
        <f>HYPERLINK("http://141.218.60.56/~jnz1568/getInfo.php?workbook=16_15.xlsx&amp;sheet=A0&amp;row=341&amp;col=16&amp;number=&amp;sourceID=55","")</f>
        <v/>
      </c>
      <c r="Q341" s="4" t="str">
        <f>HYPERLINK("http://141.218.60.56/~jnz1568/getInfo.php?workbook=16_15.xlsx&amp;sheet=A0&amp;row=341&amp;col=17&amp;number=&amp;sourceID=56","")</f>
        <v/>
      </c>
      <c r="R341" s="4" t="str">
        <f>HYPERLINK("http://141.218.60.56/~jnz1568/getInfo.php?workbook=16_15.xlsx&amp;sheet=A0&amp;row=341&amp;col=18&amp;number=&amp;sourceID=56","")</f>
        <v/>
      </c>
      <c r="S341" s="4" t="str">
        <f>HYPERLINK("http://141.218.60.56/~jnz1568/getInfo.php?workbook=16_15.xlsx&amp;sheet=A0&amp;row=341&amp;col=19&amp;number=&amp;sourceID=57","")</f>
        <v/>
      </c>
      <c r="T341" s="4" t="str">
        <f>HYPERLINK("http://141.218.60.56/~jnz1568/getInfo.php?workbook=16_15.xlsx&amp;sheet=A0&amp;row=341&amp;col=20&amp;number=&amp;sourceID=57","")</f>
        <v/>
      </c>
      <c r="U341" s="4" t="str">
        <f>HYPERLINK("http://141.218.60.56/~jnz1568/getInfo.php?workbook=16_15.xlsx&amp;sheet=A0&amp;row=341&amp;col=21&amp;number=&amp;sourceID=47","")</f>
        <v/>
      </c>
      <c r="V341" s="4" t="str">
        <f>HYPERLINK("http://141.218.60.56/~jnz1568/getInfo.php?workbook=16_15.xlsx&amp;sheet=A0&amp;row=341&amp;col=22&amp;number=&amp;sourceID=47","")</f>
        <v/>
      </c>
    </row>
    <row r="342" spans="1:22">
      <c r="A342" s="3">
        <v>16</v>
      </c>
      <c r="B342" s="3">
        <v>15</v>
      </c>
      <c r="C342" s="3">
        <v>29</v>
      </c>
      <c r="D342" s="3">
        <v>23</v>
      </c>
      <c r="E342" s="3">
        <f>((1/(INDEX(E0!J$4:J$73,C342,1)-INDEX(E0!J$4:J$73,D342,1))))*100000000</f>
        <v>0</v>
      </c>
      <c r="F342" s="4" t="str">
        <f>HYPERLINK("http://141.218.60.56/~jnz1568/getInfo.php?workbook=16_15.xlsx&amp;sheet=A0&amp;row=342&amp;col=6&amp;number=&amp;sourceID=54","")</f>
        <v/>
      </c>
      <c r="G342" s="4" t="str">
        <f>HYPERLINK("http://141.218.60.56/~jnz1568/getInfo.php?workbook=16_15.xlsx&amp;sheet=A0&amp;row=342&amp;col=7&amp;number=4.6172e-07&amp;sourceID=54","4.6172e-07")</f>
        <v>4.6172e-07</v>
      </c>
      <c r="H342" s="4" t="str">
        <f>HYPERLINK("http://141.218.60.56/~jnz1568/getInfo.php?workbook=16_15.xlsx&amp;sheet=A0&amp;row=342&amp;col=8&amp;number=5.5892e-05&amp;sourceID=54","5.5892e-05")</f>
        <v>5.5892e-05</v>
      </c>
      <c r="I342" s="4" t="str">
        <f>HYPERLINK("http://141.218.60.56/~jnz1568/getInfo.php?workbook=16_15.xlsx&amp;sheet=A0&amp;row=342&amp;col=9&amp;number=&amp;sourceID=54","")</f>
        <v/>
      </c>
      <c r="J342" s="4" t="str">
        <f>HYPERLINK("http://141.218.60.56/~jnz1568/getInfo.php?workbook=16_15.xlsx&amp;sheet=A0&amp;row=342&amp;col=10&amp;number=6.2439e-07&amp;sourceID=54","6.2439e-07")</f>
        <v>6.2439e-07</v>
      </c>
      <c r="K342" s="4" t="str">
        <f>HYPERLINK("http://141.218.60.56/~jnz1568/getInfo.php?workbook=16_15.xlsx&amp;sheet=A0&amp;row=342&amp;col=11&amp;number=5.5585e-05&amp;sourceID=54","5.5585e-05")</f>
        <v>5.5585e-05</v>
      </c>
      <c r="L342" s="4" t="str">
        <f>HYPERLINK("http://141.218.60.56/~jnz1568/getInfo.php?workbook=16_15.xlsx&amp;sheet=A0&amp;row=342&amp;col=12&amp;number=&amp;sourceID=53","")</f>
        <v/>
      </c>
      <c r="M342" s="4" t="str">
        <f>HYPERLINK("http://141.218.60.56/~jnz1568/getInfo.php?workbook=16_15.xlsx&amp;sheet=A0&amp;row=342&amp;col=13&amp;number=&amp;sourceID=53","")</f>
        <v/>
      </c>
      <c r="N342" s="4" t="str">
        <f>HYPERLINK("http://141.218.60.56/~jnz1568/getInfo.php?workbook=16_15.xlsx&amp;sheet=A0&amp;row=342&amp;col=14&amp;number=&amp;sourceID=53","")</f>
        <v/>
      </c>
      <c r="O342" s="4" t="str">
        <f>HYPERLINK("http://141.218.60.56/~jnz1568/getInfo.php?workbook=16_15.xlsx&amp;sheet=A0&amp;row=342&amp;col=15&amp;number=&amp;sourceID=55","")</f>
        <v/>
      </c>
      <c r="P342" s="4" t="str">
        <f>HYPERLINK("http://141.218.60.56/~jnz1568/getInfo.php?workbook=16_15.xlsx&amp;sheet=A0&amp;row=342&amp;col=16&amp;number=&amp;sourceID=55","")</f>
        <v/>
      </c>
      <c r="Q342" s="4" t="str">
        <f>HYPERLINK("http://141.218.60.56/~jnz1568/getInfo.php?workbook=16_15.xlsx&amp;sheet=A0&amp;row=342&amp;col=17&amp;number=&amp;sourceID=56","")</f>
        <v/>
      </c>
      <c r="R342" s="4" t="str">
        <f>HYPERLINK("http://141.218.60.56/~jnz1568/getInfo.php?workbook=16_15.xlsx&amp;sheet=A0&amp;row=342&amp;col=18&amp;number=&amp;sourceID=56","")</f>
        <v/>
      </c>
      <c r="S342" s="4" t="str">
        <f>HYPERLINK("http://141.218.60.56/~jnz1568/getInfo.php?workbook=16_15.xlsx&amp;sheet=A0&amp;row=342&amp;col=19&amp;number=&amp;sourceID=57","")</f>
        <v/>
      </c>
      <c r="T342" s="4" t="str">
        <f>HYPERLINK("http://141.218.60.56/~jnz1568/getInfo.php?workbook=16_15.xlsx&amp;sheet=A0&amp;row=342&amp;col=20&amp;number=&amp;sourceID=57","")</f>
        <v/>
      </c>
      <c r="U342" s="4" t="str">
        <f>HYPERLINK("http://141.218.60.56/~jnz1568/getInfo.php?workbook=16_15.xlsx&amp;sheet=A0&amp;row=342&amp;col=21&amp;number=&amp;sourceID=47","")</f>
        <v/>
      </c>
      <c r="V342" s="4" t="str">
        <f>HYPERLINK("http://141.218.60.56/~jnz1568/getInfo.php?workbook=16_15.xlsx&amp;sheet=A0&amp;row=342&amp;col=22&amp;number=&amp;sourceID=47","")</f>
        <v/>
      </c>
    </row>
    <row r="343" spans="1:22">
      <c r="A343" s="3">
        <v>16</v>
      </c>
      <c r="B343" s="3">
        <v>15</v>
      </c>
      <c r="C343" s="3">
        <v>29</v>
      </c>
      <c r="D343" s="3">
        <v>24</v>
      </c>
      <c r="E343" s="3">
        <f>((1/(INDEX(E0!J$4:J$73,C343,1)-INDEX(E0!J$4:J$73,D343,1))))*100000000</f>
        <v>0</v>
      </c>
      <c r="F343" s="4" t="str">
        <f>HYPERLINK("http://141.218.60.56/~jnz1568/getInfo.php?workbook=16_15.xlsx&amp;sheet=A0&amp;row=343&amp;col=6&amp;number=&amp;sourceID=54","")</f>
        <v/>
      </c>
      <c r="G343" s="4" t="str">
        <f>HYPERLINK("http://141.218.60.56/~jnz1568/getInfo.php?workbook=16_15.xlsx&amp;sheet=A0&amp;row=343&amp;col=7&amp;number=0.00077756&amp;sourceID=54","0.00077756")</f>
        <v>0.00077756</v>
      </c>
      <c r="H343" s="4" t="str">
        <f>HYPERLINK("http://141.218.60.56/~jnz1568/getInfo.php?workbook=16_15.xlsx&amp;sheet=A0&amp;row=343&amp;col=8&amp;number=1.8616e-05&amp;sourceID=54","1.8616e-05")</f>
        <v>1.8616e-05</v>
      </c>
      <c r="I343" s="4" t="str">
        <f>HYPERLINK("http://141.218.60.56/~jnz1568/getInfo.php?workbook=16_15.xlsx&amp;sheet=A0&amp;row=343&amp;col=9&amp;number=&amp;sourceID=54","")</f>
        <v/>
      </c>
      <c r="J343" s="4" t="str">
        <f>HYPERLINK("http://141.218.60.56/~jnz1568/getInfo.php?workbook=16_15.xlsx&amp;sheet=A0&amp;row=343&amp;col=10&amp;number=0.0020113&amp;sourceID=54","0.0020113")</f>
        <v>0.0020113</v>
      </c>
      <c r="K343" s="4" t="str">
        <f>HYPERLINK("http://141.218.60.56/~jnz1568/getInfo.php?workbook=16_15.xlsx&amp;sheet=A0&amp;row=343&amp;col=11&amp;number=1.7307e-05&amp;sourceID=54","1.7307e-05")</f>
        <v>1.7307e-05</v>
      </c>
      <c r="L343" s="4" t="str">
        <f>HYPERLINK("http://141.218.60.56/~jnz1568/getInfo.php?workbook=16_15.xlsx&amp;sheet=A0&amp;row=343&amp;col=12&amp;number=&amp;sourceID=53","")</f>
        <v/>
      </c>
      <c r="M343" s="4" t="str">
        <f>HYPERLINK("http://141.218.60.56/~jnz1568/getInfo.php?workbook=16_15.xlsx&amp;sheet=A0&amp;row=343&amp;col=13&amp;number=&amp;sourceID=53","")</f>
        <v/>
      </c>
      <c r="N343" s="4" t="str">
        <f>HYPERLINK("http://141.218.60.56/~jnz1568/getInfo.php?workbook=16_15.xlsx&amp;sheet=A0&amp;row=343&amp;col=14&amp;number=&amp;sourceID=53","")</f>
        <v/>
      </c>
      <c r="O343" s="4" t="str">
        <f>HYPERLINK("http://141.218.60.56/~jnz1568/getInfo.php?workbook=16_15.xlsx&amp;sheet=A0&amp;row=343&amp;col=15&amp;number=&amp;sourceID=55","")</f>
        <v/>
      </c>
      <c r="P343" s="4" t="str">
        <f>HYPERLINK("http://141.218.60.56/~jnz1568/getInfo.php?workbook=16_15.xlsx&amp;sheet=A0&amp;row=343&amp;col=16&amp;number=&amp;sourceID=55","")</f>
        <v/>
      </c>
      <c r="Q343" s="4" t="str">
        <f>HYPERLINK("http://141.218.60.56/~jnz1568/getInfo.php?workbook=16_15.xlsx&amp;sheet=A0&amp;row=343&amp;col=17&amp;number=&amp;sourceID=56","")</f>
        <v/>
      </c>
      <c r="R343" s="4" t="str">
        <f>HYPERLINK("http://141.218.60.56/~jnz1568/getInfo.php?workbook=16_15.xlsx&amp;sheet=A0&amp;row=343&amp;col=18&amp;number=&amp;sourceID=56","")</f>
        <v/>
      </c>
      <c r="S343" s="4" t="str">
        <f>HYPERLINK("http://141.218.60.56/~jnz1568/getInfo.php?workbook=16_15.xlsx&amp;sheet=A0&amp;row=343&amp;col=19&amp;number=&amp;sourceID=57","")</f>
        <v/>
      </c>
      <c r="T343" s="4" t="str">
        <f>HYPERLINK("http://141.218.60.56/~jnz1568/getInfo.php?workbook=16_15.xlsx&amp;sheet=A0&amp;row=343&amp;col=20&amp;number=&amp;sourceID=57","")</f>
        <v/>
      </c>
      <c r="U343" s="4" t="str">
        <f>HYPERLINK("http://141.218.60.56/~jnz1568/getInfo.php?workbook=16_15.xlsx&amp;sheet=A0&amp;row=343&amp;col=21&amp;number=&amp;sourceID=47","")</f>
        <v/>
      </c>
      <c r="V343" s="4" t="str">
        <f>HYPERLINK("http://141.218.60.56/~jnz1568/getInfo.php?workbook=16_15.xlsx&amp;sheet=A0&amp;row=343&amp;col=22&amp;number=&amp;sourceID=47","")</f>
        <v/>
      </c>
    </row>
    <row r="344" spans="1:22">
      <c r="A344" s="3">
        <v>16</v>
      </c>
      <c r="B344" s="3">
        <v>15</v>
      </c>
      <c r="C344" s="3">
        <v>29</v>
      </c>
      <c r="D344" s="3">
        <v>25</v>
      </c>
      <c r="E344" s="3">
        <f>((1/(INDEX(E0!J$4:J$73,C344,1)-INDEX(E0!J$4:J$73,D344,1))))*100000000</f>
        <v>0</v>
      </c>
      <c r="F344" s="4" t="str">
        <f>HYPERLINK("http://141.218.60.56/~jnz1568/getInfo.php?workbook=16_15.xlsx&amp;sheet=A0&amp;row=344&amp;col=6&amp;number=&amp;sourceID=54","")</f>
        <v/>
      </c>
      <c r="G344" s="4" t="str">
        <f>HYPERLINK("http://141.218.60.56/~jnz1568/getInfo.php?workbook=16_15.xlsx&amp;sheet=A0&amp;row=344&amp;col=7&amp;number=0.00029266&amp;sourceID=54","0.00029266")</f>
        <v>0.00029266</v>
      </c>
      <c r="H344" s="4" t="str">
        <f>HYPERLINK("http://141.218.60.56/~jnz1568/getInfo.php?workbook=16_15.xlsx&amp;sheet=A0&amp;row=344&amp;col=8&amp;number=&amp;sourceID=54","")</f>
        <v/>
      </c>
      <c r="I344" s="4" t="str">
        <f>HYPERLINK("http://141.218.60.56/~jnz1568/getInfo.php?workbook=16_15.xlsx&amp;sheet=A0&amp;row=344&amp;col=9&amp;number=&amp;sourceID=54","")</f>
        <v/>
      </c>
      <c r="J344" s="4" t="str">
        <f>HYPERLINK("http://141.218.60.56/~jnz1568/getInfo.php?workbook=16_15.xlsx&amp;sheet=A0&amp;row=344&amp;col=10&amp;number=0.00057106&amp;sourceID=54","0.00057106")</f>
        <v>0.00057106</v>
      </c>
      <c r="K344" s="4" t="str">
        <f>HYPERLINK("http://141.218.60.56/~jnz1568/getInfo.php?workbook=16_15.xlsx&amp;sheet=A0&amp;row=344&amp;col=11&amp;number=&amp;sourceID=54","")</f>
        <v/>
      </c>
      <c r="L344" s="4" t="str">
        <f>HYPERLINK("http://141.218.60.56/~jnz1568/getInfo.php?workbook=16_15.xlsx&amp;sheet=A0&amp;row=344&amp;col=12&amp;number=&amp;sourceID=53","")</f>
        <v/>
      </c>
      <c r="M344" s="4" t="str">
        <f>HYPERLINK("http://141.218.60.56/~jnz1568/getInfo.php?workbook=16_15.xlsx&amp;sheet=A0&amp;row=344&amp;col=13&amp;number=&amp;sourceID=53","")</f>
        <v/>
      </c>
      <c r="N344" s="4" t="str">
        <f>HYPERLINK("http://141.218.60.56/~jnz1568/getInfo.php?workbook=16_15.xlsx&amp;sheet=A0&amp;row=344&amp;col=14&amp;number=&amp;sourceID=53","")</f>
        <v/>
      </c>
      <c r="O344" s="4" t="str">
        <f>HYPERLINK("http://141.218.60.56/~jnz1568/getInfo.php?workbook=16_15.xlsx&amp;sheet=A0&amp;row=344&amp;col=15&amp;number=&amp;sourceID=55","")</f>
        <v/>
      </c>
      <c r="P344" s="4" t="str">
        <f>HYPERLINK("http://141.218.60.56/~jnz1568/getInfo.php?workbook=16_15.xlsx&amp;sheet=A0&amp;row=344&amp;col=16&amp;number=&amp;sourceID=55","")</f>
        <v/>
      </c>
      <c r="Q344" s="4" t="str">
        <f>HYPERLINK("http://141.218.60.56/~jnz1568/getInfo.php?workbook=16_15.xlsx&amp;sheet=A0&amp;row=344&amp;col=17&amp;number=&amp;sourceID=56","")</f>
        <v/>
      </c>
      <c r="R344" s="4" t="str">
        <f>HYPERLINK("http://141.218.60.56/~jnz1568/getInfo.php?workbook=16_15.xlsx&amp;sheet=A0&amp;row=344&amp;col=18&amp;number=&amp;sourceID=56","")</f>
        <v/>
      </c>
      <c r="S344" s="4" t="str">
        <f>HYPERLINK("http://141.218.60.56/~jnz1568/getInfo.php?workbook=16_15.xlsx&amp;sheet=A0&amp;row=344&amp;col=19&amp;number=&amp;sourceID=57","")</f>
        <v/>
      </c>
      <c r="T344" s="4" t="str">
        <f>HYPERLINK("http://141.218.60.56/~jnz1568/getInfo.php?workbook=16_15.xlsx&amp;sheet=A0&amp;row=344&amp;col=20&amp;number=&amp;sourceID=57","")</f>
        <v/>
      </c>
      <c r="U344" s="4" t="str">
        <f>HYPERLINK("http://141.218.60.56/~jnz1568/getInfo.php?workbook=16_15.xlsx&amp;sheet=A0&amp;row=344&amp;col=21&amp;number=&amp;sourceID=47","")</f>
        <v/>
      </c>
      <c r="V344" s="4" t="str">
        <f>HYPERLINK("http://141.218.60.56/~jnz1568/getInfo.php?workbook=16_15.xlsx&amp;sheet=A0&amp;row=344&amp;col=22&amp;number=&amp;sourceID=47","")</f>
        <v/>
      </c>
    </row>
    <row r="345" spans="1:22">
      <c r="A345" s="3">
        <v>16</v>
      </c>
      <c r="B345" s="3">
        <v>15</v>
      </c>
      <c r="C345" s="3">
        <v>29</v>
      </c>
      <c r="D345" s="3">
        <v>26</v>
      </c>
      <c r="E345" s="3">
        <f>((1/(INDEX(E0!J$4:J$73,C345,1)-INDEX(E0!J$4:J$73,D345,1))))*100000000</f>
        <v>0</v>
      </c>
      <c r="F345" s="4" t="str">
        <f>HYPERLINK("http://141.218.60.56/~jnz1568/getInfo.php?workbook=16_15.xlsx&amp;sheet=A0&amp;row=345&amp;col=6&amp;number=&amp;sourceID=54","")</f>
        <v/>
      </c>
      <c r="G345" s="4" t="str">
        <f>HYPERLINK("http://141.218.60.56/~jnz1568/getInfo.php?workbook=16_15.xlsx&amp;sheet=A0&amp;row=345&amp;col=7&amp;number=0.022654&amp;sourceID=54","0.022654")</f>
        <v>0.022654</v>
      </c>
      <c r="H345" s="4" t="str">
        <f>HYPERLINK("http://141.218.60.56/~jnz1568/getInfo.php?workbook=16_15.xlsx&amp;sheet=A0&amp;row=345&amp;col=8&amp;number=5.8792e-06&amp;sourceID=54","5.8792e-06")</f>
        <v>5.8792e-06</v>
      </c>
      <c r="I345" s="4" t="str">
        <f>HYPERLINK("http://141.218.60.56/~jnz1568/getInfo.php?workbook=16_15.xlsx&amp;sheet=A0&amp;row=345&amp;col=9&amp;number=&amp;sourceID=54","")</f>
        <v/>
      </c>
      <c r="J345" s="4" t="str">
        <f>HYPERLINK("http://141.218.60.56/~jnz1568/getInfo.php?workbook=16_15.xlsx&amp;sheet=A0&amp;row=345&amp;col=10&amp;number=0.029867&amp;sourceID=54","0.029867")</f>
        <v>0.029867</v>
      </c>
      <c r="K345" s="4" t="str">
        <f>HYPERLINK("http://141.218.60.56/~jnz1568/getInfo.php?workbook=16_15.xlsx&amp;sheet=A0&amp;row=345&amp;col=11&amp;number=7.9033e-06&amp;sourceID=54","7.9033e-06")</f>
        <v>7.9033e-06</v>
      </c>
      <c r="L345" s="4" t="str">
        <f>HYPERLINK("http://141.218.60.56/~jnz1568/getInfo.php?workbook=16_15.xlsx&amp;sheet=A0&amp;row=345&amp;col=12&amp;number=&amp;sourceID=53","")</f>
        <v/>
      </c>
      <c r="M345" s="4" t="str">
        <f>HYPERLINK("http://141.218.60.56/~jnz1568/getInfo.php?workbook=16_15.xlsx&amp;sheet=A0&amp;row=345&amp;col=13&amp;number=&amp;sourceID=53","")</f>
        <v/>
      </c>
      <c r="N345" s="4" t="str">
        <f>HYPERLINK("http://141.218.60.56/~jnz1568/getInfo.php?workbook=16_15.xlsx&amp;sheet=A0&amp;row=345&amp;col=14&amp;number=&amp;sourceID=53","")</f>
        <v/>
      </c>
      <c r="O345" s="4" t="str">
        <f>HYPERLINK("http://141.218.60.56/~jnz1568/getInfo.php?workbook=16_15.xlsx&amp;sheet=A0&amp;row=345&amp;col=15&amp;number=&amp;sourceID=55","")</f>
        <v/>
      </c>
      <c r="P345" s="4" t="str">
        <f>HYPERLINK("http://141.218.60.56/~jnz1568/getInfo.php?workbook=16_15.xlsx&amp;sheet=A0&amp;row=345&amp;col=16&amp;number=&amp;sourceID=55","")</f>
        <v/>
      </c>
      <c r="Q345" s="4" t="str">
        <f>HYPERLINK("http://141.218.60.56/~jnz1568/getInfo.php?workbook=16_15.xlsx&amp;sheet=A0&amp;row=345&amp;col=17&amp;number=&amp;sourceID=56","")</f>
        <v/>
      </c>
      <c r="R345" s="4" t="str">
        <f>HYPERLINK("http://141.218.60.56/~jnz1568/getInfo.php?workbook=16_15.xlsx&amp;sheet=A0&amp;row=345&amp;col=18&amp;number=&amp;sourceID=56","")</f>
        <v/>
      </c>
      <c r="S345" s="4" t="str">
        <f>HYPERLINK("http://141.218.60.56/~jnz1568/getInfo.php?workbook=16_15.xlsx&amp;sheet=A0&amp;row=345&amp;col=19&amp;number=&amp;sourceID=57","")</f>
        <v/>
      </c>
      <c r="T345" s="4" t="str">
        <f>HYPERLINK("http://141.218.60.56/~jnz1568/getInfo.php?workbook=16_15.xlsx&amp;sheet=A0&amp;row=345&amp;col=20&amp;number=&amp;sourceID=57","")</f>
        <v/>
      </c>
      <c r="U345" s="4" t="str">
        <f>HYPERLINK("http://141.218.60.56/~jnz1568/getInfo.php?workbook=16_15.xlsx&amp;sheet=A0&amp;row=345&amp;col=21&amp;number=&amp;sourceID=47","")</f>
        <v/>
      </c>
      <c r="V345" s="4" t="str">
        <f>HYPERLINK("http://141.218.60.56/~jnz1568/getInfo.php?workbook=16_15.xlsx&amp;sheet=A0&amp;row=345&amp;col=22&amp;number=&amp;sourceID=47","")</f>
        <v/>
      </c>
    </row>
    <row r="346" spans="1:22">
      <c r="A346" s="3">
        <v>16</v>
      </c>
      <c r="B346" s="3">
        <v>15</v>
      </c>
      <c r="C346" s="3">
        <v>29</v>
      </c>
      <c r="D346" s="3">
        <v>27</v>
      </c>
      <c r="E346" s="3">
        <f>((1/(INDEX(E0!J$4:J$73,C346,1)-INDEX(E0!J$4:J$73,D346,1))))*100000000</f>
        <v>0</v>
      </c>
      <c r="F346" s="4" t="str">
        <f>HYPERLINK("http://141.218.60.56/~jnz1568/getInfo.php?workbook=16_15.xlsx&amp;sheet=A0&amp;row=346&amp;col=6&amp;number=&amp;sourceID=54","")</f>
        <v/>
      </c>
      <c r="G346" s="4" t="str">
        <f>HYPERLINK("http://141.218.60.56/~jnz1568/getInfo.php?workbook=16_15.xlsx&amp;sheet=A0&amp;row=346&amp;col=7&amp;number=0.0030725&amp;sourceID=54","0.0030725")</f>
        <v>0.0030725</v>
      </c>
      <c r="H346" s="4" t="str">
        <f>HYPERLINK("http://141.218.60.56/~jnz1568/getInfo.php?workbook=16_15.xlsx&amp;sheet=A0&amp;row=346&amp;col=8&amp;number=&amp;sourceID=54","")</f>
        <v/>
      </c>
      <c r="I346" s="4" t="str">
        <f>HYPERLINK("http://141.218.60.56/~jnz1568/getInfo.php?workbook=16_15.xlsx&amp;sheet=A0&amp;row=346&amp;col=9&amp;number=&amp;sourceID=54","")</f>
        <v/>
      </c>
      <c r="J346" s="4" t="str">
        <f>HYPERLINK("http://141.218.60.56/~jnz1568/getInfo.php?workbook=16_15.xlsx&amp;sheet=A0&amp;row=346&amp;col=10&amp;number=0.0040539&amp;sourceID=54","0.0040539")</f>
        <v>0.0040539</v>
      </c>
      <c r="K346" s="4" t="str">
        <f>HYPERLINK("http://141.218.60.56/~jnz1568/getInfo.php?workbook=16_15.xlsx&amp;sheet=A0&amp;row=346&amp;col=11&amp;number=&amp;sourceID=54","")</f>
        <v/>
      </c>
      <c r="L346" s="4" t="str">
        <f>HYPERLINK("http://141.218.60.56/~jnz1568/getInfo.php?workbook=16_15.xlsx&amp;sheet=A0&amp;row=346&amp;col=12&amp;number=&amp;sourceID=53","")</f>
        <v/>
      </c>
      <c r="M346" s="4" t="str">
        <f>HYPERLINK("http://141.218.60.56/~jnz1568/getInfo.php?workbook=16_15.xlsx&amp;sheet=A0&amp;row=346&amp;col=13&amp;number=&amp;sourceID=53","")</f>
        <v/>
      </c>
      <c r="N346" s="4" t="str">
        <f>HYPERLINK("http://141.218.60.56/~jnz1568/getInfo.php?workbook=16_15.xlsx&amp;sheet=A0&amp;row=346&amp;col=14&amp;number=&amp;sourceID=53","")</f>
        <v/>
      </c>
      <c r="O346" s="4" t="str">
        <f>HYPERLINK("http://141.218.60.56/~jnz1568/getInfo.php?workbook=16_15.xlsx&amp;sheet=A0&amp;row=346&amp;col=15&amp;number=&amp;sourceID=55","")</f>
        <v/>
      </c>
      <c r="P346" s="4" t="str">
        <f>HYPERLINK("http://141.218.60.56/~jnz1568/getInfo.php?workbook=16_15.xlsx&amp;sheet=A0&amp;row=346&amp;col=16&amp;number=&amp;sourceID=55","")</f>
        <v/>
      </c>
      <c r="Q346" s="4" t="str">
        <f>HYPERLINK("http://141.218.60.56/~jnz1568/getInfo.php?workbook=16_15.xlsx&amp;sheet=A0&amp;row=346&amp;col=17&amp;number=&amp;sourceID=56","")</f>
        <v/>
      </c>
      <c r="R346" s="4" t="str">
        <f>HYPERLINK("http://141.218.60.56/~jnz1568/getInfo.php?workbook=16_15.xlsx&amp;sheet=A0&amp;row=346&amp;col=18&amp;number=&amp;sourceID=56","")</f>
        <v/>
      </c>
      <c r="S346" s="4" t="str">
        <f>HYPERLINK("http://141.218.60.56/~jnz1568/getInfo.php?workbook=16_15.xlsx&amp;sheet=A0&amp;row=346&amp;col=19&amp;number=&amp;sourceID=57","")</f>
        <v/>
      </c>
      <c r="T346" s="4" t="str">
        <f>HYPERLINK("http://141.218.60.56/~jnz1568/getInfo.php?workbook=16_15.xlsx&amp;sheet=A0&amp;row=346&amp;col=20&amp;number=&amp;sourceID=57","")</f>
        <v/>
      </c>
      <c r="U346" s="4" t="str">
        <f>HYPERLINK("http://141.218.60.56/~jnz1568/getInfo.php?workbook=16_15.xlsx&amp;sheet=A0&amp;row=346&amp;col=21&amp;number=&amp;sourceID=47","")</f>
        <v/>
      </c>
      <c r="V346" s="4" t="str">
        <f>HYPERLINK("http://141.218.60.56/~jnz1568/getInfo.php?workbook=16_15.xlsx&amp;sheet=A0&amp;row=346&amp;col=22&amp;number=&amp;sourceID=47","")</f>
        <v/>
      </c>
    </row>
    <row r="347" spans="1:22">
      <c r="A347" s="3">
        <v>16</v>
      </c>
      <c r="B347" s="3">
        <v>15</v>
      </c>
      <c r="C347" s="3">
        <v>29</v>
      </c>
      <c r="D347" s="3">
        <v>28</v>
      </c>
      <c r="E347" s="3">
        <f>((1/(INDEX(E0!J$4:J$73,C347,1)-INDEX(E0!J$4:J$73,D347,1))))*100000000</f>
        <v>0</v>
      </c>
      <c r="F347" s="4" t="str">
        <f>HYPERLINK("http://141.218.60.56/~jnz1568/getInfo.php?workbook=16_15.xlsx&amp;sheet=A0&amp;row=347&amp;col=6&amp;number=&amp;sourceID=54","")</f>
        <v/>
      </c>
      <c r="G347" s="4" t="str">
        <f>HYPERLINK("http://141.218.60.56/~jnz1568/getInfo.php?workbook=16_15.xlsx&amp;sheet=A0&amp;row=347&amp;col=7&amp;number=1.1909e-06&amp;sourceID=54","1.1909e-06")</f>
        <v>1.1909e-06</v>
      </c>
      <c r="H347" s="4" t="str">
        <f>HYPERLINK("http://141.218.60.56/~jnz1568/getInfo.php?workbook=16_15.xlsx&amp;sheet=A0&amp;row=347&amp;col=8&amp;number=1.0708e-10&amp;sourceID=54","1.0708e-10")</f>
        <v>1.0708e-10</v>
      </c>
      <c r="I347" s="4" t="str">
        <f>HYPERLINK("http://141.218.60.56/~jnz1568/getInfo.php?workbook=16_15.xlsx&amp;sheet=A0&amp;row=347&amp;col=9&amp;number=&amp;sourceID=54","")</f>
        <v/>
      </c>
      <c r="J347" s="4" t="str">
        <f>HYPERLINK("http://141.218.60.56/~jnz1568/getInfo.php?workbook=16_15.xlsx&amp;sheet=A0&amp;row=347&amp;col=10&amp;number=3.137e-06&amp;sourceID=54","3.137e-06")</f>
        <v>3.137e-06</v>
      </c>
      <c r="K347" s="4" t="str">
        <f>HYPERLINK("http://141.218.60.56/~jnz1568/getInfo.php?workbook=16_15.xlsx&amp;sheet=A0&amp;row=347&amp;col=11&amp;number=1.2471e-10&amp;sourceID=54","1.2471e-10")</f>
        <v>1.2471e-10</v>
      </c>
      <c r="L347" s="4" t="str">
        <f>HYPERLINK("http://141.218.60.56/~jnz1568/getInfo.php?workbook=16_15.xlsx&amp;sheet=A0&amp;row=347&amp;col=12&amp;number=&amp;sourceID=53","")</f>
        <v/>
      </c>
      <c r="M347" s="4" t="str">
        <f>HYPERLINK("http://141.218.60.56/~jnz1568/getInfo.php?workbook=16_15.xlsx&amp;sheet=A0&amp;row=347&amp;col=13&amp;number=&amp;sourceID=53","")</f>
        <v/>
      </c>
      <c r="N347" s="4" t="str">
        <f>HYPERLINK("http://141.218.60.56/~jnz1568/getInfo.php?workbook=16_15.xlsx&amp;sheet=A0&amp;row=347&amp;col=14&amp;number=&amp;sourceID=53","")</f>
        <v/>
      </c>
      <c r="O347" s="4" t="str">
        <f>HYPERLINK("http://141.218.60.56/~jnz1568/getInfo.php?workbook=16_15.xlsx&amp;sheet=A0&amp;row=347&amp;col=15&amp;number=&amp;sourceID=55","")</f>
        <v/>
      </c>
      <c r="P347" s="4" t="str">
        <f>HYPERLINK("http://141.218.60.56/~jnz1568/getInfo.php?workbook=16_15.xlsx&amp;sheet=A0&amp;row=347&amp;col=16&amp;number=&amp;sourceID=55","")</f>
        <v/>
      </c>
      <c r="Q347" s="4" t="str">
        <f>HYPERLINK("http://141.218.60.56/~jnz1568/getInfo.php?workbook=16_15.xlsx&amp;sheet=A0&amp;row=347&amp;col=17&amp;number=&amp;sourceID=56","")</f>
        <v/>
      </c>
      <c r="R347" s="4" t="str">
        <f>HYPERLINK("http://141.218.60.56/~jnz1568/getInfo.php?workbook=16_15.xlsx&amp;sheet=A0&amp;row=347&amp;col=18&amp;number=&amp;sourceID=56","")</f>
        <v/>
      </c>
      <c r="S347" s="4" t="str">
        <f>HYPERLINK("http://141.218.60.56/~jnz1568/getInfo.php?workbook=16_15.xlsx&amp;sheet=A0&amp;row=347&amp;col=19&amp;number=&amp;sourceID=57","")</f>
        <v/>
      </c>
      <c r="T347" s="4" t="str">
        <f>HYPERLINK("http://141.218.60.56/~jnz1568/getInfo.php?workbook=16_15.xlsx&amp;sheet=A0&amp;row=347&amp;col=20&amp;number=&amp;sourceID=57","")</f>
        <v/>
      </c>
      <c r="U347" s="4" t="str">
        <f>HYPERLINK("http://141.218.60.56/~jnz1568/getInfo.php?workbook=16_15.xlsx&amp;sheet=A0&amp;row=347&amp;col=21&amp;number=&amp;sourceID=47","")</f>
        <v/>
      </c>
      <c r="V347" s="4" t="str">
        <f>HYPERLINK("http://141.218.60.56/~jnz1568/getInfo.php?workbook=16_15.xlsx&amp;sheet=A0&amp;row=347&amp;col=22&amp;number=&amp;sourceID=47","")</f>
        <v/>
      </c>
    </row>
    <row r="348" spans="1:22">
      <c r="A348" s="3">
        <v>16</v>
      </c>
      <c r="B348" s="3">
        <v>15</v>
      </c>
      <c r="C348" s="3">
        <v>30</v>
      </c>
      <c r="D348" s="3">
        <v>1</v>
      </c>
      <c r="E348" s="3">
        <f>((1/(INDEX(E0!J$4:J$73,C348,1)-INDEX(E0!J$4:J$73,D348,1))))*100000000</f>
        <v>0</v>
      </c>
      <c r="F348" s="4" t="str">
        <f>HYPERLINK("http://141.218.60.56/~jnz1568/getInfo.php?workbook=16_15.xlsx&amp;sheet=A0&amp;row=348&amp;col=6&amp;number=1202300&amp;sourceID=54","1202300")</f>
        <v>1202300</v>
      </c>
      <c r="G348" s="4" t="str">
        <f>HYPERLINK("http://141.218.60.56/~jnz1568/getInfo.php?workbook=16_15.xlsx&amp;sheet=A0&amp;row=348&amp;col=7&amp;number=&amp;sourceID=54","")</f>
        <v/>
      </c>
      <c r="H348" s="4" t="str">
        <f>HYPERLINK("http://141.218.60.56/~jnz1568/getInfo.php?workbook=16_15.xlsx&amp;sheet=A0&amp;row=348&amp;col=8&amp;number=&amp;sourceID=54","")</f>
        <v/>
      </c>
      <c r="I348" s="4" t="str">
        <f>HYPERLINK("http://141.218.60.56/~jnz1568/getInfo.php?workbook=16_15.xlsx&amp;sheet=A0&amp;row=348&amp;col=9&amp;number=1263200&amp;sourceID=54","1263200")</f>
        <v>1263200</v>
      </c>
      <c r="J348" s="4" t="str">
        <f>HYPERLINK("http://141.218.60.56/~jnz1568/getInfo.php?workbook=16_15.xlsx&amp;sheet=A0&amp;row=348&amp;col=10&amp;number=&amp;sourceID=54","")</f>
        <v/>
      </c>
      <c r="K348" s="4" t="str">
        <f>HYPERLINK("http://141.218.60.56/~jnz1568/getInfo.php?workbook=16_15.xlsx&amp;sheet=A0&amp;row=348&amp;col=11&amp;number=&amp;sourceID=54","")</f>
        <v/>
      </c>
      <c r="L348" s="4" t="str">
        <f>HYPERLINK("http://141.218.60.56/~jnz1568/getInfo.php?workbook=16_15.xlsx&amp;sheet=A0&amp;row=348&amp;col=12&amp;number=1381977.42021&amp;sourceID=53","1381977.42021")</f>
        <v>1381977.42021</v>
      </c>
      <c r="M348" s="4" t="str">
        <f>HYPERLINK("http://141.218.60.56/~jnz1568/getInfo.php?workbook=16_15.xlsx&amp;sheet=A0&amp;row=348&amp;col=13&amp;number=&amp;sourceID=53","")</f>
        <v/>
      </c>
      <c r="N348" s="4" t="str">
        <f>HYPERLINK("http://141.218.60.56/~jnz1568/getInfo.php?workbook=16_15.xlsx&amp;sheet=A0&amp;row=348&amp;col=14&amp;number=&amp;sourceID=53","")</f>
        <v/>
      </c>
      <c r="O348" s="4" t="str">
        <f>HYPERLINK("http://141.218.60.56/~jnz1568/getInfo.php?workbook=16_15.xlsx&amp;sheet=A0&amp;row=348&amp;col=15&amp;number=&amp;sourceID=55","")</f>
        <v/>
      </c>
      <c r="P348" s="4" t="str">
        <f>HYPERLINK("http://141.218.60.56/~jnz1568/getInfo.php?workbook=16_15.xlsx&amp;sheet=A0&amp;row=348&amp;col=16&amp;number=&amp;sourceID=55","")</f>
        <v/>
      </c>
      <c r="Q348" s="4" t="str">
        <f>HYPERLINK("http://141.218.60.56/~jnz1568/getInfo.php?workbook=16_15.xlsx&amp;sheet=A0&amp;row=348&amp;col=17&amp;number=&amp;sourceID=56","")</f>
        <v/>
      </c>
      <c r="R348" s="4" t="str">
        <f>HYPERLINK("http://141.218.60.56/~jnz1568/getInfo.php?workbook=16_15.xlsx&amp;sheet=A0&amp;row=348&amp;col=18&amp;number=&amp;sourceID=56","")</f>
        <v/>
      </c>
      <c r="S348" s="4" t="str">
        <f>HYPERLINK("http://141.218.60.56/~jnz1568/getInfo.php?workbook=16_15.xlsx&amp;sheet=A0&amp;row=348&amp;col=19&amp;number=&amp;sourceID=57","")</f>
        <v/>
      </c>
      <c r="T348" s="4" t="str">
        <f>HYPERLINK("http://141.218.60.56/~jnz1568/getInfo.php?workbook=16_15.xlsx&amp;sheet=A0&amp;row=348&amp;col=20&amp;number=&amp;sourceID=57","")</f>
        <v/>
      </c>
      <c r="U348" s="4" t="str">
        <f>HYPERLINK("http://141.218.60.56/~jnz1568/getInfo.php?workbook=16_15.xlsx&amp;sheet=A0&amp;row=348&amp;col=21&amp;number=&amp;sourceID=47","")</f>
        <v/>
      </c>
      <c r="V348" s="4" t="str">
        <f>HYPERLINK("http://141.218.60.56/~jnz1568/getInfo.php?workbook=16_15.xlsx&amp;sheet=A0&amp;row=348&amp;col=22&amp;number=&amp;sourceID=47","")</f>
        <v/>
      </c>
    </row>
    <row r="349" spans="1:22">
      <c r="A349" s="3">
        <v>16</v>
      </c>
      <c r="B349" s="3">
        <v>15</v>
      </c>
      <c r="C349" s="3">
        <v>30</v>
      </c>
      <c r="D349" s="3">
        <v>2</v>
      </c>
      <c r="E349" s="3">
        <f>((1/(INDEX(E0!J$4:J$73,C349,1)-INDEX(E0!J$4:J$73,D349,1))))*100000000</f>
        <v>0</v>
      </c>
      <c r="F349" s="4" t="str">
        <f>HYPERLINK("http://141.218.60.56/~jnz1568/getInfo.php?workbook=16_15.xlsx&amp;sheet=A0&amp;row=349&amp;col=6&amp;number=95974000&amp;sourceID=54","95974000")</f>
        <v>95974000</v>
      </c>
      <c r="G349" s="4" t="str">
        <f>HYPERLINK("http://141.218.60.56/~jnz1568/getInfo.php?workbook=16_15.xlsx&amp;sheet=A0&amp;row=349&amp;col=7&amp;number=&amp;sourceID=54","")</f>
        <v/>
      </c>
      <c r="H349" s="4" t="str">
        <f>HYPERLINK("http://141.218.60.56/~jnz1568/getInfo.php?workbook=16_15.xlsx&amp;sheet=A0&amp;row=349&amp;col=8&amp;number=&amp;sourceID=54","")</f>
        <v/>
      </c>
      <c r="I349" s="4" t="str">
        <f>HYPERLINK("http://141.218.60.56/~jnz1568/getInfo.php?workbook=16_15.xlsx&amp;sheet=A0&amp;row=349&amp;col=9&amp;number=97550000&amp;sourceID=54","97550000")</f>
        <v>97550000</v>
      </c>
      <c r="J349" s="4" t="str">
        <f>HYPERLINK("http://141.218.60.56/~jnz1568/getInfo.php?workbook=16_15.xlsx&amp;sheet=A0&amp;row=349&amp;col=10&amp;number=&amp;sourceID=54","")</f>
        <v/>
      </c>
      <c r="K349" s="4" t="str">
        <f>HYPERLINK("http://141.218.60.56/~jnz1568/getInfo.php?workbook=16_15.xlsx&amp;sheet=A0&amp;row=349&amp;col=11&amp;number=&amp;sourceID=54","")</f>
        <v/>
      </c>
      <c r="L349" s="4" t="str">
        <f>HYPERLINK("http://141.218.60.56/~jnz1568/getInfo.php?workbook=16_15.xlsx&amp;sheet=A0&amp;row=349&amp;col=12&amp;number=95927827.3077&amp;sourceID=53","95927827.3077")</f>
        <v>95927827.3077</v>
      </c>
      <c r="M349" s="4" t="str">
        <f>HYPERLINK("http://141.218.60.56/~jnz1568/getInfo.php?workbook=16_15.xlsx&amp;sheet=A0&amp;row=349&amp;col=13&amp;number=&amp;sourceID=53","")</f>
        <v/>
      </c>
      <c r="N349" s="4" t="str">
        <f>HYPERLINK("http://141.218.60.56/~jnz1568/getInfo.php?workbook=16_15.xlsx&amp;sheet=A0&amp;row=349&amp;col=14&amp;number=&amp;sourceID=53","")</f>
        <v/>
      </c>
      <c r="O349" s="4" t="str">
        <f>HYPERLINK("http://141.218.60.56/~jnz1568/getInfo.php?workbook=16_15.xlsx&amp;sheet=A0&amp;row=349&amp;col=15&amp;number=&amp;sourceID=55","")</f>
        <v/>
      </c>
      <c r="P349" s="4" t="str">
        <f>HYPERLINK("http://141.218.60.56/~jnz1568/getInfo.php?workbook=16_15.xlsx&amp;sheet=A0&amp;row=349&amp;col=16&amp;number=&amp;sourceID=55","")</f>
        <v/>
      </c>
      <c r="Q349" s="4" t="str">
        <f>HYPERLINK("http://141.218.60.56/~jnz1568/getInfo.php?workbook=16_15.xlsx&amp;sheet=A0&amp;row=349&amp;col=17&amp;number=&amp;sourceID=56","")</f>
        <v/>
      </c>
      <c r="R349" s="4" t="str">
        <f>HYPERLINK("http://141.218.60.56/~jnz1568/getInfo.php?workbook=16_15.xlsx&amp;sheet=A0&amp;row=349&amp;col=18&amp;number=&amp;sourceID=56","")</f>
        <v/>
      </c>
      <c r="S349" s="4" t="str">
        <f>HYPERLINK("http://141.218.60.56/~jnz1568/getInfo.php?workbook=16_15.xlsx&amp;sheet=A0&amp;row=349&amp;col=19&amp;number=&amp;sourceID=57","")</f>
        <v/>
      </c>
      <c r="T349" s="4" t="str">
        <f>HYPERLINK("http://141.218.60.56/~jnz1568/getInfo.php?workbook=16_15.xlsx&amp;sheet=A0&amp;row=349&amp;col=20&amp;number=&amp;sourceID=57","")</f>
        <v/>
      </c>
      <c r="U349" s="4" t="str">
        <f>HYPERLINK("http://141.218.60.56/~jnz1568/getInfo.php?workbook=16_15.xlsx&amp;sheet=A0&amp;row=349&amp;col=21&amp;number=&amp;sourceID=47","")</f>
        <v/>
      </c>
      <c r="V349" s="4" t="str">
        <f>HYPERLINK("http://141.218.60.56/~jnz1568/getInfo.php?workbook=16_15.xlsx&amp;sheet=A0&amp;row=349&amp;col=22&amp;number=&amp;sourceID=47","")</f>
        <v/>
      </c>
    </row>
    <row r="350" spans="1:22">
      <c r="A350" s="3">
        <v>16</v>
      </c>
      <c r="B350" s="3">
        <v>15</v>
      </c>
      <c r="C350" s="3">
        <v>30</v>
      </c>
      <c r="D350" s="3">
        <v>3</v>
      </c>
      <c r="E350" s="3">
        <f>((1/(INDEX(E0!J$4:J$73,C350,1)-INDEX(E0!J$4:J$73,D350,1))))*100000000</f>
        <v>0</v>
      </c>
      <c r="F350" s="4" t="str">
        <f>HYPERLINK("http://141.218.60.56/~jnz1568/getInfo.php?workbook=16_15.xlsx&amp;sheet=A0&amp;row=350&amp;col=6&amp;number=1161800000&amp;sourceID=54","1161800000")</f>
        <v>1161800000</v>
      </c>
      <c r="G350" s="4" t="str">
        <f>HYPERLINK("http://141.218.60.56/~jnz1568/getInfo.php?workbook=16_15.xlsx&amp;sheet=A0&amp;row=350&amp;col=7&amp;number=&amp;sourceID=54","")</f>
        <v/>
      </c>
      <c r="H350" s="4" t="str">
        <f>HYPERLINK("http://141.218.60.56/~jnz1568/getInfo.php?workbook=16_15.xlsx&amp;sheet=A0&amp;row=350&amp;col=8&amp;number=&amp;sourceID=54","")</f>
        <v/>
      </c>
      <c r="I350" s="4" t="str">
        <f>HYPERLINK("http://141.218.60.56/~jnz1568/getInfo.php?workbook=16_15.xlsx&amp;sheet=A0&amp;row=350&amp;col=9&amp;number=1183400000&amp;sourceID=54","1183400000")</f>
        <v>1183400000</v>
      </c>
      <c r="J350" s="4" t="str">
        <f>HYPERLINK("http://141.218.60.56/~jnz1568/getInfo.php?workbook=16_15.xlsx&amp;sheet=A0&amp;row=350&amp;col=10&amp;number=&amp;sourceID=54","")</f>
        <v/>
      </c>
      <c r="K350" s="4" t="str">
        <f>HYPERLINK("http://141.218.60.56/~jnz1568/getInfo.php?workbook=16_15.xlsx&amp;sheet=A0&amp;row=350&amp;col=11&amp;number=&amp;sourceID=54","")</f>
        <v/>
      </c>
      <c r="L350" s="4" t="str">
        <f>HYPERLINK("http://141.218.60.56/~jnz1568/getInfo.php?workbook=16_15.xlsx&amp;sheet=A0&amp;row=350&amp;col=12&amp;number=1175499171.93&amp;sourceID=53","1175499171.93")</f>
        <v>1175499171.93</v>
      </c>
      <c r="M350" s="4" t="str">
        <f>HYPERLINK("http://141.218.60.56/~jnz1568/getInfo.php?workbook=16_15.xlsx&amp;sheet=A0&amp;row=350&amp;col=13&amp;number=&amp;sourceID=53","")</f>
        <v/>
      </c>
      <c r="N350" s="4" t="str">
        <f>HYPERLINK("http://141.218.60.56/~jnz1568/getInfo.php?workbook=16_15.xlsx&amp;sheet=A0&amp;row=350&amp;col=14&amp;number=&amp;sourceID=53","")</f>
        <v/>
      </c>
      <c r="O350" s="4" t="str">
        <f>HYPERLINK("http://141.218.60.56/~jnz1568/getInfo.php?workbook=16_15.xlsx&amp;sheet=A0&amp;row=350&amp;col=15&amp;number=&amp;sourceID=55","")</f>
        <v/>
      </c>
      <c r="P350" s="4" t="str">
        <f>HYPERLINK("http://141.218.60.56/~jnz1568/getInfo.php?workbook=16_15.xlsx&amp;sheet=A0&amp;row=350&amp;col=16&amp;number=&amp;sourceID=55","")</f>
        <v/>
      </c>
      <c r="Q350" s="4" t="str">
        <f>HYPERLINK("http://141.218.60.56/~jnz1568/getInfo.php?workbook=16_15.xlsx&amp;sheet=A0&amp;row=350&amp;col=17&amp;number=&amp;sourceID=56","")</f>
        <v/>
      </c>
      <c r="R350" s="4" t="str">
        <f>HYPERLINK("http://141.218.60.56/~jnz1568/getInfo.php?workbook=16_15.xlsx&amp;sheet=A0&amp;row=350&amp;col=18&amp;number=&amp;sourceID=56","")</f>
        <v/>
      </c>
      <c r="S350" s="4" t="str">
        <f>HYPERLINK("http://141.218.60.56/~jnz1568/getInfo.php?workbook=16_15.xlsx&amp;sheet=A0&amp;row=350&amp;col=19&amp;number=&amp;sourceID=57","")</f>
        <v/>
      </c>
      <c r="T350" s="4" t="str">
        <f>HYPERLINK("http://141.218.60.56/~jnz1568/getInfo.php?workbook=16_15.xlsx&amp;sheet=A0&amp;row=350&amp;col=20&amp;number=&amp;sourceID=57","")</f>
        <v/>
      </c>
      <c r="U350" s="4" t="str">
        <f>HYPERLINK("http://141.218.60.56/~jnz1568/getInfo.php?workbook=16_15.xlsx&amp;sheet=A0&amp;row=350&amp;col=21&amp;number=&amp;sourceID=47","")</f>
        <v/>
      </c>
      <c r="V350" s="4" t="str">
        <f>HYPERLINK("http://141.218.60.56/~jnz1568/getInfo.php?workbook=16_15.xlsx&amp;sheet=A0&amp;row=350&amp;col=22&amp;number=&amp;sourceID=47","")</f>
        <v/>
      </c>
    </row>
    <row r="351" spans="1:22">
      <c r="A351" s="3">
        <v>16</v>
      </c>
      <c r="B351" s="3">
        <v>15</v>
      </c>
      <c r="C351" s="3">
        <v>30</v>
      </c>
      <c r="D351" s="3">
        <v>5</v>
      </c>
      <c r="E351" s="3">
        <f>((1/(INDEX(E0!J$4:J$73,C351,1)-INDEX(E0!J$4:J$73,D351,1))))*100000000</f>
        <v>0</v>
      </c>
      <c r="F351" s="4" t="str">
        <f>HYPERLINK("http://141.218.60.56/~jnz1568/getInfo.php?workbook=16_15.xlsx&amp;sheet=A0&amp;row=351&amp;col=6&amp;number=170930000&amp;sourceID=54","170930000")</f>
        <v>170930000</v>
      </c>
      <c r="G351" s="4" t="str">
        <f>HYPERLINK("http://141.218.60.56/~jnz1568/getInfo.php?workbook=16_15.xlsx&amp;sheet=A0&amp;row=351&amp;col=7&amp;number=&amp;sourceID=54","")</f>
        <v/>
      </c>
      <c r="H351" s="4" t="str">
        <f>HYPERLINK("http://141.218.60.56/~jnz1568/getInfo.php?workbook=16_15.xlsx&amp;sheet=A0&amp;row=351&amp;col=8&amp;number=&amp;sourceID=54","")</f>
        <v/>
      </c>
      <c r="I351" s="4" t="str">
        <f>HYPERLINK("http://141.218.60.56/~jnz1568/getInfo.php?workbook=16_15.xlsx&amp;sheet=A0&amp;row=351&amp;col=9&amp;number=173810000&amp;sourceID=54","173810000")</f>
        <v>173810000</v>
      </c>
      <c r="J351" s="4" t="str">
        <f>HYPERLINK("http://141.218.60.56/~jnz1568/getInfo.php?workbook=16_15.xlsx&amp;sheet=A0&amp;row=351&amp;col=10&amp;number=&amp;sourceID=54","")</f>
        <v/>
      </c>
      <c r="K351" s="4" t="str">
        <f>HYPERLINK("http://141.218.60.56/~jnz1568/getInfo.php?workbook=16_15.xlsx&amp;sheet=A0&amp;row=351&amp;col=11&amp;number=&amp;sourceID=54","")</f>
        <v/>
      </c>
      <c r="L351" s="4" t="str">
        <f>HYPERLINK("http://141.218.60.56/~jnz1568/getInfo.php?workbook=16_15.xlsx&amp;sheet=A0&amp;row=351&amp;col=12&amp;number=166521399.743&amp;sourceID=53","166521399.743")</f>
        <v>166521399.743</v>
      </c>
      <c r="M351" s="4" t="str">
        <f>HYPERLINK("http://141.218.60.56/~jnz1568/getInfo.php?workbook=16_15.xlsx&amp;sheet=A0&amp;row=351&amp;col=13&amp;number=&amp;sourceID=53","")</f>
        <v/>
      </c>
      <c r="N351" s="4" t="str">
        <f>HYPERLINK("http://141.218.60.56/~jnz1568/getInfo.php?workbook=16_15.xlsx&amp;sheet=A0&amp;row=351&amp;col=14&amp;number=&amp;sourceID=53","")</f>
        <v/>
      </c>
      <c r="O351" s="4" t="str">
        <f>HYPERLINK("http://141.218.60.56/~jnz1568/getInfo.php?workbook=16_15.xlsx&amp;sheet=A0&amp;row=351&amp;col=15&amp;number=&amp;sourceID=55","")</f>
        <v/>
      </c>
      <c r="P351" s="4" t="str">
        <f>HYPERLINK("http://141.218.60.56/~jnz1568/getInfo.php?workbook=16_15.xlsx&amp;sheet=A0&amp;row=351&amp;col=16&amp;number=&amp;sourceID=55","")</f>
        <v/>
      </c>
      <c r="Q351" s="4" t="str">
        <f>HYPERLINK("http://141.218.60.56/~jnz1568/getInfo.php?workbook=16_15.xlsx&amp;sheet=A0&amp;row=351&amp;col=17&amp;number=&amp;sourceID=56","")</f>
        <v/>
      </c>
      <c r="R351" s="4" t="str">
        <f>HYPERLINK("http://141.218.60.56/~jnz1568/getInfo.php?workbook=16_15.xlsx&amp;sheet=A0&amp;row=351&amp;col=18&amp;number=&amp;sourceID=56","")</f>
        <v/>
      </c>
      <c r="S351" s="4" t="str">
        <f>HYPERLINK("http://141.218.60.56/~jnz1568/getInfo.php?workbook=16_15.xlsx&amp;sheet=A0&amp;row=351&amp;col=19&amp;number=&amp;sourceID=57","")</f>
        <v/>
      </c>
      <c r="T351" s="4" t="str">
        <f>HYPERLINK("http://141.218.60.56/~jnz1568/getInfo.php?workbook=16_15.xlsx&amp;sheet=A0&amp;row=351&amp;col=20&amp;number=&amp;sourceID=57","")</f>
        <v/>
      </c>
      <c r="U351" s="4" t="str">
        <f>HYPERLINK("http://141.218.60.56/~jnz1568/getInfo.php?workbook=16_15.xlsx&amp;sheet=A0&amp;row=351&amp;col=21&amp;number=&amp;sourceID=47","")</f>
        <v/>
      </c>
      <c r="V351" s="4" t="str">
        <f>HYPERLINK("http://141.218.60.56/~jnz1568/getInfo.php?workbook=16_15.xlsx&amp;sheet=A0&amp;row=351&amp;col=22&amp;number=&amp;sourceID=47","")</f>
        <v/>
      </c>
    </row>
    <row r="352" spans="1:22">
      <c r="A352" s="3">
        <v>16</v>
      </c>
      <c r="B352" s="3">
        <v>15</v>
      </c>
      <c r="C352" s="3">
        <v>30</v>
      </c>
      <c r="D352" s="3">
        <v>6</v>
      </c>
      <c r="E352" s="3">
        <f>((1/(INDEX(E0!J$4:J$73,C352,1)-INDEX(E0!J$4:J$73,D352,1))))*100000000</f>
        <v>0</v>
      </c>
      <c r="F352" s="4" t="str">
        <f>HYPERLINK("http://141.218.60.56/~jnz1568/getInfo.php?workbook=16_15.xlsx&amp;sheet=A0&amp;row=352&amp;col=6&amp;number=&amp;sourceID=54","")</f>
        <v/>
      </c>
      <c r="G352" s="4" t="str">
        <f>HYPERLINK("http://141.218.60.56/~jnz1568/getInfo.php?workbook=16_15.xlsx&amp;sheet=A0&amp;row=352&amp;col=7&amp;number=0.00011783&amp;sourceID=54","0.00011783")</f>
        <v>0.00011783</v>
      </c>
      <c r="H352" s="4" t="str">
        <f>HYPERLINK("http://141.218.60.56/~jnz1568/getInfo.php?workbook=16_15.xlsx&amp;sheet=A0&amp;row=352&amp;col=8&amp;number=4.635e-08&amp;sourceID=54","4.635e-08")</f>
        <v>4.635e-08</v>
      </c>
      <c r="I352" s="4" t="str">
        <f>HYPERLINK("http://141.218.60.56/~jnz1568/getInfo.php?workbook=16_15.xlsx&amp;sheet=A0&amp;row=352&amp;col=9&amp;number=&amp;sourceID=54","")</f>
        <v/>
      </c>
      <c r="J352" s="4" t="str">
        <f>HYPERLINK("http://141.218.60.56/~jnz1568/getInfo.php?workbook=16_15.xlsx&amp;sheet=A0&amp;row=352&amp;col=10&amp;number=0.00013302&amp;sourceID=54","0.00013302")</f>
        <v>0.00013302</v>
      </c>
      <c r="K352" s="4" t="str">
        <f>HYPERLINK("http://141.218.60.56/~jnz1568/getInfo.php?workbook=16_15.xlsx&amp;sheet=A0&amp;row=352&amp;col=11&amp;number=5.3491e-07&amp;sourceID=54","5.3491e-07")</f>
        <v>5.3491e-07</v>
      </c>
      <c r="L352" s="4" t="str">
        <f>HYPERLINK("http://141.218.60.56/~jnz1568/getInfo.php?workbook=16_15.xlsx&amp;sheet=A0&amp;row=352&amp;col=12&amp;number=&amp;sourceID=53","")</f>
        <v/>
      </c>
      <c r="M352" s="4" t="str">
        <f>HYPERLINK("http://141.218.60.56/~jnz1568/getInfo.php?workbook=16_15.xlsx&amp;sheet=A0&amp;row=352&amp;col=13&amp;number=&amp;sourceID=53","")</f>
        <v/>
      </c>
      <c r="N352" s="4" t="str">
        <f>HYPERLINK("http://141.218.60.56/~jnz1568/getInfo.php?workbook=16_15.xlsx&amp;sheet=A0&amp;row=352&amp;col=14&amp;number=&amp;sourceID=53","")</f>
        <v/>
      </c>
      <c r="O352" s="4" t="str">
        <f>HYPERLINK("http://141.218.60.56/~jnz1568/getInfo.php?workbook=16_15.xlsx&amp;sheet=A0&amp;row=352&amp;col=15&amp;number=&amp;sourceID=55","")</f>
        <v/>
      </c>
      <c r="P352" s="4" t="str">
        <f>HYPERLINK("http://141.218.60.56/~jnz1568/getInfo.php?workbook=16_15.xlsx&amp;sheet=A0&amp;row=352&amp;col=16&amp;number=&amp;sourceID=55","")</f>
        <v/>
      </c>
      <c r="Q352" s="4" t="str">
        <f>HYPERLINK("http://141.218.60.56/~jnz1568/getInfo.php?workbook=16_15.xlsx&amp;sheet=A0&amp;row=352&amp;col=17&amp;number=&amp;sourceID=56","")</f>
        <v/>
      </c>
      <c r="R352" s="4" t="str">
        <f>HYPERLINK("http://141.218.60.56/~jnz1568/getInfo.php?workbook=16_15.xlsx&amp;sheet=A0&amp;row=352&amp;col=18&amp;number=&amp;sourceID=56","")</f>
        <v/>
      </c>
      <c r="S352" s="4" t="str">
        <f>HYPERLINK("http://141.218.60.56/~jnz1568/getInfo.php?workbook=16_15.xlsx&amp;sheet=A0&amp;row=352&amp;col=19&amp;number=&amp;sourceID=57","")</f>
        <v/>
      </c>
      <c r="T352" s="4" t="str">
        <f>HYPERLINK("http://141.218.60.56/~jnz1568/getInfo.php?workbook=16_15.xlsx&amp;sheet=A0&amp;row=352&amp;col=20&amp;number=&amp;sourceID=57","")</f>
        <v/>
      </c>
      <c r="U352" s="4" t="str">
        <f>HYPERLINK("http://141.218.60.56/~jnz1568/getInfo.php?workbook=16_15.xlsx&amp;sheet=A0&amp;row=352&amp;col=21&amp;number=&amp;sourceID=47","")</f>
        <v/>
      </c>
      <c r="V352" s="4" t="str">
        <f>HYPERLINK("http://141.218.60.56/~jnz1568/getInfo.php?workbook=16_15.xlsx&amp;sheet=A0&amp;row=352&amp;col=22&amp;number=&amp;sourceID=47","")</f>
        <v/>
      </c>
    </row>
    <row r="353" spans="1:22">
      <c r="A353" s="3">
        <v>16</v>
      </c>
      <c r="B353" s="3">
        <v>15</v>
      </c>
      <c r="C353" s="3">
        <v>30</v>
      </c>
      <c r="D353" s="3">
        <v>7</v>
      </c>
      <c r="E353" s="3">
        <f>((1/(INDEX(E0!J$4:J$73,C353,1)-INDEX(E0!J$4:J$73,D353,1))))*100000000</f>
        <v>0</v>
      </c>
      <c r="F353" s="4" t="str">
        <f>HYPERLINK("http://141.218.60.56/~jnz1568/getInfo.php?workbook=16_15.xlsx&amp;sheet=A0&amp;row=353&amp;col=6&amp;number=&amp;sourceID=54","")</f>
        <v/>
      </c>
      <c r="G353" s="4" t="str">
        <f>HYPERLINK("http://141.218.60.56/~jnz1568/getInfo.php?workbook=16_15.xlsx&amp;sheet=A0&amp;row=353&amp;col=7&amp;number=0.0061761&amp;sourceID=54","0.0061761")</f>
        <v>0.0061761</v>
      </c>
      <c r="H353" s="4" t="str">
        <f>HYPERLINK("http://141.218.60.56/~jnz1568/getInfo.php?workbook=16_15.xlsx&amp;sheet=A0&amp;row=353&amp;col=8&amp;number=1.4446e-06&amp;sourceID=54","1.4446e-06")</f>
        <v>1.4446e-06</v>
      </c>
      <c r="I353" s="4" t="str">
        <f>HYPERLINK("http://141.218.60.56/~jnz1568/getInfo.php?workbook=16_15.xlsx&amp;sheet=A0&amp;row=353&amp;col=9&amp;number=&amp;sourceID=54","")</f>
        <v/>
      </c>
      <c r="J353" s="4" t="str">
        <f>HYPERLINK("http://141.218.60.56/~jnz1568/getInfo.php?workbook=16_15.xlsx&amp;sheet=A0&amp;row=353&amp;col=10&amp;number=0.0063068&amp;sourceID=54","0.0063068")</f>
        <v>0.0063068</v>
      </c>
      <c r="K353" s="4" t="str">
        <f>HYPERLINK("http://141.218.60.56/~jnz1568/getInfo.php?workbook=16_15.xlsx&amp;sheet=A0&amp;row=353&amp;col=11&amp;number=1.5969e-06&amp;sourceID=54","1.5969e-06")</f>
        <v>1.5969e-06</v>
      </c>
      <c r="L353" s="4" t="str">
        <f>HYPERLINK("http://141.218.60.56/~jnz1568/getInfo.php?workbook=16_15.xlsx&amp;sheet=A0&amp;row=353&amp;col=12&amp;number=&amp;sourceID=53","")</f>
        <v/>
      </c>
      <c r="M353" s="4" t="str">
        <f>HYPERLINK("http://141.218.60.56/~jnz1568/getInfo.php?workbook=16_15.xlsx&amp;sheet=A0&amp;row=353&amp;col=13&amp;number=&amp;sourceID=53","")</f>
        <v/>
      </c>
      <c r="N353" s="4" t="str">
        <f>HYPERLINK("http://141.218.60.56/~jnz1568/getInfo.php?workbook=16_15.xlsx&amp;sheet=A0&amp;row=353&amp;col=14&amp;number=&amp;sourceID=53","")</f>
        <v/>
      </c>
      <c r="O353" s="4" t="str">
        <f>HYPERLINK("http://141.218.60.56/~jnz1568/getInfo.php?workbook=16_15.xlsx&amp;sheet=A0&amp;row=353&amp;col=15&amp;number=&amp;sourceID=55","")</f>
        <v/>
      </c>
      <c r="P353" s="4" t="str">
        <f>HYPERLINK("http://141.218.60.56/~jnz1568/getInfo.php?workbook=16_15.xlsx&amp;sheet=A0&amp;row=353&amp;col=16&amp;number=&amp;sourceID=55","")</f>
        <v/>
      </c>
      <c r="Q353" s="4" t="str">
        <f>HYPERLINK("http://141.218.60.56/~jnz1568/getInfo.php?workbook=16_15.xlsx&amp;sheet=A0&amp;row=353&amp;col=17&amp;number=&amp;sourceID=56","")</f>
        <v/>
      </c>
      <c r="R353" s="4" t="str">
        <f>HYPERLINK("http://141.218.60.56/~jnz1568/getInfo.php?workbook=16_15.xlsx&amp;sheet=A0&amp;row=353&amp;col=18&amp;number=&amp;sourceID=56","")</f>
        <v/>
      </c>
      <c r="S353" s="4" t="str">
        <f>HYPERLINK("http://141.218.60.56/~jnz1568/getInfo.php?workbook=16_15.xlsx&amp;sheet=A0&amp;row=353&amp;col=19&amp;number=&amp;sourceID=57","")</f>
        <v/>
      </c>
      <c r="T353" s="4" t="str">
        <f>HYPERLINK("http://141.218.60.56/~jnz1568/getInfo.php?workbook=16_15.xlsx&amp;sheet=A0&amp;row=353&amp;col=20&amp;number=&amp;sourceID=57","")</f>
        <v/>
      </c>
      <c r="U353" s="4" t="str">
        <f>HYPERLINK("http://141.218.60.56/~jnz1568/getInfo.php?workbook=16_15.xlsx&amp;sheet=A0&amp;row=353&amp;col=21&amp;number=&amp;sourceID=47","")</f>
        <v/>
      </c>
      <c r="V353" s="4" t="str">
        <f>HYPERLINK("http://141.218.60.56/~jnz1568/getInfo.php?workbook=16_15.xlsx&amp;sheet=A0&amp;row=353&amp;col=22&amp;number=&amp;sourceID=47","")</f>
        <v/>
      </c>
    </row>
    <row r="354" spans="1:22">
      <c r="A354" s="3">
        <v>16</v>
      </c>
      <c r="B354" s="3">
        <v>15</v>
      </c>
      <c r="C354" s="3">
        <v>30</v>
      </c>
      <c r="D354" s="3">
        <v>8</v>
      </c>
      <c r="E354" s="3">
        <f>((1/(INDEX(E0!J$4:J$73,C354,1)-INDEX(E0!J$4:J$73,D354,1))))*100000000</f>
        <v>0</v>
      </c>
      <c r="F354" s="4" t="str">
        <f>HYPERLINK("http://141.218.60.56/~jnz1568/getInfo.php?workbook=16_15.xlsx&amp;sheet=A0&amp;row=354&amp;col=6&amp;number=&amp;sourceID=54","")</f>
        <v/>
      </c>
      <c r="G354" s="4" t="str">
        <f>HYPERLINK("http://141.218.60.56/~jnz1568/getInfo.php?workbook=16_15.xlsx&amp;sheet=A0&amp;row=354&amp;col=7&amp;number=0.0027908&amp;sourceID=54","0.0027908")</f>
        <v>0.0027908</v>
      </c>
      <c r="H354" s="4" t="str">
        <f>HYPERLINK("http://141.218.60.56/~jnz1568/getInfo.php?workbook=16_15.xlsx&amp;sheet=A0&amp;row=354&amp;col=8&amp;number=&amp;sourceID=54","")</f>
        <v/>
      </c>
      <c r="I354" s="4" t="str">
        <f>HYPERLINK("http://141.218.60.56/~jnz1568/getInfo.php?workbook=16_15.xlsx&amp;sheet=A0&amp;row=354&amp;col=9&amp;number=&amp;sourceID=54","")</f>
        <v/>
      </c>
      <c r="J354" s="4" t="str">
        <f>HYPERLINK("http://141.218.60.56/~jnz1568/getInfo.php?workbook=16_15.xlsx&amp;sheet=A0&amp;row=354&amp;col=10&amp;number=0.0028699&amp;sourceID=54","0.0028699")</f>
        <v>0.0028699</v>
      </c>
      <c r="K354" s="4" t="str">
        <f>HYPERLINK("http://141.218.60.56/~jnz1568/getInfo.php?workbook=16_15.xlsx&amp;sheet=A0&amp;row=354&amp;col=11&amp;number=&amp;sourceID=54","")</f>
        <v/>
      </c>
      <c r="L354" s="4" t="str">
        <f>HYPERLINK("http://141.218.60.56/~jnz1568/getInfo.php?workbook=16_15.xlsx&amp;sheet=A0&amp;row=354&amp;col=12&amp;number=&amp;sourceID=53","")</f>
        <v/>
      </c>
      <c r="M354" s="4" t="str">
        <f>HYPERLINK("http://141.218.60.56/~jnz1568/getInfo.php?workbook=16_15.xlsx&amp;sheet=A0&amp;row=354&amp;col=13&amp;number=&amp;sourceID=53","")</f>
        <v/>
      </c>
      <c r="N354" s="4" t="str">
        <f>HYPERLINK("http://141.218.60.56/~jnz1568/getInfo.php?workbook=16_15.xlsx&amp;sheet=A0&amp;row=354&amp;col=14&amp;number=&amp;sourceID=53","")</f>
        <v/>
      </c>
      <c r="O354" s="4" t="str">
        <f>HYPERLINK("http://141.218.60.56/~jnz1568/getInfo.php?workbook=16_15.xlsx&amp;sheet=A0&amp;row=354&amp;col=15&amp;number=&amp;sourceID=55","")</f>
        <v/>
      </c>
      <c r="P354" s="4" t="str">
        <f>HYPERLINK("http://141.218.60.56/~jnz1568/getInfo.php?workbook=16_15.xlsx&amp;sheet=A0&amp;row=354&amp;col=16&amp;number=&amp;sourceID=55","")</f>
        <v/>
      </c>
      <c r="Q354" s="4" t="str">
        <f>HYPERLINK("http://141.218.60.56/~jnz1568/getInfo.php?workbook=16_15.xlsx&amp;sheet=A0&amp;row=354&amp;col=17&amp;number=&amp;sourceID=56","")</f>
        <v/>
      </c>
      <c r="R354" s="4" t="str">
        <f>HYPERLINK("http://141.218.60.56/~jnz1568/getInfo.php?workbook=16_15.xlsx&amp;sheet=A0&amp;row=354&amp;col=18&amp;number=&amp;sourceID=56","")</f>
        <v/>
      </c>
      <c r="S354" s="4" t="str">
        <f>HYPERLINK("http://141.218.60.56/~jnz1568/getInfo.php?workbook=16_15.xlsx&amp;sheet=A0&amp;row=354&amp;col=19&amp;number=&amp;sourceID=57","")</f>
        <v/>
      </c>
      <c r="T354" s="4" t="str">
        <f>HYPERLINK("http://141.218.60.56/~jnz1568/getInfo.php?workbook=16_15.xlsx&amp;sheet=A0&amp;row=354&amp;col=20&amp;number=&amp;sourceID=57","")</f>
        <v/>
      </c>
      <c r="U354" s="4" t="str">
        <f>HYPERLINK("http://141.218.60.56/~jnz1568/getInfo.php?workbook=16_15.xlsx&amp;sheet=A0&amp;row=354&amp;col=21&amp;number=&amp;sourceID=47","")</f>
        <v/>
      </c>
      <c r="V354" s="4" t="str">
        <f>HYPERLINK("http://141.218.60.56/~jnz1568/getInfo.php?workbook=16_15.xlsx&amp;sheet=A0&amp;row=354&amp;col=22&amp;number=&amp;sourceID=47","")</f>
        <v/>
      </c>
    </row>
    <row r="355" spans="1:22">
      <c r="A355" s="3">
        <v>16</v>
      </c>
      <c r="B355" s="3">
        <v>15</v>
      </c>
      <c r="C355" s="3">
        <v>30</v>
      </c>
      <c r="D355" s="3">
        <v>9</v>
      </c>
      <c r="E355" s="3">
        <f>((1/(INDEX(E0!J$4:J$73,C355,1)-INDEX(E0!J$4:J$73,D355,1))))*100000000</f>
        <v>0</v>
      </c>
      <c r="F355" s="4" t="str">
        <f>HYPERLINK("http://141.218.60.56/~jnz1568/getInfo.php?workbook=16_15.xlsx&amp;sheet=A0&amp;row=355&amp;col=6&amp;number=&amp;sourceID=54","")</f>
        <v/>
      </c>
      <c r="G355" s="4" t="str">
        <f>HYPERLINK("http://141.218.60.56/~jnz1568/getInfo.php?workbook=16_15.xlsx&amp;sheet=A0&amp;row=355&amp;col=7&amp;number=0.84832&amp;sourceID=54","0.84832")</f>
        <v>0.84832</v>
      </c>
      <c r="H355" s="4" t="str">
        <f>HYPERLINK("http://141.218.60.56/~jnz1568/getInfo.php?workbook=16_15.xlsx&amp;sheet=A0&amp;row=355&amp;col=8&amp;number=0.00013102&amp;sourceID=54","0.00013102")</f>
        <v>0.00013102</v>
      </c>
      <c r="I355" s="4" t="str">
        <f>HYPERLINK("http://141.218.60.56/~jnz1568/getInfo.php?workbook=16_15.xlsx&amp;sheet=A0&amp;row=355&amp;col=9&amp;number=&amp;sourceID=54","")</f>
        <v/>
      </c>
      <c r="J355" s="4" t="str">
        <f>HYPERLINK("http://141.218.60.56/~jnz1568/getInfo.php?workbook=16_15.xlsx&amp;sheet=A0&amp;row=355&amp;col=10&amp;number=0.8098&amp;sourceID=54","0.8098")</f>
        <v>0.8098</v>
      </c>
      <c r="K355" s="4" t="str">
        <f>HYPERLINK("http://141.218.60.56/~jnz1568/getInfo.php?workbook=16_15.xlsx&amp;sheet=A0&amp;row=355&amp;col=11&amp;number=0.00012765&amp;sourceID=54","0.00012765")</f>
        <v>0.00012765</v>
      </c>
      <c r="L355" s="4" t="str">
        <f>HYPERLINK("http://141.218.60.56/~jnz1568/getInfo.php?workbook=16_15.xlsx&amp;sheet=A0&amp;row=355&amp;col=12&amp;number=&amp;sourceID=53","")</f>
        <v/>
      </c>
      <c r="M355" s="4" t="str">
        <f>HYPERLINK("http://141.218.60.56/~jnz1568/getInfo.php?workbook=16_15.xlsx&amp;sheet=A0&amp;row=355&amp;col=13&amp;number=&amp;sourceID=53","")</f>
        <v/>
      </c>
      <c r="N355" s="4" t="str">
        <f>HYPERLINK("http://141.218.60.56/~jnz1568/getInfo.php?workbook=16_15.xlsx&amp;sheet=A0&amp;row=355&amp;col=14&amp;number=&amp;sourceID=53","")</f>
        <v/>
      </c>
      <c r="O355" s="4" t="str">
        <f>HYPERLINK("http://141.218.60.56/~jnz1568/getInfo.php?workbook=16_15.xlsx&amp;sheet=A0&amp;row=355&amp;col=15&amp;number=&amp;sourceID=55","")</f>
        <v/>
      </c>
      <c r="P355" s="4" t="str">
        <f>HYPERLINK("http://141.218.60.56/~jnz1568/getInfo.php?workbook=16_15.xlsx&amp;sheet=A0&amp;row=355&amp;col=16&amp;number=&amp;sourceID=55","")</f>
        <v/>
      </c>
      <c r="Q355" s="4" t="str">
        <f>HYPERLINK("http://141.218.60.56/~jnz1568/getInfo.php?workbook=16_15.xlsx&amp;sheet=A0&amp;row=355&amp;col=17&amp;number=&amp;sourceID=56","")</f>
        <v/>
      </c>
      <c r="R355" s="4" t="str">
        <f>HYPERLINK("http://141.218.60.56/~jnz1568/getInfo.php?workbook=16_15.xlsx&amp;sheet=A0&amp;row=355&amp;col=18&amp;number=&amp;sourceID=56","")</f>
        <v/>
      </c>
      <c r="S355" s="4" t="str">
        <f>HYPERLINK("http://141.218.60.56/~jnz1568/getInfo.php?workbook=16_15.xlsx&amp;sheet=A0&amp;row=355&amp;col=19&amp;number=&amp;sourceID=57","")</f>
        <v/>
      </c>
      <c r="T355" s="4" t="str">
        <f>HYPERLINK("http://141.218.60.56/~jnz1568/getInfo.php?workbook=16_15.xlsx&amp;sheet=A0&amp;row=355&amp;col=20&amp;number=&amp;sourceID=57","")</f>
        <v/>
      </c>
      <c r="U355" s="4" t="str">
        <f>HYPERLINK("http://141.218.60.56/~jnz1568/getInfo.php?workbook=16_15.xlsx&amp;sheet=A0&amp;row=355&amp;col=21&amp;number=&amp;sourceID=47","")</f>
        <v/>
      </c>
      <c r="V355" s="4" t="str">
        <f>HYPERLINK("http://141.218.60.56/~jnz1568/getInfo.php?workbook=16_15.xlsx&amp;sheet=A0&amp;row=355&amp;col=22&amp;number=&amp;sourceID=47","")</f>
        <v/>
      </c>
    </row>
    <row r="356" spans="1:22">
      <c r="A356" s="3">
        <v>16</v>
      </c>
      <c r="B356" s="3">
        <v>15</v>
      </c>
      <c r="C356" s="3">
        <v>30</v>
      </c>
      <c r="D356" s="3">
        <v>10</v>
      </c>
      <c r="E356" s="3">
        <f>((1/(INDEX(E0!J$4:J$73,C356,1)-INDEX(E0!J$4:J$73,D356,1))))*100000000</f>
        <v>0</v>
      </c>
      <c r="F356" s="4" t="str">
        <f>HYPERLINK("http://141.218.60.56/~jnz1568/getInfo.php?workbook=16_15.xlsx&amp;sheet=A0&amp;row=356&amp;col=6&amp;number=&amp;sourceID=54","")</f>
        <v/>
      </c>
      <c r="G356" s="4" t="str">
        <f>HYPERLINK("http://141.218.60.56/~jnz1568/getInfo.php?workbook=16_15.xlsx&amp;sheet=A0&amp;row=356&amp;col=7&amp;number=3.5378&amp;sourceID=54","3.5378")</f>
        <v>3.5378</v>
      </c>
      <c r="H356" s="4" t="str">
        <f>HYPERLINK("http://141.218.60.56/~jnz1568/getInfo.php?workbook=16_15.xlsx&amp;sheet=A0&amp;row=356&amp;col=8&amp;number=0.0040905&amp;sourceID=54","0.0040905")</f>
        <v>0.0040905</v>
      </c>
      <c r="I356" s="4" t="str">
        <f>HYPERLINK("http://141.218.60.56/~jnz1568/getInfo.php?workbook=16_15.xlsx&amp;sheet=A0&amp;row=356&amp;col=9&amp;number=&amp;sourceID=54","")</f>
        <v/>
      </c>
      <c r="J356" s="4" t="str">
        <f>HYPERLINK("http://141.218.60.56/~jnz1568/getInfo.php?workbook=16_15.xlsx&amp;sheet=A0&amp;row=356&amp;col=10&amp;number=3.4002&amp;sourceID=54","3.4002")</f>
        <v>3.4002</v>
      </c>
      <c r="K356" s="4" t="str">
        <f>HYPERLINK("http://141.218.60.56/~jnz1568/getInfo.php?workbook=16_15.xlsx&amp;sheet=A0&amp;row=356&amp;col=11&amp;number=0.0039948&amp;sourceID=54","0.0039948")</f>
        <v>0.0039948</v>
      </c>
      <c r="L356" s="4" t="str">
        <f>HYPERLINK("http://141.218.60.56/~jnz1568/getInfo.php?workbook=16_15.xlsx&amp;sheet=A0&amp;row=356&amp;col=12&amp;number=&amp;sourceID=53","")</f>
        <v/>
      </c>
      <c r="M356" s="4" t="str">
        <f>HYPERLINK("http://141.218.60.56/~jnz1568/getInfo.php?workbook=16_15.xlsx&amp;sheet=A0&amp;row=356&amp;col=13&amp;number=&amp;sourceID=53","")</f>
        <v/>
      </c>
      <c r="N356" s="4" t="str">
        <f>HYPERLINK("http://141.218.60.56/~jnz1568/getInfo.php?workbook=16_15.xlsx&amp;sheet=A0&amp;row=356&amp;col=14&amp;number=&amp;sourceID=53","")</f>
        <v/>
      </c>
      <c r="O356" s="4" t="str">
        <f>HYPERLINK("http://141.218.60.56/~jnz1568/getInfo.php?workbook=16_15.xlsx&amp;sheet=A0&amp;row=356&amp;col=15&amp;number=&amp;sourceID=55","")</f>
        <v/>
      </c>
      <c r="P356" s="4" t="str">
        <f>HYPERLINK("http://141.218.60.56/~jnz1568/getInfo.php?workbook=16_15.xlsx&amp;sheet=A0&amp;row=356&amp;col=16&amp;number=&amp;sourceID=55","")</f>
        <v/>
      </c>
      <c r="Q356" s="4" t="str">
        <f>HYPERLINK("http://141.218.60.56/~jnz1568/getInfo.php?workbook=16_15.xlsx&amp;sheet=A0&amp;row=356&amp;col=17&amp;number=&amp;sourceID=56","")</f>
        <v/>
      </c>
      <c r="R356" s="4" t="str">
        <f>HYPERLINK("http://141.218.60.56/~jnz1568/getInfo.php?workbook=16_15.xlsx&amp;sheet=A0&amp;row=356&amp;col=18&amp;number=&amp;sourceID=56","")</f>
        <v/>
      </c>
      <c r="S356" s="4" t="str">
        <f>HYPERLINK("http://141.218.60.56/~jnz1568/getInfo.php?workbook=16_15.xlsx&amp;sheet=A0&amp;row=356&amp;col=19&amp;number=&amp;sourceID=57","")</f>
        <v/>
      </c>
      <c r="T356" s="4" t="str">
        <f>HYPERLINK("http://141.218.60.56/~jnz1568/getInfo.php?workbook=16_15.xlsx&amp;sheet=A0&amp;row=356&amp;col=20&amp;number=&amp;sourceID=57","")</f>
        <v/>
      </c>
      <c r="U356" s="4" t="str">
        <f>HYPERLINK("http://141.218.60.56/~jnz1568/getInfo.php?workbook=16_15.xlsx&amp;sheet=A0&amp;row=356&amp;col=21&amp;number=&amp;sourceID=47","")</f>
        <v/>
      </c>
      <c r="V356" s="4" t="str">
        <f>HYPERLINK("http://141.218.60.56/~jnz1568/getInfo.php?workbook=16_15.xlsx&amp;sheet=A0&amp;row=356&amp;col=22&amp;number=&amp;sourceID=47","")</f>
        <v/>
      </c>
    </row>
    <row r="357" spans="1:22">
      <c r="A357" s="3">
        <v>16</v>
      </c>
      <c r="B357" s="3">
        <v>15</v>
      </c>
      <c r="C357" s="3">
        <v>30</v>
      </c>
      <c r="D357" s="3">
        <v>11</v>
      </c>
      <c r="E357" s="3">
        <f>((1/(INDEX(E0!J$4:J$73,C357,1)-INDEX(E0!J$4:J$73,D357,1))))*100000000</f>
        <v>0</v>
      </c>
      <c r="F357" s="4" t="str">
        <f>HYPERLINK("http://141.218.60.56/~jnz1568/getInfo.php?workbook=16_15.xlsx&amp;sheet=A0&amp;row=357&amp;col=6&amp;number=&amp;sourceID=54","")</f>
        <v/>
      </c>
      <c r="G357" s="4" t="str">
        <f>HYPERLINK("http://141.218.60.56/~jnz1568/getInfo.php?workbook=16_15.xlsx&amp;sheet=A0&amp;row=357&amp;col=7&amp;number=0.12325&amp;sourceID=54","0.12325")</f>
        <v>0.12325</v>
      </c>
      <c r="H357" s="4" t="str">
        <f>HYPERLINK("http://141.218.60.56/~jnz1568/getInfo.php?workbook=16_15.xlsx&amp;sheet=A0&amp;row=357&amp;col=8&amp;number=3.1163e-05&amp;sourceID=54","3.1163e-05")</f>
        <v>3.1163e-05</v>
      </c>
      <c r="I357" s="4" t="str">
        <f>HYPERLINK("http://141.218.60.56/~jnz1568/getInfo.php?workbook=16_15.xlsx&amp;sheet=A0&amp;row=357&amp;col=9&amp;number=&amp;sourceID=54","")</f>
        <v/>
      </c>
      <c r="J357" s="4" t="str">
        <f>HYPERLINK("http://141.218.60.56/~jnz1568/getInfo.php?workbook=16_15.xlsx&amp;sheet=A0&amp;row=357&amp;col=10&amp;number=0.12627&amp;sourceID=54","0.12627")</f>
        <v>0.12627</v>
      </c>
      <c r="K357" s="4" t="str">
        <f>HYPERLINK("http://141.218.60.56/~jnz1568/getInfo.php?workbook=16_15.xlsx&amp;sheet=A0&amp;row=357&amp;col=11&amp;number=3.1145e-05&amp;sourceID=54","3.1145e-05")</f>
        <v>3.1145e-05</v>
      </c>
      <c r="L357" s="4" t="str">
        <f>HYPERLINK("http://141.218.60.56/~jnz1568/getInfo.php?workbook=16_15.xlsx&amp;sheet=A0&amp;row=357&amp;col=12&amp;number=&amp;sourceID=53","")</f>
        <v/>
      </c>
      <c r="M357" s="4" t="str">
        <f>HYPERLINK("http://141.218.60.56/~jnz1568/getInfo.php?workbook=16_15.xlsx&amp;sheet=A0&amp;row=357&amp;col=13&amp;number=&amp;sourceID=53","")</f>
        <v/>
      </c>
      <c r="N357" s="4" t="str">
        <f>HYPERLINK("http://141.218.60.56/~jnz1568/getInfo.php?workbook=16_15.xlsx&amp;sheet=A0&amp;row=357&amp;col=14&amp;number=&amp;sourceID=53","")</f>
        <v/>
      </c>
      <c r="O357" s="4" t="str">
        <f>HYPERLINK("http://141.218.60.56/~jnz1568/getInfo.php?workbook=16_15.xlsx&amp;sheet=A0&amp;row=357&amp;col=15&amp;number=&amp;sourceID=55","")</f>
        <v/>
      </c>
      <c r="P357" s="4" t="str">
        <f>HYPERLINK("http://141.218.60.56/~jnz1568/getInfo.php?workbook=16_15.xlsx&amp;sheet=A0&amp;row=357&amp;col=16&amp;number=&amp;sourceID=55","")</f>
        <v/>
      </c>
      <c r="Q357" s="4" t="str">
        <f>HYPERLINK("http://141.218.60.56/~jnz1568/getInfo.php?workbook=16_15.xlsx&amp;sheet=A0&amp;row=357&amp;col=17&amp;number=&amp;sourceID=56","")</f>
        <v/>
      </c>
      <c r="R357" s="4" t="str">
        <f>HYPERLINK("http://141.218.60.56/~jnz1568/getInfo.php?workbook=16_15.xlsx&amp;sheet=A0&amp;row=357&amp;col=18&amp;number=&amp;sourceID=56","")</f>
        <v/>
      </c>
      <c r="S357" s="4" t="str">
        <f>HYPERLINK("http://141.218.60.56/~jnz1568/getInfo.php?workbook=16_15.xlsx&amp;sheet=A0&amp;row=357&amp;col=19&amp;number=&amp;sourceID=57","")</f>
        <v/>
      </c>
      <c r="T357" s="4" t="str">
        <f>HYPERLINK("http://141.218.60.56/~jnz1568/getInfo.php?workbook=16_15.xlsx&amp;sheet=A0&amp;row=357&amp;col=20&amp;number=&amp;sourceID=57","")</f>
        <v/>
      </c>
      <c r="U357" s="4" t="str">
        <f>HYPERLINK("http://141.218.60.56/~jnz1568/getInfo.php?workbook=16_15.xlsx&amp;sheet=A0&amp;row=357&amp;col=21&amp;number=&amp;sourceID=47","")</f>
        <v/>
      </c>
      <c r="V357" s="4" t="str">
        <f>HYPERLINK("http://141.218.60.56/~jnz1568/getInfo.php?workbook=16_15.xlsx&amp;sheet=A0&amp;row=357&amp;col=22&amp;number=&amp;sourceID=47","")</f>
        <v/>
      </c>
    </row>
    <row r="358" spans="1:22">
      <c r="A358" s="3">
        <v>16</v>
      </c>
      <c r="B358" s="3">
        <v>15</v>
      </c>
      <c r="C358" s="3">
        <v>30</v>
      </c>
      <c r="D358" s="3">
        <v>12</v>
      </c>
      <c r="E358" s="3">
        <f>((1/(INDEX(E0!J$4:J$73,C358,1)-INDEX(E0!J$4:J$73,D358,1))))*100000000</f>
        <v>0</v>
      </c>
      <c r="F358" s="4" t="str">
        <f>HYPERLINK("http://141.218.60.56/~jnz1568/getInfo.php?workbook=16_15.xlsx&amp;sheet=A0&amp;row=358&amp;col=6&amp;number=&amp;sourceID=54","")</f>
        <v/>
      </c>
      <c r="G358" s="4" t="str">
        <f>HYPERLINK("http://141.218.60.56/~jnz1568/getInfo.php?workbook=16_15.xlsx&amp;sheet=A0&amp;row=358&amp;col=7&amp;number=0.030362&amp;sourceID=54","0.030362")</f>
        <v>0.030362</v>
      </c>
      <c r="H358" s="4" t="str">
        <f>HYPERLINK("http://141.218.60.56/~jnz1568/getInfo.php?workbook=16_15.xlsx&amp;sheet=A0&amp;row=358&amp;col=8&amp;number=&amp;sourceID=54","")</f>
        <v/>
      </c>
      <c r="I358" s="4" t="str">
        <f>HYPERLINK("http://141.218.60.56/~jnz1568/getInfo.php?workbook=16_15.xlsx&amp;sheet=A0&amp;row=358&amp;col=9&amp;number=&amp;sourceID=54","")</f>
        <v/>
      </c>
      <c r="J358" s="4" t="str">
        <f>HYPERLINK("http://141.218.60.56/~jnz1568/getInfo.php?workbook=16_15.xlsx&amp;sheet=A0&amp;row=358&amp;col=10&amp;number=0.031077&amp;sourceID=54","0.031077")</f>
        <v>0.031077</v>
      </c>
      <c r="K358" s="4" t="str">
        <f>HYPERLINK("http://141.218.60.56/~jnz1568/getInfo.php?workbook=16_15.xlsx&amp;sheet=A0&amp;row=358&amp;col=11&amp;number=&amp;sourceID=54","")</f>
        <v/>
      </c>
      <c r="L358" s="4" t="str">
        <f>HYPERLINK("http://141.218.60.56/~jnz1568/getInfo.php?workbook=16_15.xlsx&amp;sheet=A0&amp;row=358&amp;col=12&amp;number=&amp;sourceID=53","")</f>
        <v/>
      </c>
      <c r="M358" s="4" t="str">
        <f>HYPERLINK("http://141.218.60.56/~jnz1568/getInfo.php?workbook=16_15.xlsx&amp;sheet=A0&amp;row=358&amp;col=13&amp;number=&amp;sourceID=53","")</f>
        <v/>
      </c>
      <c r="N358" s="4" t="str">
        <f>HYPERLINK("http://141.218.60.56/~jnz1568/getInfo.php?workbook=16_15.xlsx&amp;sheet=A0&amp;row=358&amp;col=14&amp;number=&amp;sourceID=53","")</f>
        <v/>
      </c>
      <c r="O358" s="4" t="str">
        <f>HYPERLINK("http://141.218.60.56/~jnz1568/getInfo.php?workbook=16_15.xlsx&amp;sheet=A0&amp;row=358&amp;col=15&amp;number=&amp;sourceID=55","")</f>
        <v/>
      </c>
      <c r="P358" s="4" t="str">
        <f>HYPERLINK("http://141.218.60.56/~jnz1568/getInfo.php?workbook=16_15.xlsx&amp;sheet=A0&amp;row=358&amp;col=16&amp;number=&amp;sourceID=55","")</f>
        <v/>
      </c>
      <c r="Q358" s="4" t="str">
        <f>HYPERLINK("http://141.218.60.56/~jnz1568/getInfo.php?workbook=16_15.xlsx&amp;sheet=A0&amp;row=358&amp;col=17&amp;number=&amp;sourceID=56","")</f>
        <v/>
      </c>
      <c r="R358" s="4" t="str">
        <f>HYPERLINK("http://141.218.60.56/~jnz1568/getInfo.php?workbook=16_15.xlsx&amp;sheet=A0&amp;row=358&amp;col=18&amp;number=&amp;sourceID=56","")</f>
        <v/>
      </c>
      <c r="S358" s="4" t="str">
        <f>HYPERLINK("http://141.218.60.56/~jnz1568/getInfo.php?workbook=16_15.xlsx&amp;sheet=A0&amp;row=358&amp;col=19&amp;number=&amp;sourceID=57","")</f>
        <v/>
      </c>
      <c r="T358" s="4" t="str">
        <f>HYPERLINK("http://141.218.60.56/~jnz1568/getInfo.php?workbook=16_15.xlsx&amp;sheet=A0&amp;row=358&amp;col=20&amp;number=&amp;sourceID=57","")</f>
        <v/>
      </c>
      <c r="U358" s="4" t="str">
        <f>HYPERLINK("http://141.218.60.56/~jnz1568/getInfo.php?workbook=16_15.xlsx&amp;sheet=A0&amp;row=358&amp;col=21&amp;number=&amp;sourceID=47","")</f>
        <v/>
      </c>
      <c r="V358" s="4" t="str">
        <f>HYPERLINK("http://141.218.60.56/~jnz1568/getInfo.php?workbook=16_15.xlsx&amp;sheet=A0&amp;row=358&amp;col=22&amp;number=&amp;sourceID=47","")</f>
        <v/>
      </c>
    </row>
    <row r="359" spans="1:22">
      <c r="A359" s="3">
        <v>16</v>
      </c>
      <c r="B359" s="3">
        <v>15</v>
      </c>
      <c r="C359" s="3">
        <v>30</v>
      </c>
      <c r="D359" s="3">
        <v>13</v>
      </c>
      <c r="E359" s="3">
        <f>((1/(INDEX(E0!J$4:J$73,C359,1)-INDEX(E0!J$4:J$73,D359,1))))*100000000</f>
        <v>0</v>
      </c>
      <c r="F359" s="4" t="str">
        <f>HYPERLINK("http://141.218.60.56/~jnz1568/getInfo.php?workbook=16_15.xlsx&amp;sheet=A0&amp;row=359&amp;col=6&amp;number=&amp;sourceID=54","")</f>
        <v/>
      </c>
      <c r="G359" s="4" t="str">
        <f>HYPERLINK("http://141.218.60.56/~jnz1568/getInfo.php?workbook=16_15.xlsx&amp;sheet=A0&amp;row=359&amp;col=7&amp;number=9.5152e-05&amp;sourceID=54","9.5152e-05")</f>
        <v>9.5152e-05</v>
      </c>
      <c r="H359" s="4" t="str">
        <f>HYPERLINK("http://141.218.60.56/~jnz1568/getInfo.php?workbook=16_15.xlsx&amp;sheet=A0&amp;row=359&amp;col=8&amp;number=&amp;sourceID=54","")</f>
        <v/>
      </c>
      <c r="I359" s="4" t="str">
        <f>HYPERLINK("http://141.218.60.56/~jnz1568/getInfo.php?workbook=16_15.xlsx&amp;sheet=A0&amp;row=359&amp;col=9&amp;number=&amp;sourceID=54","")</f>
        <v/>
      </c>
      <c r="J359" s="4" t="str">
        <f>HYPERLINK("http://141.218.60.56/~jnz1568/getInfo.php?workbook=16_15.xlsx&amp;sheet=A0&amp;row=359&amp;col=10&amp;number=8.0055e-05&amp;sourceID=54","8.0055e-05")</f>
        <v>8.0055e-05</v>
      </c>
      <c r="K359" s="4" t="str">
        <f>HYPERLINK("http://141.218.60.56/~jnz1568/getInfo.php?workbook=16_15.xlsx&amp;sheet=A0&amp;row=359&amp;col=11&amp;number=&amp;sourceID=54","")</f>
        <v/>
      </c>
      <c r="L359" s="4" t="str">
        <f>HYPERLINK("http://141.218.60.56/~jnz1568/getInfo.php?workbook=16_15.xlsx&amp;sheet=A0&amp;row=359&amp;col=12&amp;number=&amp;sourceID=53","")</f>
        <v/>
      </c>
      <c r="M359" s="4" t="str">
        <f>HYPERLINK("http://141.218.60.56/~jnz1568/getInfo.php?workbook=16_15.xlsx&amp;sheet=A0&amp;row=359&amp;col=13&amp;number=&amp;sourceID=53","")</f>
        <v/>
      </c>
      <c r="N359" s="4" t="str">
        <f>HYPERLINK("http://141.218.60.56/~jnz1568/getInfo.php?workbook=16_15.xlsx&amp;sheet=A0&amp;row=359&amp;col=14&amp;number=&amp;sourceID=53","")</f>
        <v/>
      </c>
      <c r="O359" s="4" t="str">
        <f>HYPERLINK("http://141.218.60.56/~jnz1568/getInfo.php?workbook=16_15.xlsx&amp;sheet=A0&amp;row=359&amp;col=15&amp;number=&amp;sourceID=55","")</f>
        <v/>
      </c>
      <c r="P359" s="4" t="str">
        <f>HYPERLINK("http://141.218.60.56/~jnz1568/getInfo.php?workbook=16_15.xlsx&amp;sheet=A0&amp;row=359&amp;col=16&amp;number=&amp;sourceID=55","")</f>
        <v/>
      </c>
      <c r="Q359" s="4" t="str">
        <f>HYPERLINK("http://141.218.60.56/~jnz1568/getInfo.php?workbook=16_15.xlsx&amp;sheet=A0&amp;row=359&amp;col=17&amp;number=&amp;sourceID=56","")</f>
        <v/>
      </c>
      <c r="R359" s="4" t="str">
        <f>HYPERLINK("http://141.218.60.56/~jnz1568/getInfo.php?workbook=16_15.xlsx&amp;sheet=A0&amp;row=359&amp;col=18&amp;number=&amp;sourceID=56","")</f>
        <v/>
      </c>
      <c r="S359" s="4" t="str">
        <f>HYPERLINK("http://141.218.60.56/~jnz1568/getInfo.php?workbook=16_15.xlsx&amp;sheet=A0&amp;row=359&amp;col=19&amp;number=&amp;sourceID=57","")</f>
        <v/>
      </c>
      <c r="T359" s="4" t="str">
        <f>HYPERLINK("http://141.218.60.56/~jnz1568/getInfo.php?workbook=16_15.xlsx&amp;sheet=A0&amp;row=359&amp;col=20&amp;number=&amp;sourceID=57","")</f>
        <v/>
      </c>
      <c r="U359" s="4" t="str">
        <f>HYPERLINK("http://141.218.60.56/~jnz1568/getInfo.php?workbook=16_15.xlsx&amp;sheet=A0&amp;row=359&amp;col=21&amp;number=&amp;sourceID=47","")</f>
        <v/>
      </c>
      <c r="V359" s="4" t="str">
        <f>HYPERLINK("http://141.218.60.56/~jnz1568/getInfo.php?workbook=16_15.xlsx&amp;sheet=A0&amp;row=359&amp;col=22&amp;number=&amp;sourceID=47","")</f>
        <v/>
      </c>
    </row>
    <row r="360" spans="1:22">
      <c r="A360" s="3">
        <v>16</v>
      </c>
      <c r="B360" s="3">
        <v>15</v>
      </c>
      <c r="C360" s="3">
        <v>30</v>
      </c>
      <c r="D360" s="3">
        <v>14</v>
      </c>
      <c r="E360" s="3">
        <f>((1/(INDEX(E0!J$4:J$73,C360,1)-INDEX(E0!J$4:J$73,D360,1))))*100000000</f>
        <v>0</v>
      </c>
      <c r="F360" s="4" t="str">
        <f>HYPERLINK("http://141.218.60.56/~jnz1568/getInfo.php?workbook=16_15.xlsx&amp;sheet=A0&amp;row=360&amp;col=6&amp;number=&amp;sourceID=54","")</f>
        <v/>
      </c>
      <c r="G360" s="4" t="str">
        <f>HYPERLINK("http://141.218.60.56/~jnz1568/getInfo.php?workbook=16_15.xlsx&amp;sheet=A0&amp;row=360&amp;col=7&amp;number=1.8843e-05&amp;sourceID=54","1.8843e-05")</f>
        <v>1.8843e-05</v>
      </c>
      <c r="H360" s="4" t="str">
        <f>HYPERLINK("http://141.218.60.56/~jnz1568/getInfo.php?workbook=16_15.xlsx&amp;sheet=A0&amp;row=360&amp;col=8&amp;number=0.011542&amp;sourceID=54","0.011542")</f>
        <v>0.011542</v>
      </c>
      <c r="I360" s="4" t="str">
        <f>HYPERLINK("http://141.218.60.56/~jnz1568/getInfo.php?workbook=16_15.xlsx&amp;sheet=A0&amp;row=360&amp;col=9&amp;number=&amp;sourceID=54","")</f>
        <v/>
      </c>
      <c r="J360" s="4" t="str">
        <f>HYPERLINK("http://141.218.60.56/~jnz1568/getInfo.php?workbook=16_15.xlsx&amp;sheet=A0&amp;row=360&amp;col=10&amp;number=1.8256e-05&amp;sourceID=54","1.8256e-05")</f>
        <v>1.8256e-05</v>
      </c>
      <c r="K360" s="4" t="str">
        <f>HYPERLINK("http://141.218.60.56/~jnz1568/getInfo.php?workbook=16_15.xlsx&amp;sheet=A0&amp;row=360&amp;col=11&amp;number=0.011309&amp;sourceID=54","0.011309")</f>
        <v>0.011309</v>
      </c>
      <c r="L360" s="4" t="str">
        <f>HYPERLINK("http://141.218.60.56/~jnz1568/getInfo.php?workbook=16_15.xlsx&amp;sheet=A0&amp;row=360&amp;col=12&amp;number=&amp;sourceID=53","")</f>
        <v/>
      </c>
      <c r="M360" s="4" t="str">
        <f>HYPERLINK("http://141.218.60.56/~jnz1568/getInfo.php?workbook=16_15.xlsx&amp;sheet=A0&amp;row=360&amp;col=13&amp;number=&amp;sourceID=53","")</f>
        <v/>
      </c>
      <c r="N360" s="4" t="str">
        <f>HYPERLINK("http://141.218.60.56/~jnz1568/getInfo.php?workbook=16_15.xlsx&amp;sheet=A0&amp;row=360&amp;col=14&amp;number=&amp;sourceID=53","")</f>
        <v/>
      </c>
      <c r="O360" s="4" t="str">
        <f>HYPERLINK("http://141.218.60.56/~jnz1568/getInfo.php?workbook=16_15.xlsx&amp;sheet=A0&amp;row=360&amp;col=15&amp;number=&amp;sourceID=55","")</f>
        <v/>
      </c>
      <c r="P360" s="4" t="str">
        <f>HYPERLINK("http://141.218.60.56/~jnz1568/getInfo.php?workbook=16_15.xlsx&amp;sheet=A0&amp;row=360&amp;col=16&amp;number=&amp;sourceID=55","")</f>
        <v/>
      </c>
      <c r="Q360" s="4" t="str">
        <f>HYPERLINK("http://141.218.60.56/~jnz1568/getInfo.php?workbook=16_15.xlsx&amp;sheet=A0&amp;row=360&amp;col=17&amp;number=&amp;sourceID=56","")</f>
        <v/>
      </c>
      <c r="R360" s="4" t="str">
        <f>HYPERLINK("http://141.218.60.56/~jnz1568/getInfo.php?workbook=16_15.xlsx&amp;sheet=A0&amp;row=360&amp;col=18&amp;number=&amp;sourceID=56","")</f>
        <v/>
      </c>
      <c r="S360" s="4" t="str">
        <f>HYPERLINK("http://141.218.60.56/~jnz1568/getInfo.php?workbook=16_15.xlsx&amp;sheet=A0&amp;row=360&amp;col=19&amp;number=&amp;sourceID=57","")</f>
        <v/>
      </c>
      <c r="T360" s="4" t="str">
        <f>HYPERLINK("http://141.218.60.56/~jnz1568/getInfo.php?workbook=16_15.xlsx&amp;sheet=A0&amp;row=360&amp;col=20&amp;number=&amp;sourceID=57","")</f>
        <v/>
      </c>
      <c r="U360" s="4" t="str">
        <f>HYPERLINK("http://141.218.60.56/~jnz1568/getInfo.php?workbook=16_15.xlsx&amp;sheet=A0&amp;row=360&amp;col=21&amp;number=&amp;sourceID=47","")</f>
        <v/>
      </c>
      <c r="V360" s="4" t="str">
        <f>HYPERLINK("http://141.218.60.56/~jnz1568/getInfo.php?workbook=16_15.xlsx&amp;sheet=A0&amp;row=360&amp;col=22&amp;number=&amp;sourceID=47","")</f>
        <v/>
      </c>
    </row>
    <row r="361" spans="1:22">
      <c r="A361" s="3">
        <v>16</v>
      </c>
      <c r="B361" s="3">
        <v>15</v>
      </c>
      <c r="C361" s="3">
        <v>30</v>
      </c>
      <c r="D361" s="3">
        <v>15</v>
      </c>
      <c r="E361" s="3">
        <f>((1/(INDEX(E0!J$4:J$73,C361,1)-INDEX(E0!J$4:J$73,D361,1))))*100000000</f>
        <v>0</v>
      </c>
      <c r="F361" s="4" t="str">
        <f>HYPERLINK("http://141.218.60.56/~jnz1568/getInfo.php?workbook=16_15.xlsx&amp;sheet=A0&amp;row=361&amp;col=6&amp;number=&amp;sourceID=54","")</f>
        <v/>
      </c>
      <c r="G361" s="4" t="str">
        <f>HYPERLINK("http://141.218.60.56/~jnz1568/getInfo.php?workbook=16_15.xlsx&amp;sheet=A0&amp;row=361&amp;col=7&amp;number=1.7486e-05&amp;sourceID=54","1.7486e-05")</f>
        <v>1.7486e-05</v>
      </c>
      <c r="H361" s="4" t="str">
        <f>HYPERLINK("http://141.218.60.56/~jnz1568/getInfo.php?workbook=16_15.xlsx&amp;sheet=A0&amp;row=361&amp;col=8&amp;number=2.1056e-06&amp;sourceID=54","2.1056e-06")</f>
        <v>2.1056e-06</v>
      </c>
      <c r="I361" s="4" t="str">
        <f>HYPERLINK("http://141.218.60.56/~jnz1568/getInfo.php?workbook=16_15.xlsx&amp;sheet=A0&amp;row=361&amp;col=9&amp;number=&amp;sourceID=54","")</f>
        <v/>
      </c>
      <c r="J361" s="4" t="str">
        <f>HYPERLINK("http://141.218.60.56/~jnz1568/getInfo.php?workbook=16_15.xlsx&amp;sheet=A0&amp;row=361&amp;col=10&amp;number=1.9896e-05&amp;sourceID=54","1.9896e-05")</f>
        <v>1.9896e-05</v>
      </c>
      <c r="K361" s="4" t="str">
        <f>HYPERLINK("http://141.218.60.56/~jnz1568/getInfo.php?workbook=16_15.xlsx&amp;sheet=A0&amp;row=361&amp;col=11&amp;number=1.8218e-06&amp;sourceID=54","1.8218e-06")</f>
        <v>1.8218e-06</v>
      </c>
      <c r="L361" s="4" t="str">
        <f>HYPERLINK("http://141.218.60.56/~jnz1568/getInfo.php?workbook=16_15.xlsx&amp;sheet=A0&amp;row=361&amp;col=12&amp;number=&amp;sourceID=53","")</f>
        <v/>
      </c>
      <c r="M361" s="4" t="str">
        <f>HYPERLINK("http://141.218.60.56/~jnz1568/getInfo.php?workbook=16_15.xlsx&amp;sheet=A0&amp;row=361&amp;col=13&amp;number=&amp;sourceID=53","")</f>
        <v/>
      </c>
      <c r="N361" s="4" t="str">
        <f>HYPERLINK("http://141.218.60.56/~jnz1568/getInfo.php?workbook=16_15.xlsx&amp;sheet=A0&amp;row=361&amp;col=14&amp;number=&amp;sourceID=53","")</f>
        <v/>
      </c>
      <c r="O361" s="4" t="str">
        <f>HYPERLINK("http://141.218.60.56/~jnz1568/getInfo.php?workbook=16_15.xlsx&amp;sheet=A0&amp;row=361&amp;col=15&amp;number=&amp;sourceID=55","")</f>
        <v/>
      </c>
      <c r="P361" s="4" t="str">
        <f>HYPERLINK("http://141.218.60.56/~jnz1568/getInfo.php?workbook=16_15.xlsx&amp;sheet=A0&amp;row=361&amp;col=16&amp;number=&amp;sourceID=55","")</f>
        <v/>
      </c>
      <c r="Q361" s="4" t="str">
        <f>HYPERLINK("http://141.218.60.56/~jnz1568/getInfo.php?workbook=16_15.xlsx&amp;sheet=A0&amp;row=361&amp;col=17&amp;number=&amp;sourceID=56","")</f>
        <v/>
      </c>
      <c r="R361" s="4" t="str">
        <f>HYPERLINK("http://141.218.60.56/~jnz1568/getInfo.php?workbook=16_15.xlsx&amp;sheet=A0&amp;row=361&amp;col=18&amp;number=&amp;sourceID=56","")</f>
        <v/>
      </c>
      <c r="S361" s="4" t="str">
        <f>HYPERLINK("http://141.218.60.56/~jnz1568/getInfo.php?workbook=16_15.xlsx&amp;sheet=A0&amp;row=361&amp;col=19&amp;number=&amp;sourceID=57","")</f>
        <v/>
      </c>
      <c r="T361" s="4" t="str">
        <f>HYPERLINK("http://141.218.60.56/~jnz1568/getInfo.php?workbook=16_15.xlsx&amp;sheet=A0&amp;row=361&amp;col=20&amp;number=&amp;sourceID=57","")</f>
        <v/>
      </c>
      <c r="U361" s="4" t="str">
        <f>HYPERLINK("http://141.218.60.56/~jnz1568/getInfo.php?workbook=16_15.xlsx&amp;sheet=A0&amp;row=361&amp;col=21&amp;number=&amp;sourceID=47","")</f>
        <v/>
      </c>
      <c r="V361" s="4" t="str">
        <f>HYPERLINK("http://141.218.60.56/~jnz1568/getInfo.php?workbook=16_15.xlsx&amp;sheet=A0&amp;row=361&amp;col=22&amp;number=&amp;sourceID=47","")</f>
        <v/>
      </c>
    </row>
    <row r="362" spans="1:22">
      <c r="A362" s="3">
        <v>16</v>
      </c>
      <c r="B362" s="3">
        <v>15</v>
      </c>
      <c r="C362" s="3">
        <v>30</v>
      </c>
      <c r="D362" s="3">
        <v>16</v>
      </c>
      <c r="E362" s="3">
        <f>((1/(INDEX(E0!J$4:J$73,C362,1)-INDEX(E0!J$4:J$73,D362,1))))*100000000</f>
        <v>0</v>
      </c>
      <c r="F362" s="4" t="str">
        <f>HYPERLINK("http://141.218.60.56/~jnz1568/getInfo.php?workbook=16_15.xlsx&amp;sheet=A0&amp;row=362&amp;col=6&amp;number=&amp;sourceID=54","")</f>
        <v/>
      </c>
      <c r="G362" s="4" t="str">
        <f>HYPERLINK("http://141.218.60.56/~jnz1568/getInfo.php?workbook=16_15.xlsx&amp;sheet=A0&amp;row=362&amp;col=7&amp;number=3.9962e-05&amp;sourceID=54","3.9962e-05")</f>
        <v>3.9962e-05</v>
      </c>
      <c r="H362" s="4" t="str">
        <f>HYPERLINK("http://141.218.60.56/~jnz1568/getInfo.php?workbook=16_15.xlsx&amp;sheet=A0&amp;row=362&amp;col=8&amp;number=0.048523&amp;sourceID=54","0.048523")</f>
        <v>0.048523</v>
      </c>
      <c r="I362" s="4" t="str">
        <f>HYPERLINK("http://141.218.60.56/~jnz1568/getInfo.php?workbook=16_15.xlsx&amp;sheet=A0&amp;row=362&amp;col=9&amp;number=&amp;sourceID=54","")</f>
        <v/>
      </c>
      <c r="J362" s="4" t="str">
        <f>HYPERLINK("http://141.218.60.56/~jnz1568/getInfo.php?workbook=16_15.xlsx&amp;sheet=A0&amp;row=362&amp;col=10&amp;number=3.5537e-05&amp;sourceID=54","3.5537e-05")</f>
        <v>3.5537e-05</v>
      </c>
      <c r="K362" s="4" t="str">
        <f>HYPERLINK("http://141.218.60.56/~jnz1568/getInfo.php?workbook=16_15.xlsx&amp;sheet=A0&amp;row=362&amp;col=11&amp;number=0.046577&amp;sourceID=54","0.046577")</f>
        <v>0.046577</v>
      </c>
      <c r="L362" s="4" t="str">
        <f>HYPERLINK("http://141.218.60.56/~jnz1568/getInfo.php?workbook=16_15.xlsx&amp;sheet=A0&amp;row=362&amp;col=12&amp;number=&amp;sourceID=53","")</f>
        <v/>
      </c>
      <c r="M362" s="4" t="str">
        <f>HYPERLINK("http://141.218.60.56/~jnz1568/getInfo.php?workbook=16_15.xlsx&amp;sheet=A0&amp;row=362&amp;col=13&amp;number=&amp;sourceID=53","")</f>
        <v/>
      </c>
      <c r="N362" s="4" t="str">
        <f>HYPERLINK("http://141.218.60.56/~jnz1568/getInfo.php?workbook=16_15.xlsx&amp;sheet=A0&amp;row=362&amp;col=14&amp;number=&amp;sourceID=53","")</f>
        <v/>
      </c>
      <c r="O362" s="4" t="str">
        <f>HYPERLINK("http://141.218.60.56/~jnz1568/getInfo.php?workbook=16_15.xlsx&amp;sheet=A0&amp;row=362&amp;col=15&amp;number=&amp;sourceID=55","")</f>
        <v/>
      </c>
      <c r="P362" s="4" t="str">
        <f>HYPERLINK("http://141.218.60.56/~jnz1568/getInfo.php?workbook=16_15.xlsx&amp;sheet=A0&amp;row=362&amp;col=16&amp;number=&amp;sourceID=55","")</f>
        <v/>
      </c>
      <c r="Q362" s="4" t="str">
        <f>HYPERLINK("http://141.218.60.56/~jnz1568/getInfo.php?workbook=16_15.xlsx&amp;sheet=A0&amp;row=362&amp;col=17&amp;number=&amp;sourceID=56","")</f>
        <v/>
      </c>
      <c r="R362" s="4" t="str">
        <f>HYPERLINK("http://141.218.60.56/~jnz1568/getInfo.php?workbook=16_15.xlsx&amp;sheet=A0&amp;row=362&amp;col=18&amp;number=&amp;sourceID=56","")</f>
        <v/>
      </c>
      <c r="S362" s="4" t="str">
        <f>HYPERLINK("http://141.218.60.56/~jnz1568/getInfo.php?workbook=16_15.xlsx&amp;sheet=A0&amp;row=362&amp;col=19&amp;number=&amp;sourceID=57","")</f>
        <v/>
      </c>
      <c r="T362" s="4" t="str">
        <f>HYPERLINK("http://141.218.60.56/~jnz1568/getInfo.php?workbook=16_15.xlsx&amp;sheet=A0&amp;row=362&amp;col=20&amp;number=&amp;sourceID=57","")</f>
        <v/>
      </c>
      <c r="U362" s="4" t="str">
        <f>HYPERLINK("http://141.218.60.56/~jnz1568/getInfo.php?workbook=16_15.xlsx&amp;sheet=A0&amp;row=362&amp;col=21&amp;number=&amp;sourceID=47","")</f>
        <v/>
      </c>
      <c r="V362" s="4" t="str">
        <f>HYPERLINK("http://141.218.60.56/~jnz1568/getInfo.php?workbook=16_15.xlsx&amp;sheet=A0&amp;row=362&amp;col=22&amp;number=&amp;sourceID=47","")</f>
        <v/>
      </c>
    </row>
    <row r="363" spans="1:22">
      <c r="A363" s="3">
        <v>16</v>
      </c>
      <c r="B363" s="3">
        <v>15</v>
      </c>
      <c r="C363" s="3">
        <v>30</v>
      </c>
      <c r="D363" s="3">
        <v>17</v>
      </c>
      <c r="E363" s="3">
        <f>((1/(INDEX(E0!J$4:J$73,C363,1)-INDEX(E0!J$4:J$73,D363,1))))*100000000</f>
        <v>0</v>
      </c>
      <c r="F363" s="4" t="str">
        <f>HYPERLINK("http://141.218.60.56/~jnz1568/getInfo.php?workbook=16_15.xlsx&amp;sheet=A0&amp;row=363&amp;col=6&amp;number=&amp;sourceID=54","")</f>
        <v/>
      </c>
      <c r="G363" s="4" t="str">
        <f>HYPERLINK("http://141.218.60.56/~jnz1568/getInfo.php?workbook=16_15.xlsx&amp;sheet=A0&amp;row=363&amp;col=7&amp;number=5.7062e-05&amp;sourceID=54","5.7062e-05")</f>
        <v>5.7062e-05</v>
      </c>
      <c r="H363" s="4" t="str">
        <f>HYPERLINK("http://141.218.60.56/~jnz1568/getInfo.php?workbook=16_15.xlsx&amp;sheet=A0&amp;row=363&amp;col=8&amp;number=3.8307e-06&amp;sourceID=54","3.8307e-06")</f>
        <v>3.8307e-06</v>
      </c>
      <c r="I363" s="4" t="str">
        <f>HYPERLINK("http://141.218.60.56/~jnz1568/getInfo.php?workbook=16_15.xlsx&amp;sheet=A0&amp;row=363&amp;col=9&amp;number=&amp;sourceID=54","")</f>
        <v/>
      </c>
      <c r="J363" s="4" t="str">
        <f>HYPERLINK("http://141.218.60.56/~jnz1568/getInfo.php?workbook=16_15.xlsx&amp;sheet=A0&amp;row=363&amp;col=10&amp;number=6.6665e-05&amp;sourceID=54","6.6665e-05")</f>
        <v>6.6665e-05</v>
      </c>
      <c r="K363" s="4" t="str">
        <f>HYPERLINK("http://141.218.60.56/~jnz1568/getInfo.php?workbook=16_15.xlsx&amp;sheet=A0&amp;row=363&amp;col=11&amp;number=1.6528e-05&amp;sourceID=54","1.6528e-05")</f>
        <v>1.6528e-05</v>
      </c>
      <c r="L363" s="4" t="str">
        <f>HYPERLINK("http://141.218.60.56/~jnz1568/getInfo.php?workbook=16_15.xlsx&amp;sheet=A0&amp;row=363&amp;col=12&amp;number=&amp;sourceID=53","")</f>
        <v/>
      </c>
      <c r="M363" s="4" t="str">
        <f>HYPERLINK("http://141.218.60.56/~jnz1568/getInfo.php?workbook=16_15.xlsx&amp;sheet=A0&amp;row=363&amp;col=13&amp;number=&amp;sourceID=53","")</f>
        <v/>
      </c>
      <c r="N363" s="4" t="str">
        <f>HYPERLINK("http://141.218.60.56/~jnz1568/getInfo.php?workbook=16_15.xlsx&amp;sheet=A0&amp;row=363&amp;col=14&amp;number=&amp;sourceID=53","")</f>
        <v/>
      </c>
      <c r="O363" s="4" t="str">
        <f>HYPERLINK("http://141.218.60.56/~jnz1568/getInfo.php?workbook=16_15.xlsx&amp;sheet=A0&amp;row=363&amp;col=15&amp;number=&amp;sourceID=55","")</f>
        <v/>
      </c>
      <c r="P363" s="4" t="str">
        <f>HYPERLINK("http://141.218.60.56/~jnz1568/getInfo.php?workbook=16_15.xlsx&amp;sheet=A0&amp;row=363&amp;col=16&amp;number=&amp;sourceID=55","")</f>
        <v/>
      </c>
      <c r="Q363" s="4" t="str">
        <f>HYPERLINK("http://141.218.60.56/~jnz1568/getInfo.php?workbook=16_15.xlsx&amp;sheet=A0&amp;row=363&amp;col=17&amp;number=&amp;sourceID=56","")</f>
        <v/>
      </c>
      <c r="R363" s="4" t="str">
        <f>HYPERLINK("http://141.218.60.56/~jnz1568/getInfo.php?workbook=16_15.xlsx&amp;sheet=A0&amp;row=363&amp;col=18&amp;number=&amp;sourceID=56","")</f>
        <v/>
      </c>
      <c r="S363" s="4" t="str">
        <f>HYPERLINK("http://141.218.60.56/~jnz1568/getInfo.php?workbook=16_15.xlsx&amp;sheet=A0&amp;row=363&amp;col=19&amp;number=&amp;sourceID=57","")</f>
        <v/>
      </c>
      <c r="T363" s="4" t="str">
        <f>HYPERLINK("http://141.218.60.56/~jnz1568/getInfo.php?workbook=16_15.xlsx&amp;sheet=A0&amp;row=363&amp;col=20&amp;number=&amp;sourceID=57","")</f>
        <v/>
      </c>
      <c r="U363" s="4" t="str">
        <f>HYPERLINK("http://141.218.60.56/~jnz1568/getInfo.php?workbook=16_15.xlsx&amp;sheet=A0&amp;row=363&amp;col=21&amp;number=&amp;sourceID=47","")</f>
        <v/>
      </c>
      <c r="V363" s="4" t="str">
        <f>HYPERLINK("http://141.218.60.56/~jnz1568/getInfo.php?workbook=16_15.xlsx&amp;sheet=A0&amp;row=363&amp;col=22&amp;number=&amp;sourceID=47","")</f>
        <v/>
      </c>
    </row>
    <row r="364" spans="1:22">
      <c r="A364" s="3">
        <v>16</v>
      </c>
      <c r="B364" s="3">
        <v>15</v>
      </c>
      <c r="C364" s="3">
        <v>30</v>
      </c>
      <c r="D364" s="3">
        <v>18</v>
      </c>
      <c r="E364" s="3">
        <f>((1/(INDEX(E0!J$4:J$73,C364,1)-INDEX(E0!J$4:J$73,D364,1))))*100000000</f>
        <v>0</v>
      </c>
      <c r="F364" s="4" t="str">
        <f>HYPERLINK("http://141.218.60.56/~jnz1568/getInfo.php?workbook=16_15.xlsx&amp;sheet=A0&amp;row=364&amp;col=6&amp;number=&amp;sourceID=54","")</f>
        <v/>
      </c>
      <c r="G364" s="4" t="str">
        <f>HYPERLINK("http://141.218.60.56/~jnz1568/getInfo.php?workbook=16_15.xlsx&amp;sheet=A0&amp;row=364&amp;col=7&amp;number=4.0093e-05&amp;sourceID=54","4.0093e-05")</f>
        <v>4.0093e-05</v>
      </c>
      <c r="H364" s="4" t="str">
        <f>HYPERLINK("http://141.218.60.56/~jnz1568/getInfo.php?workbook=16_15.xlsx&amp;sheet=A0&amp;row=364&amp;col=8&amp;number=5.5131e-05&amp;sourceID=54","5.5131e-05")</f>
        <v>5.5131e-05</v>
      </c>
      <c r="I364" s="4" t="str">
        <f>HYPERLINK("http://141.218.60.56/~jnz1568/getInfo.php?workbook=16_15.xlsx&amp;sheet=A0&amp;row=364&amp;col=9&amp;number=&amp;sourceID=54","")</f>
        <v/>
      </c>
      <c r="J364" s="4" t="str">
        <f>HYPERLINK("http://141.218.60.56/~jnz1568/getInfo.php?workbook=16_15.xlsx&amp;sheet=A0&amp;row=364&amp;col=10&amp;number=4.7738e-05&amp;sourceID=54","4.7738e-05")</f>
        <v>4.7738e-05</v>
      </c>
      <c r="K364" s="4" t="str">
        <f>HYPERLINK("http://141.218.60.56/~jnz1568/getInfo.php?workbook=16_15.xlsx&amp;sheet=A0&amp;row=364&amp;col=11&amp;number=5.5681e-05&amp;sourceID=54","5.5681e-05")</f>
        <v>5.5681e-05</v>
      </c>
      <c r="L364" s="4" t="str">
        <f>HYPERLINK("http://141.218.60.56/~jnz1568/getInfo.php?workbook=16_15.xlsx&amp;sheet=A0&amp;row=364&amp;col=12&amp;number=&amp;sourceID=53","")</f>
        <v/>
      </c>
      <c r="M364" s="4" t="str">
        <f>HYPERLINK("http://141.218.60.56/~jnz1568/getInfo.php?workbook=16_15.xlsx&amp;sheet=A0&amp;row=364&amp;col=13&amp;number=&amp;sourceID=53","")</f>
        <v/>
      </c>
      <c r="N364" s="4" t="str">
        <f>HYPERLINK("http://141.218.60.56/~jnz1568/getInfo.php?workbook=16_15.xlsx&amp;sheet=A0&amp;row=364&amp;col=14&amp;number=&amp;sourceID=53","")</f>
        <v/>
      </c>
      <c r="O364" s="4" t="str">
        <f>HYPERLINK("http://141.218.60.56/~jnz1568/getInfo.php?workbook=16_15.xlsx&amp;sheet=A0&amp;row=364&amp;col=15&amp;number=&amp;sourceID=55","")</f>
        <v/>
      </c>
      <c r="P364" s="4" t="str">
        <f>HYPERLINK("http://141.218.60.56/~jnz1568/getInfo.php?workbook=16_15.xlsx&amp;sheet=A0&amp;row=364&amp;col=16&amp;number=&amp;sourceID=55","")</f>
        <v/>
      </c>
      <c r="Q364" s="4" t="str">
        <f>HYPERLINK("http://141.218.60.56/~jnz1568/getInfo.php?workbook=16_15.xlsx&amp;sheet=A0&amp;row=364&amp;col=17&amp;number=&amp;sourceID=56","")</f>
        <v/>
      </c>
      <c r="R364" s="4" t="str">
        <f>HYPERLINK("http://141.218.60.56/~jnz1568/getInfo.php?workbook=16_15.xlsx&amp;sheet=A0&amp;row=364&amp;col=18&amp;number=&amp;sourceID=56","")</f>
        <v/>
      </c>
      <c r="S364" s="4" t="str">
        <f>HYPERLINK("http://141.218.60.56/~jnz1568/getInfo.php?workbook=16_15.xlsx&amp;sheet=A0&amp;row=364&amp;col=19&amp;number=&amp;sourceID=57","")</f>
        <v/>
      </c>
      <c r="T364" s="4" t="str">
        <f>HYPERLINK("http://141.218.60.56/~jnz1568/getInfo.php?workbook=16_15.xlsx&amp;sheet=A0&amp;row=364&amp;col=20&amp;number=&amp;sourceID=57","")</f>
        <v/>
      </c>
      <c r="U364" s="4" t="str">
        <f>HYPERLINK("http://141.218.60.56/~jnz1568/getInfo.php?workbook=16_15.xlsx&amp;sheet=A0&amp;row=364&amp;col=21&amp;number=&amp;sourceID=47","")</f>
        <v/>
      </c>
      <c r="V364" s="4" t="str">
        <f>HYPERLINK("http://141.218.60.56/~jnz1568/getInfo.php?workbook=16_15.xlsx&amp;sheet=A0&amp;row=364&amp;col=22&amp;number=&amp;sourceID=47","")</f>
        <v/>
      </c>
    </row>
    <row r="365" spans="1:22">
      <c r="A365" s="3">
        <v>16</v>
      </c>
      <c r="B365" s="3">
        <v>15</v>
      </c>
      <c r="C365" s="3">
        <v>30</v>
      </c>
      <c r="D365" s="3">
        <v>19</v>
      </c>
      <c r="E365" s="3">
        <f>((1/(INDEX(E0!J$4:J$73,C365,1)-INDEX(E0!J$4:J$73,D365,1))))*100000000</f>
        <v>0</v>
      </c>
      <c r="F365" s="4" t="str">
        <f>HYPERLINK("http://141.218.60.56/~jnz1568/getInfo.php?workbook=16_15.xlsx&amp;sheet=A0&amp;row=365&amp;col=6&amp;number=&amp;sourceID=54","")</f>
        <v/>
      </c>
      <c r="G365" s="4" t="str">
        <f>HYPERLINK("http://141.218.60.56/~jnz1568/getInfo.php?workbook=16_15.xlsx&amp;sheet=A0&amp;row=365&amp;col=7&amp;number=4.2204e-05&amp;sourceID=54","4.2204e-05")</f>
        <v>4.2204e-05</v>
      </c>
      <c r="H365" s="4" t="str">
        <f>HYPERLINK("http://141.218.60.56/~jnz1568/getInfo.php?workbook=16_15.xlsx&amp;sheet=A0&amp;row=365&amp;col=8&amp;number=&amp;sourceID=54","")</f>
        <v/>
      </c>
      <c r="I365" s="4" t="str">
        <f>HYPERLINK("http://141.218.60.56/~jnz1568/getInfo.php?workbook=16_15.xlsx&amp;sheet=A0&amp;row=365&amp;col=9&amp;number=&amp;sourceID=54","")</f>
        <v/>
      </c>
      <c r="J365" s="4" t="str">
        <f>HYPERLINK("http://141.218.60.56/~jnz1568/getInfo.php?workbook=16_15.xlsx&amp;sheet=A0&amp;row=365&amp;col=10&amp;number=5.0252e-05&amp;sourceID=54","5.0252e-05")</f>
        <v>5.0252e-05</v>
      </c>
      <c r="K365" s="4" t="str">
        <f>HYPERLINK("http://141.218.60.56/~jnz1568/getInfo.php?workbook=16_15.xlsx&amp;sheet=A0&amp;row=365&amp;col=11&amp;number=&amp;sourceID=54","")</f>
        <v/>
      </c>
      <c r="L365" s="4" t="str">
        <f>HYPERLINK("http://141.218.60.56/~jnz1568/getInfo.php?workbook=16_15.xlsx&amp;sheet=A0&amp;row=365&amp;col=12&amp;number=&amp;sourceID=53","")</f>
        <v/>
      </c>
      <c r="M365" s="4" t="str">
        <f>HYPERLINK("http://141.218.60.56/~jnz1568/getInfo.php?workbook=16_15.xlsx&amp;sheet=A0&amp;row=365&amp;col=13&amp;number=&amp;sourceID=53","")</f>
        <v/>
      </c>
      <c r="N365" s="4" t="str">
        <f>HYPERLINK("http://141.218.60.56/~jnz1568/getInfo.php?workbook=16_15.xlsx&amp;sheet=A0&amp;row=365&amp;col=14&amp;number=&amp;sourceID=53","")</f>
        <v/>
      </c>
      <c r="O365" s="4" t="str">
        <f>HYPERLINK("http://141.218.60.56/~jnz1568/getInfo.php?workbook=16_15.xlsx&amp;sheet=A0&amp;row=365&amp;col=15&amp;number=&amp;sourceID=55","")</f>
        <v/>
      </c>
      <c r="P365" s="4" t="str">
        <f>HYPERLINK("http://141.218.60.56/~jnz1568/getInfo.php?workbook=16_15.xlsx&amp;sheet=A0&amp;row=365&amp;col=16&amp;number=&amp;sourceID=55","")</f>
        <v/>
      </c>
      <c r="Q365" s="4" t="str">
        <f>HYPERLINK("http://141.218.60.56/~jnz1568/getInfo.php?workbook=16_15.xlsx&amp;sheet=A0&amp;row=365&amp;col=17&amp;number=&amp;sourceID=56","")</f>
        <v/>
      </c>
      <c r="R365" s="4" t="str">
        <f>HYPERLINK("http://141.218.60.56/~jnz1568/getInfo.php?workbook=16_15.xlsx&amp;sheet=A0&amp;row=365&amp;col=18&amp;number=&amp;sourceID=56","")</f>
        <v/>
      </c>
      <c r="S365" s="4" t="str">
        <f>HYPERLINK("http://141.218.60.56/~jnz1568/getInfo.php?workbook=16_15.xlsx&amp;sheet=A0&amp;row=365&amp;col=19&amp;number=&amp;sourceID=57","")</f>
        <v/>
      </c>
      <c r="T365" s="4" t="str">
        <f>HYPERLINK("http://141.218.60.56/~jnz1568/getInfo.php?workbook=16_15.xlsx&amp;sheet=A0&amp;row=365&amp;col=20&amp;number=&amp;sourceID=57","")</f>
        <v/>
      </c>
      <c r="U365" s="4" t="str">
        <f>HYPERLINK("http://141.218.60.56/~jnz1568/getInfo.php?workbook=16_15.xlsx&amp;sheet=A0&amp;row=365&amp;col=21&amp;number=&amp;sourceID=47","")</f>
        <v/>
      </c>
      <c r="V365" s="4" t="str">
        <f>HYPERLINK("http://141.218.60.56/~jnz1568/getInfo.php?workbook=16_15.xlsx&amp;sheet=A0&amp;row=365&amp;col=22&amp;number=&amp;sourceID=47","")</f>
        <v/>
      </c>
    </row>
    <row r="366" spans="1:22">
      <c r="A366" s="3">
        <v>16</v>
      </c>
      <c r="B366" s="3">
        <v>15</v>
      </c>
      <c r="C366" s="3">
        <v>30</v>
      </c>
      <c r="D366" s="3">
        <v>20</v>
      </c>
      <c r="E366" s="3">
        <f>((1/(INDEX(E0!J$4:J$73,C366,1)-INDEX(E0!J$4:J$73,D366,1))))*100000000</f>
        <v>0</v>
      </c>
      <c r="F366" s="4" t="str">
        <f>HYPERLINK("http://141.218.60.56/~jnz1568/getInfo.php?workbook=16_15.xlsx&amp;sheet=A0&amp;row=366&amp;col=6&amp;number=&amp;sourceID=54","")</f>
        <v/>
      </c>
      <c r="G366" s="4" t="str">
        <f>HYPERLINK("http://141.218.60.56/~jnz1568/getInfo.php?workbook=16_15.xlsx&amp;sheet=A0&amp;row=366&amp;col=7&amp;number=0.00057915&amp;sourceID=54","0.00057915")</f>
        <v>0.00057915</v>
      </c>
      <c r="H366" s="4" t="str">
        <f>HYPERLINK("http://141.218.60.56/~jnz1568/getInfo.php?workbook=16_15.xlsx&amp;sheet=A0&amp;row=366&amp;col=8&amp;number=&amp;sourceID=54","")</f>
        <v/>
      </c>
      <c r="I366" s="4" t="str">
        <f>HYPERLINK("http://141.218.60.56/~jnz1568/getInfo.php?workbook=16_15.xlsx&amp;sheet=A0&amp;row=366&amp;col=9&amp;number=&amp;sourceID=54","")</f>
        <v/>
      </c>
      <c r="J366" s="4" t="str">
        <f>HYPERLINK("http://141.218.60.56/~jnz1568/getInfo.php?workbook=16_15.xlsx&amp;sheet=A0&amp;row=366&amp;col=10&amp;number=0.00049478&amp;sourceID=54","0.00049478")</f>
        <v>0.00049478</v>
      </c>
      <c r="K366" s="4" t="str">
        <f>HYPERLINK("http://141.218.60.56/~jnz1568/getInfo.php?workbook=16_15.xlsx&amp;sheet=A0&amp;row=366&amp;col=11&amp;number=&amp;sourceID=54","")</f>
        <v/>
      </c>
      <c r="L366" s="4" t="str">
        <f>HYPERLINK("http://141.218.60.56/~jnz1568/getInfo.php?workbook=16_15.xlsx&amp;sheet=A0&amp;row=366&amp;col=12&amp;number=&amp;sourceID=53","")</f>
        <v/>
      </c>
      <c r="M366" s="4" t="str">
        <f>HYPERLINK("http://141.218.60.56/~jnz1568/getInfo.php?workbook=16_15.xlsx&amp;sheet=A0&amp;row=366&amp;col=13&amp;number=&amp;sourceID=53","")</f>
        <v/>
      </c>
      <c r="N366" s="4" t="str">
        <f>HYPERLINK("http://141.218.60.56/~jnz1568/getInfo.php?workbook=16_15.xlsx&amp;sheet=A0&amp;row=366&amp;col=14&amp;number=&amp;sourceID=53","")</f>
        <v/>
      </c>
      <c r="O366" s="4" t="str">
        <f>HYPERLINK("http://141.218.60.56/~jnz1568/getInfo.php?workbook=16_15.xlsx&amp;sheet=A0&amp;row=366&amp;col=15&amp;number=&amp;sourceID=55","")</f>
        <v/>
      </c>
      <c r="P366" s="4" t="str">
        <f>HYPERLINK("http://141.218.60.56/~jnz1568/getInfo.php?workbook=16_15.xlsx&amp;sheet=A0&amp;row=366&amp;col=16&amp;number=&amp;sourceID=55","")</f>
        <v/>
      </c>
      <c r="Q366" s="4" t="str">
        <f>HYPERLINK("http://141.218.60.56/~jnz1568/getInfo.php?workbook=16_15.xlsx&amp;sheet=A0&amp;row=366&amp;col=17&amp;number=&amp;sourceID=56","")</f>
        <v/>
      </c>
      <c r="R366" s="4" t="str">
        <f>HYPERLINK("http://141.218.60.56/~jnz1568/getInfo.php?workbook=16_15.xlsx&amp;sheet=A0&amp;row=366&amp;col=18&amp;number=&amp;sourceID=56","")</f>
        <v/>
      </c>
      <c r="S366" s="4" t="str">
        <f>HYPERLINK("http://141.218.60.56/~jnz1568/getInfo.php?workbook=16_15.xlsx&amp;sheet=A0&amp;row=366&amp;col=19&amp;number=&amp;sourceID=57","")</f>
        <v/>
      </c>
      <c r="T366" s="4" t="str">
        <f>HYPERLINK("http://141.218.60.56/~jnz1568/getInfo.php?workbook=16_15.xlsx&amp;sheet=A0&amp;row=366&amp;col=20&amp;number=&amp;sourceID=57","")</f>
        <v/>
      </c>
      <c r="U366" s="4" t="str">
        <f>HYPERLINK("http://141.218.60.56/~jnz1568/getInfo.php?workbook=16_15.xlsx&amp;sheet=A0&amp;row=366&amp;col=21&amp;number=&amp;sourceID=47","")</f>
        <v/>
      </c>
      <c r="V366" s="4" t="str">
        <f>HYPERLINK("http://141.218.60.56/~jnz1568/getInfo.php?workbook=16_15.xlsx&amp;sheet=A0&amp;row=366&amp;col=22&amp;number=&amp;sourceID=47","")</f>
        <v/>
      </c>
    </row>
    <row r="367" spans="1:22">
      <c r="A367" s="3">
        <v>16</v>
      </c>
      <c r="B367" s="3">
        <v>15</v>
      </c>
      <c r="C367" s="3">
        <v>30</v>
      </c>
      <c r="D367" s="3">
        <v>21</v>
      </c>
      <c r="E367" s="3">
        <f>((1/(INDEX(E0!J$4:J$73,C367,1)-INDEX(E0!J$4:J$73,D367,1))))*100000000</f>
        <v>0</v>
      </c>
      <c r="F367" s="4" t="str">
        <f>HYPERLINK("http://141.218.60.56/~jnz1568/getInfo.php?workbook=16_15.xlsx&amp;sheet=A0&amp;row=367&amp;col=6&amp;number=&amp;sourceID=54","")</f>
        <v/>
      </c>
      <c r="G367" s="4" t="str">
        <f>HYPERLINK("http://141.218.60.56/~jnz1568/getInfo.php?workbook=16_15.xlsx&amp;sheet=A0&amp;row=367&amp;col=7&amp;number=0.0014095&amp;sourceID=54","0.0014095")</f>
        <v>0.0014095</v>
      </c>
      <c r="H367" s="4" t="str">
        <f>HYPERLINK("http://141.218.60.56/~jnz1568/getInfo.php?workbook=16_15.xlsx&amp;sheet=A0&amp;row=367&amp;col=8&amp;number=0.0078497&amp;sourceID=54","0.0078497")</f>
        <v>0.0078497</v>
      </c>
      <c r="I367" s="4" t="str">
        <f>HYPERLINK("http://141.218.60.56/~jnz1568/getInfo.php?workbook=16_15.xlsx&amp;sheet=A0&amp;row=367&amp;col=9&amp;number=&amp;sourceID=54","")</f>
        <v/>
      </c>
      <c r="J367" s="4" t="str">
        <f>HYPERLINK("http://141.218.60.56/~jnz1568/getInfo.php?workbook=16_15.xlsx&amp;sheet=A0&amp;row=367&amp;col=10&amp;number=0.0011993&amp;sourceID=54","0.0011993")</f>
        <v>0.0011993</v>
      </c>
      <c r="K367" s="4" t="str">
        <f>HYPERLINK("http://141.218.60.56/~jnz1568/getInfo.php?workbook=16_15.xlsx&amp;sheet=A0&amp;row=367&amp;col=11&amp;number=0.0094044&amp;sourceID=54","0.0094044")</f>
        <v>0.0094044</v>
      </c>
      <c r="L367" s="4" t="str">
        <f>HYPERLINK("http://141.218.60.56/~jnz1568/getInfo.php?workbook=16_15.xlsx&amp;sheet=A0&amp;row=367&amp;col=12&amp;number=&amp;sourceID=53","")</f>
        <v/>
      </c>
      <c r="M367" s="4" t="str">
        <f>HYPERLINK("http://141.218.60.56/~jnz1568/getInfo.php?workbook=16_15.xlsx&amp;sheet=A0&amp;row=367&amp;col=13&amp;number=&amp;sourceID=53","")</f>
        <v/>
      </c>
      <c r="N367" s="4" t="str">
        <f>HYPERLINK("http://141.218.60.56/~jnz1568/getInfo.php?workbook=16_15.xlsx&amp;sheet=A0&amp;row=367&amp;col=14&amp;number=&amp;sourceID=53","")</f>
        <v/>
      </c>
      <c r="O367" s="4" t="str">
        <f>HYPERLINK("http://141.218.60.56/~jnz1568/getInfo.php?workbook=16_15.xlsx&amp;sheet=A0&amp;row=367&amp;col=15&amp;number=&amp;sourceID=55","")</f>
        <v/>
      </c>
      <c r="P367" s="4" t="str">
        <f>HYPERLINK("http://141.218.60.56/~jnz1568/getInfo.php?workbook=16_15.xlsx&amp;sheet=A0&amp;row=367&amp;col=16&amp;number=&amp;sourceID=55","")</f>
        <v/>
      </c>
      <c r="Q367" s="4" t="str">
        <f>HYPERLINK("http://141.218.60.56/~jnz1568/getInfo.php?workbook=16_15.xlsx&amp;sheet=A0&amp;row=367&amp;col=17&amp;number=&amp;sourceID=56","")</f>
        <v/>
      </c>
      <c r="R367" s="4" t="str">
        <f>HYPERLINK("http://141.218.60.56/~jnz1568/getInfo.php?workbook=16_15.xlsx&amp;sheet=A0&amp;row=367&amp;col=18&amp;number=&amp;sourceID=56","")</f>
        <v/>
      </c>
      <c r="S367" s="4" t="str">
        <f>HYPERLINK("http://141.218.60.56/~jnz1568/getInfo.php?workbook=16_15.xlsx&amp;sheet=A0&amp;row=367&amp;col=19&amp;number=&amp;sourceID=57","")</f>
        <v/>
      </c>
      <c r="T367" s="4" t="str">
        <f>HYPERLINK("http://141.218.60.56/~jnz1568/getInfo.php?workbook=16_15.xlsx&amp;sheet=A0&amp;row=367&amp;col=20&amp;number=&amp;sourceID=57","")</f>
        <v/>
      </c>
      <c r="U367" s="4" t="str">
        <f>HYPERLINK("http://141.218.60.56/~jnz1568/getInfo.php?workbook=16_15.xlsx&amp;sheet=A0&amp;row=367&amp;col=21&amp;number=&amp;sourceID=47","")</f>
        <v/>
      </c>
      <c r="V367" s="4" t="str">
        <f>HYPERLINK("http://141.218.60.56/~jnz1568/getInfo.php?workbook=16_15.xlsx&amp;sheet=A0&amp;row=367&amp;col=22&amp;number=&amp;sourceID=47","")</f>
        <v/>
      </c>
    </row>
    <row r="368" spans="1:22">
      <c r="A368" s="3">
        <v>16</v>
      </c>
      <c r="B368" s="3">
        <v>15</v>
      </c>
      <c r="C368" s="3">
        <v>30</v>
      </c>
      <c r="D368" s="3">
        <v>22</v>
      </c>
      <c r="E368" s="3">
        <f>((1/(INDEX(E0!J$4:J$73,C368,1)-INDEX(E0!J$4:J$73,D368,1))))*100000000</f>
        <v>0</v>
      </c>
      <c r="F368" s="4" t="str">
        <f>HYPERLINK("http://141.218.60.56/~jnz1568/getInfo.php?workbook=16_15.xlsx&amp;sheet=A0&amp;row=368&amp;col=6&amp;number=&amp;sourceID=54","")</f>
        <v/>
      </c>
      <c r="G368" s="4" t="str">
        <f>HYPERLINK("http://141.218.60.56/~jnz1568/getInfo.php?workbook=16_15.xlsx&amp;sheet=A0&amp;row=368&amp;col=7&amp;number=1.5731e-06&amp;sourceID=54","1.5731e-06")</f>
        <v>1.5731e-06</v>
      </c>
      <c r="H368" s="4" t="str">
        <f>HYPERLINK("http://141.218.60.56/~jnz1568/getInfo.php?workbook=16_15.xlsx&amp;sheet=A0&amp;row=368&amp;col=8&amp;number=&amp;sourceID=54","")</f>
        <v/>
      </c>
      <c r="I368" s="4" t="str">
        <f>HYPERLINK("http://141.218.60.56/~jnz1568/getInfo.php?workbook=16_15.xlsx&amp;sheet=A0&amp;row=368&amp;col=9&amp;number=&amp;sourceID=54","")</f>
        <v/>
      </c>
      <c r="J368" s="4" t="str">
        <f>HYPERLINK("http://141.218.60.56/~jnz1568/getInfo.php?workbook=16_15.xlsx&amp;sheet=A0&amp;row=368&amp;col=10&amp;number=1.7916e-06&amp;sourceID=54","1.7916e-06")</f>
        <v>1.7916e-06</v>
      </c>
      <c r="K368" s="4" t="str">
        <f>HYPERLINK("http://141.218.60.56/~jnz1568/getInfo.php?workbook=16_15.xlsx&amp;sheet=A0&amp;row=368&amp;col=11&amp;number=&amp;sourceID=54","")</f>
        <v/>
      </c>
      <c r="L368" s="4" t="str">
        <f>HYPERLINK("http://141.218.60.56/~jnz1568/getInfo.php?workbook=16_15.xlsx&amp;sheet=A0&amp;row=368&amp;col=12&amp;number=&amp;sourceID=53","")</f>
        <v/>
      </c>
      <c r="M368" s="4" t="str">
        <f>HYPERLINK("http://141.218.60.56/~jnz1568/getInfo.php?workbook=16_15.xlsx&amp;sheet=A0&amp;row=368&amp;col=13&amp;number=&amp;sourceID=53","")</f>
        <v/>
      </c>
      <c r="N368" s="4" t="str">
        <f>HYPERLINK("http://141.218.60.56/~jnz1568/getInfo.php?workbook=16_15.xlsx&amp;sheet=A0&amp;row=368&amp;col=14&amp;number=&amp;sourceID=53","")</f>
        <v/>
      </c>
      <c r="O368" s="4" t="str">
        <f>HYPERLINK("http://141.218.60.56/~jnz1568/getInfo.php?workbook=16_15.xlsx&amp;sheet=A0&amp;row=368&amp;col=15&amp;number=&amp;sourceID=55","")</f>
        <v/>
      </c>
      <c r="P368" s="4" t="str">
        <f>HYPERLINK("http://141.218.60.56/~jnz1568/getInfo.php?workbook=16_15.xlsx&amp;sheet=A0&amp;row=368&amp;col=16&amp;number=&amp;sourceID=55","")</f>
        <v/>
      </c>
      <c r="Q368" s="4" t="str">
        <f>HYPERLINK("http://141.218.60.56/~jnz1568/getInfo.php?workbook=16_15.xlsx&amp;sheet=A0&amp;row=368&amp;col=17&amp;number=&amp;sourceID=56","")</f>
        <v/>
      </c>
      <c r="R368" s="4" t="str">
        <f>HYPERLINK("http://141.218.60.56/~jnz1568/getInfo.php?workbook=16_15.xlsx&amp;sheet=A0&amp;row=368&amp;col=18&amp;number=&amp;sourceID=56","")</f>
        <v/>
      </c>
      <c r="S368" s="4" t="str">
        <f>HYPERLINK("http://141.218.60.56/~jnz1568/getInfo.php?workbook=16_15.xlsx&amp;sheet=A0&amp;row=368&amp;col=19&amp;number=&amp;sourceID=57","")</f>
        <v/>
      </c>
      <c r="T368" s="4" t="str">
        <f>HYPERLINK("http://141.218.60.56/~jnz1568/getInfo.php?workbook=16_15.xlsx&amp;sheet=A0&amp;row=368&amp;col=20&amp;number=&amp;sourceID=57","")</f>
        <v/>
      </c>
      <c r="U368" s="4" t="str">
        <f>HYPERLINK("http://141.218.60.56/~jnz1568/getInfo.php?workbook=16_15.xlsx&amp;sheet=A0&amp;row=368&amp;col=21&amp;number=&amp;sourceID=47","")</f>
        <v/>
      </c>
      <c r="V368" s="4" t="str">
        <f>HYPERLINK("http://141.218.60.56/~jnz1568/getInfo.php?workbook=16_15.xlsx&amp;sheet=A0&amp;row=368&amp;col=22&amp;number=&amp;sourceID=47","")</f>
        <v/>
      </c>
    </row>
    <row r="369" spans="1:22">
      <c r="A369" s="3">
        <v>16</v>
      </c>
      <c r="B369" s="3">
        <v>15</v>
      </c>
      <c r="C369" s="3">
        <v>30</v>
      </c>
      <c r="D369" s="3">
        <v>23</v>
      </c>
      <c r="E369" s="3">
        <f>((1/(INDEX(E0!J$4:J$73,C369,1)-INDEX(E0!J$4:J$73,D369,1))))*100000000</f>
        <v>0</v>
      </c>
      <c r="F369" s="4" t="str">
        <f>HYPERLINK("http://141.218.60.56/~jnz1568/getInfo.php?workbook=16_15.xlsx&amp;sheet=A0&amp;row=369&amp;col=6&amp;number=&amp;sourceID=54","")</f>
        <v/>
      </c>
      <c r="G369" s="4" t="str">
        <f>HYPERLINK("http://141.218.60.56/~jnz1568/getInfo.php?workbook=16_15.xlsx&amp;sheet=A0&amp;row=369&amp;col=7&amp;number=6.1392e-06&amp;sourceID=54","6.1392e-06")</f>
        <v>6.1392e-06</v>
      </c>
      <c r="H369" s="4" t="str">
        <f>HYPERLINK("http://141.218.60.56/~jnz1568/getInfo.php?workbook=16_15.xlsx&amp;sheet=A0&amp;row=369&amp;col=8&amp;number=6.0569e-05&amp;sourceID=54","6.0569e-05")</f>
        <v>6.0569e-05</v>
      </c>
      <c r="I369" s="4" t="str">
        <f>HYPERLINK("http://141.218.60.56/~jnz1568/getInfo.php?workbook=16_15.xlsx&amp;sheet=A0&amp;row=369&amp;col=9&amp;number=&amp;sourceID=54","")</f>
        <v/>
      </c>
      <c r="J369" s="4" t="str">
        <f>HYPERLINK("http://141.218.60.56/~jnz1568/getInfo.php?workbook=16_15.xlsx&amp;sheet=A0&amp;row=369&amp;col=10&amp;number=7.2586e-06&amp;sourceID=54","7.2586e-06")</f>
        <v>7.2586e-06</v>
      </c>
      <c r="K369" s="4" t="str">
        <f>HYPERLINK("http://141.218.60.56/~jnz1568/getInfo.php?workbook=16_15.xlsx&amp;sheet=A0&amp;row=369&amp;col=11&amp;number=6.0792e-05&amp;sourceID=54","6.0792e-05")</f>
        <v>6.0792e-05</v>
      </c>
      <c r="L369" s="4" t="str">
        <f>HYPERLINK("http://141.218.60.56/~jnz1568/getInfo.php?workbook=16_15.xlsx&amp;sheet=A0&amp;row=369&amp;col=12&amp;number=&amp;sourceID=53","")</f>
        <v/>
      </c>
      <c r="M369" s="4" t="str">
        <f>HYPERLINK("http://141.218.60.56/~jnz1568/getInfo.php?workbook=16_15.xlsx&amp;sheet=A0&amp;row=369&amp;col=13&amp;number=&amp;sourceID=53","")</f>
        <v/>
      </c>
      <c r="N369" s="4" t="str">
        <f>HYPERLINK("http://141.218.60.56/~jnz1568/getInfo.php?workbook=16_15.xlsx&amp;sheet=A0&amp;row=369&amp;col=14&amp;number=&amp;sourceID=53","")</f>
        <v/>
      </c>
      <c r="O369" s="4" t="str">
        <f>HYPERLINK("http://141.218.60.56/~jnz1568/getInfo.php?workbook=16_15.xlsx&amp;sheet=A0&amp;row=369&amp;col=15&amp;number=&amp;sourceID=55","")</f>
        <v/>
      </c>
      <c r="P369" s="4" t="str">
        <f>HYPERLINK("http://141.218.60.56/~jnz1568/getInfo.php?workbook=16_15.xlsx&amp;sheet=A0&amp;row=369&amp;col=16&amp;number=&amp;sourceID=55","")</f>
        <v/>
      </c>
      <c r="Q369" s="4" t="str">
        <f>HYPERLINK("http://141.218.60.56/~jnz1568/getInfo.php?workbook=16_15.xlsx&amp;sheet=A0&amp;row=369&amp;col=17&amp;number=&amp;sourceID=56","")</f>
        <v/>
      </c>
      <c r="R369" s="4" t="str">
        <f>HYPERLINK("http://141.218.60.56/~jnz1568/getInfo.php?workbook=16_15.xlsx&amp;sheet=A0&amp;row=369&amp;col=18&amp;number=&amp;sourceID=56","")</f>
        <v/>
      </c>
      <c r="S369" s="4" t="str">
        <f>HYPERLINK("http://141.218.60.56/~jnz1568/getInfo.php?workbook=16_15.xlsx&amp;sheet=A0&amp;row=369&amp;col=19&amp;number=&amp;sourceID=57","")</f>
        <v/>
      </c>
      <c r="T369" s="4" t="str">
        <f>HYPERLINK("http://141.218.60.56/~jnz1568/getInfo.php?workbook=16_15.xlsx&amp;sheet=A0&amp;row=369&amp;col=20&amp;number=&amp;sourceID=57","")</f>
        <v/>
      </c>
      <c r="U369" s="4" t="str">
        <f>HYPERLINK("http://141.218.60.56/~jnz1568/getInfo.php?workbook=16_15.xlsx&amp;sheet=A0&amp;row=369&amp;col=21&amp;number=&amp;sourceID=47","")</f>
        <v/>
      </c>
      <c r="V369" s="4" t="str">
        <f>HYPERLINK("http://141.218.60.56/~jnz1568/getInfo.php?workbook=16_15.xlsx&amp;sheet=A0&amp;row=369&amp;col=22&amp;number=&amp;sourceID=47","")</f>
        <v/>
      </c>
    </row>
    <row r="370" spans="1:22">
      <c r="A370" s="3">
        <v>16</v>
      </c>
      <c r="B370" s="3">
        <v>15</v>
      </c>
      <c r="C370" s="3">
        <v>30</v>
      </c>
      <c r="D370" s="3">
        <v>24</v>
      </c>
      <c r="E370" s="3">
        <f>((1/(INDEX(E0!J$4:J$73,C370,1)-INDEX(E0!J$4:J$73,D370,1))))*100000000</f>
        <v>0</v>
      </c>
      <c r="F370" s="4" t="str">
        <f>HYPERLINK("http://141.218.60.56/~jnz1568/getInfo.php?workbook=16_15.xlsx&amp;sheet=A0&amp;row=370&amp;col=6&amp;number=&amp;sourceID=54","")</f>
        <v/>
      </c>
      <c r="G370" s="4" t="str">
        <f>HYPERLINK("http://141.218.60.56/~jnz1568/getInfo.php?workbook=16_15.xlsx&amp;sheet=A0&amp;row=370&amp;col=7&amp;number=7.7353e-05&amp;sourceID=54","7.7353e-05")</f>
        <v>7.7353e-05</v>
      </c>
      <c r="H370" s="4" t="str">
        <f>HYPERLINK("http://141.218.60.56/~jnz1568/getInfo.php?workbook=16_15.xlsx&amp;sheet=A0&amp;row=370&amp;col=8&amp;number=2.7848e-05&amp;sourceID=54","2.7848e-05")</f>
        <v>2.7848e-05</v>
      </c>
      <c r="I370" s="4" t="str">
        <f>HYPERLINK("http://141.218.60.56/~jnz1568/getInfo.php?workbook=16_15.xlsx&amp;sheet=A0&amp;row=370&amp;col=9&amp;number=&amp;sourceID=54","")</f>
        <v/>
      </c>
      <c r="J370" s="4" t="str">
        <f>HYPERLINK("http://141.218.60.56/~jnz1568/getInfo.php?workbook=16_15.xlsx&amp;sheet=A0&amp;row=370&amp;col=10&amp;number=0.00024202&amp;sourceID=54","0.00024202")</f>
        <v>0.00024202</v>
      </c>
      <c r="K370" s="4" t="str">
        <f>HYPERLINK("http://141.218.60.56/~jnz1568/getInfo.php?workbook=16_15.xlsx&amp;sheet=A0&amp;row=370&amp;col=11&amp;number=2.4525e-05&amp;sourceID=54","2.4525e-05")</f>
        <v>2.4525e-05</v>
      </c>
      <c r="L370" s="4" t="str">
        <f>HYPERLINK("http://141.218.60.56/~jnz1568/getInfo.php?workbook=16_15.xlsx&amp;sheet=A0&amp;row=370&amp;col=12&amp;number=&amp;sourceID=53","")</f>
        <v/>
      </c>
      <c r="M370" s="4" t="str">
        <f>HYPERLINK("http://141.218.60.56/~jnz1568/getInfo.php?workbook=16_15.xlsx&amp;sheet=A0&amp;row=370&amp;col=13&amp;number=&amp;sourceID=53","")</f>
        <v/>
      </c>
      <c r="N370" s="4" t="str">
        <f>HYPERLINK("http://141.218.60.56/~jnz1568/getInfo.php?workbook=16_15.xlsx&amp;sheet=A0&amp;row=370&amp;col=14&amp;number=&amp;sourceID=53","")</f>
        <v/>
      </c>
      <c r="O370" s="4" t="str">
        <f>HYPERLINK("http://141.218.60.56/~jnz1568/getInfo.php?workbook=16_15.xlsx&amp;sheet=A0&amp;row=370&amp;col=15&amp;number=&amp;sourceID=55","")</f>
        <v/>
      </c>
      <c r="P370" s="4" t="str">
        <f>HYPERLINK("http://141.218.60.56/~jnz1568/getInfo.php?workbook=16_15.xlsx&amp;sheet=A0&amp;row=370&amp;col=16&amp;number=&amp;sourceID=55","")</f>
        <v/>
      </c>
      <c r="Q370" s="4" t="str">
        <f>HYPERLINK("http://141.218.60.56/~jnz1568/getInfo.php?workbook=16_15.xlsx&amp;sheet=A0&amp;row=370&amp;col=17&amp;number=&amp;sourceID=56","")</f>
        <v/>
      </c>
      <c r="R370" s="4" t="str">
        <f>HYPERLINK("http://141.218.60.56/~jnz1568/getInfo.php?workbook=16_15.xlsx&amp;sheet=A0&amp;row=370&amp;col=18&amp;number=&amp;sourceID=56","")</f>
        <v/>
      </c>
      <c r="S370" s="4" t="str">
        <f>HYPERLINK("http://141.218.60.56/~jnz1568/getInfo.php?workbook=16_15.xlsx&amp;sheet=A0&amp;row=370&amp;col=19&amp;number=&amp;sourceID=57","")</f>
        <v/>
      </c>
      <c r="T370" s="4" t="str">
        <f>HYPERLINK("http://141.218.60.56/~jnz1568/getInfo.php?workbook=16_15.xlsx&amp;sheet=A0&amp;row=370&amp;col=20&amp;number=&amp;sourceID=57","")</f>
        <v/>
      </c>
      <c r="U370" s="4" t="str">
        <f>HYPERLINK("http://141.218.60.56/~jnz1568/getInfo.php?workbook=16_15.xlsx&amp;sheet=A0&amp;row=370&amp;col=21&amp;number=&amp;sourceID=47","")</f>
        <v/>
      </c>
      <c r="V370" s="4" t="str">
        <f>HYPERLINK("http://141.218.60.56/~jnz1568/getInfo.php?workbook=16_15.xlsx&amp;sheet=A0&amp;row=370&amp;col=22&amp;number=&amp;sourceID=47","")</f>
        <v/>
      </c>
    </row>
    <row r="371" spans="1:22">
      <c r="A371" s="3">
        <v>16</v>
      </c>
      <c r="B371" s="3">
        <v>15</v>
      </c>
      <c r="C371" s="3">
        <v>30</v>
      </c>
      <c r="D371" s="3">
        <v>25</v>
      </c>
      <c r="E371" s="3">
        <f>((1/(INDEX(E0!J$4:J$73,C371,1)-INDEX(E0!J$4:J$73,D371,1))))*100000000</f>
        <v>0</v>
      </c>
      <c r="F371" s="4" t="str">
        <f>HYPERLINK("http://141.218.60.56/~jnz1568/getInfo.php?workbook=16_15.xlsx&amp;sheet=A0&amp;row=371&amp;col=6&amp;number=&amp;sourceID=54","")</f>
        <v/>
      </c>
      <c r="G371" s="4" t="str">
        <f>HYPERLINK("http://141.218.60.56/~jnz1568/getInfo.php?workbook=16_15.xlsx&amp;sheet=A0&amp;row=371&amp;col=7&amp;number=0.0015614&amp;sourceID=54","0.0015614")</f>
        <v>0.0015614</v>
      </c>
      <c r="H371" s="4" t="str">
        <f>HYPERLINK("http://141.218.60.56/~jnz1568/getInfo.php?workbook=16_15.xlsx&amp;sheet=A0&amp;row=371&amp;col=8&amp;number=0.00015253&amp;sourceID=54","0.00015253")</f>
        <v>0.00015253</v>
      </c>
      <c r="I371" s="4" t="str">
        <f>HYPERLINK("http://141.218.60.56/~jnz1568/getInfo.php?workbook=16_15.xlsx&amp;sheet=A0&amp;row=371&amp;col=9&amp;number=&amp;sourceID=54","")</f>
        <v/>
      </c>
      <c r="J371" s="4" t="str">
        <f>HYPERLINK("http://141.218.60.56/~jnz1568/getInfo.php?workbook=16_15.xlsx&amp;sheet=A0&amp;row=371&amp;col=10&amp;number=0.0030858&amp;sourceID=54","0.0030858")</f>
        <v>0.0030858</v>
      </c>
      <c r="K371" s="4" t="str">
        <f>HYPERLINK("http://141.218.60.56/~jnz1568/getInfo.php?workbook=16_15.xlsx&amp;sheet=A0&amp;row=371&amp;col=11&amp;number=0.00015335&amp;sourceID=54","0.00015335")</f>
        <v>0.00015335</v>
      </c>
      <c r="L371" s="4" t="str">
        <f>HYPERLINK("http://141.218.60.56/~jnz1568/getInfo.php?workbook=16_15.xlsx&amp;sheet=A0&amp;row=371&amp;col=12&amp;number=&amp;sourceID=53","")</f>
        <v/>
      </c>
      <c r="M371" s="4" t="str">
        <f>HYPERLINK("http://141.218.60.56/~jnz1568/getInfo.php?workbook=16_15.xlsx&amp;sheet=A0&amp;row=371&amp;col=13&amp;number=&amp;sourceID=53","")</f>
        <v/>
      </c>
      <c r="N371" s="4" t="str">
        <f>HYPERLINK("http://141.218.60.56/~jnz1568/getInfo.php?workbook=16_15.xlsx&amp;sheet=A0&amp;row=371&amp;col=14&amp;number=&amp;sourceID=53","")</f>
        <v/>
      </c>
      <c r="O371" s="4" t="str">
        <f>HYPERLINK("http://141.218.60.56/~jnz1568/getInfo.php?workbook=16_15.xlsx&amp;sheet=A0&amp;row=371&amp;col=15&amp;number=&amp;sourceID=55","")</f>
        <v/>
      </c>
      <c r="P371" s="4" t="str">
        <f>HYPERLINK("http://141.218.60.56/~jnz1568/getInfo.php?workbook=16_15.xlsx&amp;sheet=A0&amp;row=371&amp;col=16&amp;number=&amp;sourceID=55","")</f>
        <v/>
      </c>
      <c r="Q371" s="4" t="str">
        <f>HYPERLINK("http://141.218.60.56/~jnz1568/getInfo.php?workbook=16_15.xlsx&amp;sheet=A0&amp;row=371&amp;col=17&amp;number=&amp;sourceID=56","")</f>
        <v/>
      </c>
      <c r="R371" s="4" t="str">
        <f>HYPERLINK("http://141.218.60.56/~jnz1568/getInfo.php?workbook=16_15.xlsx&amp;sheet=A0&amp;row=371&amp;col=18&amp;number=&amp;sourceID=56","")</f>
        <v/>
      </c>
      <c r="S371" s="4" t="str">
        <f>HYPERLINK("http://141.218.60.56/~jnz1568/getInfo.php?workbook=16_15.xlsx&amp;sheet=A0&amp;row=371&amp;col=19&amp;number=&amp;sourceID=57","")</f>
        <v/>
      </c>
      <c r="T371" s="4" t="str">
        <f>HYPERLINK("http://141.218.60.56/~jnz1568/getInfo.php?workbook=16_15.xlsx&amp;sheet=A0&amp;row=371&amp;col=20&amp;number=&amp;sourceID=57","")</f>
        <v/>
      </c>
      <c r="U371" s="4" t="str">
        <f>HYPERLINK("http://141.218.60.56/~jnz1568/getInfo.php?workbook=16_15.xlsx&amp;sheet=A0&amp;row=371&amp;col=21&amp;number=&amp;sourceID=47","")</f>
        <v/>
      </c>
      <c r="V371" s="4" t="str">
        <f>HYPERLINK("http://141.218.60.56/~jnz1568/getInfo.php?workbook=16_15.xlsx&amp;sheet=A0&amp;row=371&amp;col=22&amp;number=&amp;sourceID=47","")</f>
        <v/>
      </c>
    </row>
    <row r="372" spans="1:22">
      <c r="A372" s="3">
        <v>16</v>
      </c>
      <c r="B372" s="3">
        <v>15</v>
      </c>
      <c r="C372" s="3">
        <v>30</v>
      </c>
      <c r="D372" s="3">
        <v>26</v>
      </c>
      <c r="E372" s="3">
        <f>((1/(INDEX(E0!J$4:J$73,C372,1)-INDEX(E0!J$4:J$73,D372,1))))*100000000</f>
        <v>0</v>
      </c>
      <c r="F372" s="4" t="str">
        <f>HYPERLINK("http://141.218.60.56/~jnz1568/getInfo.php?workbook=16_15.xlsx&amp;sheet=A0&amp;row=372&amp;col=6&amp;number=&amp;sourceID=54","")</f>
        <v/>
      </c>
      <c r="G372" s="4" t="str">
        <f>HYPERLINK("http://141.218.60.56/~jnz1568/getInfo.php?workbook=16_15.xlsx&amp;sheet=A0&amp;row=372&amp;col=7&amp;number=0.0039504&amp;sourceID=54","0.0039504")</f>
        <v>0.0039504</v>
      </c>
      <c r="H372" s="4" t="str">
        <f>HYPERLINK("http://141.218.60.56/~jnz1568/getInfo.php?workbook=16_15.xlsx&amp;sheet=A0&amp;row=372&amp;col=8&amp;number=9.5432e-06&amp;sourceID=54","9.5432e-06")</f>
        <v>9.5432e-06</v>
      </c>
      <c r="I372" s="4" t="str">
        <f>HYPERLINK("http://141.218.60.56/~jnz1568/getInfo.php?workbook=16_15.xlsx&amp;sheet=A0&amp;row=372&amp;col=9&amp;number=&amp;sourceID=54","")</f>
        <v/>
      </c>
      <c r="J372" s="4" t="str">
        <f>HYPERLINK("http://141.218.60.56/~jnz1568/getInfo.php?workbook=16_15.xlsx&amp;sheet=A0&amp;row=372&amp;col=10&amp;number=0.0052407&amp;sourceID=54","0.0052407")</f>
        <v>0.0052407</v>
      </c>
      <c r="K372" s="4" t="str">
        <f>HYPERLINK("http://141.218.60.56/~jnz1568/getInfo.php?workbook=16_15.xlsx&amp;sheet=A0&amp;row=372&amp;col=11&amp;number=1.2592e-05&amp;sourceID=54","1.2592e-05")</f>
        <v>1.2592e-05</v>
      </c>
      <c r="L372" s="4" t="str">
        <f>HYPERLINK("http://141.218.60.56/~jnz1568/getInfo.php?workbook=16_15.xlsx&amp;sheet=A0&amp;row=372&amp;col=12&amp;number=&amp;sourceID=53","")</f>
        <v/>
      </c>
      <c r="M372" s="4" t="str">
        <f>HYPERLINK("http://141.218.60.56/~jnz1568/getInfo.php?workbook=16_15.xlsx&amp;sheet=A0&amp;row=372&amp;col=13&amp;number=&amp;sourceID=53","")</f>
        <v/>
      </c>
      <c r="N372" s="4" t="str">
        <f>HYPERLINK("http://141.218.60.56/~jnz1568/getInfo.php?workbook=16_15.xlsx&amp;sheet=A0&amp;row=372&amp;col=14&amp;number=&amp;sourceID=53","")</f>
        <v/>
      </c>
      <c r="O372" s="4" t="str">
        <f>HYPERLINK("http://141.218.60.56/~jnz1568/getInfo.php?workbook=16_15.xlsx&amp;sheet=A0&amp;row=372&amp;col=15&amp;number=&amp;sourceID=55","")</f>
        <v/>
      </c>
      <c r="P372" s="4" t="str">
        <f>HYPERLINK("http://141.218.60.56/~jnz1568/getInfo.php?workbook=16_15.xlsx&amp;sheet=A0&amp;row=372&amp;col=16&amp;number=&amp;sourceID=55","")</f>
        <v/>
      </c>
      <c r="Q372" s="4" t="str">
        <f>HYPERLINK("http://141.218.60.56/~jnz1568/getInfo.php?workbook=16_15.xlsx&amp;sheet=A0&amp;row=372&amp;col=17&amp;number=&amp;sourceID=56","")</f>
        <v/>
      </c>
      <c r="R372" s="4" t="str">
        <f>HYPERLINK("http://141.218.60.56/~jnz1568/getInfo.php?workbook=16_15.xlsx&amp;sheet=A0&amp;row=372&amp;col=18&amp;number=&amp;sourceID=56","")</f>
        <v/>
      </c>
      <c r="S372" s="4" t="str">
        <f>HYPERLINK("http://141.218.60.56/~jnz1568/getInfo.php?workbook=16_15.xlsx&amp;sheet=A0&amp;row=372&amp;col=19&amp;number=&amp;sourceID=57","")</f>
        <v/>
      </c>
      <c r="T372" s="4" t="str">
        <f>HYPERLINK("http://141.218.60.56/~jnz1568/getInfo.php?workbook=16_15.xlsx&amp;sheet=A0&amp;row=372&amp;col=20&amp;number=&amp;sourceID=57","")</f>
        <v/>
      </c>
      <c r="U372" s="4" t="str">
        <f>HYPERLINK("http://141.218.60.56/~jnz1568/getInfo.php?workbook=16_15.xlsx&amp;sheet=A0&amp;row=372&amp;col=21&amp;number=&amp;sourceID=47","")</f>
        <v/>
      </c>
      <c r="V372" s="4" t="str">
        <f>HYPERLINK("http://141.218.60.56/~jnz1568/getInfo.php?workbook=16_15.xlsx&amp;sheet=A0&amp;row=372&amp;col=22&amp;number=&amp;sourceID=47","")</f>
        <v/>
      </c>
    </row>
    <row r="373" spans="1:22">
      <c r="A373" s="3">
        <v>16</v>
      </c>
      <c r="B373" s="3">
        <v>15</v>
      </c>
      <c r="C373" s="3">
        <v>30</v>
      </c>
      <c r="D373" s="3">
        <v>27</v>
      </c>
      <c r="E373" s="3">
        <f>((1/(INDEX(E0!J$4:J$73,C373,1)-INDEX(E0!J$4:J$73,D373,1))))*100000000</f>
        <v>0</v>
      </c>
      <c r="F373" s="4" t="str">
        <f>HYPERLINK("http://141.218.60.56/~jnz1568/getInfo.php?workbook=16_15.xlsx&amp;sheet=A0&amp;row=373&amp;col=6&amp;number=&amp;sourceID=54","")</f>
        <v/>
      </c>
      <c r="G373" s="4" t="str">
        <f>HYPERLINK("http://141.218.60.56/~jnz1568/getInfo.php?workbook=16_15.xlsx&amp;sheet=A0&amp;row=373&amp;col=7&amp;number=0.016756&amp;sourceID=54","0.016756")</f>
        <v>0.016756</v>
      </c>
      <c r="H373" s="4" t="str">
        <f>HYPERLINK("http://141.218.60.56/~jnz1568/getInfo.php?workbook=16_15.xlsx&amp;sheet=A0&amp;row=373&amp;col=8&amp;number=4.2819e-08&amp;sourceID=54","4.2819e-08")</f>
        <v>4.2819e-08</v>
      </c>
      <c r="I373" s="4" t="str">
        <f>HYPERLINK("http://141.218.60.56/~jnz1568/getInfo.php?workbook=16_15.xlsx&amp;sheet=A0&amp;row=373&amp;col=9&amp;number=&amp;sourceID=54","")</f>
        <v/>
      </c>
      <c r="J373" s="4" t="str">
        <f>HYPERLINK("http://141.218.60.56/~jnz1568/getInfo.php?workbook=16_15.xlsx&amp;sheet=A0&amp;row=373&amp;col=10&amp;number=0.022288&amp;sourceID=54","0.022288")</f>
        <v>0.022288</v>
      </c>
      <c r="K373" s="4" t="str">
        <f>HYPERLINK("http://141.218.60.56/~jnz1568/getInfo.php?workbook=16_15.xlsx&amp;sheet=A0&amp;row=373&amp;col=11&amp;number=1.0364e-06&amp;sourceID=54","1.0364e-06")</f>
        <v>1.0364e-06</v>
      </c>
      <c r="L373" s="4" t="str">
        <f>HYPERLINK("http://141.218.60.56/~jnz1568/getInfo.php?workbook=16_15.xlsx&amp;sheet=A0&amp;row=373&amp;col=12&amp;number=&amp;sourceID=53","")</f>
        <v/>
      </c>
      <c r="M373" s="4" t="str">
        <f>HYPERLINK("http://141.218.60.56/~jnz1568/getInfo.php?workbook=16_15.xlsx&amp;sheet=A0&amp;row=373&amp;col=13&amp;number=&amp;sourceID=53","")</f>
        <v/>
      </c>
      <c r="N373" s="4" t="str">
        <f>HYPERLINK("http://141.218.60.56/~jnz1568/getInfo.php?workbook=16_15.xlsx&amp;sheet=A0&amp;row=373&amp;col=14&amp;number=&amp;sourceID=53","")</f>
        <v/>
      </c>
      <c r="O373" s="4" t="str">
        <f>HYPERLINK("http://141.218.60.56/~jnz1568/getInfo.php?workbook=16_15.xlsx&amp;sheet=A0&amp;row=373&amp;col=15&amp;number=&amp;sourceID=55","")</f>
        <v/>
      </c>
      <c r="P373" s="4" t="str">
        <f>HYPERLINK("http://141.218.60.56/~jnz1568/getInfo.php?workbook=16_15.xlsx&amp;sheet=A0&amp;row=373&amp;col=16&amp;number=&amp;sourceID=55","")</f>
        <v/>
      </c>
      <c r="Q373" s="4" t="str">
        <f>HYPERLINK("http://141.218.60.56/~jnz1568/getInfo.php?workbook=16_15.xlsx&amp;sheet=A0&amp;row=373&amp;col=17&amp;number=&amp;sourceID=56","")</f>
        <v/>
      </c>
      <c r="R373" s="4" t="str">
        <f>HYPERLINK("http://141.218.60.56/~jnz1568/getInfo.php?workbook=16_15.xlsx&amp;sheet=A0&amp;row=373&amp;col=18&amp;number=&amp;sourceID=56","")</f>
        <v/>
      </c>
      <c r="S373" s="4" t="str">
        <f>HYPERLINK("http://141.218.60.56/~jnz1568/getInfo.php?workbook=16_15.xlsx&amp;sheet=A0&amp;row=373&amp;col=19&amp;number=&amp;sourceID=57","")</f>
        <v/>
      </c>
      <c r="T373" s="4" t="str">
        <f>HYPERLINK("http://141.218.60.56/~jnz1568/getInfo.php?workbook=16_15.xlsx&amp;sheet=A0&amp;row=373&amp;col=20&amp;number=&amp;sourceID=57","")</f>
        <v/>
      </c>
      <c r="U373" s="4" t="str">
        <f>HYPERLINK("http://141.218.60.56/~jnz1568/getInfo.php?workbook=16_15.xlsx&amp;sheet=A0&amp;row=373&amp;col=21&amp;number=&amp;sourceID=47","")</f>
        <v/>
      </c>
      <c r="V373" s="4" t="str">
        <f>HYPERLINK("http://141.218.60.56/~jnz1568/getInfo.php?workbook=16_15.xlsx&amp;sheet=A0&amp;row=373&amp;col=22&amp;number=&amp;sourceID=47","")</f>
        <v/>
      </c>
    </row>
    <row r="374" spans="1:22">
      <c r="A374" s="3">
        <v>16</v>
      </c>
      <c r="B374" s="3">
        <v>15</v>
      </c>
      <c r="C374" s="3">
        <v>30</v>
      </c>
      <c r="D374" s="3">
        <v>28</v>
      </c>
      <c r="E374" s="3">
        <f>((1/(INDEX(E0!J$4:J$73,C374,1)-INDEX(E0!J$4:J$73,D374,1))))*100000000</f>
        <v>0</v>
      </c>
      <c r="F374" s="4" t="str">
        <f>HYPERLINK("http://141.218.60.56/~jnz1568/getInfo.php?workbook=16_15.xlsx&amp;sheet=A0&amp;row=374&amp;col=6&amp;number=&amp;sourceID=54","")</f>
        <v/>
      </c>
      <c r="G374" s="4" t="str">
        <f>HYPERLINK("http://141.218.60.56/~jnz1568/getInfo.php?workbook=16_15.xlsx&amp;sheet=A0&amp;row=374&amp;col=7&amp;number=1.1211e-06&amp;sourceID=54","1.1211e-06")</f>
        <v>1.1211e-06</v>
      </c>
      <c r="H374" s="4" t="str">
        <f>HYPERLINK("http://141.218.60.56/~jnz1568/getInfo.php?workbook=16_15.xlsx&amp;sheet=A0&amp;row=374&amp;col=8&amp;number=&amp;sourceID=54","")</f>
        <v/>
      </c>
      <c r="I374" s="4" t="str">
        <f>HYPERLINK("http://141.218.60.56/~jnz1568/getInfo.php?workbook=16_15.xlsx&amp;sheet=A0&amp;row=374&amp;col=9&amp;number=&amp;sourceID=54","")</f>
        <v/>
      </c>
      <c r="J374" s="4" t="str">
        <f>HYPERLINK("http://141.218.60.56/~jnz1568/getInfo.php?workbook=16_15.xlsx&amp;sheet=A0&amp;row=374&amp;col=10&amp;number=2.972e-06&amp;sourceID=54","2.972e-06")</f>
        <v>2.972e-06</v>
      </c>
      <c r="K374" s="4" t="str">
        <f>HYPERLINK("http://141.218.60.56/~jnz1568/getInfo.php?workbook=16_15.xlsx&amp;sheet=A0&amp;row=374&amp;col=11&amp;number=&amp;sourceID=54","")</f>
        <v/>
      </c>
      <c r="L374" s="4" t="str">
        <f>HYPERLINK("http://141.218.60.56/~jnz1568/getInfo.php?workbook=16_15.xlsx&amp;sheet=A0&amp;row=374&amp;col=12&amp;number=&amp;sourceID=53","")</f>
        <v/>
      </c>
      <c r="M374" s="4" t="str">
        <f>HYPERLINK("http://141.218.60.56/~jnz1568/getInfo.php?workbook=16_15.xlsx&amp;sheet=A0&amp;row=374&amp;col=13&amp;number=&amp;sourceID=53","")</f>
        <v/>
      </c>
      <c r="N374" s="4" t="str">
        <f>HYPERLINK("http://141.218.60.56/~jnz1568/getInfo.php?workbook=16_15.xlsx&amp;sheet=A0&amp;row=374&amp;col=14&amp;number=&amp;sourceID=53","")</f>
        <v/>
      </c>
      <c r="O374" s="4" t="str">
        <f>HYPERLINK("http://141.218.60.56/~jnz1568/getInfo.php?workbook=16_15.xlsx&amp;sheet=A0&amp;row=374&amp;col=15&amp;number=&amp;sourceID=55","")</f>
        <v/>
      </c>
      <c r="P374" s="4" t="str">
        <f>HYPERLINK("http://141.218.60.56/~jnz1568/getInfo.php?workbook=16_15.xlsx&amp;sheet=A0&amp;row=374&amp;col=16&amp;number=&amp;sourceID=55","")</f>
        <v/>
      </c>
      <c r="Q374" s="4" t="str">
        <f>HYPERLINK("http://141.218.60.56/~jnz1568/getInfo.php?workbook=16_15.xlsx&amp;sheet=A0&amp;row=374&amp;col=17&amp;number=&amp;sourceID=56","")</f>
        <v/>
      </c>
      <c r="R374" s="4" t="str">
        <f>HYPERLINK("http://141.218.60.56/~jnz1568/getInfo.php?workbook=16_15.xlsx&amp;sheet=A0&amp;row=374&amp;col=18&amp;number=&amp;sourceID=56","")</f>
        <v/>
      </c>
      <c r="S374" s="4" t="str">
        <f>HYPERLINK("http://141.218.60.56/~jnz1568/getInfo.php?workbook=16_15.xlsx&amp;sheet=A0&amp;row=374&amp;col=19&amp;number=&amp;sourceID=57","")</f>
        <v/>
      </c>
      <c r="T374" s="4" t="str">
        <f>HYPERLINK("http://141.218.60.56/~jnz1568/getInfo.php?workbook=16_15.xlsx&amp;sheet=A0&amp;row=374&amp;col=20&amp;number=&amp;sourceID=57","")</f>
        <v/>
      </c>
      <c r="U374" s="4" t="str">
        <f>HYPERLINK("http://141.218.60.56/~jnz1568/getInfo.php?workbook=16_15.xlsx&amp;sheet=A0&amp;row=374&amp;col=21&amp;number=&amp;sourceID=47","")</f>
        <v/>
      </c>
      <c r="V374" s="4" t="str">
        <f>HYPERLINK("http://141.218.60.56/~jnz1568/getInfo.php?workbook=16_15.xlsx&amp;sheet=A0&amp;row=374&amp;col=22&amp;number=&amp;sourceID=47","")</f>
        <v/>
      </c>
    </row>
    <row r="375" spans="1:22">
      <c r="A375" s="3">
        <v>16</v>
      </c>
      <c r="B375" s="3">
        <v>15</v>
      </c>
      <c r="C375" s="3">
        <v>30</v>
      </c>
      <c r="D375" s="3">
        <v>29</v>
      </c>
      <c r="E375" s="3">
        <f>((1/(INDEX(E0!J$4:J$73,C375,1)-INDEX(E0!J$4:J$73,D375,1))))*100000000</f>
        <v>0</v>
      </c>
      <c r="F375" s="4" t="str">
        <f>HYPERLINK("http://141.218.60.56/~jnz1568/getInfo.php?workbook=16_15.xlsx&amp;sheet=A0&amp;row=375&amp;col=6&amp;number=&amp;sourceID=54","")</f>
        <v/>
      </c>
      <c r="G375" s="4" t="str">
        <f>HYPERLINK("http://141.218.60.56/~jnz1568/getInfo.php?workbook=16_15.xlsx&amp;sheet=A0&amp;row=375&amp;col=7&amp;number=0&amp;sourceID=54","0")</f>
        <v>0</v>
      </c>
      <c r="H375" s="4" t="str">
        <f>HYPERLINK("http://141.218.60.56/~jnz1568/getInfo.php?workbook=16_15.xlsx&amp;sheet=A0&amp;row=375&amp;col=8&amp;number=1.6e-14&amp;sourceID=54","1.6e-14")</f>
        <v>1.6e-14</v>
      </c>
      <c r="I375" s="4" t="str">
        <f>HYPERLINK("http://141.218.60.56/~jnz1568/getInfo.php?workbook=16_15.xlsx&amp;sheet=A0&amp;row=375&amp;col=9&amp;number=&amp;sourceID=54","")</f>
        <v/>
      </c>
      <c r="J375" s="4" t="str">
        <f>HYPERLINK("http://141.218.60.56/~jnz1568/getInfo.php?workbook=16_15.xlsx&amp;sheet=A0&amp;row=375&amp;col=10&amp;number=0&amp;sourceID=54","0")</f>
        <v>0</v>
      </c>
      <c r="K375" s="4" t="str">
        <f>HYPERLINK("http://141.218.60.56/~jnz1568/getInfo.php?workbook=16_15.xlsx&amp;sheet=A0&amp;row=375&amp;col=11&amp;number=1.722e-12&amp;sourceID=54","1.722e-12")</f>
        <v>1.722e-12</v>
      </c>
      <c r="L375" s="4" t="str">
        <f>HYPERLINK("http://141.218.60.56/~jnz1568/getInfo.php?workbook=16_15.xlsx&amp;sheet=A0&amp;row=375&amp;col=12&amp;number=&amp;sourceID=53","")</f>
        <v/>
      </c>
      <c r="M375" s="4" t="str">
        <f>HYPERLINK("http://141.218.60.56/~jnz1568/getInfo.php?workbook=16_15.xlsx&amp;sheet=A0&amp;row=375&amp;col=13&amp;number=&amp;sourceID=53","")</f>
        <v/>
      </c>
      <c r="N375" s="4" t="str">
        <f>HYPERLINK("http://141.218.60.56/~jnz1568/getInfo.php?workbook=16_15.xlsx&amp;sheet=A0&amp;row=375&amp;col=14&amp;number=&amp;sourceID=53","")</f>
        <v/>
      </c>
      <c r="O375" s="4" t="str">
        <f>HYPERLINK("http://141.218.60.56/~jnz1568/getInfo.php?workbook=16_15.xlsx&amp;sheet=A0&amp;row=375&amp;col=15&amp;number=&amp;sourceID=55","")</f>
        <v/>
      </c>
      <c r="P375" s="4" t="str">
        <f>HYPERLINK("http://141.218.60.56/~jnz1568/getInfo.php?workbook=16_15.xlsx&amp;sheet=A0&amp;row=375&amp;col=16&amp;number=&amp;sourceID=55","")</f>
        <v/>
      </c>
      <c r="Q375" s="4" t="str">
        <f>HYPERLINK("http://141.218.60.56/~jnz1568/getInfo.php?workbook=16_15.xlsx&amp;sheet=A0&amp;row=375&amp;col=17&amp;number=&amp;sourceID=56","")</f>
        <v/>
      </c>
      <c r="R375" s="4" t="str">
        <f>HYPERLINK("http://141.218.60.56/~jnz1568/getInfo.php?workbook=16_15.xlsx&amp;sheet=A0&amp;row=375&amp;col=18&amp;number=&amp;sourceID=56","")</f>
        <v/>
      </c>
      <c r="S375" s="4" t="str">
        <f>HYPERLINK("http://141.218.60.56/~jnz1568/getInfo.php?workbook=16_15.xlsx&amp;sheet=A0&amp;row=375&amp;col=19&amp;number=&amp;sourceID=57","")</f>
        <v/>
      </c>
      <c r="T375" s="4" t="str">
        <f>HYPERLINK("http://141.218.60.56/~jnz1568/getInfo.php?workbook=16_15.xlsx&amp;sheet=A0&amp;row=375&amp;col=20&amp;number=&amp;sourceID=57","")</f>
        <v/>
      </c>
      <c r="U375" s="4" t="str">
        <f>HYPERLINK("http://141.218.60.56/~jnz1568/getInfo.php?workbook=16_15.xlsx&amp;sheet=A0&amp;row=375&amp;col=21&amp;number=&amp;sourceID=47","")</f>
        <v/>
      </c>
      <c r="V375" s="4" t="str">
        <f>HYPERLINK("http://141.218.60.56/~jnz1568/getInfo.php?workbook=16_15.xlsx&amp;sheet=A0&amp;row=375&amp;col=22&amp;number=&amp;sourceID=47","")</f>
        <v/>
      </c>
    </row>
    <row r="376" spans="1:22">
      <c r="A376" s="3">
        <v>16</v>
      </c>
      <c r="B376" s="3">
        <v>15</v>
      </c>
      <c r="C376" s="3">
        <v>31</v>
      </c>
      <c r="D376" s="3">
        <v>1</v>
      </c>
      <c r="E376" s="3">
        <f>((1/(INDEX(E0!J$4:J$73,C376,1)-INDEX(E0!J$4:J$73,D376,1))))*100000000</f>
        <v>0</v>
      </c>
      <c r="F376" s="4" t="str">
        <f>HYPERLINK("http://141.218.60.56/~jnz1568/getInfo.php?workbook=16_15.xlsx&amp;sheet=A0&amp;row=376&amp;col=6&amp;number=&amp;sourceID=54","")</f>
        <v/>
      </c>
      <c r="G376" s="4" t="str">
        <f>HYPERLINK("http://141.218.60.56/~jnz1568/getInfo.php?workbook=16_15.xlsx&amp;sheet=A0&amp;row=376&amp;col=7&amp;number=0.5255&amp;sourceID=54","0.5255")</f>
        <v>0.5255</v>
      </c>
      <c r="H376" s="4" t="str">
        <f>HYPERLINK("http://141.218.60.56/~jnz1568/getInfo.php?workbook=16_15.xlsx&amp;sheet=A0&amp;row=376&amp;col=8&amp;number=2.5473e-05&amp;sourceID=54","2.5473e-05")</f>
        <v>2.5473e-05</v>
      </c>
      <c r="I376" s="4" t="str">
        <f>HYPERLINK("http://141.218.60.56/~jnz1568/getInfo.php?workbook=16_15.xlsx&amp;sheet=A0&amp;row=376&amp;col=9&amp;number=&amp;sourceID=54","")</f>
        <v/>
      </c>
      <c r="J376" s="4" t="str">
        <f>HYPERLINK("http://141.218.60.56/~jnz1568/getInfo.php?workbook=16_15.xlsx&amp;sheet=A0&amp;row=376&amp;col=10&amp;number=0.56269&amp;sourceID=54","0.56269")</f>
        <v>0.56269</v>
      </c>
      <c r="K376" s="4" t="str">
        <f>HYPERLINK("http://141.218.60.56/~jnz1568/getInfo.php?workbook=16_15.xlsx&amp;sheet=A0&amp;row=376&amp;col=11&amp;number=2.6927e-05&amp;sourceID=54","2.6927e-05")</f>
        <v>2.6927e-05</v>
      </c>
      <c r="L376" s="4" t="str">
        <f>HYPERLINK("http://141.218.60.56/~jnz1568/getInfo.php?workbook=16_15.xlsx&amp;sheet=A0&amp;row=376&amp;col=12&amp;number=&amp;sourceID=53","")</f>
        <v/>
      </c>
      <c r="M376" s="4" t="str">
        <f>HYPERLINK("http://141.218.60.56/~jnz1568/getInfo.php?workbook=16_15.xlsx&amp;sheet=A0&amp;row=376&amp;col=13&amp;number=&amp;sourceID=53","")</f>
        <v/>
      </c>
      <c r="N376" s="4" t="str">
        <f>HYPERLINK("http://141.218.60.56/~jnz1568/getInfo.php?workbook=16_15.xlsx&amp;sheet=A0&amp;row=376&amp;col=14&amp;number=&amp;sourceID=53","")</f>
        <v/>
      </c>
      <c r="O376" s="4" t="str">
        <f>HYPERLINK("http://141.218.60.56/~jnz1568/getInfo.php?workbook=16_15.xlsx&amp;sheet=A0&amp;row=376&amp;col=15&amp;number=&amp;sourceID=55","")</f>
        <v/>
      </c>
      <c r="P376" s="4" t="str">
        <f>HYPERLINK("http://141.218.60.56/~jnz1568/getInfo.php?workbook=16_15.xlsx&amp;sheet=A0&amp;row=376&amp;col=16&amp;number=&amp;sourceID=55","")</f>
        <v/>
      </c>
      <c r="Q376" s="4" t="str">
        <f>HYPERLINK("http://141.218.60.56/~jnz1568/getInfo.php?workbook=16_15.xlsx&amp;sheet=A0&amp;row=376&amp;col=17&amp;number=&amp;sourceID=56","")</f>
        <v/>
      </c>
      <c r="R376" s="4" t="str">
        <f>HYPERLINK("http://141.218.60.56/~jnz1568/getInfo.php?workbook=16_15.xlsx&amp;sheet=A0&amp;row=376&amp;col=18&amp;number=&amp;sourceID=56","")</f>
        <v/>
      </c>
      <c r="S376" s="4" t="str">
        <f>HYPERLINK("http://141.218.60.56/~jnz1568/getInfo.php?workbook=16_15.xlsx&amp;sheet=A0&amp;row=376&amp;col=19&amp;number=&amp;sourceID=57","")</f>
        <v/>
      </c>
      <c r="T376" s="4" t="str">
        <f>HYPERLINK("http://141.218.60.56/~jnz1568/getInfo.php?workbook=16_15.xlsx&amp;sheet=A0&amp;row=376&amp;col=20&amp;number=&amp;sourceID=57","")</f>
        <v/>
      </c>
      <c r="U376" s="4" t="str">
        <f>HYPERLINK("http://141.218.60.56/~jnz1568/getInfo.php?workbook=16_15.xlsx&amp;sheet=A0&amp;row=376&amp;col=21&amp;number=&amp;sourceID=47","")</f>
        <v/>
      </c>
      <c r="V376" s="4" t="str">
        <f>HYPERLINK("http://141.218.60.56/~jnz1568/getInfo.php?workbook=16_15.xlsx&amp;sheet=A0&amp;row=376&amp;col=22&amp;number=&amp;sourceID=47","")</f>
        <v/>
      </c>
    </row>
    <row r="377" spans="1:22">
      <c r="A377" s="3">
        <v>16</v>
      </c>
      <c r="B377" s="3">
        <v>15</v>
      </c>
      <c r="C377" s="3">
        <v>31</v>
      </c>
      <c r="D377" s="3">
        <v>2</v>
      </c>
      <c r="E377" s="3">
        <f>((1/(INDEX(E0!J$4:J$73,C377,1)-INDEX(E0!J$4:J$73,D377,1))))*100000000</f>
        <v>0</v>
      </c>
      <c r="F377" s="4" t="str">
        <f>HYPERLINK("http://141.218.60.56/~jnz1568/getInfo.php?workbook=16_15.xlsx&amp;sheet=A0&amp;row=377&amp;col=6&amp;number=&amp;sourceID=54","")</f>
        <v/>
      </c>
      <c r="G377" s="4" t="str">
        <f>HYPERLINK("http://141.218.60.56/~jnz1568/getInfo.php?workbook=16_15.xlsx&amp;sheet=A0&amp;row=377&amp;col=7&amp;number=5566.6&amp;sourceID=54","5566.6")</f>
        <v>5566.6</v>
      </c>
      <c r="H377" s="4" t="str">
        <f>HYPERLINK("http://141.218.60.56/~jnz1568/getInfo.php?workbook=16_15.xlsx&amp;sheet=A0&amp;row=377&amp;col=8&amp;number=2.2384e-05&amp;sourceID=54","2.2384e-05")</f>
        <v>2.2384e-05</v>
      </c>
      <c r="I377" s="4" t="str">
        <f>HYPERLINK("http://141.218.60.56/~jnz1568/getInfo.php?workbook=16_15.xlsx&amp;sheet=A0&amp;row=377&amp;col=9&amp;number=&amp;sourceID=54","")</f>
        <v/>
      </c>
      <c r="J377" s="4" t="str">
        <f>HYPERLINK("http://141.218.60.56/~jnz1568/getInfo.php?workbook=16_15.xlsx&amp;sheet=A0&amp;row=377&amp;col=10&amp;number=5792&amp;sourceID=54","5792")</f>
        <v>5792</v>
      </c>
      <c r="K377" s="4" t="str">
        <f>HYPERLINK("http://141.218.60.56/~jnz1568/getInfo.php?workbook=16_15.xlsx&amp;sheet=A0&amp;row=377&amp;col=11&amp;number=2.2528e-05&amp;sourceID=54","2.2528e-05")</f>
        <v>2.2528e-05</v>
      </c>
      <c r="L377" s="4" t="str">
        <f>HYPERLINK("http://141.218.60.56/~jnz1568/getInfo.php?workbook=16_15.xlsx&amp;sheet=A0&amp;row=377&amp;col=12&amp;number=&amp;sourceID=53","")</f>
        <v/>
      </c>
      <c r="M377" s="4" t="str">
        <f>HYPERLINK("http://141.218.60.56/~jnz1568/getInfo.php?workbook=16_15.xlsx&amp;sheet=A0&amp;row=377&amp;col=13&amp;number=&amp;sourceID=53","")</f>
        <v/>
      </c>
      <c r="N377" s="4" t="str">
        <f>HYPERLINK("http://141.218.60.56/~jnz1568/getInfo.php?workbook=16_15.xlsx&amp;sheet=A0&amp;row=377&amp;col=14&amp;number=&amp;sourceID=53","")</f>
        <v/>
      </c>
      <c r="O377" s="4" t="str">
        <f>HYPERLINK("http://141.218.60.56/~jnz1568/getInfo.php?workbook=16_15.xlsx&amp;sheet=A0&amp;row=377&amp;col=15&amp;number=&amp;sourceID=55","")</f>
        <v/>
      </c>
      <c r="P377" s="4" t="str">
        <f>HYPERLINK("http://141.218.60.56/~jnz1568/getInfo.php?workbook=16_15.xlsx&amp;sheet=A0&amp;row=377&amp;col=16&amp;number=&amp;sourceID=55","")</f>
        <v/>
      </c>
      <c r="Q377" s="4" t="str">
        <f>HYPERLINK("http://141.218.60.56/~jnz1568/getInfo.php?workbook=16_15.xlsx&amp;sheet=A0&amp;row=377&amp;col=17&amp;number=&amp;sourceID=56","")</f>
        <v/>
      </c>
      <c r="R377" s="4" t="str">
        <f>HYPERLINK("http://141.218.60.56/~jnz1568/getInfo.php?workbook=16_15.xlsx&amp;sheet=A0&amp;row=377&amp;col=18&amp;number=&amp;sourceID=56","")</f>
        <v/>
      </c>
      <c r="S377" s="4" t="str">
        <f>HYPERLINK("http://141.218.60.56/~jnz1568/getInfo.php?workbook=16_15.xlsx&amp;sheet=A0&amp;row=377&amp;col=19&amp;number=&amp;sourceID=57","")</f>
        <v/>
      </c>
      <c r="T377" s="4" t="str">
        <f>HYPERLINK("http://141.218.60.56/~jnz1568/getInfo.php?workbook=16_15.xlsx&amp;sheet=A0&amp;row=377&amp;col=20&amp;number=&amp;sourceID=57","")</f>
        <v/>
      </c>
      <c r="U377" s="4" t="str">
        <f>HYPERLINK("http://141.218.60.56/~jnz1568/getInfo.php?workbook=16_15.xlsx&amp;sheet=A0&amp;row=377&amp;col=21&amp;number=&amp;sourceID=47","")</f>
        <v/>
      </c>
      <c r="V377" s="4" t="str">
        <f>HYPERLINK("http://141.218.60.56/~jnz1568/getInfo.php?workbook=16_15.xlsx&amp;sheet=A0&amp;row=377&amp;col=22&amp;number=&amp;sourceID=47","")</f>
        <v/>
      </c>
    </row>
    <row r="378" spans="1:22">
      <c r="A378" s="3">
        <v>16</v>
      </c>
      <c r="B378" s="3">
        <v>15</v>
      </c>
      <c r="C378" s="3">
        <v>31</v>
      </c>
      <c r="D378" s="3">
        <v>3</v>
      </c>
      <c r="E378" s="3">
        <f>((1/(INDEX(E0!J$4:J$73,C378,1)-INDEX(E0!J$4:J$73,D378,1))))*100000000</f>
        <v>0</v>
      </c>
      <c r="F378" s="4" t="str">
        <f>HYPERLINK("http://141.218.60.56/~jnz1568/getInfo.php?workbook=16_15.xlsx&amp;sheet=A0&amp;row=378&amp;col=6&amp;number=&amp;sourceID=54","")</f>
        <v/>
      </c>
      <c r="G378" s="4" t="str">
        <f>HYPERLINK("http://141.218.60.56/~jnz1568/getInfo.php?workbook=16_15.xlsx&amp;sheet=A0&amp;row=378&amp;col=7&amp;number=7664.6&amp;sourceID=54","7664.6")</f>
        <v>7664.6</v>
      </c>
      <c r="H378" s="4" t="str">
        <f>HYPERLINK("http://141.218.60.56/~jnz1568/getInfo.php?workbook=16_15.xlsx&amp;sheet=A0&amp;row=378&amp;col=8&amp;number=&amp;sourceID=54","")</f>
        <v/>
      </c>
      <c r="I378" s="4" t="str">
        <f>HYPERLINK("http://141.218.60.56/~jnz1568/getInfo.php?workbook=16_15.xlsx&amp;sheet=A0&amp;row=378&amp;col=9&amp;number=&amp;sourceID=54","")</f>
        <v/>
      </c>
      <c r="J378" s="4" t="str">
        <f>HYPERLINK("http://141.218.60.56/~jnz1568/getInfo.php?workbook=16_15.xlsx&amp;sheet=A0&amp;row=378&amp;col=10&amp;number=7962.6&amp;sourceID=54","7962.6")</f>
        <v>7962.6</v>
      </c>
      <c r="K378" s="4" t="str">
        <f>HYPERLINK("http://141.218.60.56/~jnz1568/getInfo.php?workbook=16_15.xlsx&amp;sheet=A0&amp;row=378&amp;col=11&amp;number=&amp;sourceID=54","")</f>
        <v/>
      </c>
      <c r="L378" s="4" t="str">
        <f>HYPERLINK("http://141.218.60.56/~jnz1568/getInfo.php?workbook=16_15.xlsx&amp;sheet=A0&amp;row=378&amp;col=12&amp;number=&amp;sourceID=53","")</f>
        <v/>
      </c>
      <c r="M378" s="4" t="str">
        <f>HYPERLINK("http://141.218.60.56/~jnz1568/getInfo.php?workbook=16_15.xlsx&amp;sheet=A0&amp;row=378&amp;col=13&amp;number=&amp;sourceID=53","")</f>
        <v/>
      </c>
      <c r="N378" s="4" t="str">
        <f>HYPERLINK("http://141.218.60.56/~jnz1568/getInfo.php?workbook=16_15.xlsx&amp;sheet=A0&amp;row=378&amp;col=14&amp;number=&amp;sourceID=53","")</f>
        <v/>
      </c>
      <c r="O378" s="4" t="str">
        <f>HYPERLINK("http://141.218.60.56/~jnz1568/getInfo.php?workbook=16_15.xlsx&amp;sheet=A0&amp;row=378&amp;col=15&amp;number=&amp;sourceID=55","")</f>
        <v/>
      </c>
      <c r="P378" s="4" t="str">
        <f>HYPERLINK("http://141.218.60.56/~jnz1568/getInfo.php?workbook=16_15.xlsx&amp;sheet=A0&amp;row=378&amp;col=16&amp;number=&amp;sourceID=55","")</f>
        <v/>
      </c>
      <c r="Q378" s="4" t="str">
        <f>HYPERLINK("http://141.218.60.56/~jnz1568/getInfo.php?workbook=16_15.xlsx&amp;sheet=A0&amp;row=378&amp;col=17&amp;number=&amp;sourceID=56","")</f>
        <v/>
      </c>
      <c r="R378" s="4" t="str">
        <f>HYPERLINK("http://141.218.60.56/~jnz1568/getInfo.php?workbook=16_15.xlsx&amp;sheet=A0&amp;row=378&amp;col=18&amp;number=&amp;sourceID=56","")</f>
        <v/>
      </c>
      <c r="S378" s="4" t="str">
        <f>HYPERLINK("http://141.218.60.56/~jnz1568/getInfo.php?workbook=16_15.xlsx&amp;sheet=A0&amp;row=378&amp;col=19&amp;number=&amp;sourceID=57","")</f>
        <v/>
      </c>
      <c r="T378" s="4" t="str">
        <f>HYPERLINK("http://141.218.60.56/~jnz1568/getInfo.php?workbook=16_15.xlsx&amp;sheet=A0&amp;row=378&amp;col=20&amp;number=&amp;sourceID=57","")</f>
        <v/>
      </c>
      <c r="U378" s="4" t="str">
        <f>HYPERLINK("http://141.218.60.56/~jnz1568/getInfo.php?workbook=16_15.xlsx&amp;sheet=A0&amp;row=378&amp;col=21&amp;number=&amp;sourceID=47","")</f>
        <v/>
      </c>
      <c r="V378" s="4" t="str">
        <f>HYPERLINK("http://141.218.60.56/~jnz1568/getInfo.php?workbook=16_15.xlsx&amp;sheet=A0&amp;row=378&amp;col=22&amp;number=&amp;sourceID=47","")</f>
        <v/>
      </c>
    </row>
    <row r="379" spans="1:22">
      <c r="A379" s="3">
        <v>16</v>
      </c>
      <c r="B379" s="3">
        <v>15</v>
      </c>
      <c r="C379" s="3">
        <v>31</v>
      </c>
      <c r="D379" s="3">
        <v>4</v>
      </c>
      <c r="E379" s="3">
        <f>((1/(INDEX(E0!J$4:J$73,C379,1)-INDEX(E0!J$4:J$73,D379,1))))*100000000</f>
        <v>0</v>
      </c>
      <c r="F379" s="4" t="str">
        <f>HYPERLINK("http://141.218.60.56/~jnz1568/getInfo.php?workbook=16_15.xlsx&amp;sheet=A0&amp;row=379&amp;col=6&amp;number=&amp;sourceID=54","")</f>
        <v/>
      </c>
      <c r="G379" s="4" t="str">
        <f>HYPERLINK("http://141.218.60.56/~jnz1568/getInfo.php?workbook=16_15.xlsx&amp;sheet=A0&amp;row=379&amp;col=7&amp;number=&amp;sourceID=54","")</f>
        <v/>
      </c>
      <c r="H379" s="4" t="str">
        <f>HYPERLINK("http://141.218.60.56/~jnz1568/getInfo.php?workbook=16_15.xlsx&amp;sheet=A0&amp;row=379&amp;col=8&amp;number=0.0010052&amp;sourceID=54","0.0010052")</f>
        <v>0.0010052</v>
      </c>
      <c r="I379" s="4" t="str">
        <f>HYPERLINK("http://141.218.60.56/~jnz1568/getInfo.php?workbook=16_15.xlsx&amp;sheet=A0&amp;row=379&amp;col=9&amp;number=&amp;sourceID=54","")</f>
        <v/>
      </c>
      <c r="J379" s="4" t="str">
        <f>HYPERLINK("http://141.218.60.56/~jnz1568/getInfo.php?workbook=16_15.xlsx&amp;sheet=A0&amp;row=379&amp;col=10&amp;number=&amp;sourceID=54","")</f>
        <v/>
      </c>
      <c r="K379" s="4" t="str">
        <f>HYPERLINK("http://141.218.60.56/~jnz1568/getInfo.php?workbook=16_15.xlsx&amp;sheet=A0&amp;row=379&amp;col=11&amp;number=0.0010038&amp;sourceID=54","0.0010038")</f>
        <v>0.0010038</v>
      </c>
      <c r="L379" s="4" t="str">
        <f>HYPERLINK("http://141.218.60.56/~jnz1568/getInfo.php?workbook=16_15.xlsx&amp;sheet=A0&amp;row=379&amp;col=12&amp;number=&amp;sourceID=53","")</f>
        <v/>
      </c>
      <c r="M379" s="4" t="str">
        <f>HYPERLINK("http://141.218.60.56/~jnz1568/getInfo.php?workbook=16_15.xlsx&amp;sheet=A0&amp;row=379&amp;col=13&amp;number=&amp;sourceID=53","")</f>
        <v/>
      </c>
      <c r="N379" s="4" t="str">
        <f>HYPERLINK("http://141.218.60.56/~jnz1568/getInfo.php?workbook=16_15.xlsx&amp;sheet=A0&amp;row=379&amp;col=14&amp;number=&amp;sourceID=53","")</f>
        <v/>
      </c>
      <c r="O379" s="4" t="str">
        <f>HYPERLINK("http://141.218.60.56/~jnz1568/getInfo.php?workbook=16_15.xlsx&amp;sheet=A0&amp;row=379&amp;col=15&amp;number=&amp;sourceID=55","")</f>
        <v/>
      </c>
      <c r="P379" s="4" t="str">
        <f>HYPERLINK("http://141.218.60.56/~jnz1568/getInfo.php?workbook=16_15.xlsx&amp;sheet=A0&amp;row=379&amp;col=16&amp;number=&amp;sourceID=55","")</f>
        <v/>
      </c>
      <c r="Q379" s="4" t="str">
        <f>HYPERLINK("http://141.218.60.56/~jnz1568/getInfo.php?workbook=16_15.xlsx&amp;sheet=A0&amp;row=379&amp;col=17&amp;number=&amp;sourceID=56","")</f>
        <v/>
      </c>
      <c r="R379" s="4" t="str">
        <f>HYPERLINK("http://141.218.60.56/~jnz1568/getInfo.php?workbook=16_15.xlsx&amp;sheet=A0&amp;row=379&amp;col=18&amp;number=&amp;sourceID=56","")</f>
        <v/>
      </c>
      <c r="S379" s="4" t="str">
        <f>HYPERLINK("http://141.218.60.56/~jnz1568/getInfo.php?workbook=16_15.xlsx&amp;sheet=A0&amp;row=379&amp;col=19&amp;number=&amp;sourceID=57","")</f>
        <v/>
      </c>
      <c r="T379" s="4" t="str">
        <f>HYPERLINK("http://141.218.60.56/~jnz1568/getInfo.php?workbook=16_15.xlsx&amp;sheet=A0&amp;row=379&amp;col=20&amp;number=&amp;sourceID=57","")</f>
        <v/>
      </c>
      <c r="U379" s="4" t="str">
        <f>HYPERLINK("http://141.218.60.56/~jnz1568/getInfo.php?workbook=16_15.xlsx&amp;sheet=A0&amp;row=379&amp;col=21&amp;number=&amp;sourceID=47","")</f>
        <v/>
      </c>
      <c r="V379" s="4" t="str">
        <f>HYPERLINK("http://141.218.60.56/~jnz1568/getInfo.php?workbook=16_15.xlsx&amp;sheet=A0&amp;row=379&amp;col=22&amp;number=&amp;sourceID=47","")</f>
        <v/>
      </c>
    </row>
    <row r="380" spans="1:22">
      <c r="A380" s="3">
        <v>16</v>
      </c>
      <c r="B380" s="3">
        <v>15</v>
      </c>
      <c r="C380" s="3">
        <v>31</v>
      </c>
      <c r="D380" s="3">
        <v>5</v>
      </c>
      <c r="E380" s="3">
        <f>((1/(INDEX(E0!J$4:J$73,C380,1)-INDEX(E0!J$4:J$73,D380,1))))*100000000</f>
        <v>0</v>
      </c>
      <c r="F380" s="4" t="str">
        <f>HYPERLINK("http://141.218.60.56/~jnz1568/getInfo.php?workbook=16_15.xlsx&amp;sheet=A0&amp;row=380&amp;col=6&amp;number=&amp;sourceID=54","")</f>
        <v/>
      </c>
      <c r="G380" s="4" t="str">
        <f>HYPERLINK("http://141.218.60.56/~jnz1568/getInfo.php?workbook=16_15.xlsx&amp;sheet=A0&amp;row=380&amp;col=7&amp;number=0.4335&amp;sourceID=54","0.4335")</f>
        <v>0.4335</v>
      </c>
      <c r="H380" s="4" t="str">
        <f>HYPERLINK("http://141.218.60.56/~jnz1568/getInfo.php?workbook=16_15.xlsx&amp;sheet=A0&amp;row=380&amp;col=8&amp;number=0.0018059&amp;sourceID=54","0.0018059")</f>
        <v>0.0018059</v>
      </c>
      <c r="I380" s="4" t="str">
        <f>HYPERLINK("http://141.218.60.56/~jnz1568/getInfo.php?workbook=16_15.xlsx&amp;sheet=A0&amp;row=380&amp;col=9&amp;number=&amp;sourceID=54","")</f>
        <v/>
      </c>
      <c r="J380" s="4" t="str">
        <f>HYPERLINK("http://141.218.60.56/~jnz1568/getInfo.php?workbook=16_15.xlsx&amp;sheet=A0&amp;row=380&amp;col=10&amp;number=0.3475&amp;sourceID=54","0.3475")</f>
        <v>0.3475</v>
      </c>
      <c r="K380" s="4" t="str">
        <f>HYPERLINK("http://141.218.60.56/~jnz1568/getInfo.php?workbook=16_15.xlsx&amp;sheet=A0&amp;row=380&amp;col=11&amp;number=0.0017989&amp;sourceID=54","0.0017989")</f>
        <v>0.0017989</v>
      </c>
      <c r="L380" s="4" t="str">
        <f>HYPERLINK("http://141.218.60.56/~jnz1568/getInfo.php?workbook=16_15.xlsx&amp;sheet=A0&amp;row=380&amp;col=12&amp;number=&amp;sourceID=53","")</f>
        <v/>
      </c>
      <c r="M380" s="4" t="str">
        <f>HYPERLINK("http://141.218.60.56/~jnz1568/getInfo.php?workbook=16_15.xlsx&amp;sheet=A0&amp;row=380&amp;col=13&amp;number=&amp;sourceID=53","")</f>
        <v/>
      </c>
      <c r="N380" s="4" t="str">
        <f>HYPERLINK("http://141.218.60.56/~jnz1568/getInfo.php?workbook=16_15.xlsx&amp;sheet=A0&amp;row=380&amp;col=14&amp;number=&amp;sourceID=53","")</f>
        <v/>
      </c>
      <c r="O380" s="4" t="str">
        <f>HYPERLINK("http://141.218.60.56/~jnz1568/getInfo.php?workbook=16_15.xlsx&amp;sheet=A0&amp;row=380&amp;col=15&amp;number=&amp;sourceID=55","")</f>
        <v/>
      </c>
      <c r="P380" s="4" t="str">
        <f>HYPERLINK("http://141.218.60.56/~jnz1568/getInfo.php?workbook=16_15.xlsx&amp;sheet=A0&amp;row=380&amp;col=16&amp;number=&amp;sourceID=55","")</f>
        <v/>
      </c>
      <c r="Q380" s="4" t="str">
        <f>HYPERLINK("http://141.218.60.56/~jnz1568/getInfo.php?workbook=16_15.xlsx&amp;sheet=A0&amp;row=380&amp;col=17&amp;number=&amp;sourceID=56","")</f>
        <v/>
      </c>
      <c r="R380" s="4" t="str">
        <f>HYPERLINK("http://141.218.60.56/~jnz1568/getInfo.php?workbook=16_15.xlsx&amp;sheet=A0&amp;row=380&amp;col=18&amp;number=&amp;sourceID=56","")</f>
        <v/>
      </c>
      <c r="S380" s="4" t="str">
        <f>HYPERLINK("http://141.218.60.56/~jnz1568/getInfo.php?workbook=16_15.xlsx&amp;sheet=A0&amp;row=380&amp;col=19&amp;number=&amp;sourceID=57","")</f>
        <v/>
      </c>
      <c r="T380" s="4" t="str">
        <f>HYPERLINK("http://141.218.60.56/~jnz1568/getInfo.php?workbook=16_15.xlsx&amp;sheet=A0&amp;row=380&amp;col=20&amp;number=&amp;sourceID=57","")</f>
        <v/>
      </c>
      <c r="U380" s="4" t="str">
        <f>HYPERLINK("http://141.218.60.56/~jnz1568/getInfo.php?workbook=16_15.xlsx&amp;sheet=A0&amp;row=380&amp;col=21&amp;number=&amp;sourceID=47","")</f>
        <v/>
      </c>
      <c r="V380" s="4" t="str">
        <f>HYPERLINK("http://141.218.60.56/~jnz1568/getInfo.php?workbook=16_15.xlsx&amp;sheet=A0&amp;row=380&amp;col=22&amp;number=&amp;sourceID=47","")</f>
        <v/>
      </c>
    </row>
    <row r="381" spans="1:22">
      <c r="A381" s="3">
        <v>16</v>
      </c>
      <c r="B381" s="3">
        <v>15</v>
      </c>
      <c r="C381" s="3">
        <v>31</v>
      </c>
      <c r="D381" s="3">
        <v>7</v>
      </c>
      <c r="E381" s="3">
        <f>((1/(INDEX(E0!J$4:J$73,C381,1)-INDEX(E0!J$4:J$73,D381,1))))*100000000</f>
        <v>0</v>
      </c>
      <c r="F381" s="4" t="str">
        <f>HYPERLINK("http://141.218.60.56/~jnz1568/getInfo.php?workbook=16_15.xlsx&amp;sheet=A0&amp;row=381&amp;col=6&amp;number=49578&amp;sourceID=54","49578")</f>
        <v>49578</v>
      </c>
      <c r="G381" s="4" t="str">
        <f>HYPERLINK("http://141.218.60.56/~jnz1568/getInfo.php?workbook=16_15.xlsx&amp;sheet=A0&amp;row=381&amp;col=7&amp;number=&amp;sourceID=54","")</f>
        <v/>
      </c>
      <c r="H381" s="4" t="str">
        <f>HYPERLINK("http://141.218.60.56/~jnz1568/getInfo.php?workbook=16_15.xlsx&amp;sheet=A0&amp;row=381&amp;col=8&amp;number=&amp;sourceID=54","")</f>
        <v/>
      </c>
      <c r="I381" s="4" t="str">
        <f>HYPERLINK("http://141.218.60.56/~jnz1568/getInfo.php?workbook=16_15.xlsx&amp;sheet=A0&amp;row=381&amp;col=9&amp;number=48804&amp;sourceID=54","48804")</f>
        <v>48804</v>
      </c>
      <c r="J381" s="4" t="str">
        <f>HYPERLINK("http://141.218.60.56/~jnz1568/getInfo.php?workbook=16_15.xlsx&amp;sheet=A0&amp;row=381&amp;col=10&amp;number=&amp;sourceID=54","")</f>
        <v/>
      </c>
      <c r="K381" s="4" t="str">
        <f>HYPERLINK("http://141.218.60.56/~jnz1568/getInfo.php?workbook=16_15.xlsx&amp;sheet=A0&amp;row=381&amp;col=11&amp;number=&amp;sourceID=54","")</f>
        <v/>
      </c>
      <c r="L381" s="4" t="str">
        <f>HYPERLINK("http://141.218.60.56/~jnz1568/getInfo.php?workbook=16_15.xlsx&amp;sheet=A0&amp;row=381&amp;col=12&amp;number=56863.6163097&amp;sourceID=53","56863.6163097")</f>
        <v>56863.6163097</v>
      </c>
      <c r="M381" s="4" t="str">
        <f>HYPERLINK("http://141.218.60.56/~jnz1568/getInfo.php?workbook=16_15.xlsx&amp;sheet=A0&amp;row=381&amp;col=13&amp;number=&amp;sourceID=53","")</f>
        <v/>
      </c>
      <c r="N381" s="4" t="str">
        <f>HYPERLINK("http://141.218.60.56/~jnz1568/getInfo.php?workbook=16_15.xlsx&amp;sheet=A0&amp;row=381&amp;col=14&amp;number=&amp;sourceID=53","")</f>
        <v/>
      </c>
      <c r="O381" s="4" t="str">
        <f>HYPERLINK("http://141.218.60.56/~jnz1568/getInfo.php?workbook=16_15.xlsx&amp;sheet=A0&amp;row=381&amp;col=15&amp;number=&amp;sourceID=55","")</f>
        <v/>
      </c>
      <c r="P381" s="4" t="str">
        <f>HYPERLINK("http://141.218.60.56/~jnz1568/getInfo.php?workbook=16_15.xlsx&amp;sheet=A0&amp;row=381&amp;col=16&amp;number=&amp;sourceID=55","")</f>
        <v/>
      </c>
      <c r="Q381" s="4" t="str">
        <f>HYPERLINK("http://141.218.60.56/~jnz1568/getInfo.php?workbook=16_15.xlsx&amp;sheet=A0&amp;row=381&amp;col=17&amp;number=&amp;sourceID=56","")</f>
        <v/>
      </c>
      <c r="R381" s="4" t="str">
        <f>HYPERLINK("http://141.218.60.56/~jnz1568/getInfo.php?workbook=16_15.xlsx&amp;sheet=A0&amp;row=381&amp;col=18&amp;number=&amp;sourceID=56","")</f>
        <v/>
      </c>
      <c r="S381" s="4" t="str">
        <f>HYPERLINK("http://141.218.60.56/~jnz1568/getInfo.php?workbook=16_15.xlsx&amp;sheet=A0&amp;row=381&amp;col=19&amp;number=&amp;sourceID=57","")</f>
        <v/>
      </c>
      <c r="T381" s="4" t="str">
        <f>HYPERLINK("http://141.218.60.56/~jnz1568/getInfo.php?workbook=16_15.xlsx&amp;sheet=A0&amp;row=381&amp;col=20&amp;number=&amp;sourceID=57","")</f>
        <v/>
      </c>
      <c r="U381" s="4" t="str">
        <f>HYPERLINK("http://141.218.60.56/~jnz1568/getInfo.php?workbook=16_15.xlsx&amp;sheet=A0&amp;row=381&amp;col=21&amp;number=&amp;sourceID=47","")</f>
        <v/>
      </c>
      <c r="V381" s="4" t="str">
        <f>HYPERLINK("http://141.218.60.56/~jnz1568/getInfo.php?workbook=16_15.xlsx&amp;sheet=A0&amp;row=381&amp;col=22&amp;number=&amp;sourceID=47","")</f>
        <v/>
      </c>
    </row>
    <row r="382" spans="1:22">
      <c r="A382" s="3">
        <v>16</v>
      </c>
      <c r="B382" s="3">
        <v>15</v>
      </c>
      <c r="C382" s="3">
        <v>31</v>
      </c>
      <c r="D382" s="3">
        <v>8</v>
      </c>
      <c r="E382" s="3">
        <f>((1/(INDEX(E0!J$4:J$73,C382,1)-INDEX(E0!J$4:J$73,D382,1))))*100000000</f>
        <v>0</v>
      </c>
      <c r="F382" s="4" t="str">
        <f>HYPERLINK("http://141.218.60.56/~jnz1568/getInfo.php?workbook=16_15.xlsx&amp;sheet=A0&amp;row=382&amp;col=6&amp;number=9182.7&amp;sourceID=54","9182.7")</f>
        <v>9182.7</v>
      </c>
      <c r="G382" s="4" t="str">
        <f>HYPERLINK("http://141.218.60.56/~jnz1568/getInfo.php?workbook=16_15.xlsx&amp;sheet=A0&amp;row=382&amp;col=7&amp;number=&amp;sourceID=54","")</f>
        <v/>
      </c>
      <c r="H382" s="4" t="str">
        <f>HYPERLINK("http://141.218.60.56/~jnz1568/getInfo.php?workbook=16_15.xlsx&amp;sheet=A0&amp;row=382&amp;col=8&amp;number=&amp;sourceID=54","")</f>
        <v/>
      </c>
      <c r="I382" s="4" t="str">
        <f>HYPERLINK("http://141.218.60.56/~jnz1568/getInfo.php?workbook=16_15.xlsx&amp;sheet=A0&amp;row=382&amp;col=9&amp;number=9004.5&amp;sourceID=54","9004.5")</f>
        <v>9004.5</v>
      </c>
      <c r="J382" s="4" t="str">
        <f>HYPERLINK("http://141.218.60.56/~jnz1568/getInfo.php?workbook=16_15.xlsx&amp;sheet=A0&amp;row=382&amp;col=10&amp;number=&amp;sourceID=54","")</f>
        <v/>
      </c>
      <c r="K382" s="4" t="str">
        <f>HYPERLINK("http://141.218.60.56/~jnz1568/getInfo.php?workbook=16_15.xlsx&amp;sheet=A0&amp;row=382&amp;col=11&amp;number=&amp;sourceID=54","")</f>
        <v/>
      </c>
      <c r="L382" s="4" t="str">
        <f>HYPERLINK("http://141.218.60.56/~jnz1568/getInfo.php?workbook=16_15.xlsx&amp;sheet=A0&amp;row=382&amp;col=12&amp;number=10512.6643273&amp;sourceID=53","10512.6643273")</f>
        <v>10512.6643273</v>
      </c>
      <c r="M382" s="4" t="str">
        <f>HYPERLINK("http://141.218.60.56/~jnz1568/getInfo.php?workbook=16_15.xlsx&amp;sheet=A0&amp;row=382&amp;col=13&amp;number=&amp;sourceID=53","")</f>
        <v/>
      </c>
      <c r="N382" s="4" t="str">
        <f>HYPERLINK("http://141.218.60.56/~jnz1568/getInfo.php?workbook=16_15.xlsx&amp;sheet=A0&amp;row=382&amp;col=14&amp;number=&amp;sourceID=53","")</f>
        <v/>
      </c>
      <c r="O382" s="4" t="str">
        <f>HYPERLINK("http://141.218.60.56/~jnz1568/getInfo.php?workbook=16_15.xlsx&amp;sheet=A0&amp;row=382&amp;col=15&amp;number=&amp;sourceID=55","")</f>
        <v/>
      </c>
      <c r="P382" s="4" t="str">
        <f>HYPERLINK("http://141.218.60.56/~jnz1568/getInfo.php?workbook=16_15.xlsx&amp;sheet=A0&amp;row=382&amp;col=16&amp;number=&amp;sourceID=55","")</f>
        <v/>
      </c>
      <c r="Q382" s="4" t="str">
        <f>HYPERLINK("http://141.218.60.56/~jnz1568/getInfo.php?workbook=16_15.xlsx&amp;sheet=A0&amp;row=382&amp;col=17&amp;number=&amp;sourceID=56","")</f>
        <v/>
      </c>
      <c r="R382" s="4" t="str">
        <f>HYPERLINK("http://141.218.60.56/~jnz1568/getInfo.php?workbook=16_15.xlsx&amp;sheet=A0&amp;row=382&amp;col=18&amp;number=&amp;sourceID=56","")</f>
        <v/>
      </c>
      <c r="S382" s="4" t="str">
        <f>HYPERLINK("http://141.218.60.56/~jnz1568/getInfo.php?workbook=16_15.xlsx&amp;sheet=A0&amp;row=382&amp;col=19&amp;number=&amp;sourceID=57","")</f>
        <v/>
      </c>
      <c r="T382" s="4" t="str">
        <f>HYPERLINK("http://141.218.60.56/~jnz1568/getInfo.php?workbook=16_15.xlsx&amp;sheet=A0&amp;row=382&amp;col=20&amp;number=&amp;sourceID=57","")</f>
        <v/>
      </c>
      <c r="U382" s="4" t="str">
        <f>HYPERLINK("http://141.218.60.56/~jnz1568/getInfo.php?workbook=16_15.xlsx&amp;sheet=A0&amp;row=382&amp;col=21&amp;number=&amp;sourceID=47","")</f>
        <v/>
      </c>
      <c r="V382" s="4" t="str">
        <f>HYPERLINK("http://141.218.60.56/~jnz1568/getInfo.php?workbook=16_15.xlsx&amp;sheet=A0&amp;row=382&amp;col=22&amp;number=&amp;sourceID=47","")</f>
        <v/>
      </c>
    </row>
    <row r="383" spans="1:22">
      <c r="A383" s="3">
        <v>16</v>
      </c>
      <c r="B383" s="3">
        <v>15</v>
      </c>
      <c r="C383" s="3">
        <v>31</v>
      </c>
      <c r="D383" s="3">
        <v>9</v>
      </c>
      <c r="E383" s="3">
        <f>((1/(INDEX(E0!J$4:J$73,C383,1)-INDEX(E0!J$4:J$73,D383,1))))*100000000</f>
        <v>0</v>
      </c>
      <c r="F383" s="4" t="str">
        <f>HYPERLINK("http://141.218.60.56/~jnz1568/getInfo.php?workbook=16_15.xlsx&amp;sheet=A0&amp;row=383&amp;col=6&amp;number=98574&amp;sourceID=54","98574")</f>
        <v>98574</v>
      </c>
      <c r="G383" s="4" t="str">
        <f>HYPERLINK("http://141.218.60.56/~jnz1568/getInfo.php?workbook=16_15.xlsx&amp;sheet=A0&amp;row=383&amp;col=7&amp;number=&amp;sourceID=54","")</f>
        <v/>
      </c>
      <c r="H383" s="4" t="str">
        <f>HYPERLINK("http://141.218.60.56/~jnz1568/getInfo.php?workbook=16_15.xlsx&amp;sheet=A0&amp;row=383&amp;col=8&amp;number=&amp;sourceID=54","")</f>
        <v/>
      </c>
      <c r="I383" s="4" t="str">
        <f>HYPERLINK("http://141.218.60.56/~jnz1568/getInfo.php?workbook=16_15.xlsx&amp;sheet=A0&amp;row=383&amp;col=9&amp;number=118920&amp;sourceID=54","118920")</f>
        <v>118920</v>
      </c>
      <c r="J383" s="4" t="str">
        <f>HYPERLINK("http://141.218.60.56/~jnz1568/getInfo.php?workbook=16_15.xlsx&amp;sheet=A0&amp;row=383&amp;col=10&amp;number=&amp;sourceID=54","")</f>
        <v/>
      </c>
      <c r="K383" s="4" t="str">
        <f>HYPERLINK("http://141.218.60.56/~jnz1568/getInfo.php?workbook=16_15.xlsx&amp;sheet=A0&amp;row=383&amp;col=11&amp;number=&amp;sourceID=54","")</f>
        <v/>
      </c>
      <c r="L383" s="4" t="str">
        <f>HYPERLINK("http://141.218.60.56/~jnz1568/getInfo.php?workbook=16_15.xlsx&amp;sheet=A0&amp;row=383&amp;col=12&amp;number=129209.750078&amp;sourceID=53","129209.750078")</f>
        <v>129209.750078</v>
      </c>
      <c r="M383" s="4" t="str">
        <f>HYPERLINK("http://141.218.60.56/~jnz1568/getInfo.php?workbook=16_15.xlsx&amp;sheet=A0&amp;row=383&amp;col=13&amp;number=&amp;sourceID=53","")</f>
        <v/>
      </c>
      <c r="N383" s="4" t="str">
        <f>HYPERLINK("http://141.218.60.56/~jnz1568/getInfo.php?workbook=16_15.xlsx&amp;sheet=A0&amp;row=383&amp;col=14&amp;number=&amp;sourceID=53","")</f>
        <v/>
      </c>
      <c r="O383" s="4" t="str">
        <f>HYPERLINK("http://141.218.60.56/~jnz1568/getInfo.php?workbook=16_15.xlsx&amp;sheet=A0&amp;row=383&amp;col=15&amp;number=&amp;sourceID=55","")</f>
        <v/>
      </c>
      <c r="P383" s="4" t="str">
        <f>HYPERLINK("http://141.218.60.56/~jnz1568/getInfo.php?workbook=16_15.xlsx&amp;sheet=A0&amp;row=383&amp;col=16&amp;number=&amp;sourceID=55","")</f>
        <v/>
      </c>
      <c r="Q383" s="4" t="str">
        <f>HYPERLINK("http://141.218.60.56/~jnz1568/getInfo.php?workbook=16_15.xlsx&amp;sheet=A0&amp;row=383&amp;col=17&amp;number=&amp;sourceID=56","")</f>
        <v/>
      </c>
      <c r="R383" s="4" t="str">
        <f>HYPERLINK("http://141.218.60.56/~jnz1568/getInfo.php?workbook=16_15.xlsx&amp;sheet=A0&amp;row=383&amp;col=18&amp;number=&amp;sourceID=56","")</f>
        <v/>
      </c>
      <c r="S383" s="4" t="str">
        <f>HYPERLINK("http://141.218.60.56/~jnz1568/getInfo.php?workbook=16_15.xlsx&amp;sheet=A0&amp;row=383&amp;col=19&amp;number=&amp;sourceID=57","")</f>
        <v/>
      </c>
      <c r="T383" s="4" t="str">
        <f>HYPERLINK("http://141.218.60.56/~jnz1568/getInfo.php?workbook=16_15.xlsx&amp;sheet=A0&amp;row=383&amp;col=20&amp;number=&amp;sourceID=57","")</f>
        <v/>
      </c>
      <c r="U383" s="4" t="str">
        <f>HYPERLINK("http://141.218.60.56/~jnz1568/getInfo.php?workbook=16_15.xlsx&amp;sheet=A0&amp;row=383&amp;col=21&amp;number=&amp;sourceID=47","")</f>
        <v/>
      </c>
      <c r="V383" s="4" t="str">
        <f>HYPERLINK("http://141.218.60.56/~jnz1568/getInfo.php?workbook=16_15.xlsx&amp;sheet=A0&amp;row=383&amp;col=22&amp;number=&amp;sourceID=47","")</f>
        <v/>
      </c>
    </row>
    <row r="384" spans="1:22">
      <c r="A384" s="3">
        <v>16</v>
      </c>
      <c r="B384" s="3">
        <v>15</v>
      </c>
      <c r="C384" s="3">
        <v>31</v>
      </c>
      <c r="D384" s="3">
        <v>11</v>
      </c>
      <c r="E384" s="3">
        <f>((1/(INDEX(E0!J$4:J$73,C384,1)-INDEX(E0!J$4:J$73,D384,1))))*100000000</f>
        <v>0</v>
      </c>
      <c r="F384" s="4" t="str">
        <f>HYPERLINK("http://141.218.60.56/~jnz1568/getInfo.php?workbook=16_15.xlsx&amp;sheet=A0&amp;row=384&amp;col=6&amp;number=27420000&amp;sourceID=54","27420000")</f>
        <v>27420000</v>
      </c>
      <c r="G384" s="4" t="str">
        <f>HYPERLINK("http://141.218.60.56/~jnz1568/getInfo.php?workbook=16_15.xlsx&amp;sheet=A0&amp;row=384&amp;col=7&amp;number=&amp;sourceID=54","")</f>
        <v/>
      </c>
      <c r="H384" s="4" t="str">
        <f>HYPERLINK("http://141.218.60.56/~jnz1568/getInfo.php?workbook=16_15.xlsx&amp;sheet=A0&amp;row=384&amp;col=8&amp;number=&amp;sourceID=54","")</f>
        <v/>
      </c>
      <c r="I384" s="4" t="str">
        <f>HYPERLINK("http://141.218.60.56/~jnz1568/getInfo.php?workbook=16_15.xlsx&amp;sheet=A0&amp;row=384&amp;col=9&amp;number=28598000&amp;sourceID=54","28598000")</f>
        <v>28598000</v>
      </c>
      <c r="J384" s="4" t="str">
        <f>HYPERLINK("http://141.218.60.56/~jnz1568/getInfo.php?workbook=16_15.xlsx&amp;sheet=A0&amp;row=384&amp;col=10&amp;number=&amp;sourceID=54","")</f>
        <v/>
      </c>
      <c r="K384" s="4" t="str">
        <f>HYPERLINK("http://141.218.60.56/~jnz1568/getInfo.php?workbook=16_15.xlsx&amp;sheet=A0&amp;row=384&amp;col=11&amp;number=&amp;sourceID=54","")</f>
        <v/>
      </c>
      <c r="L384" s="4" t="str">
        <f>HYPERLINK("http://141.218.60.56/~jnz1568/getInfo.php?workbook=16_15.xlsx&amp;sheet=A0&amp;row=384&amp;col=12&amp;number=25255343.7046&amp;sourceID=53","25255343.7046")</f>
        <v>25255343.7046</v>
      </c>
      <c r="M384" s="4" t="str">
        <f>HYPERLINK("http://141.218.60.56/~jnz1568/getInfo.php?workbook=16_15.xlsx&amp;sheet=A0&amp;row=384&amp;col=13&amp;number=&amp;sourceID=53","")</f>
        <v/>
      </c>
      <c r="N384" s="4" t="str">
        <f>HYPERLINK("http://141.218.60.56/~jnz1568/getInfo.php?workbook=16_15.xlsx&amp;sheet=A0&amp;row=384&amp;col=14&amp;number=&amp;sourceID=53","")</f>
        <v/>
      </c>
      <c r="O384" s="4" t="str">
        <f>HYPERLINK("http://141.218.60.56/~jnz1568/getInfo.php?workbook=16_15.xlsx&amp;sheet=A0&amp;row=384&amp;col=15&amp;number=&amp;sourceID=55","")</f>
        <v/>
      </c>
      <c r="P384" s="4" t="str">
        <f>HYPERLINK("http://141.218.60.56/~jnz1568/getInfo.php?workbook=16_15.xlsx&amp;sheet=A0&amp;row=384&amp;col=16&amp;number=&amp;sourceID=55","")</f>
        <v/>
      </c>
      <c r="Q384" s="4" t="str">
        <f>HYPERLINK("http://141.218.60.56/~jnz1568/getInfo.php?workbook=16_15.xlsx&amp;sheet=A0&amp;row=384&amp;col=17&amp;number=&amp;sourceID=56","")</f>
        <v/>
      </c>
      <c r="R384" s="4" t="str">
        <f>HYPERLINK("http://141.218.60.56/~jnz1568/getInfo.php?workbook=16_15.xlsx&amp;sheet=A0&amp;row=384&amp;col=18&amp;number=&amp;sourceID=56","")</f>
        <v/>
      </c>
      <c r="S384" s="4" t="str">
        <f>HYPERLINK("http://141.218.60.56/~jnz1568/getInfo.php?workbook=16_15.xlsx&amp;sheet=A0&amp;row=384&amp;col=19&amp;number=&amp;sourceID=57","")</f>
        <v/>
      </c>
      <c r="T384" s="4" t="str">
        <f>HYPERLINK("http://141.218.60.56/~jnz1568/getInfo.php?workbook=16_15.xlsx&amp;sheet=A0&amp;row=384&amp;col=20&amp;number=&amp;sourceID=57","")</f>
        <v/>
      </c>
      <c r="U384" s="4" t="str">
        <f>HYPERLINK("http://141.218.60.56/~jnz1568/getInfo.php?workbook=16_15.xlsx&amp;sheet=A0&amp;row=384&amp;col=21&amp;number=&amp;sourceID=47","")</f>
        <v/>
      </c>
      <c r="V384" s="4" t="str">
        <f>HYPERLINK("http://141.218.60.56/~jnz1568/getInfo.php?workbook=16_15.xlsx&amp;sheet=A0&amp;row=384&amp;col=22&amp;number=&amp;sourceID=47","")</f>
        <v/>
      </c>
    </row>
    <row r="385" spans="1:22">
      <c r="A385" s="3">
        <v>16</v>
      </c>
      <c r="B385" s="3">
        <v>15</v>
      </c>
      <c r="C385" s="3">
        <v>31</v>
      </c>
      <c r="D385" s="3">
        <v>12</v>
      </c>
      <c r="E385" s="3">
        <f>((1/(INDEX(E0!J$4:J$73,C385,1)-INDEX(E0!J$4:J$73,D385,1))))*100000000</f>
        <v>0</v>
      </c>
      <c r="F385" s="4" t="str">
        <f>HYPERLINK("http://141.218.60.56/~jnz1568/getInfo.php?workbook=16_15.xlsx&amp;sheet=A0&amp;row=385&amp;col=6&amp;number=12058000&amp;sourceID=54","12058000")</f>
        <v>12058000</v>
      </c>
      <c r="G385" s="4" t="str">
        <f>HYPERLINK("http://141.218.60.56/~jnz1568/getInfo.php?workbook=16_15.xlsx&amp;sheet=A0&amp;row=385&amp;col=7&amp;number=&amp;sourceID=54","")</f>
        <v/>
      </c>
      <c r="H385" s="4" t="str">
        <f>HYPERLINK("http://141.218.60.56/~jnz1568/getInfo.php?workbook=16_15.xlsx&amp;sheet=A0&amp;row=385&amp;col=8&amp;number=&amp;sourceID=54","")</f>
        <v/>
      </c>
      <c r="I385" s="4" t="str">
        <f>HYPERLINK("http://141.218.60.56/~jnz1568/getInfo.php?workbook=16_15.xlsx&amp;sheet=A0&amp;row=385&amp;col=9&amp;number=12569000&amp;sourceID=54","12569000")</f>
        <v>12569000</v>
      </c>
      <c r="J385" s="4" t="str">
        <f>HYPERLINK("http://141.218.60.56/~jnz1568/getInfo.php?workbook=16_15.xlsx&amp;sheet=A0&amp;row=385&amp;col=10&amp;number=&amp;sourceID=54","")</f>
        <v/>
      </c>
      <c r="K385" s="4" t="str">
        <f>HYPERLINK("http://141.218.60.56/~jnz1568/getInfo.php?workbook=16_15.xlsx&amp;sheet=A0&amp;row=385&amp;col=11&amp;number=&amp;sourceID=54","")</f>
        <v/>
      </c>
      <c r="L385" s="4" t="str">
        <f>HYPERLINK("http://141.218.60.56/~jnz1568/getInfo.php?workbook=16_15.xlsx&amp;sheet=A0&amp;row=385&amp;col=12&amp;number=10942413.7792&amp;sourceID=53","10942413.7792")</f>
        <v>10942413.7792</v>
      </c>
      <c r="M385" s="4" t="str">
        <f>HYPERLINK("http://141.218.60.56/~jnz1568/getInfo.php?workbook=16_15.xlsx&amp;sheet=A0&amp;row=385&amp;col=13&amp;number=&amp;sourceID=53","")</f>
        <v/>
      </c>
      <c r="N385" s="4" t="str">
        <f>HYPERLINK("http://141.218.60.56/~jnz1568/getInfo.php?workbook=16_15.xlsx&amp;sheet=A0&amp;row=385&amp;col=14&amp;number=&amp;sourceID=53","")</f>
        <v/>
      </c>
      <c r="O385" s="4" t="str">
        <f>HYPERLINK("http://141.218.60.56/~jnz1568/getInfo.php?workbook=16_15.xlsx&amp;sheet=A0&amp;row=385&amp;col=15&amp;number=&amp;sourceID=55","")</f>
        <v/>
      </c>
      <c r="P385" s="4" t="str">
        <f>HYPERLINK("http://141.218.60.56/~jnz1568/getInfo.php?workbook=16_15.xlsx&amp;sheet=A0&amp;row=385&amp;col=16&amp;number=&amp;sourceID=55","")</f>
        <v/>
      </c>
      <c r="Q385" s="4" t="str">
        <f>HYPERLINK("http://141.218.60.56/~jnz1568/getInfo.php?workbook=16_15.xlsx&amp;sheet=A0&amp;row=385&amp;col=17&amp;number=&amp;sourceID=56","")</f>
        <v/>
      </c>
      <c r="R385" s="4" t="str">
        <f>HYPERLINK("http://141.218.60.56/~jnz1568/getInfo.php?workbook=16_15.xlsx&amp;sheet=A0&amp;row=385&amp;col=18&amp;number=&amp;sourceID=56","")</f>
        <v/>
      </c>
      <c r="S385" s="4" t="str">
        <f>HYPERLINK("http://141.218.60.56/~jnz1568/getInfo.php?workbook=16_15.xlsx&amp;sheet=A0&amp;row=385&amp;col=19&amp;number=&amp;sourceID=57","")</f>
        <v/>
      </c>
      <c r="T385" s="4" t="str">
        <f>HYPERLINK("http://141.218.60.56/~jnz1568/getInfo.php?workbook=16_15.xlsx&amp;sheet=A0&amp;row=385&amp;col=20&amp;number=&amp;sourceID=57","")</f>
        <v/>
      </c>
      <c r="U385" s="4" t="str">
        <f>HYPERLINK("http://141.218.60.56/~jnz1568/getInfo.php?workbook=16_15.xlsx&amp;sheet=A0&amp;row=385&amp;col=21&amp;number=&amp;sourceID=47","")</f>
        <v/>
      </c>
      <c r="V385" s="4" t="str">
        <f>HYPERLINK("http://141.218.60.56/~jnz1568/getInfo.php?workbook=16_15.xlsx&amp;sheet=A0&amp;row=385&amp;col=22&amp;number=&amp;sourceID=47","")</f>
        <v/>
      </c>
    </row>
    <row r="386" spans="1:22">
      <c r="A386" s="3">
        <v>16</v>
      </c>
      <c r="B386" s="3">
        <v>15</v>
      </c>
      <c r="C386" s="3">
        <v>31</v>
      </c>
      <c r="D386" s="3">
        <v>13</v>
      </c>
      <c r="E386" s="3">
        <f>((1/(INDEX(E0!J$4:J$73,C386,1)-INDEX(E0!J$4:J$73,D386,1))))*100000000</f>
        <v>0</v>
      </c>
      <c r="F386" s="4" t="str">
        <f>HYPERLINK("http://141.218.60.56/~jnz1568/getInfo.php?workbook=16_15.xlsx&amp;sheet=A0&amp;row=386&amp;col=6&amp;number=109140&amp;sourceID=54","109140")</f>
        <v>109140</v>
      </c>
      <c r="G386" s="4" t="str">
        <f>HYPERLINK("http://141.218.60.56/~jnz1568/getInfo.php?workbook=16_15.xlsx&amp;sheet=A0&amp;row=386&amp;col=7&amp;number=&amp;sourceID=54","")</f>
        <v/>
      </c>
      <c r="H386" s="4" t="str">
        <f>HYPERLINK("http://141.218.60.56/~jnz1568/getInfo.php?workbook=16_15.xlsx&amp;sheet=A0&amp;row=386&amp;col=8&amp;number=&amp;sourceID=54","")</f>
        <v/>
      </c>
      <c r="I386" s="4" t="str">
        <f>HYPERLINK("http://141.218.60.56/~jnz1568/getInfo.php?workbook=16_15.xlsx&amp;sheet=A0&amp;row=386&amp;col=9&amp;number=123570&amp;sourceID=54","123570")</f>
        <v>123570</v>
      </c>
      <c r="J386" s="4" t="str">
        <f>HYPERLINK("http://141.218.60.56/~jnz1568/getInfo.php?workbook=16_15.xlsx&amp;sheet=A0&amp;row=386&amp;col=10&amp;number=&amp;sourceID=54","")</f>
        <v/>
      </c>
      <c r="K386" s="4" t="str">
        <f>HYPERLINK("http://141.218.60.56/~jnz1568/getInfo.php?workbook=16_15.xlsx&amp;sheet=A0&amp;row=386&amp;col=11&amp;number=&amp;sourceID=54","")</f>
        <v/>
      </c>
      <c r="L386" s="4" t="str">
        <f>HYPERLINK("http://141.218.60.56/~jnz1568/getInfo.php?workbook=16_15.xlsx&amp;sheet=A0&amp;row=386&amp;col=12&amp;number=116187.814863&amp;sourceID=53","116187.814863")</f>
        <v>116187.814863</v>
      </c>
      <c r="M386" s="4" t="str">
        <f>HYPERLINK("http://141.218.60.56/~jnz1568/getInfo.php?workbook=16_15.xlsx&amp;sheet=A0&amp;row=386&amp;col=13&amp;number=&amp;sourceID=53","")</f>
        <v/>
      </c>
      <c r="N386" s="4" t="str">
        <f>HYPERLINK("http://141.218.60.56/~jnz1568/getInfo.php?workbook=16_15.xlsx&amp;sheet=A0&amp;row=386&amp;col=14&amp;number=&amp;sourceID=53","")</f>
        <v/>
      </c>
      <c r="O386" s="4" t="str">
        <f>HYPERLINK("http://141.218.60.56/~jnz1568/getInfo.php?workbook=16_15.xlsx&amp;sheet=A0&amp;row=386&amp;col=15&amp;number=&amp;sourceID=55","")</f>
        <v/>
      </c>
      <c r="P386" s="4" t="str">
        <f>HYPERLINK("http://141.218.60.56/~jnz1568/getInfo.php?workbook=16_15.xlsx&amp;sheet=A0&amp;row=386&amp;col=16&amp;number=&amp;sourceID=55","")</f>
        <v/>
      </c>
      <c r="Q386" s="4" t="str">
        <f>HYPERLINK("http://141.218.60.56/~jnz1568/getInfo.php?workbook=16_15.xlsx&amp;sheet=A0&amp;row=386&amp;col=17&amp;number=&amp;sourceID=56","")</f>
        <v/>
      </c>
      <c r="R386" s="4" t="str">
        <f>HYPERLINK("http://141.218.60.56/~jnz1568/getInfo.php?workbook=16_15.xlsx&amp;sheet=A0&amp;row=386&amp;col=18&amp;number=&amp;sourceID=56","")</f>
        <v/>
      </c>
      <c r="S386" s="4" t="str">
        <f>HYPERLINK("http://141.218.60.56/~jnz1568/getInfo.php?workbook=16_15.xlsx&amp;sheet=A0&amp;row=386&amp;col=19&amp;number=&amp;sourceID=57","")</f>
        <v/>
      </c>
      <c r="T386" s="4" t="str">
        <f>HYPERLINK("http://141.218.60.56/~jnz1568/getInfo.php?workbook=16_15.xlsx&amp;sheet=A0&amp;row=386&amp;col=20&amp;number=&amp;sourceID=57","")</f>
        <v/>
      </c>
      <c r="U386" s="4" t="str">
        <f>HYPERLINK("http://141.218.60.56/~jnz1568/getInfo.php?workbook=16_15.xlsx&amp;sheet=A0&amp;row=386&amp;col=21&amp;number=&amp;sourceID=47","")</f>
        <v/>
      </c>
      <c r="V386" s="4" t="str">
        <f>HYPERLINK("http://141.218.60.56/~jnz1568/getInfo.php?workbook=16_15.xlsx&amp;sheet=A0&amp;row=386&amp;col=22&amp;number=&amp;sourceID=47","")</f>
        <v/>
      </c>
    </row>
    <row r="387" spans="1:22">
      <c r="A387" s="3">
        <v>16</v>
      </c>
      <c r="B387" s="3">
        <v>15</v>
      </c>
      <c r="C387" s="3">
        <v>31</v>
      </c>
      <c r="D387" s="3">
        <v>14</v>
      </c>
      <c r="E387" s="3">
        <f>((1/(INDEX(E0!J$4:J$73,C387,1)-INDEX(E0!J$4:J$73,D387,1))))*100000000</f>
        <v>0</v>
      </c>
      <c r="F387" s="4" t="str">
        <f>HYPERLINK("http://141.218.60.56/~jnz1568/getInfo.php?workbook=16_15.xlsx&amp;sheet=A0&amp;row=387&amp;col=6&amp;number=283590&amp;sourceID=54","283590")</f>
        <v>283590</v>
      </c>
      <c r="G387" s="4" t="str">
        <f>HYPERLINK("http://141.218.60.56/~jnz1568/getInfo.php?workbook=16_15.xlsx&amp;sheet=A0&amp;row=387&amp;col=7&amp;number=&amp;sourceID=54","")</f>
        <v/>
      </c>
      <c r="H387" s="4" t="str">
        <f>HYPERLINK("http://141.218.60.56/~jnz1568/getInfo.php?workbook=16_15.xlsx&amp;sheet=A0&amp;row=387&amp;col=8&amp;number=&amp;sourceID=54","")</f>
        <v/>
      </c>
      <c r="I387" s="4" t="str">
        <f>HYPERLINK("http://141.218.60.56/~jnz1568/getInfo.php?workbook=16_15.xlsx&amp;sheet=A0&amp;row=387&amp;col=9&amp;number=317160&amp;sourceID=54","317160")</f>
        <v>317160</v>
      </c>
      <c r="J387" s="4" t="str">
        <f>HYPERLINK("http://141.218.60.56/~jnz1568/getInfo.php?workbook=16_15.xlsx&amp;sheet=A0&amp;row=387&amp;col=10&amp;number=&amp;sourceID=54","")</f>
        <v/>
      </c>
      <c r="K387" s="4" t="str">
        <f>HYPERLINK("http://141.218.60.56/~jnz1568/getInfo.php?workbook=16_15.xlsx&amp;sheet=A0&amp;row=387&amp;col=11&amp;number=&amp;sourceID=54","")</f>
        <v/>
      </c>
      <c r="L387" s="4" t="str">
        <f>HYPERLINK("http://141.218.60.56/~jnz1568/getInfo.php?workbook=16_15.xlsx&amp;sheet=A0&amp;row=387&amp;col=12&amp;number=296880.056937&amp;sourceID=53","296880.056937")</f>
        <v>296880.056937</v>
      </c>
      <c r="M387" s="4" t="str">
        <f>HYPERLINK("http://141.218.60.56/~jnz1568/getInfo.php?workbook=16_15.xlsx&amp;sheet=A0&amp;row=387&amp;col=13&amp;number=&amp;sourceID=53","")</f>
        <v/>
      </c>
      <c r="N387" s="4" t="str">
        <f>HYPERLINK("http://141.218.60.56/~jnz1568/getInfo.php?workbook=16_15.xlsx&amp;sheet=A0&amp;row=387&amp;col=14&amp;number=&amp;sourceID=53","")</f>
        <v/>
      </c>
      <c r="O387" s="4" t="str">
        <f>HYPERLINK("http://141.218.60.56/~jnz1568/getInfo.php?workbook=16_15.xlsx&amp;sheet=A0&amp;row=387&amp;col=15&amp;number=&amp;sourceID=55","")</f>
        <v/>
      </c>
      <c r="P387" s="4" t="str">
        <f>HYPERLINK("http://141.218.60.56/~jnz1568/getInfo.php?workbook=16_15.xlsx&amp;sheet=A0&amp;row=387&amp;col=16&amp;number=&amp;sourceID=55","")</f>
        <v/>
      </c>
      <c r="Q387" s="4" t="str">
        <f>HYPERLINK("http://141.218.60.56/~jnz1568/getInfo.php?workbook=16_15.xlsx&amp;sheet=A0&amp;row=387&amp;col=17&amp;number=&amp;sourceID=56","")</f>
        <v/>
      </c>
      <c r="R387" s="4" t="str">
        <f>HYPERLINK("http://141.218.60.56/~jnz1568/getInfo.php?workbook=16_15.xlsx&amp;sheet=A0&amp;row=387&amp;col=18&amp;number=&amp;sourceID=56","")</f>
        <v/>
      </c>
      <c r="S387" s="4" t="str">
        <f>HYPERLINK("http://141.218.60.56/~jnz1568/getInfo.php?workbook=16_15.xlsx&amp;sheet=A0&amp;row=387&amp;col=19&amp;number=&amp;sourceID=57","")</f>
        <v/>
      </c>
      <c r="T387" s="4" t="str">
        <f>HYPERLINK("http://141.218.60.56/~jnz1568/getInfo.php?workbook=16_15.xlsx&amp;sheet=A0&amp;row=387&amp;col=20&amp;number=&amp;sourceID=57","")</f>
        <v/>
      </c>
      <c r="U387" s="4" t="str">
        <f>HYPERLINK("http://141.218.60.56/~jnz1568/getInfo.php?workbook=16_15.xlsx&amp;sheet=A0&amp;row=387&amp;col=21&amp;number=&amp;sourceID=47","")</f>
        <v/>
      </c>
      <c r="V387" s="4" t="str">
        <f>HYPERLINK("http://141.218.60.56/~jnz1568/getInfo.php?workbook=16_15.xlsx&amp;sheet=A0&amp;row=387&amp;col=22&amp;number=&amp;sourceID=47","")</f>
        <v/>
      </c>
    </row>
    <row r="388" spans="1:22">
      <c r="A388" s="3">
        <v>16</v>
      </c>
      <c r="B388" s="3">
        <v>15</v>
      </c>
      <c r="C388" s="3">
        <v>31</v>
      </c>
      <c r="D388" s="3">
        <v>15</v>
      </c>
      <c r="E388" s="3">
        <f>((1/(INDEX(E0!J$4:J$73,C388,1)-INDEX(E0!J$4:J$73,D388,1))))*100000000</f>
        <v>0</v>
      </c>
      <c r="F388" s="4" t="str">
        <f>HYPERLINK("http://141.218.60.56/~jnz1568/getInfo.php?workbook=16_15.xlsx&amp;sheet=A0&amp;row=388&amp;col=6&amp;number=1363.6&amp;sourceID=54","1363.6")</f>
        <v>1363.6</v>
      </c>
      <c r="G388" s="4" t="str">
        <f>HYPERLINK("http://141.218.60.56/~jnz1568/getInfo.php?workbook=16_15.xlsx&amp;sheet=A0&amp;row=388&amp;col=7&amp;number=&amp;sourceID=54","")</f>
        <v/>
      </c>
      <c r="H388" s="4" t="str">
        <f>HYPERLINK("http://141.218.60.56/~jnz1568/getInfo.php?workbook=16_15.xlsx&amp;sheet=A0&amp;row=388&amp;col=8&amp;number=&amp;sourceID=54","")</f>
        <v/>
      </c>
      <c r="I388" s="4" t="str">
        <f>HYPERLINK("http://141.218.60.56/~jnz1568/getInfo.php?workbook=16_15.xlsx&amp;sheet=A0&amp;row=388&amp;col=9&amp;number=1561.8&amp;sourceID=54","1561.8")</f>
        <v>1561.8</v>
      </c>
      <c r="J388" s="4" t="str">
        <f>HYPERLINK("http://141.218.60.56/~jnz1568/getInfo.php?workbook=16_15.xlsx&amp;sheet=A0&amp;row=388&amp;col=10&amp;number=&amp;sourceID=54","")</f>
        <v/>
      </c>
      <c r="K388" s="4" t="str">
        <f>HYPERLINK("http://141.218.60.56/~jnz1568/getInfo.php?workbook=16_15.xlsx&amp;sheet=A0&amp;row=388&amp;col=11&amp;number=&amp;sourceID=54","")</f>
        <v/>
      </c>
      <c r="L388" s="4" t="str">
        <f>HYPERLINK("http://141.218.60.56/~jnz1568/getInfo.php?workbook=16_15.xlsx&amp;sheet=A0&amp;row=388&amp;col=12&amp;number=1464.60338486&amp;sourceID=53","1464.60338486")</f>
        <v>1464.60338486</v>
      </c>
      <c r="M388" s="4" t="str">
        <f>HYPERLINK("http://141.218.60.56/~jnz1568/getInfo.php?workbook=16_15.xlsx&amp;sheet=A0&amp;row=388&amp;col=13&amp;number=&amp;sourceID=53","")</f>
        <v/>
      </c>
      <c r="N388" s="4" t="str">
        <f>HYPERLINK("http://141.218.60.56/~jnz1568/getInfo.php?workbook=16_15.xlsx&amp;sheet=A0&amp;row=388&amp;col=14&amp;number=&amp;sourceID=53","")</f>
        <v/>
      </c>
      <c r="O388" s="4" t="str">
        <f>HYPERLINK("http://141.218.60.56/~jnz1568/getInfo.php?workbook=16_15.xlsx&amp;sheet=A0&amp;row=388&amp;col=15&amp;number=&amp;sourceID=55","")</f>
        <v/>
      </c>
      <c r="P388" s="4" t="str">
        <f>HYPERLINK("http://141.218.60.56/~jnz1568/getInfo.php?workbook=16_15.xlsx&amp;sheet=A0&amp;row=388&amp;col=16&amp;number=&amp;sourceID=55","")</f>
        <v/>
      </c>
      <c r="Q388" s="4" t="str">
        <f>HYPERLINK("http://141.218.60.56/~jnz1568/getInfo.php?workbook=16_15.xlsx&amp;sheet=A0&amp;row=388&amp;col=17&amp;number=&amp;sourceID=56","")</f>
        <v/>
      </c>
      <c r="R388" s="4" t="str">
        <f>HYPERLINK("http://141.218.60.56/~jnz1568/getInfo.php?workbook=16_15.xlsx&amp;sheet=A0&amp;row=388&amp;col=18&amp;number=&amp;sourceID=56","")</f>
        <v/>
      </c>
      <c r="S388" s="4" t="str">
        <f>HYPERLINK("http://141.218.60.56/~jnz1568/getInfo.php?workbook=16_15.xlsx&amp;sheet=A0&amp;row=388&amp;col=19&amp;number=&amp;sourceID=57","")</f>
        <v/>
      </c>
      <c r="T388" s="4" t="str">
        <f>HYPERLINK("http://141.218.60.56/~jnz1568/getInfo.php?workbook=16_15.xlsx&amp;sheet=A0&amp;row=388&amp;col=20&amp;number=&amp;sourceID=57","")</f>
        <v/>
      </c>
      <c r="U388" s="4" t="str">
        <f>HYPERLINK("http://141.218.60.56/~jnz1568/getInfo.php?workbook=16_15.xlsx&amp;sheet=A0&amp;row=388&amp;col=21&amp;number=&amp;sourceID=47","")</f>
        <v/>
      </c>
      <c r="V388" s="4" t="str">
        <f>HYPERLINK("http://141.218.60.56/~jnz1568/getInfo.php?workbook=16_15.xlsx&amp;sheet=A0&amp;row=388&amp;col=22&amp;number=&amp;sourceID=47","")</f>
        <v/>
      </c>
    </row>
    <row r="389" spans="1:22">
      <c r="A389" s="3">
        <v>16</v>
      </c>
      <c r="B389" s="3">
        <v>15</v>
      </c>
      <c r="C389" s="3">
        <v>31</v>
      </c>
      <c r="D389" s="3">
        <v>20</v>
      </c>
      <c r="E389" s="3">
        <f>((1/(INDEX(E0!J$4:J$73,C389,1)-INDEX(E0!J$4:J$73,D389,1))))*100000000</f>
        <v>0</v>
      </c>
      <c r="F389" s="4" t="str">
        <f>HYPERLINK("http://141.218.60.56/~jnz1568/getInfo.php?workbook=16_15.xlsx&amp;sheet=A0&amp;row=389&amp;col=6&amp;number=10345000&amp;sourceID=54","10345000")</f>
        <v>10345000</v>
      </c>
      <c r="G389" s="4" t="str">
        <f>HYPERLINK("http://141.218.60.56/~jnz1568/getInfo.php?workbook=16_15.xlsx&amp;sheet=A0&amp;row=389&amp;col=7&amp;number=&amp;sourceID=54","")</f>
        <v/>
      </c>
      <c r="H389" s="4" t="str">
        <f>HYPERLINK("http://141.218.60.56/~jnz1568/getInfo.php?workbook=16_15.xlsx&amp;sheet=A0&amp;row=389&amp;col=8&amp;number=&amp;sourceID=54","")</f>
        <v/>
      </c>
      <c r="I389" s="4" t="str">
        <f>HYPERLINK("http://141.218.60.56/~jnz1568/getInfo.php?workbook=16_15.xlsx&amp;sheet=A0&amp;row=389&amp;col=9&amp;number=10170000&amp;sourceID=54","10170000")</f>
        <v>10170000</v>
      </c>
      <c r="J389" s="4" t="str">
        <f>HYPERLINK("http://141.218.60.56/~jnz1568/getInfo.php?workbook=16_15.xlsx&amp;sheet=A0&amp;row=389&amp;col=10&amp;number=&amp;sourceID=54","")</f>
        <v/>
      </c>
      <c r="K389" s="4" t="str">
        <f>HYPERLINK("http://141.218.60.56/~jnz1568/getInfo.php?workbook=16_15.xlsx&amp;sheet=A0&amp;row=389&amp;col=11&amp;number=&amp;sourceID=54","")</f>
        <v/>
      </c>
      <c r="L389" s="4" t="str">
        <f>HYPERLINK("http://141.218.60.56/~jnz1568/getInfo.php?workbook=16_15.xlsx&amp;sheet=A0&amp;row=389&amp;col=12&amp;number=10587337.941&amp;sourceID=53","10587337.941")</f>
        <v>10587337.941</v>
      </c>
      <c r="M389" s="4" t="str">
        <f>HYPERLINK("http://141.218.60.56/~jnz1568/getInfo.php?workbook=16_15.xlsx&amp;sheet=A0&amp;row=389&amp;col=13&amp;number=&amp;sourceID=53","")</f>
        <v/>
      </c>
      <c r="N389" s="4" t="str">
        <f>HYPERLINK("http://141.218.60.56/~jnz1568/getInfo.php?workbook=16_15.xlsx&amp;sheet=A0&amp;row=389&amp;col=14&amp;number=&amp;sourceID=53","")</f>
        <v/>
      </c>
      <c r="O389" s="4" t="str">
        <f>HYPERLINK("http://141.218.60.56/~jnz1568/getInfo.php?workbook=16_15.xlsx&amp;sheet=A0&amp;row=389&amp;col=15&amp;number=&amp;sourceID=55","")</f>
        <v/>
      </c>
      <c r="P389" s="4" t="str">
        <f>HYPERLINK("http://141.218.60.56/~jnz1568/getInfo.php?workbook=16_15.xlsx&amp;sheet=A0&amp;row=389&amp;col=16&amp;number=&amp;sourceID=55","")</f>
        <v/>
      </c>
      <c r="Q389" s="4" t="str">
        <f>HYPERLINK("http://141.218.60.56/~jnz1568/getInfo.php?workbook=16_15.xlsx&amp;sheet=A0&amp;row=389&amp;col=17&amp;number=&amp;sourceID=56","")</f>
        <v/>
      </c>
      <c r="R389" s="4" t="str">
        <f>HYPERLINK("http://141.218.60.56/~jnz1568/getInfo.php?workbook=16_15.xlsx&amp;sheet=A0&amp;row=389&amp;col=18&amp;number=&amp;sourceID=56","")</f>
        <v/>
      </c>
      <c r="S389" s="4" t="str">
        <f>HYPERLINK("http://141.218.60.56/~jnz1568/getInfo.php?workbook=16_15.xlsx&amp;sheet=A0&amp;row=389&amp;col=19&amp;number=&amp;sourceID=57","")</f>
        <v/>
      </c>
      <c r="T389" s="4" t="str">
        <f>HYPERLINK("http://141.218.60.56/~jnz1568/getInfo.php?workbook=16_15.xlsx&amp;sheet=A0&amp;row=389&amp;col=20&amp;number=&amp;sourceID=57","")</f>
        <v/>
      </c>
      <c r="U389" s="4" t="str">
        <f>HYPERLINK("http://141.218.60.56/~jnz1568/getInfo.php?workbook=16_15.xlsx&amp;sheet=A0&amp;row=389&amp;col=21&amp;number=&amp;sourceID=47","")</f>
        <v/>
      </c>
      <c r="V389" s="4" t="str">
        <f>HYPERLINK("http://141.218.60.56/~jnz1568/getInfo.php?workbook=16_15.xlsx&amp;sheet=A0&amp;row=389&amp;col=22&amp;number=&amp;sourceID=47","")</f>
        <v/>
      </c>
    </row>
    <row r="390" spans="1:22">
      <c r="A390" s="3">
        <v>16</v>
      </c>
      <c r="B390" s="3">
        <v>15</v>
      </c>
      <c r="C390" s="3">
        <v>31</v>
      </c>
      <c r="D390" s="3">
        <v>21</v>
      </c>
      <c r="E390" s="3">
        <f>((1/(INDEX(E0!J$4:J$73,C390,1)-INDEX(E0!J$4:J$73,D390,1))))*100000000</f>
        <v>0</v>
      </c>
      <c r="F390" s="4" t="str">
        <f>HYPERLINK("http://141.218.60.56/~jnz1568/getInfo.php?workbook=16_15.xlsx&amp;sheet=A0&amp;row=390&amp;col=6&amp;number=16205000&amp;sourceID=54","16205000")</f>
        <v>16205000</v>
      </c>
      <c r="G390" s="4" t="str">
        <f>HYPERLINK("http://141.218.60.56/~jnz1568/getInfo.php?workbook=16_15.xlsx&amp;sheet=A0&amp;row=390&amp;col=7&amp;number=&amp;sourceID=54","")</f>
        <v/>
      </c>
      <c r="H390" s="4" t="str">
        <f>HYPERLINK("http://141.218.60.56/~jnz1568/getInfo.php?workbook=16_15.xlsx&amp;sheet=A0&amp;row=390&amp;col=8&amp;number=&amp;sourceID=54","")</f>
        <v/>
      </c>
      <c r="I390" s="4" t="str">
        <f>HYPERLINK("http://141.218.60.56/~jnz1568/getInfo.php?workbook=16_15.xlsx&amp;sheet=A0&amp;row=390&amp;col=9&amp;number=15896000&amp;sourceID=54","15896000")</f>
        <v>15896000</v>
      </c>
      <c r="J390" s="4" t="str">
        <f>HYPERLINK("http://141.218.60.56/~jnz1568/getInfo.php?workbook=16_15.xlsx&amp;sheet=A0&amp;row=390&amp;col=10&amp;number=&amp;sourceID=54","")</f>
        <v/>
      </c>
      <c r="K390" s="4" t="str">
        <f>HYPERLINK("http://141.218.60.56/~jnz1568/getInfo.php?workbook=16_15.xlsx&amp;sheet=A0&amp;row=390&amp;col=11&amp;number=&amp;sourceID=54","")</f>
        <v/>
      </c>
      <c r="L390" s="4" t="str">
        <f>HYPERLINK("http://141.218.60.56/~jnz1568/getInfo.php?workbook=16_15.xlsx&amp;sheet=A0&amp;row=390&amp;col=12&amp;number=16077822.7927&amp;sourceID=53","16077822.7927")</f>
        <v>16077822.7927</v>
      </c>
      <c r="M390" s="4" t="str">
        <f>HYPERLINK("http://141.218.60.56/~jnz1568/getInfo.php?workbook=16_15.xlsx&amp;sheet=A0&amp;row=390&amp;col=13&amp;number=&amp;sourceID=53","")</f>
        <v/>
      </c>
      <c r="N390" s="4" t="str">
        <f>HYPERLINK("http://141.218.60.56/~jnz1568/getInfo.php?workbook=16_15.xlsx&amp;sheet=A0&amp;row=390&amp;col=14&amp;number=&amp;sourceID=53","")</f>
        <v/>
      </c>
      <c r="O390" s="4" t="str">
        <f>HYPERLINK("http://141.218.60.56/~jnz1568/getInfo.php?workbook=16_15.xlsx&amp;sheet=A0&amp;row=390&amp;col=15&amp;number=&amp;sourceID=55","")</f>
        <v/>
      </c>
      <c r="P390" s="4" t="str">
        <f>HYPERLINK("http://141.218.60.56/~jnz1568/getInfo.php?workbook=16_15.xlsx&amp;sheet=A0&amp;row=390&amp;col=16&amp;number=&amp;sourceID=55","")</f>
        <v/>
      </c>
      <c r="Q390" s="4" t="str">
        <f>HYPERLINK("http://141.218.60.56/~jnz1568/getInfo.php?workbook=16_15.xlsx&amp;sheet=A0&amp;row=390&amp;col=17&amp;number=&amp;sourceID=56","")</f>
        <v/>
      </c>
      <c r="R390" s="4" t="str">
        <f>HYPERLINK("http://141.218.60.56/~jnz1568/getInfo.php?workbook=16_15.xlsx&amp;sheet=A0&amp;row=390&amp;col=18&amp;number=&amp;sourceID=56","")</f>
        <v/>
      </c>
      <c r="S390" s="4" t="str">
        <f>HYPERLINK("http://141.218.60.56/~jnz1568/getInfo.php?workbook=16_15.xlsx&amp;sheet=A0&amp;row=390&amp;col=19&amp;number=&amp;sourceID=57","")</f>
        <v/>
      </c>
      <c r="T390" s="4" t="str">
        <f>HYPERLINK("http://141.218.60.56/~jnz1568/getInfo.php?workbook=16_15.xlsx&amp;sheet=A0&amp;row=390&amp;col=20&amp;number=&amp;sourceID=57","")</f>
        <v/>
      </c>
      <c r="U390" s="4" t="str">
        <f>HYPERLINK("http://141.218.60.56/~jnz1568/getInfo.php?workbook=16_15.xlsx&amp;sheet=A0&amp;row=390&amp;col=21&amp;number=&amp;sourceID=47","")</f>
        <v/>
      </c>
      <c r="V390" s="4" t="str">
        <f>HYPERLINK("http://141.218.60.56/~jnz1568/getInfo.php?workbook=16_15.xlsx&amp;sheet=A0&amp;row=390&amp;col=22&amp;number=&amp;sourceID=47","")</f>
        <v/>
      </c>
    </row>
    <row r="391" spans="1:22">
      <c r="A391" s="3">
        <v>16</v>
      </c>
      <c r="B391" s="3">
        <v>15</v>
      </c>
      <c r="C391" s="3">
        <v>31</v>
      </c>
      <c r="D391" s="3">
        <v>22</v>
      </c>
      <c r="E391" s="3">
        <f>((1/(INDEX(E0!J$4:J$73,C391,1)-INDEX(E0!J$4:J$73,D391,1))))*100000000</f>
        <v>0</v>
      </c>
      <c r="F391" s="4" t="str">
        <f>HYPERLINK("http://141.218.60.56/~jnz1568/getInfo.php?workbook=16_15.xlsx&amp;sheet=A0&amp;row=391&amp;col=6&amp;number=4308.4&amp;sourceID=54","4308.4")</f>
        <v>4308.4</v>
      </c>
      <c r="G391" s="4" t="str">
        <f>HYPERLINK("http://141.218.60.56/~jnz1568/getInfo.php?workbook=16_15.xlsx&amp;sheet=A0&amp;row=391&amp;col=7&amp;number=&amp;sourceID=54","")</f>
        <v/>
      </c>
      <c r="H391" s="4" t="str">
        <f>HYPERLINK("http://141.218.60.56/~jnz1568/getInfo.php?workbook=16_15.xlsx&amp;sheet=A0&amp;row=391&amp;col=8&amp;number=&amp;sourceID=54","")</f>
        <v/>
      </c>
      <c r="I391" s="4" t="str">
        <f>HYPERLINK("http://141.218.60.56/~jnz1568/getInfo.php?workbook=16_15.xlsx&amp;sheet=A0&amp;row=391&amp;col=9&amp;number=4571.1&amp;sourceID=54","4571.1")</f>
        <v>4571.1</v>
      </c>
      <c r="J391" s="4" t="str">
        <f>HYPERLINK("http://141.218.60.56/~jnz1568/getInfo.php?workbook=16_15.xlsx&amp;sheet=A0&amp;row=391&amp;col=10&amp;number=&amp;sourceID=54","")</f>
        <v/>
      </c>
      <c r="K391" s="4" t="str">
        <f>HYPERLINK("http://141.218.60.56/~jnz1568/getInfo.php?workbook=16_15.xlsx&amp;sheet=A0&amp;row=391&amp;col=11&amp;number=&amp;sourceID=54","")</f>
        <v/>
      </c>
      <c r="L391" s="4" t="str">
        <f>HYPERLINK("http://141.218.60.56/~jnz1568/getInfo.php?workbook=16_15.xlsx&amp;sheet=A0&amp;row=391&amp;col=12&amp;number=2294.27047655&amp;sourceID=53","2294.27047655")</f>
        <v>2294.27047655</v>
      </c>
      <c r="M391" s="4" t="str">
        <f>HYPERLINK("http://141.218.60.56/~jnz1568/getInfo.php?workbook=16_15.xlsx&amp;sheet=A0&amp;row=391&amp;col=13&amp;number=&amp;sourceID=53","")</f>
        <v/>
      </c>
      <c r="N391" s="4" t="str">
        <f>HYPERLINK("http://141.218.60.56/~jnz1568/getInfo.php?workbook=16_15.xlsx&amp;sheet=A0&amp;row=391&amp;col=14&amp;number=&amp;sourceID=53","")</f>
        <v/>
      </c>
      <c r="O391" s="4" t="str">
        <f>HYPERLINK("http://141.218.60.56/~jnz1568/getInfo.php?workbook=16_15.xlsx&amp;sheet=A0&amp;row=391&amp;col=15&amp;number=&amp;sourceID=55","")</f>
        <v/>
      </c>
      <c r="P391" s="4" t="str">
        <f>HYPERLINK("http://141.218.60.56/~jnz1568/getInfo.php?workbook=16_15.xlsx&amp;sheet=A0&amp;row=391&amp;col=16&amp;number=&amp;sourceID=55","")</f>
        <v/>
      </c>
      <c r="Q391" s="4" t="str">
        <f>HYPERLINK("http://141.218.60.56/~jnz1568/getInfo.php?workbook=16_15.xlsx&amp;sheet=A0&amp;row=391&amp;col=17&amp;number=&amp;sourceID=56","")</f>
        <v/>
      </c>
      <c r="R391" s="4" t="str">
        <f>HYPERLINK("http://141.218.60.56/~jnz1568/getInfo.php?workbook=16_15.xlsx&amp;sheet=A0&amp;row=391&amp;col=18&amp;number=&amp;sourceID=56","")</f>
        <v/>
      </c>
      <c r="S391" s="4" t="str">
        <f>HYPERLINK("http://141.218.60.56/~jnz1568/getInfo.php?workbook=16_15.xlsx&amp;sheet=A0&amp;row=391&amp;col=19&amp;number=&amp;sourceID=57","")</f>
        <v/>
      </c>
      <c r="T391" s="4" t="str">
        <f>HYPERLINK("http://141.218.60.56/~jnz1568/getInfo.php?workbook=16_15.xlsx&amp;sheet=A0&amp;row=391&amp;col=20&amp;number=&amp;sourceID=57","")</f>
        <v/>
      </c>
      <c r="U391" s="4" t="str">
        <f>HYPERLINK("http://141.218.60.56/~jnz1568/getInfo.php?workbook=16_15.xlsx&amp;sheet=A0&amp;row=391&amp;col=21&amp;number=&amp;sourceID=47","")</f>
        <v/>
      </c>
      <c r="V391" s="4" t="str">
        <f>HYPERLINK("http://141.218.60.56/~jnz1568/getInfo.php?workbook=16_15.xlsx&amp;sheet=A0&amp;row=391&amp;col=22&amp;number=&amp;sourceID=47","")</f>
        <v/>
      </c>
    </row>
    <row r="392" spans="1:22">
      <c r="A392" s="3">
        <v>16</v>
      </c>
      <c r="B392" s="3">
        <v>15</v>
      </c>
      <c r="C392" s="3">
        <v>31</v>
      </c>
      <c r="D392" s="3">
        <v>23</v>
      </c>
      <c r="E392" s="3">
        <f>((1/(INDEX(E0!J$4:J$73,C392,1)-INDEX(E0!J$4:J$73,D392,1))))*100000000</f>
        <v>0</v>
      </c>
      <c r="F392" s="4" t="str">
        <f>HYPERLINK("http://141.218.60.56/~jnz1568/getInfo.php?workbook=16_15.xlsx&amp;sheet=A0&amp;row=392&amp;col=6&amp;number=5588.1&amp;sourceID=54","5588.1")</f>
        <v>5588.1</v>
      </c>
      <c r="G392" s="4" t="str">
        <f>HYPERLINK("http://141.218.60.56/~jnz1568/getInfo.php?workbook=16_15.xlsx&amp;sheet=A0&amp;row=392&amp;col=7&amp;number=&amp;sourceID=54","")</f>
        <v/>
      </c>
      <c r="H392" s="4" t="str">
        <f>HYPERLINK("http://141.218.60.56/~jnz1568/getInfo.php?workbook=16_15.xlsx&amp;sheet=A0&amp;row=392&amp;col=8&amp;number=&amp;sourceID=54","")</f>
        <v/>
      </c>
      <c r="I392" s="4" t="str">
        <f>HYPERLINK("http://141.218.60.56/~jnz1568/getInfo.php?workbook=16_15.xlsx&amp;sheet=A0&amp;row=392&amp;col=9&amp;number=5972.1&amp;sourceID=54","5972.1")</f>
        <v>5972.1</v>
      </c>
      <c r="J392" s="4" t="str">
        <f>HYPERLINK("http://141.218.60.56/~jnz1568/getInfo.php?workbook=16_15.xlsx&amp;sheet=A0&amp;row=392&amp;col=10&amp;number=&amp;sourceID=54","")</f>
        <v/>
      </c>
      <c r="K392" s="4" t="str">
        <f>HYPERLINK("http://141.218.60.56/~jnz1568/getInfo.php?workbook=16_15.xlsx&amp;sheet=A0&amp;row=392&amp;col=11&amp;number=&amp;sourceID=54","")</f>
        <v/>
      </c>
      <c r="L392" s="4" t="str">
        <f>HYPERLINK("http://141.218.60.56/~jnz1568/getInfo.php?workbook=16_15.xlsx&amp;sheet=A0&amp;row=392&amp;col=12&amp;number=2518.59639122&amp;sourceID=53","2518.59639122")</f>
        <v>2518.59639122</v>
      </c>
      <c r="M392" s="4" t="str">
        <f>HYPERLINK("http://141.218.60.56/~jnz1568/getInfo.php?workbook=16_15.xlsx&amp;sheet=A0&amp;row=392&amp;col=13&amp;number=&amp;sourceID=53","")</f>
        <v/>
      </c>
      <c r="N392" s="4" t="str">
        <f>HYPERLINK("http://141.218.60.56/~jnz1568/getInfo.php?workbook=16_15.xlsx&amp;sheet=A0&amp;row=392&amp;col=14&amp;number=&amp;sourceID=53","")</f>
        <v/>
      </c>
      <c r="O392" s="4" t="str">
        <f>HYPERLINK("http://141.218.60.56/~jnz1568/getInfo.php?workbook=16_15.xlsx&amp;sheet=A0&amp;row=392&amp;col=15&amp;number=&amp;sourceID=55","")</f>
        <v/>
      </c>
      <c r="P392" s="4" t="str">
        <f>HYPERLINK("http://141.218.60.56/~jnz1568/getInfo.php?workbook=16_15.xlsx&amp;sheet=A0&amp;row=392&amp;col=16&amp;number=&amp;sourceID=55","")</f>
        <v/>
      </c>
      <c r="Q392" s="4" t="str">
        <f>HYPERLINK("http://141.218.60.56/~jnz1568/getInfo.php?workbook=16_15.xlsx&amp;sheet=A0&amp;row=392&amp;col=17&amp;number=&amp;sourceID=56","")</f>
        <v/>
      </c>
      <c r="R392" s="4" t="str">
        <f>HYPERLINK("http://141.218.60.56/~jnz1568/getInfo.php?workbook=16_15.xlsx&amp;sheet=A0&amp;row=392&amp;col=18&amp;number=&amp;sourceID=56","")</f>
        <v/>
      </c>
      <c r="S392" s="4" t="str">
        <f>HYPERLINK("http://141.218.60.56/~jnz1568/getInfo.php?workbook=16_15.xlsx&amp;sheet=A0&amp;row=392&amp;col=19&amp;number=&amp;sourceID=57","")</f>
        <v/>
      </c>
      <c r="T392" s="4" t="str">
        <f>HYPERLINK("http://141.218.60.56/~jnz1568/getInfo.php?workbook=16_15.xlsx&amp;sheet=A0&amp;row=392&amp;col=20&amp;number=&amp;sourceID=57","")</f>
        <v/>
      </c>
      <c r="U392" s="4" t="str">
        <f>HYPERLINK("http://141.218.60.56/~jnz1568/getInfo.php?workbook=16_15.xlsx&amp;sheet=A0&amp;row=392&amp;col=21&amp;number=&amp;sourceID=47","")</f>
        <v/>
      </c>
      <c r="V392" s="4" t="str">
        <f>HYPERLINK("http://141.218.60.56/~jnz1568/getInfo.php?workbook=16_15.xlsx&amp;sheet=A0&amp;row=392&amp;col=22&amp;number=&amp;sourceID=47","")</f>
        <v/>
      </c>
    </row>
    <row r="393" spans="1:22">
      <c r="A393" s="3">
        <v>16</v>
      </c>
      <c r="B393" s="3">
        <v>15</v>
      </c>
      <c r="C393" s="3">
        <v>31</v>
      </c>
      <c r="D393" s="3">
        <v>28</v>
      </c>
      <c r="E393" s="3">
        <f>((1/(INDEX(E0!J$4:J$73,C393,1)-INDEX(E0!J$4:J$73,D393,1))))*100000000</f>
        <v>0</v>
      </c>
      <c r="F393" s="4" t="str">
        <f>HYPERLINK("http://141.218.60.56/~jnz1568/getInfo.php?workbook=16_15.xlsx&amp;sheet=A0&amp;row=393&amp;col=6&amp;number=2.185&amp;sourceID=54","2.185")</f>
        <v>2.185</v>
      </c>
      <c r="G393" s="4" t="str">
        <f>HYPERLINK("http://141.218.60.56/~jnz1568/getInfo.php?workbook=16_15.xlsx&amp;sheet=A0&amp;row=393&amp;col=7&amp;number=&amp;sourceID=54","")</f>
        <v/>
      </c>
      <c r="H393" s="4" t="str">
        <f>HYPERLINK("http://141.218.60.56/~jnz1568/getInfo.php?workbook=16_15.xlsx&amp;sheet=A0&amp;row=393&amp;col=8&amp;number=&amp;sourceID=54","")</f>
        <v/>
      </c>
      <c r="I393" s="4" t="str">
        <f>HYPERLINK("http://141.218.60.56/~jnz1568/getInfo.php?workbook=16_15.xlsx&amp;sheet=A0&amp;row=393&amp;col=9&amp;number=0.90902&amp;sourceID=54","0.90902")</f>
        <v>0.90902</v>
      </c>
      <c r="J393" s="4" t="str">
        <f>HYPERLINK("http://141.218.60.56/~jnz1568/getInfo.php?workbook=16_15.xlsx&amp;sheet=A0&amp;row=393&amp;col=10&amp;number=&amp;sourceID=54","")</f>
        <v/>
      </c>
      <c r="K393" s="4" t="str">
        <f>HYPERLINK("http://141.218.60.56/~jnz1568/getInfo.php?workbook=16_15.xlsx&amp;sheet=A0&amp;row=393&amp;col=11&amp;number=&amp;sourceID=54","")</f>
        <v/>
      </c>
      <c r="L393" s="4" t="str">
        <f>HYPERLINK("http://141.218.60.56/~jnz1568/getInfo.php?workbook=16_15.xlsx&amp;sheet=A0&amp;row=393&amp;col=12&amp;number=4.67528349434&amp;sourceID=53","4.67528349434")</f>
        <v>4.67528349434</v>
      </c>
      <c r="M393" s="4" t="str">
        <f>HYPERLINK("http://141.218.60.56/~jnz1568/getInfo.php?workbook=16_15.xlsx&amp;sheet=A0&amp;row=393&amp;col=13&amp;number=&amp;sourceID=53","")</f>
        <v/>
      </c>
      <c r="N393" s="4" t="str">
        <f>HYPERLINK("http://141.218.60.56/~jnz1568/getInfo.php?workbook=16_15.xlsx&amp;sheet=A0&amp;row=393&amp;col=14&amp;number=&amp;sourceID=53","")</f>
        <v/>
      </c>
      <c r="O393" s="4" t="str">
        <f>HYPERLINK("http://141.218.60.56/~jnz1568/getInfo.php?workbook=16_15.xlsx&amp;sheet=A0&amp;row=393&amp;col=15&amp;number=&amp;sourceID=55","")</f>
        <v/>
      </c>
      <c r="P393" s="4" t="str">
        <f>HYPERLINK("http://141.218.60.56/~jnz1568/getInfo.php?workbook=16_15.xlsx&amp;sheet=A0&amp;row=393&amp;col=16&amp;number=&amp;sourceID=55","")</f>
        <v/>
      </c>
      <c r="Q393" s="4" t="str">
        <f>HYPERLINK("http://141.218.60.56/~jnz1568/getInfo.php?workbook=16_15.xlsx&amp;sheet=A0&amp;row=393&amp;col=17&amp;number=&amp;sourceID=56","")</f>
        <v/>
      </c>
      <c r="R393" s="4" t="str">
        <f>HYPERLINK("http://141.218.60.56/~jnz1568/getInfo.php?workbook=16_15.xlsx&amp;sheet=A0&amp;row=393&amp;col=18&amp;number=&amp;sourceID=56","")</f>
        <v/>
      </c>
      <c r="S393" s="4" t="str">
        <f>HYPERLINK("http://141.218.60.56/~jnz1568/getInfo.php?workbook=16_15.xlsx&amp;sheet=A0&amp;row=393&amp;col=19&amp;number=&amp;sourceID=57","")</f>
        <v/>
      </c>
      <c r="T393" s="4" t="str">
        <f>HYPERLINK("http://141.218.60.56/~jnz1568/getInfo.php?workbook=16_15.xlsx&amp;sheet=A0&amp;row=393&amp;col=20&amp;number=&amp;sourceID=57","")</f>
        <v/>
      </c>
      <c r="U393" s="4" t="str">
        <f>HYPERLINK("http://141.218.60.56/~jnz1568/getInfo.php?workbook=16_15.xlsx&amp;sheet=A0&amp;row=393&amp;col=21&amp;number=&amp;sourceID=47","")</f>
        <v/>
      </c>
      <c r="V393" s="4" t="str">
        <f>HYPERLINK("http://141.218.60.56/~jnz1568/getInfo.php?workbook=16_15.xlsx&amp;sheet=A0&amp;row=393&amp;col=22&amp;number=&amp;sourceID=47","")</f>
        <v/>
      </c>
    </row>
    <row r="394" spans="1:22">
      <c r="A394" s="3">
        <v>16</v>
      </c>
      <c r="B394" s="3">
        <v>15</v>
      </c>
      <c r="C394" s="3">
        <v>31</v>
      </c>
      <c r="D394" s="3">
        <v>28</v>
      </c>
      <c r="E394" s="3">
        <f>((1/(INDEX(E0!J$4:J$73,C394,1)-INDEX(E0!J$4:J$73,D394,1))))*100000000</f>
        <v>0</v>
      </c>
      <c r="F394" s="4" t="str">
        <f>HYPERLINK("http://141.218.60.56/~jnz1568/getInfo.php?workbook=16_15.xlsx&amp;sheet=A0&amp;row=394&amp;col=6&amp;number=2.185&amp;sourceID=54","2.185")</f>
        <v>2.185</v>
      </c>
      <c r="G394" s="4" t="str">
        <f>HYPERLINK("http://141.218.60.56/~jnz1568/getInfo.php?workbook=16_15.xlsx&amp;sheet=A0&amp;row=394&amp;col=7&amp;number=&amp;sourceID=54","")</f>
        <v/>
      </c>
      <c r="H394" s="4" t="str">
        <f>HYPERLINK("http://141.218.60.56/~jnz1568/getInfo.php?workbook=16_15.xlsx&amp;sheet=A0&amp;row=394&amp;col=8&amp;number=&amp;sourceID=54","")</f>
        <v/>
      </c>
      <c r="I394" s="4" t="str">
        <f>HYPERLINK("http://141.218.60.56/~jnz1568/getInfo.php?workbook=16_15.xlsx&amp;sheet=A0&amp;row=394&amp;col=9&amp;number=0.90901&amp;sourceID=54","0.90901")</f>
        <v>0.90901</v>
      </c>
      <c r="J394" s="4" t="str">
        <f>HYPERLINK("http://141.218.60.56/~jnz1568/getInfo.php?workbook=16_15.xlsx&amp;sheet=A0&amp;row=394&amp;col=10&amp;number=&amp;sourceID=54","")</f>
        <v/>
      </c>
      <c r="K394" s="4" t="str">
        <f>HYPERLINK("http://141.218.60.56/~jnz1568/getInfo.php?workbook=16_15.xlsx&amp;sheet=A0&amp;row=394&amp;col=11&amp;number=&amp;sourceID=54","")</f>
        <v/>
      </c>
      <c r="L394" s="4" t="str">
        <f>HYPERLINK("http://141.218.60.56/~jnz1568/getInfo.php?workbook=16_15.xlsx&amp;sheet=A0&amp;row=394&amp;col=12&amp;number=&amp;sourceID=53","")</f>
        <v/>
      </c>
      <c r="M394" s="4" t="str">
        <f>HYPERLINK("http://141.218.60.56/~jnz1568/getInfo.php?workbook=16_15.xlsx&amp;sheet=A0&amp;row=394&amp;col=13&amp;number=&amp;sourceID=53","")</f>
        <v/>
      </c>
      <c r="N394" s="4" t="str">
        <f>HYPERLINK("http://141.218.60.56/~jnz1568/getInfo.php?workbook=16_15.xlsx&amp;sheet=A0&amp;row=394&amp;col=14&amp;number=&amp;sourceID=53","")</f>
        <v/>
      </c>
      <c r="O394" s="4" t="str">
        <f>HYPERLINK("http://141.218.60.56/~jnz1568/getInfo.php?workbook=16_15.xlsx&amp;sheet=A0&amp;row=394&amp;col=15&amp;number=&amp;sourceID=55","")</f>
        <v/>
      </c>
      <c r="P394" s="4" t="str">
        <f>HYPERLINK("http://141.218.60.56/~jnz1568/getInfo.php?workbook=16_15.xlsx&amp;sheet=A0&amp;row=394&amp;col=16&amp;number=&amp;sourceID=55","")</f>
        <v/>
      </c>
      <c r="Q394" s="4" t="str">
        <f>HYPERLINK("http://141.218.60.56/~jnz1568/getInfo.php?workbook=16_15.xlsx&amp;sheet=A0&amp;row=394&amp;col=17&amp;number=&amp;sourceID=56","")</f>
        <v/>
      </c>
      <c r="R394" s="4" t="str">
        <f>HYPERLINK("http://141.218.60.56/~jnz1568/getInfo.php?workbook=16_15.xlsx&amp;sheet=A0&amp;row=394&amp;col=18&amp;number=&amp;sourceID=56","")</f>
        <v/>
      </c>
      <c r="S394" s="4" t="str">
        <f>HYPERLINK("http://141.218.60.56/~jnz1568/getInfo.php?workbook=16_15.xlsx&amp;sheet=A0&amp;row=394&amp;col=19&amp;number=&amp;sourceID=57","")</f>
        <v/>
      </c>
      <c r="T394" s="4" t="str">
        <f>HYPERLINK("http://141.218.60.56/~jnz1568/getInfo.php?workbook=16_15.xlsx&amp;sheet=A0&amp;row=394&amp;col=20&amp;number=&amp;sourceID=57","")</f>
        <v/>
      </c>
      <c r="U394" s="4" t="str">
        <f>HYPERLINK("http://141.218.60.56/~jnz1568/getInfo.php?workbook=16_15.xlsx&amp;sheet=A0&amp;row=394&amp;col=21&amp;number=&amp;sourceID=47","")</f>
        <v/>
      </c>
      <c r="V394" s="4" t="str">
        <f>HYPERLINK("http://141.218.60.56/~jnz1568/getInfo.php?workbook=16_15.xlsx&amp;sheet=A0&amp;row=394&amp;col=22&amp;number=&amp;sourceID=47","")</f>
        <v/>
      </c>
    </row>
    <row r="395" spans="1:22">
      <c r="A395" s="3">
        <v>16</v>
      </c>
      <c r="B395" s="3">
        <v>15</v>
      </c>
      <c r="C395" s="3">
        <v>31</v>
      </c>
      <c r="D395" s="3">
        <v>29</v>
      </c>
      <c r="E395" s="3">
        <f>((1/(INDEX(E0!J$4:J$73,C395,1)-INDEX(E0!J$4:J$73,D395,1))))*100000000</f>
        <v>0</v>
      </c>
      <c r="F395" s="4" t="str">
        <f>HYPERLINK("http://141.218.60.56/~jnz1568/getInfo.php?workbook=16_15.xlsx&amp;sheet=A0&amp;row=395&amp;col=6&amp;number=89.442&amp;sourceID=54","89.442")</f>
        <v>89.442</v>
      </c>
      <c r="G395" s="4" t="str">
        <f>HYPERLINK("http://141.218.60.56/~jnz1568/getInfo.php?workbook=16_15.xlsx&amp;sheet=A0&amp;row=395&amp;col=7&amp;number=&amp;sourceID=54","")</f>
        <v/>
      </c>
      <c r="H395" s="4" t="str">
        <f>HYPERLINK("http://141.218.60.56/~jnz1568/getInfo.php?workbook=16_15.xlsx&amp;sheet=A0&amp;row=395&amp;col=8&amp;number=&amp;sourceID=54","")</f>
        <v/>
      </c>
      <c r="I395" s="4" t="str">
        <f>HYPERLINK("http://141.218.60.56/~jnz1568/getInfo.php?workbook=16_15.xlsx&amp;sheet=A0&amp;row=395&amp;col=9&amp;number=94.309&amp;sourceID=54","94.309")</f>
        <v>94.309</v>
      </c>
      <c r="J395" s="4" t="str">
        <f>HYPERLINK("http://141.218.60.56/~jnz1568/getInfo.php?workbook=16_15.xlsx&amp;sheet=A0&amp;row=395&amp;col=10&amp;number=&amp;sourceID=54","")</f>
        <v/>
      </c>
      <c r="K395" s="4" t="str">
        <f>HYPERLINK("http://141.218.60.56/~jnz1568/getInfo.php?workbook=16_15.xlsx&amp;sheet=A0&amp;row=395&amp;col=11&amp;number=&amp;sourceID=54","")</f>
        <v/>
      </c>
      <c r="L395" s="4" t="str">
        <f>HYPERLINK("http://141.218.60.56/~jnz1568/getInfo.php?workbook=16_15.xlsx&amp;sheet=A0&amp;row=395&amp;col=12&amp;number=17.0044464525&amp;sourceID=53","17.0044464525")</f>
        <v>17.0044464525</v>
      </c>
      <c r="M395" s="4" t="str">
        <f>HYPERLINK("http://141.218.60.56/~jnz1568/getInfo.php?workbook=16_15.xlsx&amp;sheet=A0&amp;row=395&amp;col=13&amp;number=&amp;sourceID=53","")</f>
        <v/>
      </c>
      <c r="N395" s="4" t="str">
        <f>HYPERLINK("http://141.218.60.56/~jnz1568/getInfo.php?workbook=16_15.xlsx&amp;sheet=A0&amp;row=395&amp;col=14&amp;number=&amp;sourceID=53","")</f>
        <v/>
      </c>
      <c r="O395" s="4" t="str">
        <f>HYPERLINK("http://141.218.60.56/~jnz1568/getInfo.php?workbook=16_15.xlsx&amp;sheet=A0&amp;row=395&amp;col=15&amp;number=&amp;sourceID=55","")</f>
        <v/>
      </c>
      <c r="P395" s="4" t="str">
        <f>HYPERLINK("http://141.218.60.56/~jnz1568/getInfo.php?workbook=16_15.xlsx&amp;sheet=A0&amp;row=395&amp;col=16&amp;number=&amp;sourceID=55","")</f>
        <v/>
      </c>
      <c r="Q395" s="4" t="str">
        <f>HYPERLINK("http://141.218.60.56/~jnz1568/getInfo.php?workbook=16_15.xlsx&amp;sheet=A0&amp;row=395&amp;col=17&amp;number=&amp;sourceID=56","")</f>
        <v/>
      </c>
      <c r="R395" s="4" t="str">
        <f>HYPERLINK("http://141.218.60.56/~jnz1568/getInfo.php?workbook=16_15.xlsx&amp;sheet=A0&amp;row=395&amp;col=18&amp;number=&amp;sourceID=56","")</f>
        <v/>
      </c>
      <c r="S395" s="4" t="str">
        <f>HYPERLINK("http://141.218.60.56/~jnz1568/getInfo.php?workbook=16_15.xlsx&amp;sheet=A0&amp;row=395&amp;col=19&amp;number=&amp;sourceID=57","")</f>
        <v/>
      </c>
      <c r="T395" s="4" t="str">
        <f>HYPERLINK("http://141.218.60.56/~jnz1568/getInfo.php?workbook=16_15.xlsx&amp;sheet=A0&amp;row=395&amp;col=20&amp;number=&amp;sourceID=57","")</f>
        <v/>
      </c>
      <c r="U395" s="4" t="str">
        <f>HYPERLINK("http://141.218.60.56/~jnz1568/getInfo.php?workbook=16_15.xlsx&amp;sheet=A0&amp;row=395&amp;col=21&amp;number=&amp;sourceID=47","")</f>
        <v/>
      </c>
      <c r="V395" s="4" t="str">
        <f>HYPERLINK("http://141.218.60.56/~jnz1568/getInfo.php?workbook=16_15.xlsx&amp;sheet=A0&amp;row=395&amp;col=22&amp;number=&amp;sourceID=47","")</f>
        <v/>
      </c>
    </row>
    <row r="396" spans="1:22">
      <c r="A396" s="3">
        <v>16</v>
      </c>
      <c r="B396" s="3">
        <v>15</v>
      </c>
      <c r="C396" s="3">
        <v>32</v>
      </c>
      <c r="D396" s="3">
        <v>3</v>
      </c>
      <c r="E396" s="3">
        <f>((1/(INDEX(E0!J$4:J$73,C396,1)-INDEX(E0!J$4:J$73,D396,1))))*100000000</f>
        <v>0</v>
      </c>
      <c r="F396" s="4" t="str">
        <f>HYPERLINK("http://141.218.60.56/~jnz1568/getInfo.php?workbook=16_15.xlsx&amp;sheet=A0&amp;row=396&amp;col=6&amp;number=1444200&amp;sourceID=54","1444200")</f>
        <v>1444200</v>
      </c>
      <c r="G396" s="4" t="str">
        <f>HYPERLINK("http://141.218.60.56/~jnz1568/getInfo.php?workbook=16_15.xlsx&amp;sheet=A0&amp;row=396&amp;col=7&amp;number=&amp;sourceID=54","")</f>
        <v/>
      </c>
      <c r="H396" s="4" t="str">
        <f>HYPERLINK("http://141.218.60.56/~jnz1568/getInfo.php?workbook=16_15.xlsx&amp;sheet=A0&amp;row=396&amp;col=8&amp;number=&amp;sourceID=54","")</f>
        <v/>
      </c>
      <c r="I396" s="4" t="str">
        <f>HYPERLINK("http://141.218.60.56/~jnz1568/getInfo.php?workbook=16_15.xlsx&amp;sheet=A0&amp;row=396&amp;col=9&amp;number=1316400&amp;sourceID=54","1316400")</f>
        <v>1316400</v>
      </c>
      <c r="J396" s="4" t="str">
        <f>HYPERLINK("http://141.218.60.56/~jnz1568/getInfo.php?workbook=16_15.xlsx&amp;sheet=A0&amp;row=396&amp;col=10&amp;number=&amp;sourceID=54","")</f>
        <v/>
      </c>
      <c r="K396" s="4" t="str">
        <f>HYPERLINK("http://141.218.60.56/~jnz1568/getInfo.php?workbook=16_15.xlsx&amp;sheet=A0&amp;row=396&amp;col=11&amp;number=&amp;sourceID=54","")</f>
        <v/>
      </c>
      <c r="L396" s="4" t="str">
        <f>HYPERLINK("http://141.218.60.56/~jnz1568/getInfo.php?workbook=16_15.xlsx&amp;sheet=A0&amp;row=396&amp;col=12&amp;number=1733374.89376&amp;sourceID=53","1733374.89376")</f>
        <v>1733374.89376</v>
      </c>
      <c r="M396" s="4" t="str">
        <f>HYPERLINK("http://141.218.60.56/~jnz1568/getInfo.php?workbook=16_15.xlsx&amp;sheet=A0&amp;row=396&amp;col=13&amp;number=&amp;sourceID=53","")</f>
        <v/>
      </c>
      <c r="N396" s="4" t="str">
        <f>HYPERLINK("http://141.218.60.56/~jnz1568/getInfo.php?workbook=16_15.xlsx&amp;sheet=A0&amp;row=396&amp;col=14&amp;number=&amp;sourceID=53","")</f>
        <v/>
      </c>
      <c r="O396" s="4" t="str">
        <f>HYPERLINK("http://141.218.60.56/~jnz1568/getInfo.php?workbook=16_15.xlsx&amp;sheet=A0&amp;row=396&amp;col=15&amp;number=&amp;sourceID=55","")</f>
        <v/>
      </c>
      <c r="P396" s="4" t="str">
        <f>HYPERLINK("http://141.218.60.56/~jnz1568/getInfo.php?workbook=16_15.xlsx&amp;sheet=A0&amp;row=396&amp;col=16&amp;number=&amp;sourceID=55","")</f>
        <v/>
      </c>
      <c r="Q396" s="4" t="str">
        <f>HYPERLINK("http://141.218.60.56/~jnz1568/getInfo.php?workbook=16_15.xlsx&amp;sheet=A0&amp;row=396&amp;col=17&amp;number=&amp;sourceID=56","")</f>
        <v/>
      </c>
      <c r="R396" s="4" t="str">
        <f>HYPERLINK("http://141.218.60.56/~jnz1568/getInfo.php?workbook=16_15.xlsx&amp;sheet=A0&amp;row=396&amp;col=18&amp;number=&amp;sourceID=56","")</f>
        <v/>
      </c>
      <c r="S396" s="4" t="str">
        <f>HYPERLINK("http://141.218.60.56/~jnz1568/getInfo.php?workbook=16_15.xlsx&amp;sheet=A0&amp;row=396&amp;col=19&amp;number=&amp;sourceID=57","")</f>
        <v/>
      </c>
      <c r="T396" s="4" t="str">
        <f>HYPERLINK("http://141.218.60.56/~jnz1568/getInfo.php?workbook=16_15.xlsx&amp;sheet=A0&amp;row=396&amp;col=20&amp;number=&amp;sourceID=57","")</f>
        <v/>
      </c>
      <c r="U396" s="4" t="str">
        <f>HYPERLINK("http://141.218.60.56/~jnz1568/getInfo.php?workbook=16_15.xlsx&amp;sheet=A0&amp;row=396&amp;col=21&amp;number=&amp;sourceID=47","")</f>
        <v/>
      </c>
      <c r="V396" s="4" t="str">
        <f>HYPERLINK("http://141.218.60.56/~jnz1568/getInfo.php?workbook=16_15.xlsx&amp;sheet=A0&amp;row=396&amp;col=22&amp;number=&amp;sourceID=47","")</f>
        <v/>
      </c>
    </row>
    <row r="397" spans="1:22">
      <c r="A397" s="3">
        <v>16</v>
      </c>
      <c r="B397" s="3">
        <v>15</v>
      </c>
      <c r="C397" s="3">
        <v>32</v>
      </c>
      <c r="D397" s="3">
        <v>6</v>
      </c>
      <c r="E397" s="3">
        <f>((1/(INDEX(E0!J$4:J$73,C397,1)-INDEX(E0!J$4:J$73,D397,1))))*100000000</f>
        <v>0</v>
      </c>
      <c r="F397" s="4" t="str">
        <f>HYPERLINK("http://141.218.60.56/~jnz1568/getInfo.php?workbook=16_15.xlsx&amp;sheet=A0&amp;row=397&amp;col=6&amp;number=&amp;sourceID=54","")</f>
        <v/>
      </c>
      <c r="G397" s="4" t="str">
        <f>HYPERLINK("http://141.218.60.56/~jnz1568/getInfo.php?workbook=16_15.xlsx&amp;sheet=A0&amp;row=397&amp;col=7&amp;number=0.00078871&amp;sourceID=54","0.00078871")</f>
        <v>0.00078871</v>
      </c>
      <c r="H397" s="4" t="str">
        <f>HYPERLINK("http://141.218.60.56/~jnz1568/getInfo.php?workbook=16_15.xlsx&amp;sheet=A0&amp;row=397&amp;col=8&amp;number=0&amp;sourceID=54","0")</f>
        <v>0</v>
      </c>
      <c r="I397" s="4" t="str">
        <f>HYPERLINK("http://141.218.60.56/~jnz1568/getInfo.php?workbook=16_15.xlsx&amp;sheet=A0&amp;row=397&amp;col=9&amp;number=&amp;sourceID=54","")</f>
        <v/>
      </c>
      <c r="J397" s="4" t="str">
        <f>HYPERLINK("http://141.218.60.56/~jnz1568/getInfo.php?workbook=16_15.xlsx&amp;sheet=A0&amp;row=397&amp;col=10&amp;number=0.00072089&amp;sourceID=54","0.00072089")</f>
        <v>0.00072089</v>
      </c>
      <c r="K397" s="4" t="str">
        <f>HYPERLINK("http://141.218.60.56/~jnz1568/getInfo.php?workbook=16_15.xlsx&amp;sheet=A0&amp;row=397&amp;col=11&amp;number=0&amp;sourceID=54","0")</f>
        <v>0</v>
      </c>
      <c r="L397" s="4" t="str">
        <f>HYPERLINK("http://141.218.60.56/~jnz1568/getInfo.php?workbook=16_15.xlsx&amp;sheet=A0&amp;row=397&amp;col=12&amp;number=&amp;sourceID=53","")</f>
        <v/>
      </c>
      <c r="M397" s="4" t="str">
        <f>HYPERLINK("http://141.218.60.56/~jnz1568/getInfo.php?workbook=16_15.xlsx&amp;sheet=A0&amp;row=397&amp;col=13&amp;number=&amp;sourceID=53","")</f>
        <v/>
      </c>
      <c r="N397" s="4" t="str">
        <f>HYPERLINK("http://141.218.60.56/~jnz1568/getInfo.php?workbook=16_15.xlsx&amp;sheet=A0&amp;row=397&amp;col=14&amp;number=&amp;sourceID=53","")</f>
        <v/>
      </c>
      <c r="O397" s="4" t="str">
        <f>HYPERLINK("http://141.218.60.56/~jnz1568/getInfo.php?workbook=16_15.xlsx&amp;sheet=A0&amp;row=397&amp;col=15&amp;number=&amp;sourceID=55","")</f>
        <v/>
      </c>
      <c r="P397" s="4" t="str">
        <f>HYPERLINK("http://141.218.60.56/~jnz1568/getInfo.php?workbook=16_15.xlsx&amp;sheet=A0&amp;row=397&amp;col=16&amp;number=&amp;sourceID=55","")</f>
        <v/>
      </c>
      <c r="Q397" s="4" t="str">
        <f>HYPERLINK("http://141.218.60.56/~jnz1568/getInfo.php?workbook=16_15.xlsx&amp;sheet=A0&amp;row=397&amp;col=17&amp;number=&amp;sourceID=56","")</f>
        <v/>
      </c>
      <c r="R397" s="4" t="str">
        <f>HYPERLINK("http://141.218.60.56/~jnz1568/getInfo.php?workbook=16_15.xlsx&amp;sheet=A0&amp;row=397&amp;col=18&amp;number=&amp;sourceID=56","")</f>
        <v/>
      </c>
      <c r="S397" s="4" t="str">
        <f>HYPERLINK("http://141.218.60.56/~jnz1568/getInfo.php?workbook=16_15.xlsx&amp;sheet=A0&amp;row=397&amp;col=19&amp;number=&amp;sourceID=57","")</f>
        <v/>
      </c>
      <c r="T397" s="4" t="str">
        <f>HYPERLINK("http://141.218.60.56/~jnz1568/getInfo.php?workbook=16_15.xlsx&amp;sheet=A0&amp;row=397&amp;col=20&amp;number=&amp;sourceID=57","")</f>
        <v/>
      </c>
      <c r="U397" s="4" t="str">
        <f>HYPERLINK("http://141.218.60.56/~jnz1568/getInfo.php?workbook=16_15.xlsx&amp;sheet=A0&amp;row=397&amp;col=21&amp;number=&amp;sourceID=47","")</f>
        <v/>
      </c>
      <c r="V397" s="4" t="str">
        <f>HYPERLINK("http://141.218.60.56/~jnz1568/getInfo.php?workbook=16_15.xlsx&amp;sheet=A0&amp;row=397&amp;col=22&amp;number=&amp;sourceID=47","")</f>
        <v/>
      </c>
    </row>
    <row r="398" spans="1:22">
      <c r="A398" s="3">
        <v>16</v>
      </c>
      <c r="B398" s="3">
        <v>15</v>
      </c>
      <c r="C398" s="3">
        <v>32</v>
      </c>
      <c r="D398" s="3">
        <v>7</v>
      </c>
      <c r="E398" s="3">
        <f>((1/(INDEX(E0!J$4:J$73,C398,1)-INDEX(E0!J$4:J$73,D398,1))))*100000000</f>
        <v>0</v>
      </c>
      <c r="F398" s="4" t="str">
        <f>HYPERLINK("http://141.218.60.56/~jnz1568/getInfo.php?workbook=16_15.xlsx&amp;sheet=A0&amp;row=398&amp;col=6&amp;number=&amp;sourceID=54","")</f>
        <v/>
      </c>
      <c r="G398" s="4" t="str">
        <f>HYPERLINK("http://141.218.60.56/~jnz1568/getInfo.php?workbook=16_15.xlsx&amp;sheet=A0&amp;row=398&amp;col=7&amp;number=0.0014126&amp;sourceID=54","0.0014126")</f>
        <v>0.0014126</v>
      </c>
      <c r="H398" s="4" t="str">
        <f>HYPERLINK("http://141.218.60.56/~jnz1568/getInfo.php?workbook=16_15.xlsx&amp;sheet=A0&amp;row=398&amp;col=8&amp;number=&amp;sourceID=54","")</f>
        <v/>
      </c>
      <c r="I398" s="4" t="str">
        <f>HYPERLINK("http://141.218.60.56/~jnz1568/getInfo.php?workbook=16_15.xlsx&amp;sheet=A0&amp;row=398&amp;col=9&amp;number=&amp;sourceID=54","")</f>
        <v/>
      </c>
      <c r="J398" s="4" t="str">
        <f>HYPERLINK("http://141.218.60.56/~jnz1568/getInfo.php?workbook=16_15.xlsx&amp;sheet=A0&amp;row=398&amp;col=10&amp;number=0.001298&amp;sourceID=54","0.001298")</f>
        <v>0.001298</v>
      </c>
      <c r="K398" s="4" t="str">
        <f>HYPERLINK("http://141.218.60.56/~jnz1568/getInfo.php?workbook=16_15.xlsx&amp;sheet=A0&amp;row=398&amp;col=11&amp;number=&amp;sourceID=54","")</f>
        <v/>
      </c>
      <c r="L398" s="4" t="str">
        <f>HYPERLINK("http://141.218.60.56/~jnz1568/getInfo.php?workbook=16_15.xlsx&amp;sheet=A0&amp;row=398&amp;col=12&amp;number=&amp;sourceID=53","")</f>
        <v/>
      </c>
      <c r="M398" s="4" t="str">
        <f>HYPERLINK("http://141.218.60.56/~jnz1568/getInfo.php?workbook=16_15.xlsx&amp;sheet=A0&amp;row=398&amp;col=13&amp;number=&amp;sourceID=53","")</f>
        <v/>
      </c>
      <c r="N398" s="4" t="str">
        <f>HYPERLINK("http://141.218.60.56/~jnz1568/getInfo.php?workbook=16_15.xlsx&amp;sheet=A0&amp;row=398&amp;col=14&amp;number=&amp;sourceID=53","")</f>
        <v/>
      </c>
      <c r="O398" s="4" t="str">
        <f>HYPERLINK("http://141.218.60.56/~jnz1568/getInfo.php?workbook=16_15.xlsx&amp;sheet=A0&amp;row=398&amp;col=15&amp;number=&amp;sourceID=55","")</f>
        <v/>
      </c>
      <c r="P398" s="4" t="str">
        <f>HYPERLINK("http://141.218.60.56/~jnz1568/getInfo.php?workbook=16_15.xlsx&amp;sheet=A0&amp;row=398&amp;col=16&amp;number=&amp;sourceID=55","")</f>
        <v/>
      </c>
      <c r="Q398" s="4" t="str">
        <f>HYPERLINK("http://141.218.60.56/~jnz1568/getInfo.php?workbook=16_15.xlsx&amp;sheet=A0&amp;row=398&amp;col=17&amp;number=&amp;sourceID=56","")</f>
        <v/>
      </c>
      <c r="R398" s="4" t="str">
        <f>HYPERLINK("http://141.218.60.56/~jnz1568/getInfo.php?workbook=16_15.xlsx&amp;sheet=A0&amp;row=398&amp;col=18&amp;number=&amp;sourceID=56","")</f>
        <v/>
      </c>
      <c r="S398" s="4" t="str">
        <f>HYPERLINK("http://141.218.60.56/~jnz1568/getInfo.php?workbook=16_15.xlsx&amp;sheet=A0&amp;row=398&amp;col=19&amp;number=&amp;sourceID=57","")</f>
        <v/>
      </c>
      <c r="T398" s="4" t="str">
        <f>HYPERLINK("http://141.218.60.56/~jnz1568/getInfo.php?workbook=16_15.xlsx&amp;sheet=A0&amp;row=398&amp;col=20&amp;number=&amp;sourceID=57","")</f>
        <v/>
      </c>
      <c r="U398" s="4" t="str">
        <f>HYPERLINK("http://141.218.60.56/~jnz1568/getInfo.php?workbook=16_15.xlsx&amp;sheet=A0&amp;row=398&amp;col=21&amp;number=&amp;sourceID=47","")</f>
        <v/>
      </c>
      <c r="V398" s="4" t="str">
        <f>HYPERLINK("http://141.218.60.56/~jnz1568/getInfo.php?workbook=16_15.xlsx&amp;sheet=A0&amp;row=398&amp;col=22&amp;number=&amp;sourceID=47","")</f>
        <v/>
      </c>
    </row>
    <row r="399" spans="1:22">
      <c r="A399" s="3">
        <v>16</v>
      </c>
      <c r="B399" s="3">
        <v>15</v>
      </c>
      <c r="C399" s="3">
        <v>32</v>
      </c>
      <c r="D399" s="3">
        <v>9</v>
      </c>
      <c r="E399" s="3">
        <f>((1/(INDEX(E0!J$4:J$73,C399,1)-INDEX(E0!J$4:J$73,D399,1))))*100000000</f>
        <v>0</v>
      </c>
      <c r="F399" s="4" t="str">
        <f>HYPERLINK("http://141.218.60.56/~jnz1568/getInfo.php?workbook=16_15.xlsx&amp;sheet=A0&amp;row=399&amp;col=6&amp;number=&amp;sourceID=54","")</f>
        <v/>
      </c>
      <c r="G399" s="4" t="str">
        <f>HYPERLINK("http://141.218.60.56/~jnz1568/getInfo.php?workbook=16_15.xlsx&amp;sheet=A0&amp;row=399&amp;col=7&amp;number=1.926&amp;sourceID=54","1.926")</f>
        <v>1.926</v>
      </c>
      <c r="H399" s="4" t="str">
        <f>HYPERLINK("http://141.218.60.56/~jnz1568/getInfo.php?workbook=16_15.xlsx&amp;sheet=A0&amp;row=399&amp;col=8&amp;number=&amp;sourceID=54","")</f>
        <v/>
      </c>
      <c r="I399" s="4" t="str">
        <f>HYPERLINK("http://141.218.60.56/~jnz1568/getInfo.php?workbook=16_15.xlsx&amp;sheet=A0&amp;row=399&amp;col=9&amp;number=&amp;sourceID=54","")</f>
        <v/>
      </c>
      <c r="J399" s="4" t="str">
        <f>HYPERLINK("http://141.218.60.56/~jnz1568/getInfo.php?workbook=16_15.xlsx&amp;sheet=A0&amp;row=399&amp;col=10&amp;number=1.6117&amp;sourceID=54","1.6117")</f>
        <v>1.6117</v>
      </c>
      <c r="K399" s="4" t="str">
        <f>HYPERLINK("http://141.218.60.56/~jnz1568/getInfo.php?workbook=16_15.xlsx&amp;sheet=A0&amp;row=399&amp;col=11&amp;number=&amp;sourceID=54","")</f>
        <v/>
      </c>
      <c r="L399" s="4" t="str">
        <f>HYPERLINK("http://141.218.60.56/~jnz1568/getInfo.php?workbook=16_15.xlsx&amp;sheet=A0&amp;row=399&amp;col=12&amp;number=&amp;sourceID=53","")</f>
        <v/>
      </c>
      <c r="M399" s="4" t="str">
        <f>HYPERLINK("http://141.218.60.56/~jnz1568/getInfo.php?workbook=16_15.xlsx&amp;sheet=A0&amp;row=399&amp;col=13&amp;number=&amp;sourceID=53","")</f>
        <v/>
      </c>
      <c r="N399" s="4" t="str">
        <f>HYPERLINK("http://141.218.60.56/~jnz1568/getInfo.php?workbook=16_15.xlsx&amp;sheet=A0&amp;row=399&amp;col=14&amp;number=&amp;sourceID=53","")</f>
        <v/>
      </c>
      <c r="O399" s="4" t="str">
        <f>HYPERLINK("http://141.218.60.56/~jnz1568/getInfo.php?workbook=16_15.xlsx&amp;sheet=A0&amp;row=399&amp;col=15&amp;number=&amp;sourceID=55","")</f>
        <v/>
      </c>
      <c r="P399" s="4" t="str">
        <f>HYPERLINK("http://141.218.60.56/~jnz1568/getInfo.php?workbook=16_15.xlsx&amp;sheet=A0&amp;row=399&amp;col=16&amp;number=&amp;sourceID=55","")</f>
        <v/>
      </c>
      <c r="Q399" s="4" t="str">
        <f>HYPERLINK("http://141.218.60.56/~jnz1568/getInfo.php?workbook=16_15.xlsx&amp;sheet=A0&amp;row=399&amp;col=17&amp;number=&amp;sourceID=56","")</f>
        <v/>
      </c>
      <c r="R399" s="4" t="str">
        <f>HYPERLINK("http://141.218.60.56/~jnz1568/getInfo.php?workbook=16_15.xlsx&amp;sheet=A0&amp;row=399&amp;col=18&amp;number=&amp;sourceID=56","")</f>
        <v/>
      </c>
      <c r="S399" s="4" t="str">
        <f>HYPERLINK("http://141.218.60.56/~jnz1568/getInfo.php?workbook=16_15.xlsx&amp;sheet=A0&amp;row=399&amp;col=19&amp;number=&amp;sourceID=57","")</f>
        <v/>
      </c>
      <c r="T399" s="4" t="str">
        <f>HYPERLINK("http://141.218.60.56/~jnz1568/getInfo.php?workbook=16_15.xlsx&amp;sheet=A0&amp;row=399&amp;col=20&amp;number=&amp;sourceID=57","")</f>
        <v/>
      </c>
      <c r="U399" s="4" t="str">
        <f>HYPERLINK("http://141.218.60.56/~jnz1568/getInfo.php?workbook=16_15.xlsx&amp;sheet=A0&amp;row=399&amp;col=21&amp;number=&amp;sourceID=47","")</f>
        <v/>
      </c>
      <c r="V399" s="4" t="str">
        <f>HYPERLINK("http://141.218.60.56/~jnz1568/getInfo.php?workbook=16_15.xlsx&amp;sheet=A0&amp;row=399&amp;col=22&amp;number=&amp;sourceID=47","")</f>
        <v/>
      </c>
    </row>
    <row r="400" spans="1:22">
      <c r="A400" s="3">
        <v>16</v>
      </c>
      <c r="B400" s="3">
        <v>15</v>
      </c>
      <c r="C400" s="3">
        <v>32</v>
      </c>
      <c r="D400" s="3">
        <v>10</v>
      </c>
      <c r="E400" s="3">
        <f>((1/(INDEX(E0!J$4:J$73,C400,1)-INDEX(E0!J$4:J$73,D400,1))))*100000000</f>
        <v>0</v>
      </c>
      <c r="F400" s="4" t="str">
        <f>HYPERLINK("http://141.218.60.56/~jnz1568/getInfo.php?workbook=16_15.xlsx&amp;sheet=A0&amp;row=400&amp;col=6&amp;number=&amp;sourceID=54","")</f>
        <v/>
      </c>
      <c r="G400" s="4" t="str">
        <f>HYPERLINK("http://141.218.60.56/~jnz1568/getInfo.php?workbook=16_15.xlsx&amp;sheet=A0&amp;row=400&amp;col=7&amp;number=0.21257&amp;sourceID=54","0.21257")</f>
        <v>0.21257</v>
      </c>
      <c r="H400" s="4" t="str">
        <f>HYPERLINK("http://141.218.60.56/~jnz1568/getInfo.php?workbook=16_15.xlsx&amp;sheet=A0&amp;row=400&amp;col=8&amp;number=0&amp;sourceID=54","0")</f>
        <v>0</v>
      </c>
      <c r="I400" s="4" t="str">
        <f>HYPERLINK("http://141.218.60.56/~jnz1568/getInfo.php?workbook=16_15.xlsx&amp;sheet=A0&amp;row=400&amp;col=9&amp;number=&amp;sourceID=54","")</f>
        <v/>
      </c>
      <c r="J400" s="4" t="str">
        <f>HYPERLINK("http://141.218.60.56/~jnz1568/getInfo.php?workbook=16_15.xlsx&amp;sheet=A0&amp;row=400&amp;col=10&amp;number=0.17721&amp;sourceID=54","0.17721")</f>
        <v>0.17721</v>
      </c>
      <c r="K400" s="4" t="str">
        <f>HYPERLINK("http://141.218.60.56/~jnz1568/getInfo.php?workbook=16_15.xlsx&amp;sheet=A0&amp;row=400&amp;col=11&amp;number=0&amp;sourceID=54","0")</f>
        <v>0</v>
      </c>
      <c r="L400" s="4" t="str">
        <f>HYPERLINK("http://141.218.60.56/~jnz1568/getInfo.php?workbook=16_15.xlsx&amp;sheet=A0&amp;row=400&amp;col=12&amp;number=&amp;sourceID=53","")</f>
        <v/>
      </c>
      <c r="M400" s="4" t="str">
        <f>HYPERLINK("http://141.218.60.56/~jnz1568/getInfo.php?workbook=16_15.xlsx&amp;sheet=A0&amp;row=400&amp;col=13&amp;number=&amp;sourceID=53","")</f>
        <v/>
      </c>
      <c r="N400" s="4" t="str">
        <f>HYPERLINK("http://141.218.60.56/~jnz1568/getInfo.php?workbook=16_15.xlsx&amp;sheet=A0&amp;row=400&amp;col=14&amp;number=&amp;sourceID=53","")</f>
        <v/>
      </c>
      <c r="O400" s="4" t="str">
        <f>HYPERLINK("http://141.218.60.56/~jnz1568/getInfo.php?workbook=16_15.xlsx&amp;sheet=A0&amp;row=400&amp;col=15&amp;number=&amp;sourceID=55","")</f>
        <v/>
      </c>
      <c r="P400" s="4" t="str">
        <f>HYPERLINK("http://141.218.60.56/~jnz1568/getInfo.php?workbook=16_15.xlsx&amp;sheet=A0&amp;row=400&amp;col=16&amp;number=&amp;sourceID=55","")</f>
        <v/>
      </c>
      <c r="Q400" s="4" t="str">
        <f>HYPERLINK("http://141.218.60.56/~jnz1568/getInfo.php?workbook=16_15.xlsx&amp;sheet=A0&amp;row=400&amp;col=17&amp;number=&amp;sourceID=56","")</f>
        <v/>
      </c>
      <c r="R400" s="4" t="str">
        <f>HYPERLINK("http://141.218.60.56/~jnz1568/getInfo.php?workbook=16_15.xlsx&amp;sheet=A0&amp;row=400&amp;col=18&amp;number=&amp;sourceID=56","")</f>
        <v/>
      </c>
      <c r="S400" s="4" t="str">
        <f>HYPERLINK("http://141.218.60.56/~jnz1568/getInfo.php?workbook=16_15.xlsx&amp;sheet=A0&amp;row=400&amp;col=19&amp;number=&amp;sourceID=57","")</f>
        <v/>
      </c>
      <c r="T400" s="4" t="str">
        <f>HYPERLINK("http://141.218.60.56/~jnz1568/getInfo.php?workbook=16_15.xlsx&amp;sheet=A0&amp;row=400&amp;col=20&amp;number=&amp;sourceID=57","")</f>
        <v/>
      </c>
      <c r="U400" s="4" t="str">
        <f>HYPERLINK("http://141.218.60.56/~jnz1568/getInfo.php?workbook=16_15.xlsx&amp;sheet=A0&amp;row=400&amp;col=21&amp;number=&amp;sourceID=47","")</f>
        <v/>
      </c>
      <c r="V400" s="4" t="str">
        <f>HYPERLINK("http://141.218.60.56/~jnz1568/getInfo.php?workbook=16_15.xlsx&amp;sheet=A0&amp;row=400&amp;col=22&amp;number=&amp;sourceID=47","")</f>
        <v/>
      </c>
    </row>
    <row r="401" spans="1:22">
      <c r="A401" s="3">
        <v>16</v>
      </c>
      <c r="B401" s="3">
        <v>15</v>
      </c>
      <c r="C401" s="3">
        <v>32</v>
      </c>
      <c r="D401" s="3">
        <v>11</v>
      </c>
      <c r="E401" s="3">
        <f>((1/(INDEX(E0!J$4:J$73,C401,1)-INDEX(E0!J$4:J$73,D401,1))))*100000000</f>
        <v>0</v>
      </c>
      <c r="F401" s="4" t="str">
        <f>HYPERLINK("http://141.218.60.56/~jnz1568/getInfo.php?workbook=16_15.xlsx&amp;sheet=A0&amp;row=401&amp;col=6&amp;number=&amp;sourceID=54","")</f>
        <v/>
      </c>
      <c r="G401" s="4" t="str">
        <f>HYPERLINK("http://141.218.60.56/~jnz1568/getInfo.php?workbook=16_15.xlsx&amp;sheet=A0&amp;row=401&amp;col=7&amp;number=2.7147e-05&amp;sourceID=54","2.7147e-05")</f>
        <v>2.7147e-05</v>
      </c>
      <c r="H401" s="4" t="str">
        <f>HYPERLINK("http://141.218.60.56/~jnz1568/getInfo.php?workbook=16_15.xlsx&amp;sheet=A0&amp;row=401&amp;col=8&amp;number=&amp;sourceID=54","")</f>
        <v/>
      </c>
      <c r="I401" s="4" t="str">
        <f>HYPERLINK("http://141.218.60.56/~jnz1568/getInfo.php?workbook=16_15.xlsx&amp;sheet=A0&amp;row=401&amp;col=9&amp;number=&amp;sourceID=54","")</f>
        <v/>
      </c>
      <c r="J401" s="4" t="str">
        <f>HYPERLINK("http://141.218.60.56/~jnz1568/getInfo.php?workbook=16_15.xlsx&amp;sheet=A0&amp;row=401&amp;col=10&amp;number=2.3455e-05&amp;sourceID=54","2.3455e-05")</f>
        <v>2.3455e-05</v>
      </c>
      <c r="K401" s="4" t="str">
        <f>HYPERLINK("http://141.218.60.56/~jnz1568/getInfo.php?workbook=16_15.xlsx&amp;sheet=A0&amp;row=401&amp;col=11&amp;number=&amp;sourceID=54","")</f>
        <v/>
      </c>
      <c r="L401" s="4" t="str">
        <f>HYPERLINK("http://141.218.60.56/~jnz1568/getInfo.php?workbook=16_15.xlsx&amp;sheet=A0&amp;row=401&amp;col=12&amp;number=&amp;sourceID=53","")</f>
        <v/>
      </c>
      <c r="M401" s="4" t="str">
        <f>HYPERLINK("http://141.218.60.56/~jnz1568/getInfo.php?workbook=16_15.xlsx&amp;sheet=A0&amp;row=401&amp;col=13&amp;number=&amp;sourceID=53","")</f>
        <v/>
      </c>
      <c r="N401" s="4" t="str">
        <f>HYPERLINK("http://141.218.60.56/~jnz1568/getInfo.php?workbook=16_15.xlsx&amp;sheet=A0&amp;row=401&amp;col=14&amp;number=&amp;sourceID=53","")</f>
        <v/>
      </c>
      <c r="O401" s="4" t="str">
        <f>HYPERLINK("http://141.218.60.56/~jnz1568/getInfo.php?workbook=16_15.xlsx&amp;sheet=A0&amp;row=401&amp;col=15&amp;number=&amp;sourceID=55","")</f>
        <v/>
      </c>
      <c r="P401" s="4" t="str">
        <f>HYPERLINK("http://141.218.60.56/~jnz1568/getInfo.php?workbook=16_15.xlsx&amp;sheet=A0&amp;row=401&amp;col=16&amp;number=&amp;sourceID=55","")</f>
        <v/>
      </c>
      <c r="Q401" s="4" t="str">
        <f>HYPERLINK("http://141.218.60.56/~jnz1568/getInfo.php?workbook=16_15.xlsx&amp;sheet=A0&amp;row=401&amp;col=17&amp;number=&amp;sourceID=56","")</f>
        <v/>
      </c>
      <c r="R401" s="4" t="str">
        <f>HYPERLINK("http://141.218.60.56/~jnz1568/getInfo.php?workbook=16_15.xlsx&amp;sheet=A0&amp;row=401&amp;col=18&amp;number=&amp;sourceID=56","")</f>
        <v/>
      </c>
      <c r="S401" s="4" t="str">
        <f>HYPERLINK("http://141.218.60.56/~jnz1568/getInfo.php?workbook=16_15.xlsx&amp;sheet=A0&amp;row=401&amp;col=19&amp;number=&amp;sourceID=57","")</f>
        <v/>
      </c>
      <c r="T401" s="4" t="str">
        <f>HYPERLINK("http://141.218.60.56/~jnz1568/getInfo.php?workbook=16_15.xlsx&amp;sheet=A0&amp;row=401&amp;col=20&amp;number=&amp;sourceID=57","")</f>
        <v/>
      </c>
      <c r="U401" s="4" t="str">
        <f>HYPERLINK("http://141.218.60.56/~jnz1568/getInfo.php?workbook=16_15.xlsx&amp;sheet=A0&amp;row=401&amp;col=21&amp;number=&amp;sourceID=47","")</f>
        <v/>
      </c>
      <c r="V401" s="4" t="str">
        <f>HYPERLINK("http://141.218.60.56/~jnz1568/getInfo.php?workbook=16_15.xlsx&amp;sheet=A0&amp;row=401&amp;col=22&amp;number=&amp;sourceID=47","")</f>
        <v/>
      </c>
    </row>
    <row r="402" spans="1:22">
      <c r="A402" s="3">
        <v>16</v>
      </c>
      <c r="B402" s="3">
        <v>15</v>
      </c>
      <c r="C402" s="3">
        <v>32</v>
      </c>
      <c r="D402" s="3">
        <v>14</v>
      </c>
      <c r="E402" s="3">
        <f>((1/(INDEX(E0!J$4:J$73,C402,1)-INDEX(E0!J$4:J$73,D402,1))))*100000000</f>
        <v>0</v>
      </c>
      <c r="F402" s="4" t="str">
        <f>HYPERLINK("http://141.218.60.56/~jnz1568/getInfo.php?workbook=16_15.xlsx&amp;sheet=A0&amp;row=402&amp;col=6&amp;number=&amp;sourceID=54","")</f>
        <v/>
      </c>
      <c r="G402" s="4" t="str">
        <f>HYPERLINK("http://141.218.60.56/~jnz1568/getInfo.php?workbook=16_15.xlsx&amp;sheet=A0&amp;row=402&amp;col=7&amp;number=9.7665e-05&amp;sourceID=54","9.7665e-05")</f>
        <v>9.7665e-05</v>
      </c>
      <c r="H402" s="4" t="str">
        <f>HYPERLINK("http://141.218.60.56/~jnz1568/getInfo.php?workbook=16_15.xlsx&amp;sheet=A0&amp;row=402&amp;col=8&amp;number=&amp;sourceID=54","")</f>
        <v/>
      </c>
      <c r="I402" s="4" t="str">
        <f>HYPERLINK("http://141.218.60.56/~jnz1568/getInfo.php?workbook=16_15.xlsx&amp;sheet=A0&amp;row=402&amp;col=9&amp;number=&amp;sourceID=54","")</f>
        <v/>
      </c>
      <c r="J402" s="4" t="str">
        <f>HYPERLINK("http://141.218.60.56/~jnz1568/getInfo.php?workbook=16_15.xlsx&amp;sheet=A0&amp;row=402&amp;col=10&amp;number=6.2396e-05&amp;sourceID=54","6.2396e-05")</f>
        <v>6.2396e-05</v>
      </c>
      <c r="K402" s="4" t="str">
        <f>HYPERLINK("http://141.218.60.56/~jnz1568/getInfo.php?workbook=16_15.xlsx&amp;sheet=A0&amp;row=402&amp;col=11&amp;number=&amp;sourceID=54","")</f>
        <v/>
      </c>
      <c r="L402" s="4" t="str">
        <f>HYPERLINK("http://141.218.60.56/~jnz1568/getInfo.php?workbook=16_15.xlsx&amp;sheet=A0&amp;row=402&amp;col=12&amp;number=&amp;sourceID=53","")</f>
        <v/>
      </c>
      <c r="M402" s="4" t="str">
        <f>HYPERLINK("http://141.218.60.56/~jnz1568/getInfo.php?workbook=16_15.xlsx&amp;sheet=A0&amp;row=402&amp;col=13&amp;number=&amp;sourceID=53","")</f>
        <v/>
      </c>
      <c r="N402" s="4" t="str">
        <f>HYPERLINK("http://141.218.60.56/~jnz1568/getInfo.php?workbook=16_15.xlsx&amp;sheet=A0&amp;row=402&amp;col=14&amp;number=&amp;sourceID=53","")</f>
        <v/>
      </c>
      <c r="O402" s="4" t="str">
        <f>HYPERLINK("http://141.218.60.56/~jnz1568/getInfo.php?workbook=16_15.xlsx&amp;sheet=A0&amp;row=402&amp;col=15&amp;number=&amp;sourceID=55","")</f>
        <v/>
      </c>
      <c r="P402" s="4" t="str">
        <f>HYPERLINK("http://141.218.60.56/~jnz1568/getInfo.php?workbook=16_15.xlsx&amp;sheet=A0&amp;row=402&amp;col=16&amp;number=&amp;sourceID=55","")</f>
        <v/>
      </c>
      <c r="Q402" s="4" t="str">
        <f>HYPERLINK("http://141.218.60.56/~jnz1568/getInfo.php?workbook=16_15.xlsx&amp;sheet=A0&amp;row=402&amp;col=17&amp;number=&amp;sourceID=56","")</f>
        <v/>
      </c>
      <c r="R402" s="4" t="str">
        <f>HYPERLINK("http://141.218.60.56/~jnz1568/getInfo.php?workbook=16_15.xlsx&amp;sheet=A0&amp;row=402&amp;col=18&amp;number=&amp;sourceID=56","")</f>
        <v/>
      </c>
      <c r="S402" s="4" t="str">
        <f>HYPERLINK("http://141.218.60.56/~jnz1568/getInfo.php?workbook=16_15.xlsx&amp;sheet=A0&amp;row=402&amp;col=19&amp;number=&amp;sourceID=57","")</f>
        <v/>
      </c>
      <c r="T402" s="4" t="str">
        <f>HYPERLINK("http://141.218.60.56/~jnz1568/getInfo.php?workbook=16_15.xlsx&amp;sheet=A0&amp;row=402&amp;col=20&amp;number=&amp;sourceID=57","")</f>
        <v/>
      </c>
      <c r="U402" s="4" t="str">
        <f>HYPERLINK("http://141.218.60.56/~jnz1568/getInfo.php?workbook=16_15.xlsx&amp;sheet=A0&amp;row=402&amp;col=21&amp;number=&amp;sourceID=47","")</f>
        <v/>
      </c>
      <c r="V402" s="4" t="str">
        <f>HYPERLINK("http://141.218.60.56/~jnz1568/getInfo.php?workbook=16_15.xlsx&amp;sheet=A0&amp;row=402&amp;col=22&amp;number=&amp;sourceID=47","")</f>
        <v/>
      </c>
    </row>
    <row r="403" spans="1:22">
      <c r="A403" s="3">
        <v>16</v>
      </c>
      <c r="B403" s="3">
        <v>15</v>
      </c>
      <c r="C403" s="3">
        <v>32</v>
      </c>
      <c r="D403" s="3">
        <v>15</v>
      </c>
      <c r="E403" s="3">
        <f>((1/(INDEX(E0!J$4:J$73,C403,1)-INDEX(E0!J$4:J$73,D403,1))))*100000000</f>
        <v>0</v>
      </c>
      <c r="F403" s="4" t="str">
        <f>HYPERLINK("http://141.218.60.56/~jnz1568/getInfo.php?workbook=16_15.xlsx&amp;sheet=A0&amp;row=403&amp;col=6&amp;number=&amp;sourceID=54","")</f>
        <v/>
      </c>
      <c r="G403" s="4" t="str">
        <f>HYPERLINK("http://141.218.60.56/~jnz1568/getInfo.php?workbook=16_15.xlsx&amp;sheet=A0&amp;row=403&amp;col=7&amp;number=0.00021211&amp;sourceID=54","0.00021211")</f>
        <v>0.00021211</v>
      </c>
      <c r="H403" s="4" t="str">
        <f>HYPERLINK("http://141.218.60.56/~jnz1568/getInfo.php?workbook=16_15.xlsx&amp;sheet=A0&amp;row=403&amp;col=8&amp;number=&amp;sourceID=54","")</f>
        <v/>
      </c>
      <c r="I403" s="4" t="str">
        <f>HYPERLINK("http://141.218.60.56/~jnz1568/getInfo.php?workbook=16_15.xlsx&amp;sheet=A0&amp;row=403&amp;col=9&amp;number=&amp;sourceID=54","")</f>
        <v/>
      </c>
      <c r="J403" s="4" t="str">
        <f>HYPERLINK("http://141.218.60.56/~jnz1568/getInfo.php?workbook=16_15.xlsx&amp;sheet=A0&amp;row=403&amp;col=10&amp;number=0.00017578&amp;sourceID=54","0.00017578")</f>
        <v>0.00017578</v>
      </c>
      <c r="K403" s="4" t="str">
        <f>HYPERLINK("http://141.218.60.56/~jnz1568/getInfo.php?workbook=16_15.xlsx&amp;sheet=A0&amp;row=403&amp;col=11&amp;number=&amp;sourceID=54","")</f>
        <v/>
      </c>
      <c r="L403" s="4" t="str">
        <f>HYPERLINK("http://141.218.60.56/~jnz1568/getInfo.php?workbook=16_15.xlsx&amp;sheet=A0&amp;row=403&amp;col=12&amp;number=&amp;sourceID=53","")</f>
        <v/>
      </c>
      <c r="M403" s="4" t="str">
        <f>HYPERLINK("http://141.218.60.56/~jnz1568/getInfo.php?workbook=16_15.xlsx&amp;sheet=A0&amp;row=403&amp;col=13&amp;number=&amp;sourceID=53","")</f>
        <v/>
      </c>
      <c r="N403" s="4" t="str">
        <f>HYPERLINK("http://141.218.60.56/~jnz1568/getInfo.php?workbook=16_15.xlsx&amp;sheet=A0&amp;row=403&amp;col=14&amp;number=&amp;sourceID=53","")</f>
        <v/>
      </c>
      <c r="O403" s="4" t="str">
        <f>HYPERLINK("http://141.218.60.56/~jnz1568/getInfo.php?workbook=16_15.xlsx&amp;sheet=A0&amp;row=403&amp;col=15&amp;number=&amp;sourceID=55","")</f>
        <v/>
      </c>
      <c r="P403" s="4" t="str">
        <f>HYPERLINK("http://141.218.60.56/~jnz1568/getInfo.php?workbook=16_15.xlsx&amp;sheet=A0&amp;row=403&amp;col=16&amp;number=&amp;sourceID=55","")</f>
        <v/>
      </c>
      <c r="Q403" s="4" t="str">
        <f>HYPERLINK("http://141.218.60.56/~jnz1568/getInfo.php?workbook=16_15.xlsx&amp;sheet=A0&amp;row=403&amp;col=17&amp;number=&amp;sourceID=56","")</f>
        <v/>
      </c>
      <c r="R403" s="4" t="str">
        <f>HYPERLINK("http://141.218.60.56/~jnz1568/getInfo.php?workbook=16_15.xlsx&amp;sheet=A0&amp;row=403&amp;col=18&amp;number=&amp;sourceID=56","")</f>
        <v/>
      </c>
      <c r="S403" s="4" t="str">
        <f>HYPERLINK("http://141.218.60.56/~jnz1568/getInfo.php?workbook=16_15.xlsx&amp;sheet=A0&amp;row=403&amp;col=19&amp;number=&amp;sourceID=57","")</f>
        <v/>
      </c>
      <c r="T403" s="4" t="str">
        <f>HYPERLINK("http://141.218.60.56/~jnz1568/getInfo.php?workbook=16_15.xlsx&amp;sheet=A0&amp;row=403&amp;col=20&amp;number=&amp;sourceID=57","")</f>
        <v/>
      </c>
      <c r="U403" s="4" t="str">
        <f>HYPERLINK("http://141.218.60.56/~jnz1568/getInfo.php?workbook=16_15.xlsx&amp;sheet=A0&amp;row=403&amp;col=21&amp;number=&amp;sourceID=47","")</f>
        <v/>
      </c>
      <c r="V403" s="4" t="str">
        <f>HYPERLINK("http://141.218.60.56/~jnz1568/getInfo.php?workbook=16_15.xlsx&amp;sheet=A0&amp;row=403&amp;col=22&amp;number=&amp;sourceID=47","")</f>
        <v/>
      </c>
    </row>
    <row r="404" spans="1:22">
      <c r="A404" s="3">
        <v>16</v>
      </c>
      <c r="B404" s="3">
        <v>15</v>
      </c>
      <c r="C404" s="3">
        <v>32</v>
      </c>
      <c r="D404" s="3">
        <v>16</v>
      </c>
      <c r="E404" s="3">
        <f>((1/(INDEX(E0!J$4:J$73,C404,1)-INDEX(E0!J$4:J$73,D404,1))))*100000000</f>
        <v>0</v>
      </c>
      <c r="F404" s="4" t="str">
        <f>HYPERLINK("http://141.218.60.56/~jnz1568/getInfo.php?workbook=16_15.xlsx&amp;sheet=A0&amp;row=404&amp;col=6&amp;number=&amp;sourceID=54","")</f>
        <v/>
      </c>
      <c r="G404" s="4" t="str">
        <f>HYPERLINK("http://141.218.60.56/~jnz1568/getInfo.php?workbook=16_15.xlsx&amp;sheet=A0&amp;row=404&amp;col=7&amp;number=0.00012009&amp;sourceID=54","0.00012009")</f>
        <v>0.00012009</v>
      </c>
      <c r="H404" s="4" t="str">
        <f>HYPERLINK("http://141.218.60.56/~jnz1568/getInfo.php?workbook=16_15.xlsx&amp;sheet=A0&amp;row=404&amp;col=8&amp;number=3.2547e-08&amp;sourceID=54","3.2547e-08")</f>
        <v>3.2547e-08</v>
      </c>
      <c r="I404" s="4" t="str">
        <f>HYPERLINK("http://141.218.60.56/~jnz1568/getInfo.php?workbook=16_15.xlsx&amp;sheet=A0&amp;row=404&amp;col=9&amp;number=&amp;sourceID=54","")</f>
        <v/>
      </c>
      <c r="J404" s="4" t="str">
        <f>HYPERLINK("http://141.218.60.56/~jnz1568/getInfo.php?workbook=16_15.xlsx&amp;sheet=A0&amp;row=404&amp;col=10&amp;number=8.7068e-05&amp;sourceID=54","8.7068e-05")</f>
        <v>8.7068e-05</v>
      </c>
      <c r="K404" s="4" t="str">
        <f>HYPERLINK("http://141.218.60.56/~jnz1568/getInfo.php?workbook=16_15.xlsx&amp;sheet=A0&amp;row=404&amp;col=11&amp;number=2.2269e-06&amp;sourceID=54","2.2269e-06")</f>
        <v>2.2269e-06</v>
      </c>
      <c r="L404" s="4" t="str">
        <f>HYPERLINK("http://141.218.60.56/~jnz1568/getInfo.php?workbook=16_15.xlsx&amp;sheet=A0&amp;row=404&amp;col=12&amp;number=&amp;sourceID=53","")</f>
        <v/>
      </c>
      <c r="M404" s="4" t="str">
        <f>HYPERLINK("http://141.218.60.56/~jnz1568/getInfo.php?workbook=16_15.xlsx&amp;sheet=A0&amp;row=404&amp;col=13&amp;number=&amp;sourceID=53","")</f>
        <v/>
      </c>
      <c r="N404" s="4" t="str">
        <f>HYPERLINK("http://141.218.60.56/~jnz1568/getInfo.php?workbook=16_15.xlsx&amp;sheet=A0&amp;row=404&amp;col=14&amp;number=&amp;sourceID=53","")</f>
        <v/>
      </c>
      <c r="O404" s="4" t="str">
        <f>HYPERLINK("http://141.218.60.56/~jnz1568/getInfo.php?workbook=16_15.xlsx&amp;sheet=A0&amp;row=404&amp;col=15&amp;number=&amp;sourceID=55","")</f>
        <v/>
      </c>
      <c r="P404" s="4" t="str">
        <f>HYPERLINK("http://141.218.60.56/~jnz1568/getInfo.php?workbook=16_15.xlsx&amp;sheet=A0&amp;row=404&amp;col=16&amp;number=&amp;sourceID=55","")</f>
        <v/>
      </c>
      <c r="Q404" s="4" t="str">
        <f>HYPERLINK("http://141.218.60.56/~jnz1568/getInfo.php?workbook=16_15.xlsx&amp;sheet=A0&amp;row=404&amp;col=17&amp;number=&amp;sourceID=56","")</f>
        <v/>
      </c>
      <c r="R404" s="4" t="str">
        <f>HYPERLINK("http://141.218.60.56/~jnz1568/getInfo.php?workbook=16_15.xlsx&amp;sheet=A0&amp;row=404&amp;col=18&amp;number=&amp;sourceID=56","")</f>
        <v/>
      </c>
      <c r="S404" s="4" t="str">
        <f>HYPERLINK("http://141.218.60.56/~jnz1568/getInfo.php?workbook=16_15.xlsx&amp;sheet=A0&amp;row=404&amp;col=19&amp;number=&amp;sourceID=57","")</f>
        <v/>
      </c>
      <c r="T404" s="4" t="str">
        <f>HYPERLINK("http://141.218.60.56/~jnz1568/getInfo.php?workbook=16_15.xlsx&amp;sheet=A0&amp;row=404&amp;col=20&amp;number=&amp;sourceID=57","")</f>
        <v/>
      </c>
      <c r="U404" s="4" t="str">
        <f>HYPERLINK("http://141.218.60.56/~jnz1568/getInfo.php?workbook=16_15.xlsx&amp;sheet=A0&amp;row=404&amp;col=21&amp;number=&amp;sourceID=47","")</f>
        <v/>
      </c>
      <c r="V404" s="4" t="str">
        <f>HYPERLINK("http://141.218.60.56/~jnz1568/getInfo.php?workbook=16_15.xlsx&amp;sheet=A0&amp;row=404&amp;col=22&amp;number=&amp;sourceID=47","")</f>
        <v/>
      </c>
    </row>
    <row r="405" spans="1:22">
      <c r="A405" s="3">
        <v>16</v>
      </c>
      <c r="B405" s="3">
        <v>15</v>
      </c>
      <c r="C405" s="3">
        <v>32</v>
      </c>
      <c r="D405" s="3">
        <v>17</v>
      </c>
      <c r="E405" s="3">
        <f>((1/(INDEX(E0!J$4:J$73,C405,1)-INDEX(E0!J$4:J$73,D405,1))))*100000000</f>
        <v>0</v>
      </c>
      <c r="F405" s="4" t="str">
        <f>HYPERLINK("http://141.218.60.56/~jnz1568/getInfo.php?workbook=16_15.xlsx&amp;sheet=A0&amp;row=405&amp;col=6&amp;number=&amp;sourceID=54","")</f>
        <v/>
      </c>
      <c r="G405" s="4" t="str">
        <f>HYPERLINK("http://141.218.60.56/~jnz1568/getInfo.php?workbook=16_15.xlsx&amp;sheet=A0&amp;row=405&amp;col=7&amp;number=3.6735e-06&amp;sourceID=54","3.6735e-06")</f>
        <v>3.6735e-06</v>
      </c>
      <c r="H405" s="4" t="str">
        <f>HYPERLINK("http://141.218.60.56/~jnz1568/getInfo.php?workbook=16_15.xlsx&amp;sheet=A0&amp;row=405&amp;col=8&amp;number=0.019326&amp;sourceID=54","0.019326")</f>
        <v>0.019326</v>
      </c>
      <c r="I405" s="4" t="str">
        <f>HYPERLINK("http://141.218.60.56/~jnz1568/getInfo.php?workbook=16_15.xlsx&amp;sheet=A0&amp;row=405&amp;col=9&amp;number=&amp;sourceID=54","")</f>
        <v/>
      </c>
      <c r="J405" s="4" t="str">
        <f>HYPERLINK("http://141.218.60.56/~jnz1568/getInfo.php?workbook=16_15.xlsx&amp;sheet=A0&amp;row=405&amp;col=10&amp;number=2.7433e-06&amp;sourceID=54","2.7433e-06")</f>
        <v>2.7433e-06</v>
      </c>
      <c r="K405" s="4" t="str">
        <f>HYPERLINK("http://141.218.60.56/~jnz1568/getInfo.php?workbook=16_15.xlsx&amp;sheet=A0&amp;row=405&amp;col=11&amp;number=0.018575&amp;sourceID=54","0.018575")</f>
        <v>0.018575</v>
      </c>
      <c r="L405" s="4" t="str">
        <f>HYPERLINK("http://141.218.60.56/~jnz1568/getInfo.php?workbook=16_15.xlsx&amp;sheet=A0&amp;row=405&amp;col=12&amp;number=&amp;sourceID=53","")</f>
        <v/>
      </c>
      <c r="M405" s="4" t="str">
        <f>HYPERLINK("http://141.218.60.56/~jnz1568/getInfo.php?workbook=16_15.xlsx&amp;sheet=A0&amp;row=405&amp;col=13&amp;number=&amp;sourceID=53","")</f>
        <v/>
      </c>
      <c r="N405" s="4" t="str">
        <f>HYPERLINK("http://141.218.60.56/~jnz1568/getInfo.php?workbook=16_15.xlsx&amp;sheet=A0&amp;row=405&amp;col=14&amp;number=&amp;sourceID=53","")</f>
        <v/>
      </c>
      <c r="O405" s="4" t="str">
        <f>HYPERLINK("http://141.218.60.56/~jnz1568/getInfo.php?workbook=16_15.xlsx&amp;sheet=A0&amp;row=405&amp;col=15&amp;number=&amp;sourceID=55","")</f>
        <v/>
      </c>
      <c r="P405" s="4" t="str">
        <f>HYPERLINK("http://141.218.60.56/~jnz1568/getInfo.php?workbook=16_15.xlsx&amp;sheet=A0&amp;row=405&amp;col=16&amp;number=&amp;sourceID=55","")</f>
        <v/>
      </c>
      <c r="Q405" s="4" t="str">
        <f>HYPERLINK("http://141.218.60.56/~jnz1568/getInfo.php?workbook=16_15.xlsx&amp;sheet=A0&amp;row=405&amp;col=17&amp;number=&amp;sourceID=56","")</f>
        <v/>
      </c>
      <c r="R405" s="4" t="str">
        <f>HYPERLINK("http://141.218.60.56/~jnz1568/getInfo.php?workbook=16_15.xlsx&amp;sheet=A0&amp;row=405&amp;col=18&amp;number=&amp;sourceID=56","")</f>
        <v/>
      </c>
      <c r="S405" s="4" t="str">
        <f>HYPERLINK("http://141.218.60.56/~jnz1568/getInfo.php?workbook=16_15.xlsx&amp;sheet=A0&amp;row=405&amp;col=19&amp;number=&amp;sourceID=57","")</f>
        <v/>
      </c>
      <c r="T405" s="4" t="str">
        <f>HYPERLINK("http://141.218.60.56/~jnz1568/getInfo.php?workbook=16_15.xlsx&amp;sheet=A0&amp;row=405&amp;col=20&amp;number=&amp;sourceID=57","")</f>
        <v/>
      </c>
      <c r="U405" s="4" t="str">
        <f>HYPERLINK("http://141.218.60.56/~jnz1568/getInfo.php?workbook=16_15.xlsx&amp;sheet=A0&amp;row=405&amp;col=21&amp;number=&amp;sourceID=47","")</f>
        <v/>
      </c>
      <c r="V405" s="4" t="str">
        <f>HYPERLINK("http://141.218.60.56/~jnz1568/getInfo.php?workbook=16_15.xlsx&amp;sheet=A0&amp;row=405&amp;col=22&amp;number=&amp;sourceID=47","")</f>
        <v/>
      </c>
    </row>
    <row r="406" spans="1:22">
      <c r="A406" s="3">
        <v>16</v>
      </c>
      <c r="B406" s="3">
        <v>15</v>
      </c>
      <c r="C406" s="3">
        <v>32</v>
      </c>
      <c r="D406" s="3">
        <v>18</v>
      </c>
      <c r="E406" s="3">
        <f>((1/(INDEX(E0!J$4:J$73,C406,1)-INDEX(E0!J$4:J$73,D406,1))))*100000000</f>
        <v>0</v>
      </c>
      <c r="F406" s="4" t="str">
        <f>HYPERLINK("http://141.218.60.56/~jnz1568/getInfo.php?workbook=16_15.xlsx&amp;sheet=A0&amp;row=406&amp;col=6&amp;number=&amp;sourceID=54","")</f>
        <v/>
      </c>
      <c r="G406" s="4" t="str">
        <f>HYPERLINK("http://141.218.60.56/~jnz1568/getInfo.php?workbook=16_15.xlsx&amp;sheet=A0&amp;row=406&amp;col=7&amp;number=0.00020198&amp;sourceID=54","0.00020198")</f>
        <v>0.00020198</v>
      </c>
      <c r="H406" s="4" t="str">
        <f>HYPERLINK("http://141.218.60.56/~jnz1568/getInfo.php?workbook=16_15.xlsx&amp;sheet=A0&amp;row=406&amp;col=8&amp;number=0.022664&amp;sourceID=54","0.022664")</f>
        <v>0.022664</v>
      </c>
      <c r="I406" s="4" t="str">
        <f>HYPERLINK("http://141.218.60.56/~jnz1568/getInfo.php?workbook=16_15.xlsx&amp;sheet=A0&amp;row=406&amp;col=9&amp;number=&amp;sourceID=54","")</f>
        <v/>
      </c>
      <c r="J406" s="4" t="str">
        <f>HYPERLINK("http://141.218.60.56/~jnz1568/getInfo.php?workbook=16_15.xlsx&amp;sheet=A0&amp;row=406&amp;col=10&amp;number=0.00017808&amp;sourceID=54","0.00017808")</f>
        <v>0.00017808</v>
      </c>
      <c r="K406" s="4" t="str">
        <f>HYPERLINK("http://141.218.60.56/~jnz1568/getInfo.php?workbook=16_15.xlsx&amp;sheet=A0&amp;row=406&amp;col=11&amp;number=0.021755&amp;sourceID=54","0.021755")</f>
        <v>0.021755</v>
      </c>
      <c r="L406" s="4" t="str">
        <f>HYPERLINK("http://141.218.60.56/~jnz1568/getInfo.php?workbook=16_15.xlsx&amp;sheet=A0&amp;row=406&amp;col=12&amp;number=&amp;sourceID=53","")</f>
        <v/>
      </c>
      <c r="M406" s="4" t="str">
        <f>HYPERLINK("http://141.218.60.56/~jnz1568/getInfo.php?workbook=16_15.xlsx&amp;sheet=A0&amp;row=406&amp;col=13&amp;number=&amp;sourceID=53","")</f>
        <v/>
      </c>
      <c r="N406" s="4" t="str">
        <f>HYPERLINK("http://141.218.60.56/~jnz1568/getInfo.php?workbook=16_15.xlsx&amp;sheet=A0&amp;row=406&amp;col=14&amp;number=&amp;sourceID=53","")</f>
        <v/>
      </c>
      <c r="O406" s="4" t="str">
        <f>HYPERLINK("http://141.218.60.56/~jnz1568/getInfo.php?workbook=16_15.xlsx&amp;sheet=A0&amp;row=406&amp;col=15&amp;number=&amp;sourceID=55","")</f>
        <v/>
      </c>
      <c r="P406" s="4" t="str">
        <f>HYPERLINK("http://141.218.60.56/~jnz1568/getInfo.php?workbook=16_15.xlsx&amp;sheet=A0&amp;row=406&amp;col=16&amp;number=&amp;sourceID=55","")</f>
        <v/>
      </c>
      <c r="Q406" s="4" t="str">
        <f>HYPERLINK("http://141.218.60.56/~jnz1568/getInfo.php?workbook=16_15.xlsx&amp;sheet=A0&amp;row=406&amp;col=17&amp;number=&amp;sourceID=56","")</f>
        <v/>
      </c>
      <c r="R406" s="4" t="str">
        <f>HYPERLINK("http://141.218.60.56/~jnz1568/getInfo.php?workbook=16_15.xlsx&amp;sheet=A0&amp;row=406&amp;col=18&amp;number=&amp;sourceID=56","")</f>
        <v/>
      </c>
      <c r="S406" s="4" t="str">
        <f>HYPERLINK("http://141.218.60.56/~jnz1568/getInfo.php?workbook=16_15.xlsx&amp;sheet=A0&amp;row=406&amp;col=19&amp;number=&amp;sourceID=57","")</f>
        <v/>
      </c>
      <c r="T406" s="4" t="str">
        <f>HYPERLINK("http://141.218.60.56/~jnz1568/getInfo.php?workbook=16_15.xlsx&amp;sheet=A0&amp;row=406&amp;col=20&amp;number=&amp;sourceID=57","")</f>
        <v/>
      </c>
      <c r="U406" s="4" t="str">
        <f>HYPERLINK("http://141.218.60.56/~jnz1568/getInfo.php?workbook=16_15.xlsx&amp;sheet=A0&amp;row=406&amp;col=21&amp;number=&amp;sourceID=47","")</f>
        <v/>
      </c>
      <c r="V406" s="4" t="str">
        <f>HYPERLINK("http://141.218.60.56/~jnz1568/getInfo.php?workbook=16_15.xlsx&amp;sheet=A0&amp;row=406&amp;col=22&amp;number=&amp;sourceID=47","")</f>
        <v/>
      </c>
    </row>
    <row r="407" spans="1:22">
      <c r="A407" s="3">
        <v>16</v>
      </c>
      <c r="B407" s="3">
        <v>15</v>
      </c>
      <c r="C407" s="3">
        <v>32</v>
      </c>
      <c r="D407" s="3">
        <v>19</v>
      </c>
      <c r="E407" s="3">
        <f>((1/(INDEX(E0!J$4:J$73,C407,1)-INDEX(E0!J$4:J$73,D407,1))))*100000000</f>
        <v>0</v>
      </c>
      <c r="F407" s="4" t="str">
        <f>HYPERLINK("http://141.218.60.56/~jnz1568/getInfo.php?workbook=16_15.xlsx&amp;sheet=A0&amp;row=407&amp;col=6&amp;number=&amp;sourceID=54","")</f>
        <v/>
      </c>
      <c r="G407" s="4" t="str">
        <f>HYPERLINK("http://141.218.60.56/~jnz1568/getInfo.php?workbook=16_15.xlsx&amp;sheet=A0&amp;row=407&amp;col=7&amp;number=7.7604e-05&amp;sourceID=54","7.7604e-05")</f>
        <v>7.7604e-05</v>
      </c>
      <c r="H407" s="4" t="str">
        <f>HYPERLINK("http://141.218.60.56/~jnz1568/getInfo.php?workbook=16_15.xlsx&amp;sheet=A0&amp;row=407&amp;col=8&amp;number=0.0020247&amp;sourceID=54","0.0020247")</f>
        <v>0.0020247</v>
      </c>
      <c r="I407" s="4" t="str">
        <f>HYPERLINK("http://141.218.60.56/~jnz1568/getInfo.php?workbook=16_15.xlsx&amp;sheet=A0&amp;row=407&amp;col=9&amp;number=&amp;sourceID=54","")</f>
        <v/>
      </c>
      <c r="J407" s="4" t="str">
        <f>HYPERLINK("http://141.218.60.56/~jnz1568/getInfo.php?workbook=16_15.xlsx&amp;sheet=A0&amp;row=407&amp;col=10&amp;number=6.8071e-05&amp;sourceID=54","6.8071e-05")</f>
        <v>6.8071e-05</v>
      </c>
      <c r="K407" s="4" t="str">
        <f>HYPERLINK("http://141.218.60.56/~jnz1568/getInfo.php?workbook=16_15.xlsx&amp;sheet=A0&amp;row=407&amp;col=11&amp;number=0.001941&amp;sourceID=54","0.001941")</f>
        <v>0.001941</v>
      </c>
      <c r="L407" s="4" t="str">
        <f>HYPERLINK("http://141.218.60.56/~jnz1568/getInfo.php?workbook=16_15.xlsx&amp;sheet=A0&amp;row=407&amp;col=12&amp;number=&amp;sourceID=53","")</f>
        <v/>
      </c>
      <c r="M407" s="4" t="str">
        <f>HYPERLINK("http://141.218.60.56/~jnz1568/getInfo.php?workbook=16_15.xlsx&amp;sheet=A0&amp;row=407&amp;col=13&amp;number=&amp;sourceID=53","")</f>
        <v/>
      </c>
      <c r="N407" s="4" t="str">
        <f>HYPERLINK("http://141.218.60.56/~jnz1568/getInfo.php?workbook=16_15.xlsx&amp;sheet=A0&amp;row=407&amp;col=14&amp;number=&amp;sourceID=53","")</f>
        <v/>
      </c>
      <c r="O407" s="4" t="str">
        <f>HYPERLINK("http://141.218.60.56/~jnz1568/getInfo.php?workbook=16_15.xlsx&amp;sheet=A0&amp;row=407&amp;col=15&amp;number=&amp;sourceID=55","")</f>
        <v/>
      </c>
      <c r="P407" s="4" t="str">
        <f>HYPERLINK("http://141.218.60.56/~jnz1568/getInfo.php?workbook=16_15.xlsx&amp;sheet=A0&amp;row=407&amp;col=16&amp;number=&amp;sourceID=55","")</f>
        <v/>
      </c>
      <c r="Q407" s="4" t="str">
        <f>HYPERLINK("http://141.218.60.56/~jnz1568/getInfo.php?workbook=16_15.xlsx&amp;sheet=A0&amp;row=407&amp;col=17&amp;number=&amp;sourceID=56","")</f>
        <v/>
      </c>
      <c r="R407" s="4" t="str">
        <f>HYPERLINK("http://141.218.60.56/~jnz1568/getInfo.php?workbook=16_15.xlsx&amp;sheet=A0&amp;row=407&amp;col=18&amp;number=&amp;sourceID=56","")</f>
        <v/>
      </c>
      <c r="S407" s="4" t="str">
        <f>HYPERLINK("http://141.218.60.56/~jnz1568/getInfo.php?workbook=16_15.xlsx&amp;sheet=A0&amp;row=407&amp;col=19&amp;number=&amp;sourceID=57","")</f>
        <v/>
      </c>
      <c r="T407" s="4" t="str">
        <f>HYPERLINK("http://141.218.60.56/~jnz1568/getInfo.php?workbook=16_15.xlsx&amp;sheet=A0&amp;row=407&amp;col=20&amp;number=&amp;sourceID=57","")</f>
        <v/>
      </c>
      <c r="U407" s="4" t="str">
        <f>HYPERLINK("http://141.218.60.56/~jnz1568/getInfo.php?workbook=16_15.xlsx&amp;sheet=A0&amp;row=407&amp;col=21&amp;number=&amp;sourceID=47","")</f>
        <v/>
      </c>
      <c r="V407" s="4" t="str">
        <f>HYPERLINK("http://141.218.60.56/~jnz1568/getInfo.php?workbook=16_15.xlsx&amp;sheet=A0&amp;row=407&amp;col=22&amp;number=&amp;sourceID=47","")</f>
        <v/>
      </c>
    </row>
    <row r="408" spans="1:22">
      <c r="A408" s="3">
        <v>16</v>
      </c>
      <c r="B408" s="3">
        <v>15</v>
      </c>
      <c r="C408" s="3">
        <v>32</v>
      </c>
      <c r="D408" s="3">
        <v>21</v>
      </c>
      <c r="E408" s="3">
        <f>((1/(INDEX(E0!J$4:J$73,C408,1)-INDEX(E0!J$4:J$73,D408,1))))*100000000</f>
        <v>0</v>
      </c>
      <c r="F408" s="4" t="str">
        <f>HYPERLINK("http://141.218.60.56/~jnz1568/getInfo.php?workbook=16_15.xlsx&amp;sheet=A0&amp;row=408&amp;col=6&amp;number=&amp;sourceID=54","")</f>
        <v/>
      </c>
      <c r="G408" s="4" t="str">
        <f>HYPERLINK("http://141.218.60.56/~jnz1568/getInfo.php?workbook=16_15.xlsx&amp;sheet=A0&amp;row=408&amp;col=7&amp;number=0.005379&amp;sourceID=54","0.005379")</f>
        <v>0.005379</v>
      </c>
      <c r="H408" s="4" t="str">
        <f>HYPERLINK("http://141.218.60.56/~jnz1568/getInfo.php?workbook=16_15.xlsx&amp;sheet=A0&amp;row=408&amp;col=8&amp;number=&amp;sourceID=54","")</f>
        <v/>
      </c>
      <c r="I408" s="4" t="str">
        <f>HYPERLINK("http://141.218.60.56/~jnz1568/getInfo.php?workbook=16_15.xlsx&amp;sheet=A0&amp;row=408&amp;col=9&amp;number=&amp;sourceID=54","")</f>
        <v/>
      </c>
      <c r="J408" s="4" t="str">
        <f>HYPERLINK("http://141.218.60.56/~jnz1568/getInfo.php?workbook=16_15.xlsx&amp;sheet=A0&amp;row=408&amp;col=10&amp;number=0.0042417&amp;sourceID=54","0.0042417")</f>
        <v>0.0042417</v>
      </c>
      <c r="K408" s="4" t="str">
        <f>HYPERLINK("http://141.218.60.56/~jnz1568/getInfo.php?workbook=16_15.xlsx&amp;sheet=A0&amp;row=408&amp;col=11&amp;number=&amp;sourceID=54","")</f>
        <v/>
      </c>
      <c r="L408" s="4" t="str">
        <f>HYPERLINK("http://141.218.60.56/~jnz1568/getInfo.php?workbook=16_15.xlsx&amp;sheet=A0&amp;row=408&amp;col=12&amp;number=&amp;sourceID=53","")</f>
        <v/>
      </c>
      <c r="M408" s="4" t="str">
        <f>HYPERLINK("http://141.218.60.56/~jnz1568/getInfo.php?workbook=16_15.xlsx&amp;sheet=A0&amp;row=408&amp;col=13&amp;number=&amp;sourceID=53","")</f>
        <v/>
      </c>
      <c r="N408" s="4" t="str">
        <f>HYPERLINK("http://141.218.60.56/~jnz1568/getInfo.php?workbook=16_15.xlsx&amp;sheet=A0&amp;row=408&amp;col=14&amp;number=&amp;sourceID=53","")</f>
        <v/>
      </c>
      <c r="O408" s="4" t="str">
        <f>HYPERLINK("http://141.218.60.56/~jnz1568/getInfo.php?workbook=16_15.xlsx&amp;sheet=A0&amp;row=408&amp;col=15&amp;number=&amp;sourceID=55","")</f>
        <v/>
      </c>
      <c r="P408" s="4" t="str">
        <f>HYPERLINK("http://141.218.60.56/~jnz1568/getInfo.php?workbook=16_15.xlsx&amp;sheet=A0&amp;row=408&amp;col=16&amp;number=&amp;sourceID=55","")</f>
        <v/>
      </c>
      <c r="Q408" s="4" t="str">
        <f>HYPERLINK("http://141.218.60.56/~jnz1568/getInfo.php?workbook=16_15.xlsx&amp;sheet=A0&amp;row=408&amp;col=17&amp;number=&amp;sourceID=56","")</f>
        <v/>
      </c>
      <c r="R408" s="4" t="str">
        <f>HYPERLINK("http://141.218.60.56/~jnz1568/getInfo.php?workbook=16_15.xlsx&amp;sheet=A0&amp;row=408&amp;col=18&amp;number=&amp;sourceID=56","")</f>
        <v/>
      </c>
      <c r="S408" s="4" t="str">
        <f>HYPERLINK("http://141.218.60.56/~jnz1568/getInfo.php?workbook=16_15.xlsx&amp;sheet=A0&amp;row=408&amp;col=19&amp;number=&amp;sourceID=57","")</f>
        <v/>
      </c>
      <c r="T408" s="4" t="str">
        <f>HYPERLINK("http://141.218.60.56/~jnz1568/getInfo.php?workbook=16_15.xlsx&amp;sheet=A0&amp;row=408&amp;col=20&amp;number=&amp;sourceID=57","")</f>
        <v/>
      </c>
      <c r="U408" s="4" t="str">
        <f>HYPERLINK("http://141.218.60.56/~jnz1568/getInfo.php?workbook=16_15.xlsx&amp;sheet=A0&amp;row=408&amp;col=21&amp;number=&amp;sourceID=47","")</f>
        <v/>
      </c>
      <c r="V408" s="4" t="str">
        <f>HYPERLINK("http://141.218.60.56/~jnz1568/getInfo.php?workbook=16_15.xlsx&amp;sheet=A0&amp;row=408&amp;col=22&amp;number=&amp;sourceID=47","")</f>
        <v/>
      </c>
    </row>
    <row r="409" spans="1:22">
      <c r="A409" s="3">
        <v>16</v>
      </c>
      <c r="B409" s="3">
        <v>15</v>
      </c>
      <c r="C409" s="3">
        <v>32</v>
      </c>
      <c r="D409" s="3">
        <v>23</v>
      </c>
      <c r="E409" s="3">
        <f>((1/(INDEX(E0!J$4:J$73,C409,1)-INDEX(E0!J$4:J$73,D409,1))))*100000000</f>
        <v>0</v>
      </c>
      <c r="F409" s="4" t="str">
        <f>HYPERLINK("http://141.218.60.56/~jnz1568/getInfo.php?workbook=16_15.xlsx&amp;sheet=A0&amp;row=409&amp;col=6&amp;number=&amp;sourceID=54","")</f>
        <v/>
      </c>
      <c r="G409" s="4" t="str">
        <f>HYPERLINK("http://141.218.60.56/~jnz1568/getInfo.php?workbook=16_15.xlsx&amp;sheet=A0&amp;row=409&amp;col=7&amp;number=2.9287e-06&amp;sourceID=54","2.9287e-06")</f>
        <v>2.9287e-06</v>
      </c>
      <c r="H409" s="4" t="str">
        <f>HYPERLINK("http://141.218.60.56/~jnz1568/getInfo.php?workbook=16_15.xlsx&amp;sheet=A0&amp;row=409&amp;col=8&amp;number=&amp;sourceID=54","")</f>
        <v/>
      </c>
      <c r="I409" s="4" t="str">
        <f>HYPERLINK("http://141.218.60.56/~jnz1568/getInfo.php?workbook=16_15.xlsx&amp;sheet=A0&amp;row=409&amp;col=9&amp;number=&amp;sourceID=54","")</f>
        <v/>
      </c>
      <c r="J409" s="4" t="str">
        <f>HYPERLINK("http://141.218.60.56/~jnz1568/getInfo.php?workbook=16_15.xlsx&amp;sheet=A0&amp;row=409&amp;col=10&amp;number=2.659e-06&amp;sourceID=54","2.659e-06")</f>
        <v>2.659e-06</v>
      </c>
      <c r="K409" s="4" t="str">
        <f>HYPERLINK("http://141.218.60.56/~jnz1568/getInfo.php?workbook=16_15.xlsx&amp;sheet=A0&amp;row=409&amp;col=11&amp;number=&amp;sourceID=54","")</f>
        <v/>
      </c>
      <c r="L409" s="4" t="str">
        <f>HYPERLINK("http://141.218.60.56/~jnz1568/getInfo.php?workbook=16_15.xlsx&amp;sheet=A0&amp;row=409&amp;col=12&amp;number=&amp;sourceID=53","")</f>
        <v/>
      </c>
      <c r="M409" s="4" t="str">
        <f>HYPERLINK("http://141.218.60.56/~jnz1568/getInfo.php?workbook=16_15.xlsx&amp;sheet=A0&amp;row=409&amp;col=13&amp;number=&amp;sourceID=53","")</f>
        <v/>
      </c>
      <c r="N409" s="4" t="str">
        <f>HYPERLINK("http://141.218.60.56/~jnz1568/getInfo.php?workbook=16_15.xlsx&amp;sheet=A0&amp;row=409&amp;col=14&amp;number=&amp;sourceID=53","")</f>
        <v/>
      </c>
      <c r="O409" s="4" t="str">
        <f>HYPERLINK("http://141.218.60.56/~jnz1568/getInfo.php?workbook=16_15.xlsx&amp;sheet=A0&amp;row=409&amp;col=15&amp;number=&amp;sourceID=55","")</f>
        <v/>
      </c>
      <c r="P409" s="4" t="str">
        <f>HYPERLINK("http://141.218.60.56/~jnz1568/getInfo.php?workbook=16_15.xlsx&amp;sheet=A0&amp;row=409&amp;col=16&amp;number=&amp;sourceID=55","")</f>
        <v/>
      </c>
      <c r="Q409" s="4" t="str">
        <f>HYPERLINK("http://141.218.60.56/~jnz1568/getInfo.php?workbook=16_15.xlsx&amp;sheet=A0&amp;row=409&amp;col=17&amp;number=&amp;sourceID=56","")</f>
        <v/>
      </c>
      <c r="R409" s="4" t="str">
        <f>HYPERLINK("http://141.218.60.56/~jnz1568/getInfo.php?workbook=16_15.xlsx&amp;sheet=A0&amp;row=409&amp;col=18&amp;number=&amp;sourceID=56","")</f>
        <v/>
      </c>
      <c r="S409" s="4" t="str">
        <f>HYPERLINK("http://141.218.60.56/~jnz1568/getInfo.php?workbook=16_15.xlsx&amp;sheet=A0&amp;row=409&amp;col=19&amp;number=&amp;sourceID=57","")</f>
        <v/>
      </c>
      <c r="T409" s="4" t="str">
        <f>HYPERLINK("http://141.218.60.56/~jnz1568/getInfo.php?workbook=16_15.xlsx&amp;sheet=A0&amp;row=409&amp;col=20&amp;number=&amp;sourceID=57","")</f>
        <v/>
      </c>
      <c r="U409" s="4" t="str">
        <f>HYPERLINK("http://141.218.60.56/~jnz1568/getInfo.php?workbook=16_15.xlsx&amp;sheet=A0&amp;row=409&amp;col=21&amp;number=&amp;sourceID=47","")</f>
        <v/>
      </c>
      <c r="V409" s="4" t="str">
        <f>HYPERLINK("http://141.218.60.56/~jnz1568/getInfo.php?workbook=16_15.xlsx&amp;sheet=A0&amp;row=409&amp;col=22&amp;number=&amp;sourceID=47","")</f>
        <v/>
      </c>
    </row>
    <row r="410" spans="1:22">
      <c r="A410" s="3">
        <v>16</v>
      </c>
      <c r="B410" s="3">
        <v>15</v>
      </c>
      <c r="C410" s="3">
        <v>32</v>
      </c>
      <c r="D410" s="3">
        <v>24</v>
      </c>
      <c r="E410" s="3">
        <f>((1/(INDEX(E0!J$4:J$73,C410,1)-INDEX(E0!J$4:J$73,D410,1))))*100000000</f>
        <v>0</v>
      </c>
      <c r="F410" s="4" t="str">
        <f>HYPERLINK("http://141.218.60.56/~jnz1568/getInfo.php?workbook=16_15.xlsx&amp;sheet=A0&amp;row=410&amp;col=6&amp;number=&amp;sourceID=54","")</f>
        <v/>
      </c>
      <c r="G410" s="4" t="str">
        <f>HYPERLINK("http://141.218.60.56/~jnz1568/getInfo.php?workbook=16_15.xlsx&amp;sheet=A0&amp;row=410&amp;col=7&amp;number=0.00084286&amp;sourceID=54","0.00084286")</f>
        <v>0.00084286</v>
      </c>
      <c r="H410" s="4" t="str">
        <f>HYPERLINK("http://141.218.60.56/~jnz1568/getInfo.php?workbook=16_15.xlsx&amp;sheet=A0&amp;row=410&amp;col=8&amp;number=0.00018854&amp;sourceID=54","0.00018854")</f>
        <v>0.00018854</v>
      </c>
      <c r="I410" s="4" t="str">
        <f>HYPERLINK("http://141.218.60.56/~jnz1568/getInfo.php?workbook=16_15.xlsx&amp;sheet=A0&amp;row=410&amp;col=9&amp;number=&amp;sourceID=54","")</f>
        <v/>
      </c>
      <c r="J410" s="4" t="str">
        <f>HYPERLINK("http://141.218.60.56/~jnz1568/getInfo.php?workbook=16_15.xlsx&amp;sheet=A0&amp;row=410&amp;col=10&amp;number=0.0016882&amp;sourceID=54","0.0016882")</f>
        <v>0.0016882</v>
      </c>
      <c r="K410" s="4" t="str">
        <f>HYPERLINK("http://141.218.60.56/~jnz1568/getInfo.php?workbook=16_15.xlsx&amp;sheet=A0&amp;row=410&amp;col=11&amp;number=0.00034892&amp;sourceID=54","0.00034892")</f>
        <v>0.00034892</v>
      </c>
      <c r="L410" s="4" t="str">
        <f>HYPERLINK("http://141.218.60.56/~jnz1568/getInfo.php?workbook=16_15.xlsx&amp;sheet=A0&amp;row=410&amp;col=12&amp;number=&amp;sourceID=53","")</f>
        <v/>
      </c>
      <c r="M410" s="4" t="str">
        <f>HYPERLINK("http://141.218.60.56/~jnz1568/getInfo.php?workbook=16_15.xlsx&amp;sheet=A0&amp;row=410&amp;col=13&amp;number=&amp;sourceID=53","")</f>
        <v/>
      </c>
      <c r="N410" s="4" t="str">
        <f>HYPERLINK("http://141.218.60.56/~jnz1568/getInfo.php?workbook=16_15.xlsx&amp;sheet=A0&amp;row=410&amp;col=14&amp;number=&amp;sourceID=53","")</f>
        <v/>
      </c>
      <c r="O410" s="4" t="str">
        <f>HYPERLINK("http://141.218.60.56/~jnz1568/getInfo.php?workbook=16_15.xlsx&amp;sheet=A0&amp;row=410&amp;col=15&amp;number=&amp;sourceID=55","")</f>
        <v/>
      </c>
      <c r="P410" s="4" t="str">
        <f>HYPERLINK("http://141.218.60.56/~jnz1568/getInfo.php?workbook=16_15.xlsx&amp;sheet=A0&amp;row=410&amp;col=16&amp;number=&amp;sourceID=55","")</f>
        <v/>
      </c>
      <c r="Q410" s="4" t="str">
        <f>HYPERLINK("http://141.218.60.56/~jnz1568/getInfo.php?workbook=16_15.xlsx&amp;sheet=A0&amp;row=410&amp;col=17&amp;number=&amp;sourceID=56","")</f>
        <v/>
      </c>
      <c r="R410" s="4" t="str">
        <f>HYPERLINK("http://141.218.60.56/~jnz1568/getInfo.php?workbook=16_15.xlsx&amp;sheet=A0&amp;row=410&amp;col=18&amp;number=&amp;sourceID=56","")</f>
        <v/>
      </c>
      <c r="S410" s="4" t="str">
        <f>HYPERLINK("http://141.218.60.56/~jnz1568/getInfo.php?workbook=16_15.xlsx&amp;sheet=A0&amp;row=410&amp;col=19&amp;number=&amp;sourceID=57","")</f>
        <v/>
      </c>
      <c r="T410" s="4" t="str">
        <f>HYPERLINK("http://141.218.60.56/~jnz1568/getInfo.php?workbook=16_15.xlsx&amp;sheet=A0&amp;row=410&amp;col=20&amp;number=&amp;sourceID=57","")</f>
        <v/>
      </c>
      <c r="U410" s="4" t="str">
        <f>HYPERLINK("http://141.218.60.56/~jnz1568/getInfo.php?workbook=16_15.xlsx&amp;sheet=A0&amp;row=410&amp;col=21&amp;number=&amp;sourceID=47","")</f>
        <v/>
      </c>
      <c r="V410" s="4" t="str">
        <f>HYPERLINK("http://141.218.60.56/~jnz1568/getInfo.php?workbook=16_15.xlsx&amp;sheet=A0&amp;row=410&amp;col=22&amp;number=&amp;sourceID=47","")</f>
        <v/>
      </c>
    </row>
    <row r="411" spans="1:22">
      <c r="A411" s="3">
        <v>16</v>
      </c>
      <c r="B411" s="3">
        <v>15</v>
      </c>
      <c r="C411" s="3">
        <v>32</v>
      </c>
      <c r="D411" s="3">
        <v>25</v>
      </c>
      <c r="E411" s="3">
        <f>((1/(INDEX(E0!J$4:J$73,C411,1)-INDEX(E0!J$4:J$73,D411,1))))*100000000</f>
        <v>0</v>
      </c>
      <c r="F411" s="4" t="str">
        <f>HYPERLINK("http://141.218.60.56/~jnz1568/getInfo.php?workbook=16_15.xlsx&amp;sheet=A0&amp;row=411&amp;col=6&amp;number=&amp;sourceID=54","")</f>
        <v/>
      </c>
      <c r="G411" s="4" t="str">
        <f>HYPERLINK("http://141.218.60.56/~jnz1568/getInfo.php?workbook=16_15.xlsx&amp;sheet=A0&amp;row=411&amp;col=7&amp;number=9.2115e-05&amp;sourceID=54","9.2115e-05")</f>
        <v>9.2115e-05</v>
      </c>
      <c r="H411" s="4" t="str">
        <f>HYPERLINK("http://141.218.60.56/~jnz1568/getInfo.php?workbook=16_15.xlsx&amp;sheet=A0&amp;row=411&amp;col=8&amp;number=0.00071711&amp;sourceID=54","0.00071711")</f>
        <v>0.00071711</v>
      </c>
      <c r="I411" s="4" t="str">
        <f>HYPERLINK("http://141.218.60.56/~jnz1568/getInfo.php?workbook=16_15.xlsx&amp;sheet=A0&amp;row=411&amp;col=9&amp;number=&amp;sourceID=54","")</f>
        <v/>
      </c>
      <c r="J411" s="4" t="str">
        <f>HYPERLINK("http://141.218.60.56/~jnz1568/getInfo.php?workbook=16_15.xlsx&amp;sheet=A0&amp;row=411&amp;col=10&amp;number=0.00014663&amp;sourceID=54","0.00014663")</f>
        <v>0.00014663</v>
      </c>
      <c r="K411" s="4" t="str">
        <f>HYPERLINK("http://141.218.60.56/~jnz1568/getInfo.php?workbook=16_15.xlsx&amp;sheet=A0&amp;row=411&amp;col=11&amp;number=0.0011162&amp;sourceID=54","0.0011162")</f>
        <v>0.0011162</v>
      </c>
      <c r="L411" s="4" t="str">
        <f>HYPERLINK("http://141.218.60.56/~jnz1568/getInfo.php?workbook=16_15.xlsx&amp;sheet=A0&amp;row=411&amp;col=12&amp;number=&amp;sourceID=53","")</f>
        <v/>
      </c>
      <c r="M411" s="4" t="str">
        <f>HYPERLINK("http://141.218.60.56/~jnz1568/getInfo.php?workbook=16_15.xlsx&amp;sheet=A0&amp;row=411&amp;col=13&amp;number=&amp;sourceID=53","")</f>
        <v/>
      </c>
      <c r="N411" s="4" t="str">
        <f>HYPERLINK("http://141.218.60.56/~jnz1568/getInfo.php?workbook=16_15.xlsx&amp;sheet=A0&amp;row=411&amp;col=14&amp;number=&amp;sourceID=53","")</f>
        <v/>
      </c>
      <c r="O411" s="4" t="str">
        <f>HYPERLINK("http://141.218.60.56/~jnz1568/getInfo.php?workbook=16_15.xlsx&amp;sheet=A0&amp;row=411&amp;col=15&amp;number=&amp;sourceID=55","")</f>
        <v/>
      </c>
      <c r="P411" s="4" t="str">
        <f>HYPERLINK("http://141.218.60.56/~jnz1568/getInfo.php?workbook=16_15.xlsx&amp;sheet=A0&amp;row=411&amp;col=16&amp;number=&amp;sourceID=55","")</f>
        <v/>
      </c>
      <c r="Q411" s="4" t="str">
        <f>HYPERLINK("http://141.218.60.56/~jnz1568/getInfo.php?workbook=16_15.xlsx&amp;sheet=A0&amp;row=411&amp;col=17&amp;number=&amp;sourceID=56","")</f>
        <v/>
      </c>
      <c r="R411" s="4" t="str">
        <f>HYPERLINK("http://141.218.60.56/~jnz1568/getInfo.php?workbook=16_15.xlsx&amp;sheet=A0&amp;row=411&amp;col=18&amp;number=&amp;sourceID=56","")</f>
        <v/>
      </c>
      <c r="S411" s="4" t="str">
        <f>HYPERLINK("http://141.218.60.56/~jnz1568/getInfo.php?workbook=16_15.xlsx&amp;sheet=A0&amp;row=411&amp;col=19&amp;number=&amp;sourceID=57","")</f>
        <v/>
      </c>
      <c r="T411" s="4" t="str">
        <f>HYPERLINK("http://141.218.60.56/~jnz1568/getInfo.php?workbook=16_15.xlsx&amp;sheet=A0&amp;row=411&amp;col=20&amp;number=&amp;sourceID=57","")</f>
        <v/>
      </c>
      <c r="U411" s="4" t="str">
        <f>HYPERLINK("http://141.218.60.56/~jnz1568/getInfo.php?workbook=16_15.xlsx&amp;sheet=A0&amp;row=411&amp;col=21&amp;number=&amp;sourceID=47","")</f>
        <v/>
      </c>
      <c r="V411" s="4" t="str">
        <f>HYPERLINK("http://141.218.60.56/~jnz1568/getInfo.php?workbook=16_15.xlsx&amp;sheet=A0&amp;row=411&amp;col=22&amp;number=&amp;sourceID=47","")</f>
        <v/>
      </c>
    </row>
    <row r="412" spans="1:22">
      <c r="A412" s="3">
        <v>16</v>
      </c>
      <c r="B412" s="3">
        <v>15</v>
      </c>
      <c r="C412" s="3">
        <v>32</v>
      </c>
      <c r="D412" s="3">
        <v>26</v>
      </c>
      <c r="E412" s="3">
        <f>((1/(INDEX(E0!J$4:J$73,C412,1)-INDEX(E0!J$4:J$73,D412,1))))*100000000</f>
        <v>0</v>
      </c>
      <c r="F412" s="4" t="str">
        <f>HYPERLINK("http://141.218.60.56/~jnz1568/getInfo.php?workbook=16_15.xlsx&amp;sheet=A0&amp;row=412&amp;col=6&amp;number=&amp;sourceID=54","")</f>
        <v/>
      </c>
      <c r="G412" s="4" t="str">
        <f>HYPERLINK("http://141.218.60.56/~jnz1568/getInfo.php?workbook=16_15.xlsx&amp;sheet=A0&amp;row=412&amp;col=7&amp;number=0.045456&amp;sourceID=54","0.045456")</f>
        <v>0.045456</v>
      </c>
      <c r="H412" s="4" t="str">
        <f>HYPERLINK("http://141.218.60.56/~jnz1568/getInfo.php?workbook=16_15.xlsx&amp;sheet=A0&amp;row=412&amp;col=8&amp;number=0.0054781&amp;sourceID=54","0.0054781")</f>
        <v>0.0054781</v>
      </c>
      <c r="I412" s="4" t="str">
        <f>HYPERLINK("http://141.218.60.56/~jnz1568/getInfo.php?workbook=16_15.xlsx&amp;sheet=A0&amp;row=412&amp;col=9&amp;number=&amp;sourceID=54","")</f>
        <v/>
      </c>
      <c r="J412" s="4" t="str">
        <f>HYPERLINK("http://141.218.60.56/~jnz1568/getInfo.php?workbook=16_15.xlsx&amp;sheet=A0&amp;row=412&amp;col=10&amp;number=0.036556&amp;sourceID=54","0.036556")</f>
        <v>0.036556</v>
      </c>
      <c r="K412" s="4" t="str">
        <f>HYPERLINK("http://141.218.60.56/~jnz1568/getInfo.php?workbook=16_15.xlsx&amp;sheet=A0&amp;row=412&amp;col=11&amp;number=0.0051208&amp;sourceID=54","0.0051208")</f>
        <v>0.0051208</v>
      </c>
      <c r="L412" s="4" t="str">
        <f>HYPERLINK("http://141.218.60.56/~jnz1568/getInfo.php?workbook=16_15.xlsx&amp;sheet=A0&amp;row=412&amp;col=12&amp;number=&amp;sourceID=53","")</f>
        <v/>
      </c>
      <c r="M412" s="4" t="str">
        <f>HYPERLINK("http://141.218.60.56/~jnz1568/getInfo.php?workbook=16_15.xlsx&amp;sheet=A0&amp;row=412&amp;col=13&amp;number=&amp;sourceID=53","")</f>
        <v/>
      </c>
      <c r="N412" s="4" t="str">
        <f>HYPERLINK("http://141.218.60.56/~jnz1568/getInfo.php?workbook=16_15.xlsx&amp;sheet=A0&amp;row=412&amp;col=14&amp;number=&amp;sourceID=53","")</f>
        <v/>
      </c>
      <c r="O412" s="4" t="str">
        <f>HYPERLINK("http://141.218.60.56/~jnz1568/getInfo.php?workbook=16_15.xlsx&amp;sheet=A0&amp;row=412&amp;col=15&amp;number=&amp;sourceID=55","")</f>
        <v/>
      </c>
      <c r="P412" s="4" t="str">
        <f>HYPERLINK("http://141.218.60.56/~jnz1568/getInfo.php?workbook=16_15.xlsx&amp;sheet=A0&amp;row=412&amp;col=16&amp;number=&amp;sourceID=55","")</f>
        <v/>
      </c>
      <c r="Q412" s="4" t="str">
        <f>HYPERLINK("http://141.218.60.56/~jnz1568/getInfo.php?workbook=16_15.xlsx&amp;sheet=A0&amp;row=412&amp;col=17&amp;number=&amp;sourceID=56","")</f>
        <v/>
      </c>
      <c r="R412" s="4" t="str">
        <f>HYPERLINK("http://141.218.60.56/~jnz1568/getInfo.php?workbook=16_15.xlsx&amp;sheet=A0&amp;row=412&amp;col=18&amp;number=&amp;sourceID=56","")</f>
        <v/>
      </c>
      <c r="S412" s="4" t="str">
        <f>HYPERLINK("http://141.218.60.56/~jnz1568/getInfo.php?workbook=16_15.xlsx&amp;sheet=A0&amp;row=412&amp;col=19&amp;number=&amp;sourceID=57","")</f>
        <v/>
      </c>
      <c r="T412" s="4" t="str">
        <f>HYPERLINK("http://141.218.60.56/~jnz1568/getInfo.php?workbook=16_15.xlsx&amp;sheet=A0&amp;row=412&amp;col=20&amp;number=&amp;sourceID=57","")</f>
        <v/>
      </c>
      <c r="U412" s="4" t="str">
        <f>HYPERLINK("http://141.218.60.56/~jnz1568/getInfo.php?workbook=16_15.xlsx&amp;sheet=A0&amp;row=412&amp;col=21&amp;number=&amp;sourceID=47","")</f>
        <v/>
      </c>
      <c r="V412" s="4" t="str">
        <f>HYPERLINK("http://141.218.60.56/~jnz1568/getInfo.php?workbook=16_15.xlsx&amp;sheet=A0&amp;row=412&amp;col=22&amp;number=&amp;sourceID=47","")</f>
        <v/>
      </c>
    </row>
    <row r="413" spans="1:22">
      <c r="A413" s="3">
        <v>16</v>
      </c>
      <c r="B413" s="3">
        <v>15</v>
      </c>
      <c r="C413" s="3">
        <v>32</v>
      </c>
      <c r="D413" s="3">
        <v>27</v>
      </c>
      <c r="E413" s="3">
        <f>((1/(INDEX(E0!J$4:J$73,C413,1)-INDEX(E0!J$4:J$73,D413,1))))*100000000</f>
        <v>0</v>
      </c>
      <c r="F413" s="4" t="str">
        <f>HYPERLINK("http://141.218.60.56/~jnz1568/getInfo.php?workbook=16_15.xlsx&amp;sheet=A0&amp;row=413&amp;col=6&amp;number=&amp;sourceID=54","")</f>
        <v/>
      </c>
      <c r="G413" s="4" t="str">
        <f>HYPERLINK("http://141.218.60.56/~jnz1568/getInfo.php?workbook=16_15.xlsx&amp;sheet=A0&amp;row=413&amp;col=7&amp;number=0.002835&amp;sourceID=54","0.002835")</f>
        <v>0.002835</v>
      </c>
      <c r="H413" s="4" t="str">
        <f>HYPERLINK("http://141.218.60.56/~jnz1568/getInfo.php?workbook=16_15.xlsx&amp;sheet=A0&amp;row=413&amp;col=8&amp;number=0.011706&amp;sourceID=54","0.011706")</f>
        <v>0.011706</v>
      </c>
      <c r="I413" s="4" t="str">
        <f>HYPERLINK("http://141.218.60.56/~jnz1568/getInfo.php?workbook=16_15.xlsx&amp;sheet=A0&amp;row=413&amp;col=9&amp;number=&amp;sourceID=54","")</f>
        <v/>
      </c>
      <c r="J413" s="4" t="str">
        <f>HYPERLINK("http://141.218.60.56/~jnz1568/getInfo.php?workbook=16_15.xlsx&amp;sheet=A0&amp;row=413&amp;col=10&amp;number=0.0022403&amp;sourceID=54","0.0022403")</f>
        <v>0.0022403</v>
      </c>
      <c r="K413" s="4" t="str">
        <f>HYPERLINK("http://141.218.60.56/~jnz1568/getInfo.php?workbook=16_15.xlsx&amp;sheet=A0&amp;row=413&amp;col=11&amp;number=0.010822&amp;sourceID=54","0.010822")</f>
        <v>0.010822</v>
      </c>
      <c r="L413" s="4" t="str">
        <f>HYPERLINK("http://141.218.60.56/~jnz1568/getInfo.php?workbook=16_15.xlsx&amp;sheet=A0&amp;row=413&amp;col=12&amp;number=&amp;sourceID=53","")</f>
        <v/>
      </c>
      <c r="M413" s="4" t="str">
        <f>HYPERLINK("http://141.218.60.56/~jnz1568/getInfo.php?workbook=16_15.xlsx&amp;sheet=A0&amp;row=413&amp;col=13&amp;number=&amp;sourceID=53","")</f>
        <v/>
      </c>
      <c r="N413" s="4" t="str">
        <f>HYPERLINK("http://141.218.60.56/~jnz1568/getInfo.php?workbook=16_15.xlsx&amp;sheet=A0&amp;row=413&amp;col=14&amp;number=&amp;sourceID=53","")</f>
        <v/>
      </c>
      <c r="O413" s="4" t="str">
        <f>HYPERLINK("http://141.218.60.56/~jnz1568/getInfo.php?workbook=16_15.xlsx&amp;sheet=A0&amp;row=413&amp;col=15&amp;number=&amp;sourceID=55","")</f>
        <v/>
      </c>
      <c r="P413" s="4" t="str">
        <f>HYPERLINK("http://141.218.60.56/~jnz1568/getInfo.php?workbook=16_15.xlsx&amp;sheet=A0&amp;row=413&amp;col=16&amp;number=&amp;sourceID=55","")</f>
        <v/>
      </c>
      <c r="Q413" s="4" t="str">
        <f>HYPERLINK("http://141.218.60.56/~jnz1568/getInfo.php?workbook=16_15.xlsx&amp;sheet=A0&amp;row=413&amp;col=17&amp;number=&amp;sourceID=56","")</f>
        <v/>
      </c>
      <c r="R413" s="4" t="str">
        <f>HYPERLINK("http://141.218.60.56/~jnz1568/getInfo.php?workbook=16_15.xlsx&amp;sheet=A0&amp;row=413&amp;col=18&amp;number=&amp;sourceID=56","")</f>
        <v/>
      </c>
      <c r="S413" s="4" t="str">
        <f>HYPERLINK("http://141.218.60.56/~jnz1568/getInfo.php?workbook=16_15.xlsx&amp;sheet=A0&amp;row=413&amp;col=19&amp;number=&amp;sourceID=57","")</f>
        <v/>
      </c>
      <c r="T413" s="4" t="str">
        <f>HYPERLINK("http://141.218.60.56/~jnz1568/getInfo.php?workbook=16_15.xlsx&amp;sheet=A0&amp;row=413&amp;col=20&amp;number=&amp;sourceID=57","")</f>
        <v/>
      </c>
      <c r="U413" s="4" t="str">
        <f>HYPERLINK("http://141.218.60.56/~jnz1568/getInfo.php?workbook=16_15.xlsx&amp;sheet=A0&amp;row=413&amp;col=21&amp;number=&amp;sourceID=47","")</f>
        <v/>
      </c>
      <c r="V413" s="4" t="str">
        <f>HYPERLINK("http://141.218.60.56/~jnz1568/getInfo.php?workbook=16_15.xlsx&amp;sheet=A0&amp;row=413&amp;col=22&amp;number=&amp;sourceID=47","")</f>
        <v/>
      </c>
    </row>
    <row r="414" spans="1:22">
      <c r="A414" s="3">
        <v>16</v>
      </c>
      <c r="B414" s="3">
        <v>15</v>
      </c>
      <c r="C414" s="3">
        <v>32</v>
      </c>
      <c r="D414" s="3">
        <v>29</v>
      </c>
      <c r="E414" s="3">
        <f>((1/(INDEX(E0!J$4:J$73,C414,1)-INDEX(E0!J$4:J$73,D414,1))))*100000000</f>
        <v>0</v>
      </c>
      <c r="F414" s="4" t="str">
        <f>HYPERLINK("http://141.218.60.56/~jnz1568/getInfo.php?workbook=16_15.xlsx&amp;sheet=A0&amp;row=414&amp;col=6&amp;number=&amp;sourceID=54","")</f>
        <v/>
      </c>
      <c r="G414" s="4" t="str">
        <f>HYPERLINK("http://141.218.60.56/~jnz1568/getInfo.php?workbook=16_15.xlsx&amp;sheet=A0&amp;row=414&amp;col=7&amp;number=0.042296&amp;sourceID=54","0.042296")</f>
        <v>0.042296</v>
      </c>
      <c r="H414" s="4" t="str">
        <f>HYPERLINK("http://141.218.60.56/~jnz1568/getInfo.php?workbook=16_15.xlsx&amp;sheet=A0&amp;row=414&amp;col=8&amp;number=&amp;sourceID=54","")</f>
        <v/>
      </c>
      <c r="I414" s="4" t="str">
        <f>HYPERLINK("http://141.218.60.56/~jnz1568/getInfo.php?workbook=16_15.xlsx&amp;sheet=A0&amp;row=414&amp;col=9&amp;number=&amp;sourceID=54","")</f>
        <v/>
      </c>
      <c r="J414" s="4" t="str">
        <f>HYPERLINK("http://141.218.60.56/~jnz1568/getInfo.php?workbook=16_15.xlsx&amp;sheet=A0&amp;row=414&amp;col=10&amp;number=0.02046&amp;sourceID=54","0.02046")</f>
        <v>0.02046</v>
      </c>
      <c r="K414" s="4" t="str">
        <f>HYPERLINK("http://141.218.60.56/~jnz1568/getInfo.php?workbook=16_15.xlsx&amp;sheet=A0&amp;row=414&amp;col=11&amp;number=&amp;sourceID=54","")</f>
        <v/>
      </c>
      <c r="L414" s="4" t="str">
        <f>HYPERLINK("http://141.218.60.56/~jnz1568/getInfo.php?workbook=16_15.xlsx&amp;sheet=A0&amp;row=414&amp;col=12&amp;number=&amp;sourceID=53","")</f>
        <v/>
      </c>
      <c r="M414" s="4" t="str">
        <f>HYPERLINK("http://141.218.60.56/~jnz1568/getInfo.php?workbook=16_15.xlsx&amp;sheet=A0&amp;row=414&amp;col=13&amp;number=&amp;sourceID=53","")</f>
        <v/>
      </c>
      <c r="N414" s="4" t="str">
        <f>HYPERLINK("http://141.218.60.56/~jnz1568/getInfo.php?workbook=16_15.xlsx&amp;sheet=A0&amp;row=414&amp;col=14&amp;number=&amp;sourceID=53","")</f>
        <v/>
      </c>
      <c r="O414" s="4" t="str">
        <f>HYPERLINK("http://141.218.60.56/~jnz1568/getInfo.php?workbook=16_15.xlsx&amp;sheet=A0&amp;row=414&amp;col=15&amp;number=&amp;sourceID=55","")</f>
        <v/>
      </c>
      <c r="P414" s="4" t="str">
        <f>HYPERLINK("http://141.218.60.56/~jnz1568/getInfo.php?workbook=16_15.xlsx&amp;sheet=A0&amp;row=414&amp;col=16&amp;number=&amp;sourceID=55","")</f>
        <v/>
      </c>
      <c r="Q414" s="4" t="str">
        <f>HYPERLINK("http://141.218.60.56/~jnz1568/getInfo.php?workbook=16_15.xlsx&amp;sheet=A0&amp;row=414&amp;col=17&amp;number=&amp;sourceID=56","")</f>
        <v/>
      </c>
      <c r="R414" s="4" t="str">
        <f>HYPERLINK("http://141.218.60.56/~jnz1568/getInfo.php?workbook=16_15.xlsx&amp;sheet=A0&amp;row=414&amp;col=18&amp;number=&amp;sourceID=56","")</f>
        <v/>
      </c>
      <c r="S414" s="4" t="str">
        <f>HYPERLINK("http://141.218.60.56/~jnz1568/getInfo.php?workbook=16_15.xlsx&amp;sheet=A0&amp;row=414&amp;col=19&amp;number=&amp;sourceID=57","")</f>
        <v/>
      </c>
      <c r="T414" s="4" t="str">
        <f>HYPERLINK("http://141.218.60.56/~jnz1568/getInfo.php?workbook=16_15.xlsx&amp;sheet=A0&amp;row=414&amp;col=20&amp;number=&amp;sourceID=57","")</f>
        <v/>
      </c>
      <c r="U414" s="4" t="str">
        <f>HYPERLINK("http://141.218.60.56/~jnz1568/getInfo.php?workbook=16_15.xlsx&amp;sheet=A0&amp;row=414&amp;col=21&amp;number=&amp;sourceID=47","")</f>
        <v/>
      </c>
      <c r="V414" s="4" t="str">
        <f>HYPERLINK("http://141.218.60.56/~jnz1568/getInfo.php?workbook=16_15.xlsx&amp;sheet=A0&amp;row=414&amp;col=22&amp;number=&amp;sourceID=47","")</f>
        <v/>
      </c>
    </row>
    <row r="415" spans="1:22">
      <c r="A415" s="3">
        <v>16</v>
      </c>
      <c r="B415" s="3">
        <v>15</v>
      </c>
      <c r="C415" s="3">
        <v>32</v>
      </c>
      <c r="D415" s="3">
        <v>30</v>
      </c>
      <c r="E415" s="3">
        <f>((1/(INDEX(E0!J$4:J$73,C415,1)-INDEX(E0!J$4:J$73,D415,1))))*100000000</f>
        <v>0</v>
      </c>
      <c r="F415" s="4" t="str">
        <f>HYPERLINK("http://141.218.60.56/~jnz1568/getInfo.php?workbook=16_15.xlsx&amp;sheet=A0&amp;row=415&amp;col=6&amp;number=&amp;sourceID=54","")</f>
        <v/>
      </c>
      <c r="G415" s="4" t="str">
        <f>HYPERLINK("http://141.218.60.56/~jnz1568/getInfo.php?workbook=16_15.xlsx&amp;sheet=A0&amp;row=415&amp;col=7&amp;number=0.004&amp;sourceID=54","0.004")</f>
        <v>0.004</v>
      </c>
      <c r="H415" s="4" t="str">
        <f>HYPERLINK("http://141.218.60.56/~jnz1568/getInfo.php?workbook=16_15.xlsx&amp;sheet=A0&amp;row=415&amp;col=8&amp;number=4.169e-11&amp;sourceID=54","4.169e-11")</f>
        <v>4.169e-11</v>
      </c>
      <c r="I415" s="4" t="str">
        <f>HYPERLINK("http://141.218.60.56/~jnz1568/getInfo.php?workbook=16_15.xlsx&amp;sheet=A0&amp;row=415&amp;col=9&amp;number=&amp;sourceID=54","")</f>
        <v/>
      </c>
      <c r="J415" s="4" t="str">
        <f>HYPERLINK("http://141.218.60.56/~jnz1568/getInfo.php?workbook=16_15.xlsx&amp;sheet=A0&amp;row=415&amp;col=10&amp;number=0.001935&amp;sourceID=54","0.001935")</f>
        <v>0.001935</v>
      </c>
      <c r="K415" s="4" t="str">
        <f>HYPERLINK("http://141.218.60.56/~jnz1568/getInfo.php?workbook=16_15.xlsx&amp;sheet=A0&amp;row=415&amp;col=11&amp;number=1.6034e-11&amp;sourceID=54","1.6034e-11")</f>
        <v>1.6034e-11</v>
      </c>
      <c r="L415" s="4" t="str">
        <f>HYPERLINK("http://141.218.60.56/~jnz1568/getInfo.php?workbook=16_15.xlsx&amp;sheet=A0&amp;row=415&amp;col=12&amp;number=&amp;sourceID=53","")</f>
        <v/>
      </c>
      <c r="M415" s="4" t="str">
        <f>HYPERLINK("http://141.218.60.56/~jnz1568/getInfo.php?workbook=16_15.xlsx&amp;sheet=A0&amp;row=415&amp;col=13&amp;number=&amp;sourceID=53","")</f>
        <v/>
      </c>
      <c r="N415" s="4" t="str">
        <f>HYPERLINK("http://141.218.60.56/~jnz1568/getInfo.php?workbook=16_15.xlsx&amp;sheet=A0&amp;row=415&amp;col=14&amp;number=&amp;sourceID=53","")</f>
        <v/>
      </c>
      <c r="O415" s="4" t="str">
        <f>HYPERLINK("http://141.218.60.56/~jnz1568/getInfo.php?workbook=16_15.xlsx&amp;sheet=A0&amp;row=415&amp;col=15&amp;number=&amp;sourceID=55","")</f>
        <v/>
      </c>
      <c r="P415" s="4" t="str">
        <f>HYPERLINK("http://141.218.60.56/~jnz1568/getInfo.php?workbook=16_15.xlsx&amp;sheet=A0&amp;row=415&amp;col=16&amp;number=&amp;sourceID=55","")</f>
        <v/>
      </c>
      <c r="Q415" s="4" t="str">
        <f>HYPERLINK("http://141.218.60.56/~jnz1568/getInfo.php?workbook=16_15.xlsx&amp;sheet=A0&amp;row=415&amp;col=17&amp;number=&amp;sourceID=56","")</f>
        <v/>
      </c>
      <c r="R415" s="4" t="str">
        <f>HYPERLINK("http://141.218.60.56/~jnz1568/getInfo.php?workbook=16_15.xlsx&amp;sheet=A0&amp;row=415&amp;col=18&amp;number=&amp;sourceID=56","")</f>
        <v/>
      </c>
      <c r="S415" s="4" t="str">
        <f>HYPERLINK("http://141.218.60.56/~jnz1568/getInfo.php?workbook=16_15.xlsx&amp;sheet=A0&amp;row=415&amp;col=19&amp;number=&amp;sourceID=57","")</f>
        <v/>
      </c>
      <c r="T415" s="4" t="str">
        <f>HYPERLINK("http://141.218.60.56/~jnz1568/getInfo.php?workbook=16_15.xlsx&amp;sheet=A0&amp;row=415&amp;col=20&amp;number=&amp;sourceID=57","")</f>
        <v/>
      </c>
      <c r="U415" s="4" t="str">
        <f>HYPERLINK("http://141.218.60.56/~jnz1568/getInfo.php?workbook=16_15.xlsx&amp;sheet=A0&amp;row=415&amp;col=21&amp;number=&amp;sourceID=47","")</f>
        <v/>
      </c>
      <c r="V415" s="4" t="str">
        <f>HYPERLINK("http://141.218.60.56/~jnz1568/getInfo.php?workbook=16_15.xlsx&amp;sheet=A0&amp;row=415&amp;col=22&amp;number=&amp;sourceID=47","")</f>
        <v/>
      </c>
    </row>
    <row r="416" spans="1:22">
      <c r="A416" s="3">
        <v>16</v>
      </c>
      <c r="B416" s="3">
        <v>15</v>
      </c>
      <c r="C416" s="3">
        <v>33</v>
      </c>
      <c r="D416" s="3">
        <v>6</v>
      </c>
      <c r="E416" s="3">
        <f>((1/(INDEX(E0!J$4:J$73,C416,1)-INDEX(E0!J$4:J$73,D416,1))))*100000000</f>
        <v>0</v>
      </c>
      <c r="F416" s="4" t="str">
        <f>HYPERLINK("http://141.218.60.56/~jnz1568/getInfo.php?workbook=16_15.xlsx&amp;sheet=A0&amp;row=416&amp;col=6&amp;number=&amp;sourceID=54","")</f>
        <v/>
      </c>
      <c r="G416" s="4" t="str">
        <f>HYPERLINK("http://141.218.60.56/~jnz1568/getInfo.php?workbook=16_15.xlsx&amp;sheet=A0&amp;row=416&amp;col=7&amp;number=0.0092584&amp;sourceID=54","0.0092584")</f>
        <v>0.0092584</v>
      </c>
      <c r="H416" s="4" t="str">
        <f>HYPERLINK("http://141.218.60.56/~jnz1568/getInfo.php?workbook=16_15.xlsx&amp;sheet=A0&amp;row=416&amp;col=8&amp;number=&amp;sourceID=54","")</f>
        <v/>
      </c>
      <c r="I416" s="4" t="str">
        <f>HYPERLINK("http://141.218.60.56/~jnz1568/getInfo.php?workbook=16_15.xlsx&amp;sheet=A0&amp;row=416&amp;col=9&amp;number=&amp;sourceID=54","")</f>
        <v/>
      </c>
      <c r="J416" s="4" t="str">
        <f>HYPERLINK("http://141.218.60.56/~jnz1568/getInfo.php?workbook=16_15.xlsx&amp;sheet=A0&amp;row=416&amp;col=10&amp;number=0.0084868&amp;sourceID=54","0.0084868")</f>
        <v>0.0084868</v>
      </c>
      <c r="K416" s="4" t="str">
        <f>HYPERLINK("http://141.218.60.56/~jnz1568/getInfo.php?workbook=16_15.xlsx&amp;sheet=A0&amp;row=416&amp;col=11&amp;number=&amp;sourceID=54","")</f>
        <v/>
      </c>
      <c r="L416" s="4" t="str">
        <f>HYPERLINK("http://141.218.60.56/~jnz1568/getInfo.php?workbook=16_15.xlsx&amp;sheet=A0&amp;row=416&amp;col=12&amp;number=&amp;sourceID=53","")</f>
        <v/>
      </c>
      <c r="M416" s="4" t="str">
        <f>HYPERLINK("http://141.218.60.56/~jnz1568/getInfo.php?workbook=16_15.xlsx&amp;sheet=A0&amp;row=416&amp;col=13&amp;number=&amp;sourceID=53","")</f>
        <v/>
      </c>
      <c r="N416" s="4" t="str">
        <f>HYPERLINK("http://141.218.60.56/~jnz1568/getInfo.php?workbook=16_15.xlsx&amp;sheet=A0&amp;row=416&amp;col=14&amp;number=&amp;sourceID=53","")</f>
        <v/>
      </c>
      <c r="O416" s="4" t="str">
        <f>HYPERLINK("http://141.218.60.56/~jnz1568/getInfo.php?workbook=16_15.xlsx&amp;sheet=A0&amp;row=416&amp;col=15&amp;number=&amp;sourceID=55","")</f>
        <v/>
      </c>
      <c r="P416" s="4" t="str">
        <f>HYPERLINK("http://141.218.60.56/~jnz1568/getInfo.php?workbook=16_15.xlsx&amp;sheet=A0&amp;row=416&amp;col=16&amp;number=&amp;sourceID=55","")</f>
        <v/>
      </c>
      <c r="Q416" s="4" t="str">
        <f>HYPERLINK("http://141.218.60.56/~jnz1568/getInfo.php?workbook=16_15.xlsx&amp;sheet=A0&amp;row=416&amp;col=17&amp;number=&amp;sourceID=56","")</f>
        <v/>
      </c>
      <c r="R416" s="4" t="str">
        <f>HYPERLINK("http://141.218.60.56/~jnz1568/getInfo.php?workbook=16_15.xlsx&amp;sheet=A0&amp;row=416&amp;col=18&amp;number=&amp;sourceID=56","")</f>
        <v/>
      </c>
      <c r="S416" s="4" t="str">
        <f>HYPERLINK("http://141.218.60.56/~jnz1568/getInfo.php?workbook=16_15.xlsx&amp;sheet=A0&amp;row=416&amp;col=19&amp;number=&amp;sourceID=57","")</f>
        <v/>
      </c>
      <c r="T416" s="4" t="str">
        <f>HYPERLINK("http://141.218.60.56/~jnz1568/getInfo.php?workbook=16_15.xlsx&amp;sheet=A0&amp;row=416&amp;col=20&amp;number=&amp;sourceID=57","")</f>
        <v/>
      </c>
      <c r="U416" s="4" t="str">
        <f>HYPERLINK("http://141.218.60.56/~jnz1568/getInfo.php?workbook=16_15.xlsx&amp;sheet=A0&amp;row=416&amp;col=21&amp;number=&amp;sourceID=47","")</f>
        <v/>
      </c>
      <c r="V416" s="4" t="str">
        <f>HYPERLINK("http://141.218.60.56/~jnz1568/getInfo.php?workbook=16_15.xlsx&amp;sheet=A0&amp;row=416&amp;col=22&amp;number=&amp;sourceID=47","")</f>
        <v/>
      </c>
    </row>
    <row r="417" spans="1:22">
      <c r="A417" s="3">
        <v>16</v>
      </c>
      <c r="B417" s="3">
        <v>15</v>
      </c>
      <c r="C417" s="3">
        <v>33</v>
      </c>
      <c r="D417" s="3">
        <v>10</v>
      </c>
      <c r="E417" s="3">
        <f>((1/(INDEX(E0!J$4:J$73,C417,1)-INDEX(E0!J$4:J$73,D417,1))))*100000000</f>
        <v>0</v>
      </c>
      <c r="F417" s="4" t="str">
        <f>HYPERLINK("http://141.218.60.56/~jnz1568/getInfo.php?workbook=16_15.xlsx&amp;sheet=A0&amp;row=417&amp;col=6&amp;number=&amp;sourceID=54","")</f>
        <v/>
      </c>
      <c r="G417" s="4" t="str">
        <f>HYPERLINK("http://141.218.60.56/~jnz1568/getInfo.php?workbook=16_15.xlsx&amp;sheet=A0&amp;row=417&amp;col=7&amp;number=2.1503&amp;sourceID=54","2.1503")</f>
        <v>2.1503</v>
      </c>
      <c r="H417" s="4" t="str">
        <f>HYPERLINK("http://141.218.60.56/~jnz1568/getInfo.php?workbook=16_15.xlsx&amp;sheet=A0&amp;row=417&amp;col=8&amp;number=&amp;sourceID=54","")</f>
        <v/>
      </c>
      <c r="I417" s="4" t="str">
        <f>HYPERLINK("http://141.218.60.56/~jnz1568/getInfo.php?workbook=16_15.xlsx&amp;sheet=A0&amp;row=417&amp;col=9&amp;number=&amp;sourceID=54","")</f>
        <v/>
      </c>
      <c r="J417" s="4" t="str">
        <f>HYPERLINK("http://141.218.60.56/~jnz1568/getInfo.php?workbook=16_15.xlsx&amp;sheet=A0&amp;row=417&amp;col=10&amp;number=1.7982&amp;sourceID=54","1.7982")</f>
        <v>1.7982</v>
      </c>
      <c r="K417" s="4" t="str">
        <f>HYPERLINK("http://141.218.60.56/~jnz1568/getInfo.php?workbook=16_15.xlsx&amp;sheet=A0&amp;row=417&amp;col=11&amp;number=&amp;sourceID=54","")</f>
        <v/>
      </c>
      <c r="L417" s="4" t="str">
        <f>HYPERLINK("http://141.218.60.56/~jnz1568/getInfo.php?workbook=16_15.xlsx&amp;sheet=A0&amp;row=417&amp;col=12&amp;number=&amp;sourceID=53","")</f>
        <v/>
      </c>
      <c r="M417" s="4" t="str">
        <f>HYPERLINK("http://141.218.60.56/~jnz1568/getInfo.php?workbook=16_15.xlsx&amp;sheet=A0&amp;row=417&amp;col=13&amp;number=&amp;sourceID=53","")</f>
        <v/>
      </c>
      <c r="N417" s="4" t="str">
        <f>HYPERLINK("http://141.218.60.56/~jnz1568/getInfo.php?workbook=16_15.xlsx&amp;sheet=A0&amp;row=417&amp;col=14&amp;number=&amp;sourceID=53","")</f>
        <v/>
      </c>
      <c r="O417" s="4" t="str">
        <f>HYPERLINK("http://141.218.60.56/~jnz1568/getInfo.php?workbook=16_15.xlsx&amp;sheet=A0&amp;row=417&amp;col=15&amp;number=&amp;sourceID=55","")</f>
        <v/>
      </c>
      <c r="P417" s="4" t="str">
        <f>HYPERLINK("http://141.218.60.56/~jnz1568/getInfo.php?workbook=16_15.xlsx&amp;sheet=A0&amp;row=417&amp;col=16&amp;number=&amp;sourceID=55","")</f>
        <v/>
      </c>
      <c r="Q417" s="4" t="str">
        <f>HYPERLINK("http://141.218.60.56/~jnz1568/getInfo.php?workbook=16_15.xlsx&amp;sheet=A0&amp;row=417&amp;col=17&amp;number=&amp;sourceID=56","")</f>
        <v/>
      </c>
      <c r="R417" s="4" t="str">
        <f>HYPERLINK("http://141.218.60.56/~jnz1568/getInfo.php?workbook=16_15.xlsx&amp;sheet=A0&amp;row=417&amp;col=18&amp;number=&amp;sourceID=56","")</f>
        <v/>
      </c>
      <c r="S417" s="4" t="str">
        <f>HYPERLINK("http://141.218.60.56/~jnz1568/getInfo.php?workbook=16_15.xlsx&amp;sheet=A0&amp;row=417&amp;col=19&amp;number=&amp;sourceID=57","")</f>
        <v/>
      </c>
      <c r="T417" s="4" t="str">
        <f>HYPERLINK("http://141.218.60.56/~jnz1568/getInfo.php?workbook=16_15.xlsx&amp;sheet=A0&amp;row=417&amp;col=20&amp;number=&amp;sourceID=57","")</f>
        <v/>
      </c>
      <c r="U417" s="4" t="str">
        <f>HYPERLINK("http://141.218.60.56/~jnz1568/getInfo.php?workbook=16_15.xlsx&amp;sheet=A0&amp;row=417&amp;col=21&amp;number=&amp;sourceID=47","")</f>
        <v/>
      </c>
      <c r="V417" s="4" t="str">
        <f>HYPERLINK("http://141.218.60.56/~jnz1568/getInfo.php?workbook=16_15.xlsx&amp;sheet=A0&amp;row=417&amp;col=22&amp;number=&amp;sourceID=47","")</f>
        <v/>
      </c>
    </row>
    <row r="418" spans="1:22">
      <c r="A418" s="3">
        <v>16</v>
      </c>
      <c r="B418" s="3">
        <v>15</v>
      </c>
      <c r="C418" s="3">
        <v>33</v>
      </c>
      <c r="D418" s="3">
        <v>16</v>
      </c>
      <c r="E418" s="3">
        <f>((1/(INDEX(E0!J$4:J$73,C418,1)-INDEX(E0!J$4:J$73,D418,1))))*100000000</f>
        <v>0</v>
      </c>
      <c r="F418" s="4" t="str">
        <f>HYPERLINK("http://141.218.60.56/~jnz1568/getInfo.php?workbook=16_15.xlsx&amp;sheet=A0&amp;row=418&amp;col=6&amp;number=&amp;sourceID=54","")</f>
        <v/>
      </c>
      <c r="G418" s="4" t="str">
        <f>HYPERLINK("http://141.218.60.56/~jnz1568/getInfo.php?workbook=16_15.xlsx&amp;sheet=A0&amp;row=418&amp;col=7&amp;number=0.001358&amp;sourceID=54","0.001358")</f>
        <v>0.001358</v>
      </c>
      <c r="H418" s="4" t="str">
        <f>HYPERLINK("http://141.218.60.56/~jnz1568/getInfo.php?workbook=16_15.xlsx&amp;sheet=A0&amp;row=418&amp;col=8&amp;number=&amp;sourceID=54","")</f>
        <v/>
      </c>
      <c r="I418" s="4" t="str">
        <f>HYPERLINK("http://141.218.60.56/~jnz1568/getInfo.php?workbook=16_15.xlsx&amp;sheet=A0&amp;row=418&amp;col=9&amp;number=&amp;sourceID=54","")</f>
        <v/>
      </c>
      <c r="J418" s="4" t="str">
        <f>HYPERLINK("http://141.218.60.56/~jnz1568/getInfo.php?workbook=16_15.xlsx&amp;sheet=A0&amp;row=418&amp;col=10&amp;number=0.00097475&amp;sourceID=54","0.00097475")</f>
        <v>0.00097475</v>
      </c>
      <c r="K418" s="4" t="str">
        <f>HYPERLINK("http://141.218.60.56/~jnz1568/getInfo.php?workbook=16_15.xlsx&amp;sheet=A0&amp;row=418&amp;col=11&amp;number=&amp;sourceID=54","")</f>
        <v/>
      </c>
      <c r="L418" s="4" t="str">
        <f>HYPERLINK("http://141.218.60.56/~jnz1568/getInfo.php?workbook=16_15.xlsx&amp;sheet=A0&amp;row=418&amp;col=12&amp;number=&amp;sourceID=53","")</f>
        <v/>
      </c>
      <c r="M418" s="4" t="str">
        <f>HYPERLINK("http://141.218.60.56/~jnz1568/getInfo.php?workbook=16_15.xlsx&amp;sheet=A0&amp;row=418&amp;col=13&amp;number=&amp;sourceID=53","")</f>
        <v/>
      </c>
      <c r="N418" s="4" t="str">
        <f>HYPERLINK("http://141.218.60.56/~jnz1568/getInfo.php?workbook=16_15.xlsx&amp;sheet=A0&amp;row=418&amp;col=14&amp;number=&amp;sourceID=53","")</f>
        <v/>
      </c>
      <c r="O418" s="4" t="str">
        <f>HYPERLINK("http://141.218.60.56/~jnz1568/getInfo.php?workbook=16_15.xlsx&amp;sheet=A0&amp;row=418&amp;col=15&amp;number=&amp;sourceID=55","")</f>
        <v/>
      </c>
      <c r="P418" s="4" t="str">
        <f>HYPERLINK("http://141.218.60.56/~jnz1568/getInfo.php?workbook=16_15.xlsx&amp;sheet=A0&amp;row=418&amp;col=16&amp;number=&amp;sourceID=55","")</f>
        <v/>
      </c>
      <c r="Q418" s="4" t="str">
        <f>HYPERLINK("http://141.218.60.56/~jnz1568/getInfo.php?workbook=16_15.xlsx&amp;sheet=A0&amp;row=418&amp;col=17&amp;number=&amp;sourceID=56","")</f>
        <v/>
      </c>
      <c r="R418" s="4" t="str">
        <f>HYPERLINK("http://141.218.60.56/~jnz1568/getInfo.php?workbook=16_15.xlsx&amp;sheet=A0&amp;row=418&amp;col=18&amp;number=&amp;sourceID=56","")</f>
        <v/>
      </c>
      <c r="S418" s="4" t="str">
        <f>HYPERLINK("http://141.218.60.56/~jnz1568/getInfo.php?workbook=16_15.xlsx&amp;sheet=A0&amp;row=418&amp;col=19&amp;number=&amp;sourceID=57","")</f>
        <v/>
      </c>
      <c r="T418" s="4" t="str">
        <f>HYPERLINK("http://141.218.60.56/~jnz1568/getInfo.php?workbook=16_15.xlsx&amp;sheet=A0&amp;row=418&amp;col=20&amp;number=&amp;sourceID=57","")</f>
        <v/>
      </c>
      <c r="U418" s="4" t="str">
        <f>HYPERLINK("http://141.218.60.56/~jnz1568/getInfo.php?workbook=16_15.xlsx&amp;sheet=A0&amp;row=418&amp;col=21&amp;number=&amp;sourceID=47","")</f>
        <v/>
      </c>
      <c r="V418" s="4" t="str">
        <f>HYPERLINK("http://141.218.60.56/~jnz1568/getInfo.php?workbook=16_15.xlsx&amp;sheet=A0&amp;row=418&amp;col=22&amp;number=&amp;sourceID=47","")</f>
        <v/>
      </c>
    </row>
    <row r="419" spans="1:22">
      <c r="A419" s="3">
        <v>16</v>
      </c>
      <c r="B419" s="3">
        <v>15</v>
      </c>
      <c r="C419" s="3">
        <v>33</v>
      </c>
      <c r="D419" s="3">
        <v>17</v>
      </c>
      <c r="E419" s="3">
        <f>((1/(INDEX(E0!J$4:J$73,C419,1)-INDEX(E0!J$4:J$73,D419,1))))*100000000</f>
        <v>0</v>
      </c>
      <c r="F419" s="4" t="str">
        <f>HYPERLINK("http://141.218.60.56/~jnz1568/getInfo.php?workbook=16_15.xlsx&amp;sheet=A0&amp;row=419&amp;col=6&amp;number=&amp;sourceID=54","")</f>
        <v/>
      </c>
      <c r="G419" s="4" t="str">
        <f>HYPERLINK("http://141.218.60.56/~jnz1568/getInfo.php?workbook=16_15.xlsx&amp;sheet=A0&amp;row=419&amp;col=7&amp;number=0.00010685&amp;sourceID=54","0.00010685")</f>
        <v>0.00010685</v>
      </c>
      <c r="H419" s="4" t="str">
        <f>HYPERLINK("http://141.218.60.56/~jnz1568/getInfo.php?workbook=16_15.xlsx&amp;sheet=A0&amp;row=419&amp;col=8&amp;number=&amp;sourceID=54","")</f>
        <v/>
      </c>
      <c r="I419" s="4" t="str">
        <f>HYPERLINK("http://141.218.60.56/~jnz1568/getInfo.php?workbook=16_15.xlsx&amp;sheet=A0&amp;row=419&amp;col=9&amp;number=&amp;sourceID=54","")</f>
        <v/>
      </c>
      <c r="J419" s="4" t="str">
        <f>HYPERLINK("http://141.218.60.56/~jnz1568/getInfo.php?workbook=16_15.xlsx&amp;sheet=A0&amp;row=419&amp;col=10&amp;number=9.4727e-05&amp;sourceID=54","9.4727e-05")</f>
        <v>9.4727e-05</v>
      </c>
      <c r="K419" s="4" t="str">
        <f>HYPERLINK("http://141.218.60.56/~jnz1568/getInfo.php?workbook=16_15.xlsx&amp;sheet=A0&amp;row=419&amp;col=11&amp;number=&amp;sourceID=54","")</f>
        <v/>
      </c>
      <c r="L419" s="4" t="str">
        <f>HYPERLINK("http://141.218.60.56/~jnz1568/getInfo.php?workbook=16_15.xlsx&amp;sheet=A0&amp;row=419&amp;col=12&amp;number=&amp;sourceID=53","")</f>
        <v/>
      </c>
      <c r="M419" s="4" t="str">
        <f>HYPERLINK("http://141.218.60.56/~jnz1568/getInfo.php?workbook=16_15.xlsx&amp;sheet=A0&amp;row=419&amp;col=13&amp;number=&amp;sourceID=53","")</f>
        <v/>
      </c>
      <c r="N419" s="4" t="str">
        <f>HYPERLINK("http://141.218.60.56/~jnz1568/getInfo.php?workbook=16_15.xlsx&amp;sheet=A0&amp;row=419&amp;col=14&amp;number=&amp;sourceID=53","")</f>
        <v/>
      </c>
      <c r="O419" s="4" t="str">
        <f>HYPERLINK("http://141.218.60.56/~jnz1568/getInfo.php?workbook=16_15.xlsx&amp;sheet=A0&amp;row=419&amp;col=15&amp;number=&amp;sourceID=55","")</f>
        <v/>
      </c>
      <c r="P419" s="4" t="str">
        <f>HYPERLINK("http://141.218.60.56/~jnz1568/getInfo.php?workbook=16_15.xlsx&amp;sheet=A0&amp;row=419&amp;col=16&amp;number=&amp;sourceID=55","")</f>
        <v/>
      </c>
      <c r="Q419" s="4" t="str">
        <f>HYPERLINK("http://141.218.60.56/~jnz1568/getInfo.php?workbook=16_15.xlsx&amp;sheet=A0&amp;row=419&amp;col=17&amp;number=&amp;sourceID=56","")</f>
        <v/>
      </c>
      <c r="R419" s="4" t="str">
        <f>HYPERLINK("http://141.218.60.56/~jnz1568/getInfo.php?workbook=16_15.xlsx&amp;sheet=A0&amp;row=419&amp;col=18&amp;number=&amp;sourceID=56","")</f>
        <v/>
      </c>
      <c r="S419" s="4" t="str">
        <f>HYPERLINK("http://141.218.60.56/~jnz1568/getInfo.php?workbook=16_15.xlsx&amp;sheet=A0&amp;row=419&amp;col=19&amp;number=&amp;sourceID=57","")</f>
        <v/>
      </c>
      <c r="T419" s="4" t="str">
        <f>HYPERLINK("http://141.218.60.56/~jnz1568/getInfo.php?workbook=16_15.xlsx&amp;sheet=A0&amp;row=419&amp;col=20&amp;number=&amp;sourceID=57","")</f>
        <v/>
      </c>
      <c r="U419" s="4" t="str">
        <f>HYPERLINK("http://141.218.60.56/~jnz1568/getInfo.php?workbook=16_15.xlsx&amp;sheet=A0&amp;row=419&amp;col=21&amp;number=&amp;sourceID=47","")</f>
        <v/>
      </c>
      <c r="V419" s="4" t="str">
        <f>HYPERLINK("http://141.218.60.56/~jnz1568/getInfo.php?workbook=16_15.xlsx&amp;sheet=A0&amp;row=419&amp;col=22&amp;number=&amp;sourceID=47","")</f>
        <v/>
      </c>
    </row>
    <row r="420" spans="1:22">
      <c r="A420" s="3">
        <v>16</v>
      </c>
      <c r="B420" s="3">
        <v>15</v>
      </c>
      <c r="C420" s="3">
        <v>33</v>
      </c>
      <c r="D420" s="3">
        <v>18</v>
      </c>
      <c r="E420" s="3">
        <f>((1/(INDEX(E0!J$4:J$73,C420,1)-INDEX(E0!J$4:J$73,D420,1))))*100000000</f>
        <v>0</v>
      </c>
      <c r="F420" s="4" t="str">
        <f>HYPERLINK("http://141.218.60.56/~jnz1568/getInfo.php?workbook=16_15.xlsx&amp;sheet=A0&amp;row=420&amp;col=6&amp;number=&amp;sourceID=54","")</f>
        <v/>
      </c>
      <c r="G420" s="4" t="str">
        <f>HYPERLINK("http://141.218.60.56/~jnz1568/getInfo.php?workbook=16_15.xlsx&amp;sheet=A0&amp;row=420&amp;col=7&amp;number=7.0339e-06&amp;sourceID=54","7.0339e-06")</f>
        <v>7.0339e-06</v>
      </c>
      <c r="H420" s="4" t="str">
        <f>HYPERLINK("http://141.218.60.56/~jnz1568/getInfo.php?workbook=16_15.xlsx&amp;sheet=A0&amp;row=420&amp;col=8&amp;number=0.022364&amp;sourceID=54","0.022364")</f>
        <v>0.022364</v>
      </c>
      <c r="I420" s="4" t="str">
        <f>HYPERLINK("http://141.218.60.56/~jnz1568/getInfo.php?workbook=16_15.xlsx&amp;sheet=A0&amp;row=420&amp;col=9&amp;number=&amp;sourceID=54","")</f>
        <v/>
      </c>
      <c r="J420" s="4" t="str">
        <f>HYPERLINK("http://141.218.60.56/~jnz1568/getInfo.php?workbook=16_15.xlsx&amp;sheet=A0&amp;row=420&amp;col=10&amp;number=5.3842e-06&amp;sourceID=54","5.3842e-06")</f>
        <v>5.3842e-06</v>
      </c>
      <c r="K420" s="4" t="str">
        <f>HYPERLINK("http://141.218.60.56/~jnz1568/getInfo.php?workbook=16_15.xlsx&amp;sheet=A0&amp;row=420&amp;col=11&amp;number=0.021483&amp;sourceID=54","0.021483")</f>
        <v>0.021483</v>
      </c>
      <c r="L420" s="4" t="str">
        <f>HYPERLINK("http://141.218.60.56/~jnz1568/getInfo.php?workbook=16_15.xlsx&amp;sheet=A0&amp;row=420&amp;col=12&amp;number=&amp;sourceID=53","")</f>
        <v/>
      </c>
      <c r="M420" s="4" t="str">
        <f>HYPERLINK("http://141.218.60.56/~jnz1568/getInfo.php?workbook=16_15.xlsx&amp;sheet=A0&amp;row=420&amp;col=13&amp;number=&amp;sourceID=53","")</f>
        <v/>
      </c>
      <c r="N420" s="4" t="str">
        <f>HYPERLINK("http://141.218.60.56/~jnz1568/getInfo.php?workbook=16_15.xlsx&amp;sheet=A0&amp;row=420&amp;col=14&amp;number=&amp;sourceID=53","")</f>
        <v/>
      </c>
      <c r="O420" s="4" t="str">
        <f>HYPERLINK("http://141.218.60.56/~jnz1568/getInfo.php?workbook=16_15.xlsx&amp;sheet=A0&amp;row=420&amp;col=15&amp;number=&amp;sourceID=55","")</f>
        <v/>
      </c>
      <c r="P420" s="4" t="str">
        <f>HYPERLINK("http://141.218.60.56/~jnz1568/getInfo.php?workbook=16_15.xlsx&amp;sheet=A0&amp;row=420&amp;col=16&amp;number=&amp;sourceID=55","")</f>
        <v/>
      </c>
      <c r="Q420" s="4" t="str">
        <f>HYPERLINK("http://141.218.60.56/~jnz1568/getInfo.php?workbook=16_15.xlsx&amp;sheet=A0&amp;row=420&amp;col=17&amp;number=&amp;sourceID=56","")</f>
        <v/>
      </c>
      <c r="R420" s="4" t="str">
        <f>HYPERLINK("http://141.218.60.56/~jnz1568/getInfo.php?workbook=16_15.xlsx&amp;sheet=A0&amp;row=420&amp;col=18&amp;number=&amp;sourceID=56","")</f>
        <v/>
      </c>
      <c r="S420" s="4" t="str">
        <f>HYPERLINK("http://141.218.60.56/~jnz1568/getInfo.php?workbook=16_15.xlsx&amp;sheet=A0&amp;row=420&amp;col=19&amp;number=&amp;sourceID=57","")</f>
        <v/>
      </c>
      <c r="T420" s="4" t="str">
        <f>HYPERLINK("http://141.218.60.56/~jnz1568/getInfo.php?workbook=16_15.xlsx&amp;sheet=A0&amp;row=420&amp;col=20&amp;number=&amp;sourceID=57","")</f>
        <v/>
      </c>
      <c r="U420" s="4" t="str">
        <f>HYPERLINK("http://141.218.60.56/~jnz1568/getInfo.php?workbook=16_15.xlsx&amp;sheet=A0&amp;row=420&amp;col=21&amp;number=&amp;sourceID=47","")</f>
        <v/>
      </c>
      <c r="V420" s="4" t="str">
        <f>HYPERLINK("http://141.218.60.56/~jnz1568/getInfo.php?workbook=16_15.xlsx&amp;sheet=A0&amp;row=420&amp;col=22&amp;number=&amp;sourceID=47","")</f>
        <v/>
      </c>
    </row>
    <row r="421" spans="1:22">
      <c r="A421" s="3">
        <v>16</v>
      </c>
      <c r="B421" s="3">
        <v>15</v>
      </c>
      <c r="C421" s="3">
        <v>33</v>
      </c>
      <c r="D421" s="3">
        <v>19</v>
      </c>
      <c r="E421" s="3">
        <f>((1/(INDEX(E0!J$4:J$73,C421,1)-INDEX(E0!J$4:J$73,D421,1))))*100000000</f>
        <v>0</v>
      </c>
      <c r="F421" s="4" t="str">
        <f>HYPERLINK("http://141.218.60.56/~jnz1568/getInfo.php?workbook=16_15.xlsx&amp;sheet=A0&amp;row=421&amp;col=6&amp;number=&amp;sourceID=54","")</f>
        <v/>
      </c>
      <c r="G421" s="4" t="str">
        <f>HYPERLINK("http://141.218.60.56/~jnz1568/getInfo.php?workbook=16_15.xlsx&amp;sheet=A0&amp;row=421&amp;col=7&amp;number=0.00079785&amp;sourceID=54","0.00079785")</f>
        <v>0.00079785</v>
      </c>
      <c r="H421" s="4" t="str">
        <f>HYPERLINK("http://141.218.60.56/~jnz1568/getInfo.php?workbook=16_15.xlsx&amp;sheet=A0&amp;row=421&amp;col=8&amp;number=0.058114&amp;sourceID=54","0.058114")</f>
        <v>0.058114</v>
      </c>
      <c r="I421" s="4" t="str">
        <f>HYPERLINK("http://141.218.60.56/~jnz1568/getInfo.php?workbook=16_15.xlsx&amp;sheet=A0&amp;row=421&amp;col=9&amp;number=&amp;sourceID=54","")</f>
        <v/>
      </c>
      <c r="J421" s="4" t="str">
        <f>HYPERLINK("http://141.218.60.56/~jnz1568/getInfo.php?workbook=16_15.xlsx&amp;sheet=A0&amp;row=421&amp;col=10&amp;number=0.00069646&amp;sourceID=54","0.00069646")</f>
        <v>0.00069646</v>
      </c>
      <c r="K421" s="4" t="str">
        <f>HYPERLINK("http://141.218.60.56/~jnz1568/getInfo.php?workbook=16_15.xlsx&amp;sheet=A0&amp;row=421&amp;col=11&amp;number=0.055706&amp;sourceID=54","0.055706")</f>
        <v>0.055706</v>
      </c>
      <c r="L421" s="4" t="str">
        <f>HYPERLINK("http://141.218.60.56/~jnz1568/getInfo.php?workbook=16_15.xlsx&amp;sheet=A0&amp;row=421&amp;col=12&amp;number=&amp;sourceID=53","")</f>
        <v/>
      </c>
      <c r="M421" s="4" t="str">
        <f>HYPERLINK("http://141.218.60.56/~jnz1568/getInfo.php?workbook=16_15.xlsx&amp;sheet=A0&amp;row=421&amp;col=13&amp;number=&amp;sourceID=53","")</f>
        <v/>
      </c>
      <c r="N421" s="4" t="str">
        <f>HYPERLINK("http://141.218.60.56/~jnz1568/getInfo.php?workbook=16_15.xlsx&amp;sheet=A0&amp;row=421&amp;col=14&amp;number=&amp;sourceID=53","")</f>
        <v/>
      </c>
      <c r="O421" s="4" t="str">
        <f>HYPERLINK("http://141.218.60.56/~jnz1568/getInfo.php?workbook=16_15.xlsx&amp;sheet=A0&amp;row=421&amp;col=15&amp;number=&amp;sourceID=55","")</f>
        <v/>
      </c>
      <c r="P421" s="4" t="str">
        <f>HYPERLINK("http://141.218.60.56/~jnz1568/getInfo.php?workbook=16_15.xlsx&amp;sheet=A0&amp;row=421&amp;col=16&amp;number=&amp;sourceID=55","")</f>
        <v/>
      </c>
      <c r="Q421" s="4" t="str">
        <f>HYPERLINK("http://141.218.60.56/~jnz1568/getInfo.php?workbook=16_15.xlsx&amp;sheet=A0&amp;row=421&amp;col=17&amp;number=&amp;sourceID=56","")</f>
        <v/>
      </c>
      <c r="R421" s="4" t="str">
        <f>HYPERLINK("http://141.218.60.56/~jnz1568/getInfo.php?workbook=16_15.xlsx&amp;sheet=A0&amp;row=421&amp;col=18&amp;number=&amp;sourceID=56","")</f>
        <v/>
      </c>
      <c r="S421" s="4" t="str">
        <f>HYPERLINK("http://141.218.60.56/~jnz1568/getInfo.php?workbook=16_15.xlsx&amp;sheet=A0&amp;row=421&amp;col=19&amp;number=&amp;sourceID=57","")</f>
        <v/>
      </c>
      <c r="T421" s="4" t="str">
        <f>HYPERLINK("http://141.218.60.56/~jnz1568/getInfo.php?workbook=16_15.xlsx&amp;sheet=A0&amp;row=421&amp;col=20&amp;number=&amp;sourceID=57","")</f>
        <v/>
      </c>
      <c r="U421" s="4" t="str">
        <f>HYPERLINK("http://141.218.60.56/~jnz1568/getInfo.php?workbook=16_15.xlsx&amp;sheet=A0&amp;row=421&amp;col=21&amp;number=&amp;sourceID=47","")</f>
        <v/>
      </c>
      <c r="V421" s="4" t="str">
        <f>HYPERLINK("http://141.218.60.56/~jnz1568/getInfo.php?workbook=16_15.xlsx&amp;sheet=A0&amp;row=421&amp;col=22&amp;number=&amp;sourceID=47","")</f>
        <v/>
      </c>
    </row>
    <row r="422" spans="1:22">
      <c r="A422" s="3">
        <v>16</v>
      </c>
      <c r="B422" s="3">
        <v>15</v>
      </c>
      <c r="C422" s="3">
        <v>33</v>
      </c>
      <c r="D422" s="3">
        <v>24</v>
      </c>
      <c r="E422" s="3">
        <f>((1/(INDEX(E0!J$4:J$73,C422,1)-INDEX(E0!J$4:J$73,D422,1))))*100000000</f>
        <v>0</v>
      </c>
      <c r="F422" s="4" t="str">
        <f>HYPERLINK("http://141.218.60.56/~jnz1568/getInfo.php?workbook=16_15.xlsx&amp;sheet=A0&amp;row=422&amp;col=6&amp;number=&amp;sourceID=54","")</f>
        <v/>
      </c>
      <c r="G422" s="4" t="str">
        <f>HYPERLINK("http://141.218.60.56/~jnz1568/getInfo.php?workbook=16_15.xlsx&amp;sheet=A0&amp;row=422&amp;col=7&amp;number=2.9282e-05&amp;sourceID=54","2.9282e-05")</f>
        <v>2.9282e-05</v>
      </c>
      <c r="H422" s="4" t="str">
        <f>HYPERLINK("http://141.218.60.56/~jnz1568/getInfo.php?workbook=16_15.xlsx&amp;sheet=A0&amp;row=422&amp;col=8&amp;number=&amp;sourceID=54","")</f>
        <v/>
      </c>
      <c r="I422" s="4" t="str">
        <f>HYPERLINK("http://141.218.60.56/~jnz1568/getInfo.php?workbook=16_15.xlsx&amp;sheet=A0&amp;row=422&amp;col=9&amp;number=&amp;sourceID=54","")</f>
        <v/>
      </c>
      <c r="J422" s="4" t="str">
        <f>HYPERLINK("http://141.218.60.56/~jnz1568/getInfo.php?workbook=16_15.xlsx&amp;sheet=A0&amp;row=422&amp;col=10&amp;number=7.7142e-05&amp;sourceID=54","7.7142e-05")</f>
        <v>7.7142e-05</v>
      </c>
      <c r="K422" s="4" t="str">
        <f>HYPERLINK("http://141.218.60.56/~jnz1568/getInfo.php?workbook=16_15.xlsx&amp;sheet=A0&amp;row=422&amp;col=11&amp;number=&amp;sourceID=54","")</f>
        <v/>
      </c>
      <c r="L422" s="4" t="str">
        <f>HYPERLINK("http://141.218.60.56/~jnz1568/getInfo.php?workbook=16_15.xlsx&amp;sheet=A0&amp;row=422&amp;col=12&amp;number=&amp;sourceID=53","")</f>
        <v/>
      </c>
      <c r="M422" s="4" t="str">
        <f>HYPERLINK("http://141.218.60.56/~jnz1568/getInfo.php?workbook=16_15.xlsx&amp;sheet=A0&amp;row=422&amp;col=13&amp;number=&amp;sourceID=53","")</f>
        <v/>
      </c>
      <c r="N422" s="4" t="str">
        <f>HYPERLINK("http://141.218.60.56/~jnz1568/getInfo.php?workbook=16_15.xlsx&amp;sheet=A0&amp;row=422&amp;col=14&amp;number=&amp;sourceID=53","")</f>
        <v/>
      </c>
      <c r="O422" s="4" t="str">
        <f>HYPERLINK("http://141.218.60.56/~jnz1568/getInfo.php?workbook=16_15.xlsx&amp;sheet=A0&amp;row=422&amp;col=15&amp;number=&amp;sourceID=55","")</f>
        <v/>
      </c>
      <c r="P422" s="4" t="str">
        <f>HYPERLINK("http://141.218.60.56/~jnz1568/getInfo.php?workbook=16_15.xlsx&amp;sheet=A0&amp;row=422&amp;col=16&amp;number=&amp;sourceID=55","")</f>
        <v/>
      </c>
      <c r="Q422" s="4" t="str">
        <f>HYPERLINK("http://141.218.60.56/~jnz1568/getInfo.php?workbook=16_15.xlsx&amp;sheet=A0&amp;row=422&amp;col=17&amp;number=&amp;sourceID=56","")</f>
        <v/>
      </c>
      <c r="R422" s="4" t="str">
        <f>HYPERLINK("http://141.218.60.56/~jnz1568/getInfo.php?workbook=16_15.xlsx&amp;sheet=A0&amp;row=422&amp;col=18&amp;number=&amp;sourceID=56","")</f>
        <v/>
      </c>
      <c r="S422" s="4" t="str">
        <f>HYPERLINK("http://141.218.60.56/~jnz1568/getInfo.php?workbook=16_15.xlsx&amp;sheet=A0&amp;row=422&amp;col=19&amp;number=&amp;sourceID=57","")</f>
        <v/>
      </c>
      <c r="T422" s="4" t="str">
        <f>HYPERLINK("http://141.218.60.56/~jnz1568/getInfo.php?workbook=16_15.xlsx&amp;sheet=A0&amp;row=422&amp;col=20&amp;number=&amp;sourceID=57","")</f>
        <v/>
      </c>
      <c r="U422" s="4" t="str">
        <f>HYPERLINK("http://141.218.60.56/~jnz1568/getInfo.php?workbook=16_15.xlsx&amp;sheet=A0&amp;row=422&amp;col=21&amp;number=&amp;sourceID=47","")</f>
        <v/>
      </c>
      <c r="V422" s="4" t="str">
        <f>HYPERLINK("http://141.218.60.56/~jnz1568/getInfo.php?workbook=16_15.xlsx&amp;sheet=A0&amp;row=422&amp;col=22&amp;number=&amp;sourceID=47","")</f>
        <v/>
      </c>
    </row>
    <row r="423" spans="1:22">
      <c r="A423" s="3">
        <v>16</v>
      </c>
      <c r="B423" s="3">
        <v>15</v>
      </c>
      <c r="C423" s="3">
        <v>33</v>
      </c>
      <c r="D423" s="3">
        <v>25</v>
      </c>
      <c r="E423" s="3">
        <f>((1/(INDEX(E0!J$4:J$73,C423,1)-INDEX(E0!J$4:J$73,D423,1))))*100000000</f>
        <v>0</v>
      </c>
      <c r="F423" s="4" t="str">
        <f>HYPERLINK("http://141.218.60.56/~jnz1568/getInfo.php?workbook=16_15.xlsx&amp;sheet=A0&amp;row=423&amp;col=6&amp;number=&amp;sourceID=54","")</f>
        <v/>
      </c>
      <c r="G423" s="4" t="str">
        <f>HYPERLINK("http://141.218.60.56/~jnz1568/getInfo.php?workbook=16_15.xlsx&amp;sheet=A0&amp;row=423&amp;col=7&amp;number=0.0017887&amp;sourceID=54","0.0017887")</f>
        <v>0.0017887</v>
      </c>
      <c r="H423" s="4" t="str">
        <f>HYPERLINK("http://141.218.60.56/~jnz1568/getInfo.php?workbook=16_15.xlsx&amp;sheet=A0&amp;row=423&amp;col=8&amp;number=0.00012653&amp;sourceID=54","0.00012653")</f>
        <v>0.00012653</v>
      </c>
      <c r="I423" s="4" t="str">
        <f>HYPERLINK("http://141.218.60.56/~jnz1568/getInfo.php?workbook=16_15.xlsx&amp;sheet=A0&amp;row=423&amp;col=9&amp;number=&amp;sourceID=54","")</f>
        <v/>
      </c>
      <c r="J423" s="4" t="str">
        <f>HYPERLINK("http://141.218.60.56/~jnz1568/getInfo.php?workbook=16_15.xlsx&amp;sheet=A0&amp;row=423&amp;col=10&amp;number=0.0026952&amp;sourceID=54","0.0026952")</f>
        <v>0.0026952</v>
      </c>
      <c r="K423" s="4" t="str">
        <f>HYPERLINK("http://141.218.60.56/~jnz1568/getInfo.php?workbook=16_15.xlsx&amp;sheet=A0&amp;row=423&amp;col=11&amp;number=0.00026893&amp;sourceID=54","0.00026893")</f>
        <v>0.00026893</v>
      </c>
      <c r="L423" s="4" t="str">
        <f>HYPERLINK("http://141.218.60.56/~jnz1568/getInfo.php?workbook=16_15.xlsx&amp;sheet=A0&amp;row=423&amp;col=12&amp;number=&amp;sourceID=53","")</f>
        <v/>
      </c>
      <c r="M423" s="4" t="str">
        <f>HYPERLINK("http://141.218.60.56/~jnz1568/getInfo.php?workbook=16_15.xlsx&amp;sheet=A0&amp;row=423&amp;col=13&amp;number=&amp;sourceID=53","")</f>
        <v/>
      </c>
      <c r="N423" s="4" t="str">
        <f>HYPERLINK("http://141.218.60.56/~jnz1568/getInfo.php?workbook=16_15.xlsx&amp;sheet=A0&amp;row=423&amp;col=14&amp;number=&amp;sourceID=53","")</f>
        <v/>
      </c>
      <c r="O423" s="4" t="str">
        <f>HYPERLINK("http://141.218.60.56/~jnz1568/getInfo.php?workbook=16_15.xlsx&amp;sheet=A0&amp;row=423&amp;col=15&amp;number=&amp;sourceID=55","")</f>
        <v/>
      </c>
      <c r="P423" s="4" t="str">
        <f>HYPERLINK("http://141.218.60.56/~jnz1568/getInfo.php?workbook=16_15.xlsx&amp;sheet=A0&amp;row=423&amp;col=16&amp;number=&amp;sourceID=55","")</f>
        <v/>
      </c>
      <c r="Q423" s="4" t="str">
        <f>HYPERLINK("http://141.218.60.56/~jnz1568/getInfo.php?workbook=16_15.xlsx&amp;sheet=A0&amp;row=423&amp;col=17&amp;number=&amp;sourceID=56","")</f>
        <v/>
      </c>
      <c r="R423" s="4" t="str">
        <f>HYPERLINK("http://141.218.60.56/~jnz1568/getInfo.php?workbook=16_15.xlsx&amp;sheet=A0&amp;row=423&amp;col=18&amp;number=&amp;sourceID=56","")</f>
        <v/>
      </c>
      <c r="S423" s="4" t="str">
        <f>HYPERLINK("http://141.218.60.56/~jnz1568/getInfo.php?workbook=16_15.xlsx&amp;sheet=A0&amp;row=423&amp;col=19&amp;number=&amp;sourceID=57","")</f>
        <v/>
      </c>
      <c r="T423" s="4" t="str">
        <f>HYPERLINK("http://141.218.60.56/~jnz1568/getInfo.php?workbook=16_15.xlsx&amp;sheet=A0&amp;row=423&amp;col=20&amp;number=&amp;sourceID=57","")</f>
        <v/>
      </c>
      <c r="U423" s="4" t="str">
        <f>HYPERLINK("http://141.218.60.56/~jnz1568/getInfo.php?workbook=16_15.xlsx&amp;sheet=A0&amp;row=423&amp;col=21&amp;number=&amp;sourceID=47","")</f>
        <v/>
      </c>
      <c r="V423" s="4" t="str">
        <f>HYPERLINK("http://141.218.60.56/~jnz1568/getInfo.php?workbook=16_15.xlsx&amp;sheet=A0&amp;row=423&amp;col=22&amp;number=&amp;sourceID=47","")</f>
        <v/>
      </c>
    </row>
    <row r="424" spans="1:22">
      <c r="A424" s="3">
        <v>16</v>
      </c>
      <c r="B424" s="3">
        <v>15</v>
      </c>
      <c r="C424" s="3">
        <v>33</v>
      </c>
      <c r="D424" s="3">
        <v>26</v>
      </c>
      <c r="E424" s="3">
        <f>((1/(INDEX(E0!J$4:J$73,C424,1)-INDEX(E0!J$4:J$73,D424,1))))*100000000</f>
        <v>0</v>
      </c>
      <c r="F424" s="4" t="str">
        <f>HYPERLINK("http://141.218.60.56/~jnz1568/getInfo.php?workbook=16_15.xlsx&amp;sheet=A0&amp;row=424&amp;col=6&amp;number=&amp;sourceID=54","")</f>
        <v/>
      </c>
      <c r="G424" s="4" t="str">
        <f>HYPERLINK("http://141.218.60.56/~jnz1568/getInfo.php?workbook=16_15.xlsx&amp;sheet=A0&amp;row=424&amp;col=7&amp;number=0.0033017&amp;sourceID=54","0.0033017")</f>
        <v>0.0033017</v>
      </c>
      <c r="H424" s="4" t="str">
        <f>HYPERLINK("http://141.218.60.56/~jnz1568/getInfo.php?workbook=16_15.xlsx&amp;sheet=A0&amp;row=424&amp;col=8&amp;number=&amp;sourceID=54","")</f>
        <v/>
      </c>
      <c r="I424" s="4" t="str">
        <f>HYPERLINK("http://141.218.60.56/~jnz1568/getInfo.php?workbook=16_15.xlsx&amp;sheet=A0&amp;row=424&amp;col=9&amp;number=&amp;sourceID=54","")</f>
        <v/>
      </c>
      <c r="J424" s="4" t="str">
        <f>HYPERLINK("http://141.218.60.56/~jnz1568/getInfo.php?workbook=16_15.xlsx&amp;sheet=A0&amp;row=424&amp;col=10&amp;number=0.0026818&amp;sourceID=54","0.0026818")</f>
        <v>0.0026818</v>
      </c>
      <c r="K424" s="4" t="str">
        <f>HYPERLINK("http://141.218.60.56/~jnz1568/getInfo.php?workbook=16_15.xlsx&amp;sheet=A0&amp;row=424&amp;col=11&amp;number=&amp;sourceID=54","")</f>
        <v/>
      </c>
      <c r="L424" s="4" t="str">
        <f>HYPERLINK("http://141.218.60.56/~jnz1568/getInfo.php?workbook=16_15.xlsx&amp;sheet=A0&amp;row=424&amp;col=12&amp;number=&amp;sourceID=53","")</f>
        <v/>
      </c>
      <c r="M424" s="4" t="str">
        <f>HYPERLINK("http://141.218.60.56/~jnz1568/getInfo.php?workbook=16_15.xlsx&amp;sheet=A0&amp;row=424&amp;col=13&amp;number=&amp;sourceID=53","")</f>
        <v/>
      </c>
      <c r="N424" s="4" t="str">
        <f>HYPERLINK("http://141.218.60.56/~jnz1568/getInfo.php?workbook=16_15.xlsx&amp;sheet=A0&amp;row=424&amp;col=14&amp;number=&amp;sourceID=53","")</f>
        <v/>
      </c>
      <c r="O424" s="4" t="str">
        <f>HYPERLINK("http://141.218.60.56/~jnz1568/getInfo.php?workbook=16_15.xlsx&amp;sheet=A0&amp;row=424&amp;col=15&amp;number=&amp;sourceID=55","")</f>
        <v/>
      </c>
      <c r="P424" s="4" t="str">
        <f>HYPERLINK("http://141.218.60.56/~jnz1568/getInfo.php?workbook=16_15.xlsx&amp;sheet=A0&amp;row=424&amp;col=16&amp;number=&amp;sourceID=55","")</f>
        <v/>
      </c>
      <c r="Q424" s="4" t="str">
        <f>HYPERLINK("http://141.218.60.56/~jnz1568/getInfo.php?workbook=16_15.xlsx&amp;sheet=A0&amp;row=424&amp;col=17&amp;number=&amp;sourceID=56","")</f>
        <v/>
      </c>
      <c r="R424" s="4" t="str">
        <f>HYPERLINK("http://141.218.60.56/~jnz1568/getInfo.php?workbook=16_15.xlsx&amp;sheet=A0&amp;row=424&amp;col=18&amp;number=&amp;sourceID=56","")</f>
        <v/>
      </c>
      <c r="S424" s="4" t="str">
        <f>HYPERLINK("http://141.218.60.56/~jnz1568/getInfo.php?workbook=16_15.xlsx&amp;sheet=A0&amp;row=424&amp;col=19&amp;number=&amp;sourceID=57","")</f>
        <v/>
      </c>
      <c r="T424" s="4" t="str">
        <f>HYPERLINK("http://141.218.60.56/~jnz1568/getInfo.php?workbook=16_15.xlsx&amp;sheet=A0&amp;row=424&amp;col=20&amp;number=&amp;sourceID=57","")</f>
        <v/>
      </c>
      <c r="U424" s="4" t="str">
        <f>HYPERLINK("http://141.218.60.56/~jnz1568/getInfo.php?workbook=16_15.xlsx&amp;sheet=A0&amp;row=424&amp;col=21&amp;number=&amp;sourceID=47","")</f>
        <v/>
      </c>
      <c r="V424" s="4" t="str">
        <f>HYPERLINK("http://141.218.60.56/~jnz1568/getInfo.php?workbook=16_15.xlsx&amp;sheet=A0&amp;row=424&amp;col=22&amp;number=&amp;sourceID=47","")</f>
        <v/>
      </c>
    </row>
    <row r="425" spans="1:22">
      <c r="A425" s="3">
        <v>16</v>
      </c>
      <c r="B425" s="3">
        <v>15</v>
      </c>
      <c r="C425" s="3">
        <v>33</v>
      </c>
      <c r="D425" s="3">
        <v>27</v>
      </c>
      <c r="E425" s="3">
        <f>((1/(INDEX(E0!J$4:J$73,C425,1)-INDEX(E0!J$4:J$73,D425,1))))*100000000</f>
        <v>0</v>
      </c>
      <c r="F425" s="4" t="str">
        <f>HYPERLINK("http://141.218.60.56/~jnz1568/getInfo.php?workbook=16_15.xlsx&amp;sheet=A0&amp;row=425&amp;col=6&amp;number=&amp;sourceID=54","")</f>
        <v/>
      </c>
      <c r="G425" s="4" t="str">
        <f>HYPERLINK("http://141.218.60.56/~jnz1568/getInfo.php?workbook=16_15.xlsx&amp;sheet=A0&amp;row=425&amp;col=7&amp;number=0.043655&amp;sourceID=54","0.043655")</f>
        <v>0.043655</v>
      </c>
      <c r="H425" s="4" t="str">
        <f>HYPERLINK("http://141.218.60.56/~jnz1568/getInfo.php?workbook=16_15.xlsx&amp;sheet=A0&amp;row=425&amp;col=8&amp;number=0.0053717&amp;sourceID=54","0.0053717")</f>
        <v>0.0053717</v>
      </c>
      <c r="I425" s="4" t="str">
        <f>HYPERLINK("http://141.218.60.56/~jnz1568/getInfo.php?workbook=16_15.xlsx&amp;sheet=A0&amp;row=425&amp;col=9&amp;number=&amp;sourceID=54","")</f>
        <v/>
      </c>
      <c r="J425" s="4" t="str">
        <f>HYPERLINK("http://141.218.60.56/~jnz1568/getInfo.php?workbook=16_15.xlsx&amp;sheet=A0&amp;row=425&amp;col=10&amp;number=0.034743&amp;sourceID=54","0.034743")</f>
        <v>0.034743</v>
      </c>
      <c r="K425" s="4" t="str">
        <f>HYPERLINK("http://141.218.60.56/~jnz1568/getInfo.php?workbook=16_15.xlsx&amp;sheet=A0&amp;row=425&amp;col=11&amp;number=0.0050193&amp;sourceID=54","0.0050193")</f>
        <v>0.0050193</v>
      </c>
      <c r="L425" s="4" t="str">
        <f>HYPERLINK("http://141.218.60.56/~jnz1568/getInfo.php?workbook=16_15.xlsx&amp;sheet=A0&amp;row=425&amp;col=12&amp;number=&amp;sourceID=53","")</f>
        <v/>
      </c>
      <c r="M425" s="4" t="str">
        <f>HYPERLINK("http://141.218.60.56/~jnz1568/getInfo.php?workbook=16_15.xlsx&amp;sheet=A0&amp;row=425&amp;col=13&amp;number=&amp;sourceID=53","")</f>
        <v/>
      </c>
      <c r="N425" s="4" t="str">
        <f>HYPERLINK("http://141.218.60.56/~jnz1568/getInfo.php?workbook=16_15.xlsx&amp;sheet=A0&amp;row=425&amp;col=14&amp;number=&amp;sourceID=53","")</f>
        <v/>
      </c>
      <c r="O425" s="4" t="str">
        <f>HYPERLINK("http://141.218.60.56/~jnz1568/getInfo.php?workbook=16_15.xlsx&amp;sheet=A0&amp;row=425&amp;col=15&amp;number=&amp;sourceID=55","")</f>
        <v/>
      </c>
      <c r="P425" s="4" t="str">
        <f>HYPERLINK("http://141.218.60.56/~jnz1568/getInfo.php?workbook=16_15.xlsx&amp;sheet=A0&amp;row=425&amp;col=16&amp;number=&amp;sourceID=55","")</f>
        <v/>
      </c>
      <c r="Q425" s="4" t="str">
        <f>HYPERLINK("http://141.218.60.56/~jnz1568/getInfo.php?workbook=16_15.xlsx&amp;sheet=A0&amp;row=425&amp;col=17&amp;number=&amp;sourceID=56","")</f>
        <v/>
      </c>
      <c r="R425" s="4" t="str">
        <f>HYPERLINK("http://141.218.60.56/~jnz1568/getInfo.php?workbook=16_15.xlsx&amp;sheet=A0&amp;row=425&amp;col=18&amp;number=&amp;sourceID=56","")</f>
        <v/>
      </c>
      <c r="S425" s="4" t="str">
        <f>HYPERLINK("http://141.218.60.56/~jnz1568/getInfo.php?workbook=16_15.xlsx&amp;sheet=A0&amp;row=425&amp;col=19&amp;number=&amp;sourceID=57","")</f>
        <v/>
      </c>
      <c r="T425" s="4" t="str">
        <f>HYPERLINK("http://141.218.60.56/~jnz1568/getInfo.php?workbook=16_15.xlsx&amp;sheet=A0&amp;row=425&amp;col=20&amp;number=&amp;sourceID=57","")</f>
        <v/>
      </c>
      <c r="U425" s="4" t="str">
        <f>HYPERLINK("http://141.218.60.56/~jnz1568/getInfo.php?workbook=16_15.xlsx&amp;sheet=A0&amp;row=425&amp;col=21&amp;number=&amp;sourceID=47","")</f>
        <v/>
      </c>
      <c r="V425" s="4" t="str">
        <f>HYPERLINK("http://141.218.60.56/~jnz1568/getInfo.php?workbook=16_15.xlsx&amp;sheet=A0&amp;row=425&amp;col=22&amp;number=&amp;sourceID=47","")</f>
        <v/>
      </c>
    </row>
    <row r="426" spans="1:22">
      <c r="A426" s="3">
        <v>16</v>
      </c>
      <c r="B426" s="3">
        <v>15</v>
      </c>
      <c r="C426" s="3">
        <v>33</v>
      </c>
      <c r="D426" s="3">
        <v>30</v>
      </c>
      <c r="E426" s="3">
        <f>((1/(INDEX(E0!J$4:J$73,C426,1)-INDEX(E0!J$4:J$73,D426,1))))*100000000</f>
        <v>0</v>
      </c>
      <c r="F426" s="4" t="str">
        <f>HYPERLINK("http://141.218.60.56/~jnz1568/getInfo.php?workbook=16_15.xlsx&amp;sheet=A0&amp;row=426&amp;col=6&amp;number=&amp;sourceID=54","")</f>
        <v/>
      </c>
      <c r="G426" s="4" t="str">
        <f>HYPERLINK("http://141.218.60.56/~jnz1568/getInfo.php?workbook=16_15.xlsx&amp;sheet=A0&amp;row=426&amp;col=7&amp;number=0.046644&amp;sourceID=54","0.046644")</f>
        <v>0.046644</v>
      </c>
      <c r="H426" s="4" t="str">
        <f>HYPERLINK("http://141.218.60.56/~jnz1568/getInfo.php?workbook=16_15.xlsx&amp;sheet=A0&amp;row=426&amp;col=8&amp;number=&amp;sourceID=54","")</f>
        <v/>
      </c>
      <c r="I426" s="4" t="str">
        <f>HYPERLINK("http://141.218.60.56/~jnz1568/getInfo.php?workbook=16_15.xlsx&amp;sheet=A0&amp;row=426&amp;col=9&amp;number=&amp;sourceID=54","")</f>
        <v/>
      </c>
      <c r="J426" s="4" t="str">
        <f>HYPERLINK("http://141.218.60.56/~jnz1568/getInfo.php?workbook=16_15.xlsx&amp;sheet=A0&amp;row=426&amp;col=10&amp;number=0.02256&amp;sourceID=54","0.02256")</f>
        <v>0.02256</v>
      </c>
      <c r="K426" s="4" t="str">
        <f>HYPERLINK("http://141.218.60.56/~jnz1568/getInfo.php?workbook=16_15.xlsx&amp;sheet=A0&amp;row=426&amp;col=11&amp;number=&amp;sourceID=54","")</f>
        <v/>
      </c>
      <c r="L426" s="4" t="str">
        <f>HYPERLINK("http://141.218.60.56/~jnz1568/getInfo.php?workbook=16_15.xlsx&amp;sheet=A0&amp;row=426&amp;col=12&amp;number=&amp;sourceID=53","")</f>
        <v/>
      </c>
      <c r="M426" s="4" t="str">
        <f>HYPERLINK("http://141.218.60.56/~jnz1568/getInfo.php?workbook=16_15.xlsx&amp;sheet=A0&amp;row=426&amp;col=13&amp;number=&amp;sourceID=53","")</f>
        <v/>
      </c>
      <c r="N426" s="4" t="str">
        <f>HYPERLINK("http://141.218.60.56/~jnz1568/getInfo.php?workbook=16_15.xlsx&amp;sheet=A0&amp;row=426&amp;col=14&amp;number=&amp;sourceID=53","")</f>
        <v/>
      </c>
      <c r="O426" s="4" t="str">
        <f>HYPERLINK("http://141.218.60.56/~jnz1568/getInfo.php?workbook=16_15.xlsx&amp;sheet=A0&amp;row=426&amp;col=15&amp;number=&amp;sourceID=55","")</f>
        <v/>
      </c>
      <c r="P426" s="4" t="str">
        <f>HYPERLINK("http://141.218.60.56/~jnz1568/getInfo.php?workbook=16_15.xlsx&amp;sheet=A0&amp;row=426&amp;col=16&amp;number=&amp;sourceID=55","")</f>
        <v/>
      </c>
      <c r="Q426" s="4" t="str">
        <f>HYPERLINK("http://141.218.60.56/~jnz1568/getInfo.php?workbook=16_15.xlsx&amp;sheet=A0&amp;row=426&amp;col=17&amp;number=&amp;sourceID=56","")</f>
        <v/>
      </c>
      <c r="R426" s="4" t="str">
        <f>HYPERLINK("http://141.218.60.56/~jnz1568/getInfo.php?workbook=16_15.xlsx&amp;sheet=A0&amp;row=426&amp;col=18&amp;number=&amp;sourceID=56","")</f>
        <v/>
      </c>
      <c r="S426" s="4" t="str">
        <f>HYPERLINK("http://141.218.60.56/~jnz1568/getInfo.php?workbook=16_15.xlsx&amp;sheet=A0&amp;row=426&amp;col=19&amp;number=&amp;sourceID=57","")</f>
        <v/>
      </c>
      <c r="T426" s="4" t="str">
        <f>HYPERLINK("http://141.218.60.56/~jnz1568/getInfo.php?workbook=16_15.xlsx&amp;sheet=A0&amp;row=426&amp;col=20&amp;number=&amp;sourceID=57","")</f>
        <v/>
      </c>
      <c r="U426" s="4" t="str">
        <f>HYPERLINK("http://141.218.60.56/~jnz1568/getInfo.php?workbook=16_15.xlsx&amp;sheet=A0&amp;row=426&amp;col=21&amp;number=&amp;sourceID=47","")</f>
        <v/>
      </c>
      <c r="V426" s="4" t="str">
        <f>HYPERLINK("http://141.218.60.56/~jnz1568/getInfo.php?workbook=16_15.xlsx&amp;sheet=A0&amp;row=426&amp;col=22&amp;number=&amp;sourceID=47","")</f>
        <v/>
      </c>
    </row>
    <row r="427" spans="1:22">
      <c r="A427" s="3">
        <v>16</v>
      </c>
      <c r="B427" s="3">
        <v>15</v>
      </c>
      <c r="C427" s="3">
        <v>33</v>
      </c>
      <c r="D427" s="3">
        <v>32</v>
      </c>
      <c r="E427" s="3">
        <f>((1/(INDEX(E0!J$4:J$73,C427,1)-INDEX(E0!J$4:J$73,D427,1))))*100000000</f>
        <v>0</v>
      </c>
      <c r="F427" s="4" t="str">
        <f>HYPERLINK("http://141.218.60.56/~jnz1568/getInfo.php?workbook=16_15.xlsx&amp;sheet=A0&amp;row=427&amp;col=6&amp;number=&amp;sourceID=54","")</f>
        <v/>
      </c>
      <c r="G427" s="4" t="str">
        <f>HYPERLINK("http://141.218.60.56/~jnz1568/getInfo.php?workbook=16_15.xlsx&amp;sheet=A0&amp;row=427&amp;col=7&amp;number=0&amp;sourceID=54","0")</f>
        <v>0</v>
      </c>
      <c r="H427" s="4" t="str">
        <f>HYPERLINK("http://141.218.60.56/~jnz1568/getInfo.php?workbook=16_15.xlsx&amp;sheet=A0&amp;row=427&amp;col=8&amp;number=2.9156e-10&amp;sourceID=54","2.9156e-10")</f>
        <v>2.9156e-10</v>
      </c>
      <c r="I427" s="4" t="str">
        <f>HYPERLINK("http://141.218.60.56/~jnz1568/getInfo.php?workbook=16_15.xlsx&amp;sheet=A0&amp;row=427&amp;col=9&amp;number=&amp;sourceID=54","")</f>
        <v/>
      </c>
      <c r="J427" s="4" t="str">
        <f>HYPERLINK("http://141.218.60.56/~jnz1568/getInfo.php?workbook=16_15.xlsx&amp;sheet=A0&amp;row=427&amp;col=10&amp;number=0&amp;sourceID=54","0")</f>
        <v>0</v>
      </c>
      <c r="K427" s="4" t="str">
        <f>HYPERLINK("http://141.218.60.56/~jnz1568/getInfo.php?workbook=16_15.xlsx&amp;sheet=A0&amp;row=427&amp;col=11&amp;number=2.8362e-10&amp;sourceID=54","2.8362e-10")</f>
        <v>2.8362e-10</v>
      </c>
      <c r="L427" s="4" t="str">
        <f>HYPERLINK("http://141.218.60.56/~jnz1568/getInfo.php?workbook=16_15.xlsx&amp;sheet=A0&amp;row=427&amp;col=12&amp;number=&amp;sourceID=53","")</f>
        <v/>
      </c>
      <c r="M427" s="4" t="str">
        <f>HYPERLINK("http://141.218.60.56/~jnz1568/getInfo.php?workbook=16_15.xlsx&amp;sheet=A0&amp;row=427&amp;col=13&amp;number=&amp;sourceID=53","")</f>
        <v/>
      </c>
      <c r="N427" s="4" t="str">
        <f>HYPERLINK("http://141.218.60.56/~jnz1568/getInfo.php?workbook=16_15.xlsx&amp;sheet=A0&amp;row=427&amp;col=14&amp;number=&amp;sourceID=53","")</f>
        <v/>
      </c>
      <c r="O427" s="4" t="str">
        <f>HYPERLINK("http://141.218.60.56/~jnz1568/getInfo.php?workbook=16_15.xlsx&amp;sheet=A0&amp;row=427&amp;col=15&amp;number=&amp;sourceID=55","")</f>
        <v/>
      </c>
      <c r="P427" s="4" t="str">
        <f>HYPERLINK("http://141.218.60.56/~jnz1568/getInfo.php?workbook=16_15.xlsx&amp;sheet=A0&amp;row=427&amp;col=16&amp;number=&amp;sourceID=55","")</f>
        <v/>
      </c>
      <c r="Q427" s="4" t="str">
        <f>HYPERLINK("http://141.218.60.56/~jnz1568/getInfo.php?workbook=16_15.xlsx&amp;sheet=A0&amp;row=427&amp;col=17&amp;number=&amp;sourceID=56","")</f>
        <v/>
      </c>
      <c r="R427" s="4" t="str">
        <f>HYPERLINK("http://141.218.60.56/~jnz1568/getInfo.php?workbook=16_15.xlsx&amp;sheet=A0&amp;row=427&amp;col=18&amp;number=&amp;sourceID=56","")</f>
        <v/>
      </c>
      <c r="S427" s="4" t="str">
        <f>HYPERLINK("http://141.218.60.56/~jnz1568/getInfo.php?workbook=16_15.xlsx&amp;sheet=A0&amp;row=427&amp;col=19&amp;number=&amp;sourceID=57","")</f>
        <v/>
      </c>
      <c r="T427" s="4" t="str">
        <f>HYPERLINK("http://141.218.60.56/~jnz1568/getInfo.php?workbook=16_15.xlsx&amp;sheet=A0&amp;row=427&amp;col=20&amp;number=&amp;sourceID=57","")</f>
        <v/>
      </c>
      <c r="U427" s="4" t="str">
        <f>HYPERLINK("http://141.218.60.56/~jnz1568/getInfo.php?workbook=16_15.xlsx&amp;sheet=A0&amp;row=427&amp;col=21&amp;number=&amp;sourceID=47","")</f>
        <v/>
      </c>
      <c r="V427" s="4" t="str">
        <f>HYPERLINK("http://141.218.60.56/~jnz1568/getInfo.php?workbook=16_15.xlsx&amp;sheet=A0&amp;row=427&amp;col=22&amp;number=&amp;sourceID=47","")</f>
        <v/>
      </c>
    </row>
    <row r="428" spans="1:22">
      <c r="A428" s="3">
        <v>16</v>
      </c>
      <c r="B428" s="3">
        <v>15</v>
      </c>
      <c r="C428" s="3">
        <v>34</v>
      </c>
      <c r="D428" s="3">
        <v>1</v>
      </c>
      <c r="E428" s="3">
        <f>((1/(INDEX(E0!J$4:J$73,C428,1)-INDEX(E0!J$4:J$73,D428,1))))*100000000</f>
        <v>0</v>
      </c>
      <c r="F428" s="4" t="str">
        <f>HYPERLINK("http://141.218.60.56/~jnz1568/getInfo.php?workbook=16_15.xlsx&amp;sheet=A0&amp;row=428&amp;col=6&amp;number=&amp;sourceID=54","")</f>
        <v/>
      </c>
      <c r="G428" s="4" t="str">
        <f>HYPERLINK("http://141.218.60.56/~jnz1568/getInfo.php?workbook=16_15.xlsx&amp;sheet=A0&amp;row=428&amp;col=7&amp;number=8818.7&amp;sourceID=54","8818.7")</f>
        <v>8818.7</v>
      </c>
      <c r="H428" s="4" t="str">
        <f>HYPERLINK("http://141.218.60.56/~jnz1568/getInfo.php?workbook=16_15.xlsx&amp;sheet=A0&amp;row=428&amp;col=8&amp;number=1.2247e-05&amp;sourceID=54","1.2247e-05")</f>
        <v>1.2247e-05</v>
      </c>
      <c r="I428" s="4" t="str">
        <f>HYPERLINK("http://141.218.60.56/~jnz1568/getInfo.php?workbook=16_15.xlsx&amp;sheet=A0&amp;row=428&amp;col=9&amp;number=&amp;sourceID=54","")</f>
        <v/>
      </c>
      <c r="J428" s="4" t="str">
        <f>HYPERLINK("http://141.218.60.56/~jnz1568/getInfo.php?workbook=16_15.xlsx&amp;sheet=A0&amp;row=428&amp;col=10&amp;number=8956.4&amp;sourceID=54","8956.4")</f>
        <v>8956.4</v>
      </c>
      <c r="K428" s="4" t="str">
        <f>HYPERLINK("http://141.218.60.56/~jnz1568/getInfo.php?workbook=16_15.xlsx&amp;sheet=A0&amp;row=428&amp;col=11&amp;number=1.3129e-05&amp;sourceID=54","1.3129e-05")</f>
        <v>1.3129e-05</v>
      </c>
      <c r="L428" s="4" t="str">
        <f>HYPERLINK("http://141.218.60.56/~jnz1568/getInfo.php?workbook=16_15.xlsx&amp;sheet=A0&amp;row=428&amp;col=12&amp;number=&amp;sourceID=53","")</f>
        <v/>
      </c>
      <c r="M428" s="4" t="str">
        <f>HYPERLINK("http://141.218.60.56/~jnz1568/getInfo.php?workbook=16_15.xlsx&amp;sheet=A0&amp;row=428&amp;col=13&amp;number=&amp;sourceID=53","")</f>
        <v/>
      </c>
      <c r="N428" s="4" t="str">
        <f>HYPERLINK("http://141.218.60.56/~jnz1568/getInfo.php?workbook=16_15.xlsx&amp;sheet=A0&amp;row=428&amp;col=14&amp;number=&amp;sourceID=53","")</f>
        <v/>
      </c>
      <c r="O428" s="4" t="str">
        <f>HYPERLINK("http://141.218.60.56/~jnz1568/getInfo.php?workbook=16_15.xlsx&amp;sheet=A0&amp;row=428&amp;col=15&amp;number=&amp;sourceID=55","")</f>
        <v/>
      </c>
      <c r="P428" s="4" t="str">
        <f>HYPERLINK("http://141.218.60.56/~jnz1568/getInfo.php?workbook=16_15.xlsx&amp;sheet=A0&amp;row=428&amp;col=16&amp;number=&amp;sourceID=55","")</f>
        <v/>
      </c>
      <c r="Q428" s="4" t="str">
        <f>HYPERLINK("http://141.218.60.56/~jnz1568/getInfo.php?workbook=16_15.xlsx&amp;sheet=A0&amp;row=428&amp;col=17&amp;number=&amp;sourceID=56","")</f>
        <v/>
      </c>
      <c r="R428" s="4" t="str">
        <f>HYPERLINK("http://141.218.60.56/~jnz1568/getInfo.php?workbook=16_15.xlsx&amp;sheet=A0&amp;row=428&amp;col=18&amp;number=&amp;sourceID=56","")</f>
        <v/>
      </c>
      <c r="S428" s="4" t="str">
        <f>HYPERLINK("http://141.218.60.56/~jnz1568/getInfo.php?workbook=16_15.xlsx&amp;sheet=A0&amp;row=428&amp;col=19&amp;number=&amp;sourceID=57","")</f>
        <v/>
      </c>
      <c r="T428" s="4" t="str">
        <f>HYPERLINK("http://141.218.60.56/~jnz1568/getInfo.php?workbook=16_15.xlsx&amp;sheet=A0&amp;row=428&amp;col=20&amp;number=&amp;sourceID=57","")</f>
        <v/>
      </c>
      <c r="U428" s="4" t="str">
        <f>HYPERLINK("http://141.218.60.56/~jnz1568/getInfo.php?workbook=16_15.xlsx&amp;sheet=A0&amp;row=428&amp;col=21&amp;number=&amp;sourceID=47","")</f>
        <v/>
      </c>
      <c r="V428" s="4" t="str">
        <f>HYPERLINK("http://141.218.60.56/~jnz1568/getInfo.php?workbook=16_15.xlsx&amp;sheet=A0&amp;row=428&amp;col=22&amp;number=&amp;sourceID=47","")</f>
        <v/>
      </c>
    </row>
    <row r="429" spans="1:22">
      <c r="A429" s="3">
        <v>16</v>
      </c>
      <c r="B429" s="3">
        <v>15</v>
      </c>
      <c r="C429" s="3">
        <v>34</v>
      </c>
      <c r="D429" s="3">
        <v>2</v>
      </c>
      <c r="E429" s="3">
        <f>((1/(INDEX(E0!J$4:J$73,C429,1)-INDEX(E0!J$4:J$73,D429,1))))*100000000</f>
        <v>0</v>
      </c>
      <c r="F429" s="4" t="str">
        <f>HYPERLINK("http://141.218.60.56/~jnz1568/getInfo.php?workbook=16_15.xlsx&amp;sheet=A0&amp;row=429&amp;col=6&amp;number=&amp;sourceID=54","")</f>
        <v/>
      </c>
      <c r="G429" s="4" t="str">
        <f>HYPERLINK("http://141.218.60.56/~jnz1568/getInfo.php?workbook=16_15.xlsx&amp;sheet=A0&amp;row=429&amp;col=7&amp;number=2.0573&amp;sourceID=54","2.0573")</f>
        <v>2.0573</v>
      </c>
      <c r="H429" s="4" t="str">
        <f>HYPERLINK("http://141.218.60.56/~jnz1568/getInfo.php?workbook=16_15.xlsx&amp;sheet=A0&amp;row=429&amp;col=8&amp;number=5.8273e-05&amp;sourceID=54","5.8273e-05")</f>
        <v>5.8273e-05</v>
      </c>
      <c r="I429" s="4" t="str">
        <f>HYPERLINK("http://141.218.60.56/~jnz1568/getInfo.php?workbook=16_15.xlsx&amp;sheet=A0&amp;row=429&amp;col=9&amp;number=&amp;sourceID=54","")</f>
        <v/>
      </c>
      <c r="J429" s="4" t="str">
        <f>HYPERLINK("http://141.218.60.56/~jnz1568/getInfo.php?workbook=16_15.xlsx&amp;sheet=A0&amp;row=429&amp;col=10&amp;number=2.2003&amp;sourceID=54","2.2003")</f>
        <v>2.2003</v>
      </c>
      <c r="K429" s="4" t="str">
        <f>HYPERLINK("http://141.218.60.56/~jnz1568/getInfo.php?workbook=16_15.xlsx&amp;sheet=A0&amp;row=429&amp;col=11&amp;number=5.7667e-05&amp;sourceID=54","5.7667e-05")</f>
        <v>5.7667e-05</v>
      </c>
      <c r="L429" s="4" t="str">
        <f>HYPERLINK("http://141.218.60.56/~jnz1568/getInfo.php?workbook=16_15.xlsx&amp;sheet=A0&amp;row=429&amp;col=12&amp;number=&amp;sourceID=53","")</f>
        <v/>
      </c>
      <c r="M429" s="4" t="str">
        <f>HYPERLINK("http://141.218.60.56/~jnz1568/getInfo.php?workbook=16_15.xlsx&amp;sheet=A0&amp;row=429&amp;col=13&amp;number=&amp;sourceID=53","")</f>
        <v/>
      </c>
      <c r="N429" s="4" t="str">
        <f>HYPERLINK("http://141.218.60.56/~jnz1568/getInfo.php?workbook=16_15.xlsx&amp;sheet=A0&amp;row=429&amp;col=14&amp;number=&amp;sourceID=53","")</f>
        <v/>
      </c>
      <c r="O429" s="4" t="str">
        <f>HYPERLINK("http://141.218.60.56/~jnz1568/getInfo.php?workbook=16_15.xlsx&amp;sheet=A0&amp;row=429&amp;col=15&amp;number=&amp;sourceID=55","")</f>
        <v/>
      </c>
      <c r="P429" s="4" t="str">
        <f>HYPERLINK("http://141.218.60.56/~jnz1568/getInfo.php?workbook=16_15.xlsx&amp;sheet=A0&amp;row=429&amp;col=16&amp;number=&amp;sourceID=55","")</f>
        <v/>
      </c>
      <c r="Q429" s="4" t="str">
        <f>HYPERLINK("http://141.218.60.56/~jnz1568/getInfo.php?workbook=16_15.xlsx&amp;sheet=A0&amp;row=429&amp;col=17&amp;number=&amp;sourceID=56","")</f>
        <v/>
      </c>
      <c r="R429" s="4" t="str">
        <f>HYPERLINK("http://141.218.60.56/~jnz1568/getInfo.php?workbook=16_15.xlsx&amp;sheet=A0&amp;row=429&amp;col=18&amp;number=&amp;sourceID=56","")</f>
        <v/>
      </c>
      <c r="S429" s="4" t="str">
        <f>HYPERLINK("http://141.218.60.56/~jnz1568/getInfo.php?workbook=16_15.xlsx&amp;sheet=A0&amp;row=429&amp;col=19&amp;number=&amp;sourceID=57","")</f>
        <v/>
      </c>
      <c r="T429" s="4" t="str">
        <f>HYPERLINK("http://141.218.60.56/~jnz1568/getInfo.php?workbook=16_15.xlsx&amp;sheet=A0&amp;row=429&amp;col=20&amp;number=&amp;sourceID=57","")</f>
        <v/>
      </c>
      <c r="U429" s="4" t="str">
        <f>HYPERLINK("http://141.218.60.56/~jnz1568/getInfo.php?workbook=16_15.xlsx&amp;sheet=A0&amp;row=429&amp;col=21&amp;number=&amp;sourceID=47","")</f>
        <v/>
      </c>
      <c r="V429" s="4" t="str">
        <f>HYPERLINK("http://141.218.60.56/~jnz1568/getInfo.php?workbook=16_15.xlsx&amp;sheet=A0&amp;row=429&amp;col=22&amp;number=&amp;sourceID=47","")</f>
        <v/>
      </c>
    </row>
    <row r="430" spans="1:22">
      <c r="A430" s="3">
        <v>16</v>
      </c>
      <c r="B430" s="3">
        <v>15</v>
      </c>
      <c r="C430" s="3">
        <v>34</v>
      </c>
      <c r="D430" s="3">
        <v>3</v>
      </c>
      <c r="E430" s="3">
        <f>((1/(INDEX(E0!J$4:J$73,C430,1)-INDEX(E0!J$4:J$73,D430,1))))*100000000</f>
        <v>0</v>
      </c>
      <c r="F430" s="4" t="str">
        <f>HYPERLINK("http://141.218.60.56/~jnz1568/getInfo.php?workbook=16_15.xlsx&amp;sheet=A0&amp;row=430&amp;col=6&amp;number=&amp;sourceID=54","")</f>
        <v/>
      </c>
      <c r="G430" s="4" t="str">
        <f>HYPERLINK("http://141.218.60.56/~jnz1568/getInfo.php?workbook=16_15.xlsx&amp;sheet=A0&amp;row=430&amp;col=7&amp;number=7.4212&amp;sourceID=54","7.4212")</f>
        <v>7.4212</v>
      </c>
      <c r="H430" s="4" t="str">
        <f>HYPERLINK("http://141.218.60.56/~jnz1568/getInfo.php?workbook=16_15.xlsx&amp;sheet=A0&amp;row=430&amp;col=8&amp;number=&amp;sourceID=54","")</f>
        <v/>
      </c>
      <c r="I430" s="4" t="str">
        <f>HYPERLINK("http://141.218.60.56/~jnz1568/getInfo.php?workbook=16_15.xlsx&amp;sheet=A0&amp;row=430&amp;col=9&amp;number=&amp;sourceID=54","")</f>
        <v/>
      </c>
      <c r="J430" s="4" t="str">
        <f>HYPERLINK("http://141.218.60.56/~jnz1568/getInfo.php?workbook=16_15.xlsx&amp;sheet=A0&amp;row=430&amp;col=10&amp;number=7.9647&amp;sourceID=54","7.9647")</f>
        <v>7.9647</v>
      </c>
      <c r="K430" s="4" t="str">
        <f>HYPERLINK("http://141.218.60.56/~jnz1568/getInfo.php?workbook=16_15.xlsx&amp;sheet=A0&amp;row=430&amp;col=11&amp;number=&amp;sourceID=54","")</f>
        <v/>
      </c>
      <c r="L430" s="4" t="str">
        <f>HYPERLINK("http://141.218.60.56/~jnz1568/getInfo.php?workbook=16_15.xlsx&amp;sheet=A0&amp;row=430&amp;col=12&amp;number=&amp;sourceID=53","")</f>
        <v/>
      </c>
      <c r="M430" s="4" t="str">
        <f>HYPERLINK("http://141.218.60.56/~jnz1568/getInfo.php?workbook=16_15.xlsx&amp;sheet=A0&amp;row=430&amp;col=13&amp;number=&amp;sourceID=53","")</f>
        <v/>
      </c>
      <c r="N430" s="4" t="str">
        <f>HYPERLINK("http://141.218.60.56/~jnz1568/getInfo.php?workbook=16_15.xlsx&amp;sheet=A0&amp;row=430&amp;col=14&amp;number=&amp;sourceID=53","")</f>
        <v/>
      </c>
      <c r="O430" s="4" t="str">
        <f>HYPERLINK("http://141.218.60.56/~jnz1568/getInfo.php?workbook=16_15.xlsx&amp;sheet=A0&amp;row=430&amp;col=15&amp;number=&amp;sourceID=55","")</f>
        <v/>
      </c>
      <c r="P430" s="4" t="str">
        <f>HYPERLINK("http://141.218.60.56/~jnz1568/getInfo.php?workbook=16_15.xlsx&amp;sheet=A0&amp;row=430&amp;col=16&amp;number=&amp;sourceID=55","")</f>
        <v/>
      </c>
      <c r="Q430" s="4" t="str">
        <f>HYPERLINK("http://141.218.60.56/~jnz1568/getInfo.php?workbook=16_15.xlsx&amp;sheet=A0&amp;row=430&amp;col=17&amp;number=&amp;sourceID=56","")</f>
        <v/>
      </c>
      <c r="R430" s="4" t="str">
        <f>HYPERLINK("http://141.218.60.56/~jnz1568/getInfo.php?workbook=16_15.xlsx&amp;sheet=A0&amp;row=430&amp;col=18&amp;number=&amp;sourceID=56","")</f>
        <v/>
      </c>
      <c r="S430" s="4" t="str">
        <f>HYPERLINK("http://141.218.60.56/~jnz1568/getInfo.php?workbook=16_15.xlsx&amp;sheet=A0&amp;row=430&amp;col=19&amp;number=&amp;sourceID=57","")</f>
        <v/>
      </c>
      <c r="T430" s="4" t="str">
        <f>HYPERLINK("http://141.218.60.56/~jnz1568/getInfo.php?workbook=16_15.xlsx&amp;sheet=A0&amp;row=430&amp;col=20&amp;number=&amp;sourceID=57","")</f>
        <v/>
      </c>
      <c r="U430" s="4" t="str">
        <f>HYPERLINK("http://141.218.60.56/~jnz1568/getInfo.php?workbook=16_15.xlsx&amp;sheet=A0&amp;row=430&amp;col=21&amp;number=&amp;sourceID=47","")</f>
        <v/>
      </c>
      <c r="V430" s="4" t="str">
        <f>HYPERLINK("http://141.218.60.56/~jnz1568/getInfo.php?workbook=16_15.xlsx&amp;sheet=A0&amp;row=430&amp;col=22&amp;number=&amp;sourceID=47","")</f>
        <v/>
      </c>
    </row>
    <row r="431" spans="1:22">
      <c r="A431" s="3">
        <v>16</v>
      </c>
      <c r="B431" s="3">
        <v>15</v>
      </c>
      <c r="C431" s="3">
        <v>34</v>
      </c>
      <c r="D431" s="3">
        <v>4</v>
      </c>
      <c r="E431" s="3">
        <f>((1/(INDEX(E0!J$4:J$73,C431,1)-INDEX(E0!J$4:J$73,D431,1))))*100000000</f>
        <v>0</v>
      </c>
      <c r="F431" s="4" t="str">
        <f>HYPERLINK("http://141.218.60.56/~jnz1568/getInfo.php?workbook=16_15.xlsx&amp;sheet=A0&amp;row=431&amp;col=6&amp;number=&amp;sourceID=54","")</f>
        <v/>
      </c>
      <c r="G431" s="4" t="str">
        <f>HYPERLINK("http://141.218.60.56/~jnz1568/getInfo.php?workbook=16_15.xlsx&amp;sheet=A0&amp;row=431&amp;col=7&amp;number=&amp;sourceID=54","")</f>
        <v/>
      </c>
      <c r="H431" s="4" t="str">
        <f>HYPERLINK("http://141.218.60.56/~jnz1568/getInfo.php?workbook=16_15.xlsx&amp;sheet=A0&amp;row=431&amp;col=8&amp;number=0.0076573&amp;sourceID=54","0.0076573")</f>
        <v>0.0076573</v>
      </c>
      <c r="I431" s="4" t="str">
        <f>HYPERLINK("http://141.218.60.56/~jnz1568/getInfo.php?workbook=16_15.xlsx&amp;sheet=A0&amp;row=431&amp;col=9&amp;number=&amp;sourceID=54","")</f>
        <v/>
      </c>
      <c r="J431" s="4" t="str">
        <f>HYPERLINK("http://141.218.60.56/~jnz1568/getInfo.php?workbook=16_15.xlsx&amp;sheet=A0&amp;row=431&amp;col=10&amp;number=&amp;sourceID=54","")</f>
        <v/>
      </c>
      <c r="K431" s="4" t="str">
        <f>HYPERLINK("http://141.218.60.56/~jnz1568/getInfo.php?workbook=16_15.xlsx&amp;sheet=A0&amp;row=431&amp;col=11&amp;number=0.00772&amp;sourceID=54","0.00772")</f>
        <v>0.00772</v>
      </c>
      <c r="L431" s="4" t="str">
        <f>HYPERLINK("http://141.218.60.56/~jnz1568/getInfo.php?workbook=16_15.xlsx&amp;sheet=A0&amp;row=431&amp;col=12&amp;number=&amp;sourceID=53","")</f>
        <v/>
      </c>
      <c r="M431" s="4" t="str">
        <f>HYPERLINK("http://141.218.60.56/~jnz1568/getInfo.php?workbook=16_15.xlsx&amp;sheet=A0&amp;row=431&amp;col=13&amp;number=&amp;sourceID=53","")</f>
        <v/>
      </c>
      <c r="N431" s="4" t="str">
        <f>HYPERLINK("http://141.218.60.56/~jnz1568/getInfo.php?workbook=16_15.xlsx&amp;sheet=A0&amp;row=431&amp;col=14&amp;number=&amp;sourceID=53","")</f>
        <v/>
      </c>
      <c r="O431" s="4" t="str">
        <f>HYPERLINK("http://141.218.60.56/~jnz1568/getInfo.php?workbook=16_15.xlsx&amp;sheet=A0&amp;row=431&amp;col=15&amp;number=&amp;sourceID=55","")</f>
        <v/>
      </c>
      <c r="P431" s="4" t="str">
        <f>HYPERLINK("http://141.218.60.56/~jnz1568/getInfo.php?workbook=16_15.xlsx&amp;sheet=A0&amp;row=431&amp;col=16&amp;number=&amp;sourceID=55","")</f>
        <v/>
      </c>
      <c r="Q431" s="4" t="str">
        <f>HYPERLINK("http://141.218.60.56/~jnz1568/getInfo.php?workbook=16_15.xlsx&amp;sheet=A0&amp;row=431&amp;col=17&amp;number=&amp;sourceID=56","")</f>
        <v/>
      </c>
      <c r="R431" s="4" t="str">
        <f>HYPERLINK("http://141.218.60.56/~jnz1568/getInfo.php?workbook=16_15.xlsx&amp;sheet=A0&amp;row=431&amp;col=18&amp;number=&amp;sourceID=56","")</f>
        <v/>
      </c>
      <c r="S431" s="4" t="str">
        <f>HYPERLINK("http://141.218.60.56/~jnz1568/getInfo.php?workbook=16_15.xlsx&amp;sheet=A0&amp;row=431&amp;col=19&amp;number=&amp;sourceID=57","")</f>
        <v/>
      </c>
      <c r="T431" s="4" t="str">
        <f>HYPERLINK("http://141.218.60.56/~jnz1568/getInfo.php?workbook=16_15.xlsx&amp;sheet=A0&amp;row=431&amp;col=20&amp;number=&amp;sourceID=57","")</f>
        <v/>
      </c>
      <c r="U431" s="4" t="str">
        <f>HYPERLINK("http://141.218.60.56/~jnz1568/getInfo.php?workbook=16_15.xlsx&amp;sheet=A0&amp;row=431&amp;col=21&amp;number=&amp;sourceID=47","")</f>
        <v/>
      </c>
      <c r="V431" s="4" t="str">
        <f>HYPERLINK("http://141.218.60.56/~jnz1568/getInfo.php?workbook=16_15.xlsx&amp;sheet=A0&amp;row=431&amp;col=22&amp;number=&amp;sourceID=47","")</f>
        <v/>
      </c>
    </row>
    <row r="432" spans="1:22">
      <c r="A432" s="3">
        <v>16</v>
      </c>
      <c r="B432" s="3">
        <v>15</v>
      </c>
      <c r="C432" s="3">
        <v>34</v>
      </c>
      <c r="D432" s="3">
        <v>5</v>
      </c>
      <c r="E432" s="3">
        <f>((1/(INDEX(E0!J$4:J$73,C432,1)-INDEX(E0!J$4:J$73,D432,1))))*100000000</f>
        <v>0</v>
      </c>
      <c r="F432" s="4" t="str">
        <f>HYPERLINK("http://141.218.60.56/~jnz1568/getInfo.php?workbook=16_15.xlsx&amp;sheet=A0&amp;row=432&amp;col=6&amp;number=&amp;sourceID=54","")</f>
        <v/>
      </c>
      <c r="G432" s="4" t="str">
        <f>HYPERLINK("http://141.218.60.56/~jnz1568/getInfo.php?workbook=16_15.xlsx&amp;sheet=A0&amp;row=432&amp;col=7&amp;number=3.5205&amp;sourceID=54","3.5205")</f>
        <v>3.5205</v>
      </c>
      <c r="H432" s="4" t="str">
        <f>HYPERLINK("http://141.218.60.56/~jnz1568/getInfo.php?workbook=16_15.xlsx&amp;sheet=A0&amp;row=432&amp;col=8&amp;number=0.013981&amp;sourceID=54","0.013981")</f>
        <v>0.013981</v>
      </c>
      <c r="I432" s="4" t="str">
        <f>HYPERLINK("http://141.218.60.56/~jnz1568/getInfo.php?workbook=16_15.xlsx&amp;sheet=A0&amp;row=432&amp;col=9&amp;number=&amp;sourceID=54","")</f>
        <v/>
      </c>
      <c r="J432" s="4" t="str">
        <f>HYPERLINK("http://141.218.60.56/~jnz1568/getInfo.php?workbook=16_15.xlsx&amp;sheet=A0&amp;row=432&amp;col=10&amp;number=3.7521&amp;sourceID=54","3.7521")</f>
        <v>3.7521</v>
      </c>
      <c r="K432" s="4" t="str">
        <f>HYPERLINK("http://141.218.60.56/~jnz1568/getInfo.php?workbook=16_15.xlsx&amp;sheet=A0&amp;row=432&amp;col=11&amp;number=0.01408&amp;sourceID=54","0.01408")</f>
        <v>0.01408</v>
      </c>
      <c r="L432" s="4" t="str">
        <f>HYPERLINK("http://141.218.60.56/~jnz1568/getInfo.php?workbook=16_15.xlsx&amp;sheet=A0&amp;row=432&amp;col=12&amp;number=&amp;sourceID=53","")</f>
        <v/>
      </c>
      <c r="M432" s="4" t="str">
        <f>HYPERLINK("http://141.218.60.56/~jnz1568/getInfo.php?workbook=16_15.xlsx&amp;sheet=A0&amp;row=432&amp;col=13&amp;number=&amp;sourceID=53","")</f>
        <v/>
      </c>
      <c r="N432" s="4" t="str">
        <f>HYPERLINK("http://141.218.60.56/~jnz1568/getInfo.php?workbook=16_15.xlsx&amp;sheet=A0&amp;row=432&amp;col=14&amp;number=&amp;sourceID=53","")</f>
        <v/>
      </c>
      <c r="O432" s="4" t="str">
        <f>HYPERLINK("http://141.218.60.56/~jnz1568/getInfo.php?workbook=16_15.xlsx&amp;sheet=A0&amp;row=432&amp;col=15&amp;number=&amp;sourceID=55","")</f>
        <v/>
      </c>
      <c r="P432" s="4" t="str">
        <f>HYPERLINK("http://141.218.60.56/~jnz1568/getInfo.php?workbook=16_15.xlsx&amp;sheet=A0&amp;row=432&amp;col=16&amp;number=&amp;sourceID=55","")</f>
        <v/>
      </c>
      <c r="Q432" s="4" t="str">
        <f>HYPERLINK("http://141.218.60.56/~jnz1568/getInfo.php?workbook=16_15.xlsx&amp;sheet=A0&amp;row=432&amp;col=17&amp;number=&amp;sourceID=56","")</f>
        <v/>
      </c>
      <c r="R432" s="4" t="str">
        <f>HYPERLINK("http://141.218.60.56/~jnz1568/getInfo.php?workbook=16_15.xlsx&amp;sheet=A0&amp;row=432&amp;col=18&amp;number=&amp;sourceID=56","")</f>
        <v/>
      </c>
      <c r="S432" s="4" t="str">
        <f>HYPERLINK("http://141.218.60.56/~jnz1568/getInfo.php?workbook=16_15.xlsx&amp;sheet=A0&amp;row=432&amp;col=19&amp;number=&amp;sourceID=57","")</f>
        <v/>
      </c>
      <c r="T432" s="4" t="str">
        <f>HYPERLINK("http://141.218.60.56/~jnz1568/getInfo.php?workbook=16_15.xlsx&amp;sheet=A0&amp;row=432&amp;col=20&amp;number=&amp;sourceID=57","")</f>
        <v/>
      </c>
      <c r="U432" s="4" t="str">
        <f>HYPERLINK("http://141.218.60.56/~jnz1568/getInfo.php?workbook=16_15.xlsx&amp;sheet=A0&amp;row=432&amp;col=21&amp;number=&amp;sourceID=47","")</f>
        <v/>
      </c>
      <c r="V432" s="4" t="str">
        <f>HYPERLINK("http://141.218.60.56/~jnz1568/getInfo.php?workbook=16_15.xlsx&amp;sheet=A0&amp;row=432&amp;col=22&amp;number=&amp;sourceID=47","")</f>
        <v/>
      </c>
    </row>
    <row r="433" spans="1:22">
      <c r="A433" s="3">
        <v>16</v>
      </c>
      <c r="B433" s="3">
        <v>15</v>
      </c>
      <c r="C433" s="3">
        <v>34</v>
      </c>
      <c r="D433" s="3">
        <v>7</v>
      </c>
      <c r="E433" s="3">
        <f>((1/(INDEX(E0!J$4:J$73,C433,1)-INDEX(E0!J$4:J$73,D433,1))))*100000000</f>
        <v>0</v>
      </c>
      <c r="F433" s="4" t="str">
        <f>HYPERLINK("http://141.218.60.56/~jnz1568/getInfo.php?workbook=16_15.xlsx&amp;sheet=A0&amp;row=433&amp;col=6&amp;number=72710&amp;sourceID=54","72710")</f>
        <v>72710</v>
      </c>
      <c r="G433" s="4" t="str">
        <f>HYPERLINK("http://141.218.60.56/~jnz1568/getInfo.php?workbook=16_15.xlsx&amp;sheet=A0&amp;row=433&amp;col=7&amp;number=&amp;sourceID=54","")</f>
        <v/>
      </c>
      <c r="H433" s="4" t="str">
        <f>HYPERLINK("http://141.218.60.56/~jnz1568/getInfo.php?workbook=16_15.xlsx&amp;sheet=A0&amp;row=433&amp;col=8&amp;number=&amp;sourceID=54","")</f>
        <v/>
      </c>
      <c r="I433" s="4" t="str">
        <f>HYPERLINK("http://141.218.60.56/~jnz1568/getInfo.php?workbook=16_15.xlsx&amp;sheet=A0&amp;row=433&amp;col=9&amp;number=68292&amp;sourceID=54","68292")</f>
        <v>68292</v>
      </c>
      <c r="J433" s="4" t="str">
        <f>HYPERLINK("http://141.218.60.56/~jnz1568/getInfo.php?workbook=16_15.xlsx&amp;sheet=A0&amp;row=433&amp;col=10&amp;number=&amp;sourceID=54","")</f>
        <v/>
      </c>
      <c r="K433" s="4" t="str">
        <f>HYPERLINK("http://141.218.60.56/~jnz1568/getInfo.php?workbook=16_15.xlsx&amp;sheet=A0&amp;row=433&amp;col=11&amp;number=&amp;sourceID=54","")</f>
        <v/>
      </c>
      <c r="L433" s="4" t="str">
        <f>HYPERLINK("http://141.218.60.56/~jnz1568/getInfo.php?workbook=16_15.xlsx&amp;sheet=A0&amp;row=433&amp;col=12&amp;number=74372.6129775&amp;sourceID=53","74372.6129775")</f>
        <v>74372.6129775</v>
      </c>
      <c r="M433" s="4" t="str">
        <f>HYPERLINK("http://141.218.60.56/~jnz1568/getInfo.php?workbook=16_15.xlsx&amp;sheet=A0&amp;row=433&amp;col=13&amp;number=&amp;sourceID=53","")</f>
        <v/>
      </c>
      <c r="N433" s="4" t="str">
        <f>HYPERLINK("http://141.218.60.56/~jnz1568/getInfo.php?workbook=16_15.xlsx&amp;sheet=A0&amp;row=433&amp;col=14&amp;number=&amp;sourceID=53","")</f>
        <v/>
      </c>
      <c r="O433" s="4" t="str">
        <f>HYPERLINK("http://141.218.60.56/~jnz1568/getInfo.php?workbook=16_15.xlsx&amp;sheet=A0&amp;row=433&amp;col=15&amp;number=&amp;sourceID=55","")</f>
        <v/>
      </c>
      <c r="P433" s="4" t="str">
        <f>HYPERLINK("http://141.218.60.56/~jnz1568/getInfo.php?workbook=16_15.xlsx&amp;sheet=A0&amp;row=433&amp;col=16&amp;number=&amp;sourceID=55","")</f>
        <v/>
      </c>
      <c r="Q433" s="4" t="str">
        <f>HYPERLINK("http://141.218.60.56/~jnz1568/getInfo.php?workbook=16_15.xlsx&amp;sheet=A0&amp;row=433&amp;col=17&amp;number=&amp;sourceID=56","")</f>
        <v/>
      </c>
      <c r="R433" s="4" t="str">
        <f>HYPERLINK("http://141.218.60.56/~jnz1568/getInfo.php?workbook=16_15.xlsx&amp;sheet=A0&amp;row=433&amp;col=18&amp;number=&amp;sourceID=56","")</f>
        <v/>
      </c>
      <c r="S433" s="4" t="str">
        <f>HYPERLINK("http://141.218.60.56/~jnz1568/getInfo.php?workbook=16_15.xlsx&amp;sheet=A0&amp;row=433&amp;col=19&amp;number=&amp;sourceID=57","")</f>
        <v/>
      </c>
      <c r="T433" s="4" t="str">
        <f>HYPERLINK("http://141.218.60.56/~jnz1568/getInfo.php?workbook=16_15.xlsx&amp;sheet=A0&amp;row=433&amp;col=20&amp;number=&amp;sourceID=57","")</f>
        <v/>
      </c>
      <c r="U433" s="4" t="str">
        <f>HYPERLINK("http://141.218.60.56/~jnz1568/getInfo.php?workbook=16_15.xlsx&amp;sheet=A0&amp;row=433&amp;col=21&amp;number=&amp;sourceID=47","")</f>
        <v/>
      </c>
      <c r="V433" s="4" t="str">
        <f>HYPERLINK("http://141.218.60.56/~jnz1568/getInfo.php?workbook=16_15.xlsx&amp;sheet=A0&amp;row=433&amp;col=22&amp;number=&amp;sourceID=47","")</f>
        <v/>
      </c>
    </row>
    <row r="434" spans="1:22">
      <c r="A434" s="3">
        <v>16</v>
      </c>
      <c r="B434" s="3">
        <v>15</v>
      </c>
      <c r="C434" s="3">
        <v>34</v>
      </c>
      <c r="D434" s="3">
        <v>8</v>
      </c>
      <c r="E434" s="3">
        <f>((1/(INDEX(E0!J$4:J$73,C434,1)-INDEX(E0!J$4:J$73,D434,1))))*100000000</f>
        <v>0</v>
      </c>
      <c r="F434" s="4" t="str">
        <f>HYPERLINK("http://141.218.60.56/~jnz1568/getInfo.php?workbook=16_15.xlsx&amp;sheet=A0&amp;row=434&amp;col=6&amp;number=11996&amp;sourceID=54","11996")</f>
        <v>11996</v>
      </c>
      <c r="G434" s="4" t="str">
        <f>HYPERLINK("http://141.218.60.56/~jnz1568/getInfo.php?workbook=16_15.xlsx&amp;sheet=A0&amp;row=434&amp;col=7&amp;number=&amp;sourceID=54","")</f>
        <v/>
      </c>
      <c r="H434" s="4" t="str">
        <f>HYPERLINK("http://141.218.60.56/~jnz1568/getInfo.php?workbook=16_15.xlsx&amp;sheet=A0&amp;row=434&amp;col=8&amp;number=&amp;sourceID=54","")</f>
        <v/>
      </c>
      <c r="I434" s="4" t="str">
        <f>HYPERLINK("http://141.218.60.56/~jnz1568/getInfo.php?workbook=16_15.xlsx&amp;sheet=A0&amp;row=434&amp;col=9&amp;number=12001&amp;sourceID=54","12001")</f>
        <v>12001</v>
      </c>
      <c r="J434" s="4" t="str">
        <f>HYPERLINK("http://141.218.60.56/~jnz1568/getInfo.php?workbook=16_15.xlsx&amp;sheet=A0&amp;row=434&amp;col=10&amp;number=&amp;sourceID=54","")</f>
        <v/>
      </c>
      <c r="K434" s="4" t="str">
        <f>HYPERLINK("http://141.218.60.56/~jnz1568/getInfo.php?workbook=16_15.xlsx&amp;sheet=A0&amp;row=434&amp;col=11&amp;number=&amp;sourceID=54","")</f>
        <v/>
      </c>
      <c r="L434" s="4" t="str">
        <f>HYPERLINK("http://141.218.60.56/~jnz1568/getInfo.php?workbook=16_15.xlsx&amp;sheet=A0&amp;row=434&amp;col=12&amp;number=8608.42441963&amp;sourceID=53","8608.42441963")</f>
        <v>8608.42441963</v>
      </c>
      <c r="M434" s="4" t="str">
        <f>HYPERLINK("http://141.218.60.56/~jnz1568/getInfo.php?workbook=16_15.xlsx&amp;sheet=A0&amp;row=434&amp;col=13&amp;number=&amp;sourceID=53","")</f>
        <v/>
      </c>
      <c r="N434" s="4" t="str">
        <f>HYPERLINK("http://141.218.60.56/~jnz1568/getInfo.php?workbook=16_15.xlsx&amp;sheet=A0&amp;row=434&amp;col=14&amp;number=&amp;sourceID=53","")</f>
        <v/>
      </c>
      <c r="O434" s="4" t="str">
        <f>HYPERLINK("http://141.218.60.56/~jnz1568/getInfo.php?workbook=16_15.xlsx&amp;sheet=A0&amp;row=434&amp;col=15&amp;number=&amp;sourceID=55","")</f>
        <v/>
      </c>
      <c r="P434" s="4" t="str">
        <f>HYPERLINK("http://141.218.60.56/~jnz1568/getInfo.php?workbook=16_15.xlsx&amp;sheet=A0&amp;row=434&amp;col=16&amp;number=&amp;sourceID=55","")</f>
        <v/>
      </c>
      <c r="Q434" s="4" t="str">
        <f>HYPERLINK("http://141.218.60.56/~jnz1568/getInfo.php?workbook=16_15.xlsx&amp;sheet=A0&amp;row=434&amp;col=17&amp;number=&amp;sourceID=56","")</f>
        <v/>
      </c>
      <c r="R434" s="4" t="str">
        <f>HYPERLINK("http://141.218.60.56/~jnz1568/getInfo.php?workbook=16_15.xlsx&amp;sheet=A0&amp;row=434&amp;col=18&amp;number=&amp;sourceID=56","")</f>
        <v/>
      </c>
      <c r="S434" s="4" t="str">
        <f>HYPERLINK("http://141.218.60.56/~jnz1568/getInfo.php?workbook=16_15.xlsx&amp;sheet=A0&amp;row=434&amp;col=19&amp;number=&amp;sourceID=57","")</f>
        <v/>
      </c>
      <c r="T434" s="4" t="str">
        <f>HYPERLINK("http://141.218.60.56/~jnz1568/getInfo.php?workbook=16_15.xlsx&amp;sheet=A0&amp;row=434&amp;col=20&amp;number=&amp;sourceID=57","")</f>
        <v/>
      </c>
      <c r="U434" s="4" t="str">
        <f>HYPERLINK("http://141.218.60.56/~jnz1568/getInfo.php?workbook=16_15.xlsx&amp;sheet=A0&amp;row=434&amp;col=21&amp;number=&amp;sourceID=47","")</f>
        <v/>
      </c>
      <c r="V434" s="4" t="str">
        <f>HYPERLINK("http://141.218.60.56/~jnz1568/getInfo.php?workbook=16_15.xlsx&amp;sheet=A0&amp;row=434&amp;col=22&amp;number=&amp;sourceID=47","")</f>
        <v/>
      </c>
    </row>
    <row r="435" spans="1:22">
      <c r="A435" s="3">
        <v>16</v>
      </c>
      <c r="B435" s="3">
        <v>15</v>
      </c>
      <c r="C435" s="3">
        <v>34</v>
      </c>
      <c r="D435" s="3">
        <v>9</v>
      </c>
      <c r="E435" s="3">
        <f>((1/(INDEX(E0!J$4:J$73,C435,1)-INDEX(E0!J$4:J$73,D435,1))))*100000000</f>
        <v>0</v>
      </c>
      <c r="F435" s="4" t="str">
        <f>HYPERLINK("http://141.218.60.56/~jnz1568/getInfo.php?workbook=16_15.xlsx&amp;sheet=A0&amp;row=435&amp;col=6&amp;number=14333&amp;sourceID=54","14333")</f>
        <v>14333</v>
      </c>
      <c r="G435" s="4" t="str">
        <f>HYPERLINK("http://141.218.60.56/~jnz1568/getInfo.php?workbook=16_15.xlsx&amp;sheet=A0&amp;row=435&amp;col=7&amp;number=&amp;sourceID=54","")</f>
        <v/>
      </c>
      <c r="H435" s="4" t="str">
        <f>HYPERLINK("http://141.218.60.56/~jnz1568/getInfo.php?workbook=16_15.xlsx&amp;sheet=A0&amp;row=435&amp;col=8&amp;number=&amp;sourceID=54","")</f>
        <v/>
      </c>
      <c r="I435" s="4" t="str">
        <f>HYPERLINK("http://141.218.60.56/~jnz1568/getInfo.php?workbook=16_15.xlsx&amp;sheet=A0&amp;row=435&amp;col=9&amp;number=14732&amp;sourceID=54","14732")</f>
        <v>14732</v>
      </c>
      <c r="J435" s="4" t="str">
        <f>HYPERLINK("http://141.218.60.56/~jnz1568/getInfo.php?workbook=16_15.xlsx&amp;sheet=A0&amp;row=435&amp;col=10&amp;number=&amp;sourceID=54","")</f>
        <v/>
      </c>
      <c r="K435" s="4" t="str">
        <f>HYPERLINK("http://141.218.60.56/~jnz1568/getInfo.php?workbook=16_15.xlsx&amp;sheet=A0&amp;row=435&amp;col=11&amp;number=&amp;sourceID=54","")</f>
        <v/>
      </c>
      <c r="L435" s="4" t="str">
        <f>HYPERLINK("http://141.218.60.56/~jnz1568/getInfo.php?workbook=16_15.xlsx&amp;sheet=A0&amp;row=435&amp;col=12&amp;number=73368.4716774&amp;sourceID=53","73368.4716774")</f>
        <v>73368.4716774</v>
      </c>
      <c r="M435" s="4" t="str">
        <f>HYPERLINK("http://141.218.60.56/~jnz1568/getInfo.php?workbook=16_15.xlsx&amp;sheet=A0&amp;row=435&amp;col=13&amp;number=&amp;sourceID=53","")</f>
        <v/>
      </c>
      <c r="N435" s="4" t="str">
        <f>HYPERLINK("http://141.218.60.56/~jnz1568/getInfo.php?workbook=16_15.xlsx&amp;sheet=A0&amp;row=435&amp;col=14&amp;number=&amp;sourceID=53","")</f>
        <v/>
      </c>
      <c r="O435" s="4" t="str">
        <f>HYPERLINK("http://141.218.60.56/~jnz1568/getInfo.php?workbook=16_15.xlsx&amp;sheet=A0&amp;row=435&amp;col=15&amp;number=&amp;sourceID=55","")</f>
        <v/>
      </c>
      <c r="P435" s="4" t="str">
        <f>HYPERLINK("http://141.218.60.56/~jnz1568/getInfo.php?workbook=16_15.xlsx&amp;sheet=A0&amp;row=435&amp;col=16&amp;number=&amp;sourceID=55","")</f>
        <v/>
      </c>
      <c r="Q435" s="4" t="str">
        <f>HYPERLINK("http://141.218.60.56/~jnz1568/getInfo.php?workbook=16_15.xlsx&amp;sheet=A0&amp;row=435&amp;col=17&amp;number=&amp;sourceID=56","")</f>
        <v/>
      </c>
      <c r="R435" s="4" t="str">
        <f>HYPERLINK("http://141.218.60.56/~jnz1568/getInfo.php?workbook=16_15.xlsx&amp;sheet=A0&amp;row=435&amp;col=18&amp;number=&amp;sourceID=56","")</f>
        <v/>
      </c>
      <c r="S435" s="4" t="str">
        <f>HYPERLINK("http://141.218.60.56/~jnz1568/getInfo.php?workbook=16_15.xlsx&amp;sheet=A0&amp;row=435&amp;col=19&amp;number=&amp;sourceID=57","")</f>
        <v/>
      </c>
      <c r="T435" s="4" t="str">
        <f>HYPERLINK("http://141.218.60.56/~jnz1568/getInfo.php?workbook=16_15.xlsx&amp;sheet=A0&amp;row=435&amp;col=20&amp;number=&amp;sourceID=57","")</f>
        <v/>
      </c>
      <c r="U435" s="4" t="str">
        <f>HYPERLINK("http://141.218.60.56/~jnz1568/getInfo.php?workbook=16_15.xlsx&amp;sheet=A0&amp;row=435&amp;col=21&amp;number=&amp;sourceID=47","")</f>
        <v/>
      </c>
      <c r="V435" s="4" t="str">
        <f>HYPERLINK("http://141.218.60.56/~jnz1568/getInfo.php?workbook=16_15.xlsx&amp;sheet=A0&amp;row=435&amp;col=22&amp;number=&amp;sourceID=47","")</f>
        <v/>
      </c>
    </row>
    <row r="436" spans="1:22">
      <c r="A436" s="3">
        <v>16</v>
      </c>
      <c r="B436" s="3">
        <v>15</v>
      </c>
      <c r="C436" s="3">
        <v>34</v>
      </c>
      <c r="D436" s="3">
        <v>11</v>
      </c>
      <c r="E436" s="3">
        <f>((1/(INDEX(E0!J$4:J$73,C436,1)-INDEX(E0!J$4:J$73,D436,1))))*100000000</f>
        <v>0</v>
      </c>
      <c r="F436" s="4" t="str">
        <f>HYPERLINK("http://141.218.60.56/~jnz1568/getInfo.php?workbook=16_15.xlsx&amp;sheet=A0&amp;row=436&amp;col=6&amp;number=3517.7&amp;sourceID=54","3517.7")</f>
        <v>3517.7</v>
      </c>
      <c r="G436" s="4" t="str">
        <f>HYPERLINK("http://141.218.60.56/~jnz1568/getInfo.php?workbook=16_15.xlsx&amp;sheet=A0&amp;row=436&amp;col=7&amp;number=&amp;sourceID=54","")</f>
        <v/>
      </c>
      <c r="H436" s="4" t="str">
        <f>HYPERLINK("http://141.218.60.56/~jnz1568/getInfo.php?workbook=16_15.xlsx&amp;sheet=A0&amp;row=436&amp;col=8&amp;number=&amp;sourceID=54","")</f>
        <v/>
      </c>
      <c r="I436" s="4" t="str">
        <f>HYPERLINK("http://141.218.60.56/~jnz1568/getInfo.php?workbook=16_15.xlsx&amp;sheet=A0&amp;row=436&amp;col=9&amp;number=3737.8&amp;sourceID=54","3737.8")</f>
        <v>3737.8</v>
      </c>
      <c r="J436" s="4" t="str">
        <f>HYPERLINK("http://141.218.60.56/~jnz1568/getInfo.php?workbook=16_15.xlsx&amp;sheet=A0&amp;row=436&amp;col=10&amp;number=&amp;sourceID=54","")</f>
        <v/>
      </c>
      <c r="K436" s="4" t="str">
        <f>HYPERLINK("http://141.218.60.56/~jnz1568/getInfo.php?workbook=16_15.xlsx&amp;sheet=A0&amp;row=436&amp;col=11&amp;number=&amp;sourceID=54","")</f>
        <v/>
      </c>
      <c r="L436" s="4" t="str">
        <f>HYPERLINK("http://141.218.60.56/~jnz1568/getInfo.php?workbook=16_15.xlsx&amp;sheet=A0&amp;row=436&amp;col=12&amp;number=4471.44406511&amp;sourceID=53","4471.44406511")</f>
        <v>4471.44406511</v>
      </c>
      <c r="M436" s="4" t="str">
        <f>HYPERLINK("http://141.218.60.56/~jnz1568/getInfo.php?workbook=16_15.xlsx&amp;sheet=A0&amp;row=436&amp;col=13&amp;number=&amp;sourceID=53","")</f>
        <v/>
      </c>
      <c r="N436" s="4" t="str">
        <f>HYPERLINK("http://141.218.60.56/~jnz1568/getInfo.php?workbook=16_15.xlsx&amp;sheet=A0&amp;row=436&amp;col=14&amp;number=&amp;sourceID=53","")</f>
        <v/>
      </c>
      <c r="O436" s="4" t="str">
        <f>HYPERLINK("http://141.218.60.56/~jnz1568/getInfo.php?workbook=16_15.xlsx&amp;sheet=A0&amp;row=436&amp;col=15&amp;number=&amp;sourceID=55","")</f>
        <v/>
      </c>
      <c r="P436" s="4" t="str">
        <f>HYPERLINK("http://141.218.60.56/~jnz1568/getInfo.php?workbook=16_15.xlsx&amp;sheet=A0&amp;row=436&amp;col=16&amp;number=&amp;sourceID=55","")</f>
        <v/>
      </c>
      <c r="Q436" s="4" t="str">
        <f>HYPERLINK("http://141.218.60.56/~jnz1568/getInfo.php?workbook=16_15.xlsx&amp;sheet=A0&amp;row=436&amp;col=17&amp;number=&amp;sourceID=56","")</f>
        <v/>
      </c>
      <c r="R436" s="4" t="str">
        <f>HYPERLINK("http://141.218.60.56/~jnz1568/getInfo.php?workbook=16_15.xlsx&amp;sheet=A0&amp;row=436&amp;col=18&amp;number=&amp;sourceID=56","")</f>
        <v/>
      </c>
      <c r="S436" s="4" t="str">
        <f>HYPERLINK("http://141.218.60.56/~jnz1568/getInfo.php?workbook=16_15.xlsx&amp;sheet=A0&amp;row=436&amp;col=19&amp;number=&amp;sourceID=57","")</f>
        <v/>
      </c>
      <c r="T436" s="4" t="str">
        <f>HYPERLINK("http://141.218.60.56/~jnz1568/getInfo.php?workbook=16_15.xlsx&amp;sheet=A0&amp;row=436&amp;col=20&amp;number=&amp;sourceID=57","")</f>
        <v/>
      </c>
      <c r="U436" s="4" t="str">
        <f>HYPERLINK("http://141.218.60.56/~jnz1568/getInfo.php?workbook=16_15.xlsx&amp;sheet=A0&amp;row=436&amp;col=21&amp;number=&amp;sourceID=47","")</f>
        <v/>
      </c>
      <c r="V436" s="4" t="str">
        <f>HYPERLINK("http://141.218.60.56/~jnz1568/getInfo.php?workbook=16_15.xlsx&amp;sheet=A0&amp;row=436&amp;col=22&amp;number=&amp;sourceID=47","")</f>
        <v/>
      </c>
    </row>
    <row r="437" spans="1:22">
      <c r="A437" s="3">
        <v>16</v>
      </c>
      <c r="B437" s="3">
        <v>15</v>
      </c>
      <c r="C437" s="3">
        <v>34</v>
      </c>
      <c r="D437" s="3">
        <v>12</v>
      </c>
      <c r="E437" s="3">
        <f>((1/(INDEX(E0!J$4:J$73,C437,1)-INDEX(E0!J$4:J$73,D437,1))))*100000000</f>
        <v>0</v>
      </c>
      <c r="F437" s="4" t="str">
        <f>HYPERLINK("http://141.218.60.56/~jnz1568/getInfo.php?workbook=16_15.xlsx&amp;sheet=A0&amp;row=437&amp;col=6&amp;number=37314&amp;sourceID=54","37314")</f>
        <v>37314</v>
      </c>
      <c r="G437" s="4" t="str">
        <f>HYPERLINK("http://141.218.60.56/~jnz1568/getInfo.php?workbook=16_15.xlsx&amp;sheet=A0&amp;row=437&amp;col=7&amp;number=&amp;sourceID=54","")</f>
        <v/>
      </c>
      <c r="H437" s="4" t="str">
        <f>HYPERLINK("http://141.218.60.56/~jnz1568/getInfo.php?workbook=16_15.xlsx&amp;sheet=A0&amp;row=437&amp;col=8&amp;number=&amp;sourceID=54","")</f>
        <v/>
      </c>
      <c r="I437" s="4" t="str">
        <f>HYPERLINK("http://141.218.60.56/~jnz1568/getInfo.php?workbook=16_15.xlsx&amp;sheet=A0&amp;row=437&amp;col=9&amp;number=40434&amp;sourceID=54","40434")</f>
        <v>40434</v>
      </c>
      <c r="J437" s="4" t="str">
        <f>HYPERLINK("http://141.218.60.56/~jnz1568/getInfo.php?workbook=16_15.xlsx&amp;sheet=A0&amp;row=437&amp;col=10&amp;number=&amp;sourceID=54","")</f>
        <v/>
      </c>
      <c r="K437" s="4" t="str">
        <f>HYPERLINK("http://141.218.60.56/~jnz1568/getInfo.php?workbook=16_15.xlsx&amp;sheet=A0&amp;row=437&amp;col=11&amp;number=&amp;sourceID=54","")</f>
        <v/>
      </c>
      <c r="L437" s="4" t="str">
        <f>HYPERLINK("http://141.218.60.56/~jnz1568/getInfo.php?workbook=16_15.xlsx&amp;sheet=A0&amp;row=437&amp;col=12&amp;number=40510.8621692&amp;sourceID=53","40510.8621692")</f>
        <v>40510.8621692</v>
      </c>
      <c r="M437" s="4" t="str">
        <f>HYPERLINK("http://141.218.60.56/~jnz1568/getInfo.php?workbook=16_15.xlsx&amp;sheet=A0&amp;row=437&amp;col=13&amp;number=&amp;sourceID=53","")</f>
        <v/>
      </c>
      <c r="N437" s="4" t="str">
        <f>HYPERLINK("http://141.218.60.56/~jnz1568/getInfo.php?workbook=16_15.xlsx&amp;sheet=A0&amp;row=437&amp;col=14&amp;number=&amp;sourceID=53","")</f>
        <v/>
      </c>
      <c r="O437" s="4" t="str">
        <f>HYPERLINK("http://141.218.60.56/~jnz1568/getInfo.php?workbook=16_15.xlsx&amp;sheet=A0&amp;row=437&amp;col=15&amp;number=&amp;sourceID=55","")</f>
        <v/>
      </c>
      <c r="P437" s="4" t="str">
        <f>HYPERLINK("http://141.218.60.56/~jnz1568/getInfo.php?workbook=16_15.xlsx&amp;sheet=A0&amp;row=437&amp;col=16&amp;number=&amp;sourceID=55","")</f>
        <v/>
      </c>
      <c r="Q437" s="4" t="str">
        <f>HYPERLINK("http://141.218.60.56/~jnz1568/getInfo.php?workbook=16_15.xlsx&amp;sheet=A0&amp;row=437&amp;col=17&amp;number=&amp;sourceID=56","")</f>
        <v/>
      </c>
      <c r="R437" s="4" t="str">
        <f>HYPERLINK("http://141.218.60.56/~jnz1568/getInfo.php?workbook=16_15.xlsx&amp;sheet=A0&amp;row=437&amp;col=18&amp;number=&amp;sourceID=56","")</f>
        <v/>
      </c>
      <c r="S437" s="4" t="str">
        <f>HYPERLINK("http://141.218.60.56/~jnz1568/getInfo.php?workbook=16_15.xlsx&amp;sheet=A0&amp;row=437&amp;col=19&amp;number=&amp;sourceID=57","")</f>
        <v/>
      </c>
      <c r="T437" s="4" t="str">
        <f>HYPERLINK("http://141.218.60.56/~jnz1568/getInfo.php?workbook=16_15.xlsx&amp;sheet=A0&amp;row=437&amp;col=20&amp;number=&amp;sourceID=57","")</f>
        <v/>
      </c>
      <c r="U437" s="4" t="str">
        <f>HYPERLINK("http://141.218.60.56/~jnz1568/getInfo.php?workbook=16_15.xlsx&amp;sheet=A0&amp;row=437&amp;col=21&amp;number=&amp;sourceID=47","")</f>
        <v/>
      </c>
      <c r="V437" s="4" t="str">
        <f>HYPERLINK("http://141.218.60.56/~jnz1568/getInfo.php?workbook=16_15.xlsx&amp;sheet=A0&amp;row=437&amp;col=22&amp;number=&amp;sourceID=47","")</f>
        <v/>
      </c>
    </row>
    <row r="438" spans="1:22">
      <c r="A438" s="3">
        <v>16</v>
      </c>
      <c r="B438" s="3">
        <v>15</v>
      </c>
      <c r="C438" s="3">
        <v>34</v>
      </c>
      <c r="D438" s="3">
        <v>13</v>
      </c>
      <c r="E438" s="3">
        <f>((1/(INDEX(E0!J$4:J$73,C438,1)-INDEX(E0!J$4:J$73,D438,1))))*100000000</f>
        <v>0</v>
      </c>
      <c r="F438" s="4" t="str">
        <f>HYPERLINK("http://141.218.60.56/~jnz1568/getInfo.php?workbook=16_15.xlsx&amp;sheet=A0&amp;row=438&amp;col=6&amp;number=69591000&amp;sourceID=54","69591000")</f>
        <v>69591000</v>
      </c>
      <c r="G438" s="4" t="str">
        <f>HYPERLINK("http://141.218.60.56/~jnz1568/getInfo.php?workbook=16_15.xlsx&amp;sheet=A0&amp;row=438&amp;col=7&amp;number=&amp;sourceID=54","")</f>
        <v/>
      </c>
      <c r="H438" s="4" t="str">
        <f>HYPERLINK("http://141.218.60.56/~jnz1568/getInfo.php?workbook=16_15.xlsx&amp;sheet=A0&amp;row=438&amp;col=8&amp;number=&amp;sourceID=54","")</f>
        <v/>
      </c>
      <c r="I438" s="4" t="str">
        <f>HYPERLINK("http://141.218.60.56/~jnz1568/getInfo.php?workbook=16_15.xlsx&amp;sheet=A0&amp;row=438&amp;col=9&amp;number=66185000&amp;sourceID=54","66185000")</f>
        <v>66185000</v>
      </c>
      <c r="J438" s="4" t="str">
        <f>HYPERLINK("http://141.218.60.56/~jnz1568/getInfo.php?workbook=16_15.xlsx&amp;sheet=A0&amp;row=438&amp;col=10&amp;number=&amp;sourceID=54","")</f>
        <v/>
      </c>
      <c r="K438" s="4" t="str">
        <f>HYPERLINK("http://141.218.60.56/~jnz1568/getInfo.php?workbook=16_15.xlsx&amp;sheet=A0&amp;row=438&amp;col=11&amp;number=&amp;sourceID=54","")</f>
        <v/>
      </c>
      <c r="L438" s="4" t="str">
        <f>HYPERLINK("http://141.218.60.56/~jnz1568/getInfo.php?workbook=16_15.xlsx&amp;sheet=A0&amp;row=438&amp;col=12&amp;number=69747814.9425&amp;sourceID=53","69747814.9425")</f>
        <v>69747814.9425</v>
      </c>
      <c r="M438" s="4" t="str">
        <f>HYPERLINK("http://141.218.60.56/~jnz1568/getInfo.php?workbook=16_15.xlsx&amp;sheet=A0&amp;row=438&amp;col=13&amp;number=&amp;sourceID=53","")</f>
        <v/>
      </c>
      <c r="N438" s="4" t="str">
        <f>HYPERLINK("http://141.218.60.56/~jnz1568/getInfo.php?workbook=16_15.xlsx&amp;sheet=A0&amp;row=438&amp;col=14&amp;number=&amp;sourceID=53","")</f>
        <v/>
      </c>
      <c r="O438" s="4" t="str">
        <f>HYPERLINK("http://141.218.60.56/~jnz1568/getInfo.php?workbook=16_15.xlsx&amp;sheet=A0&amp;row=438&amp;col=15&amp;number=&amp;sourceID=55","")</f>
        <v/>
      </c>
      <c r="P438" s="4" t="str">
        <f>HYPERLINK("http://141.218.60.56/~jnz1568/getInfo.php?workbook=16_15.xlsx&amp;sheet=A0&amp;row=438&amp;col=16&amp;number=&amp;sourceID=55","")</f>
        <v/>
      </c>
      <c r="Q438" s="4" t="str">
        <f>HYPERLINK("http://141.218.60.56/~jnz1568/getInfo.php?workbook=16_15.xlsx&amp;sheet=A0&amp;row=438&amp;col=17&amp;number=&amp;sourceID=56","")</f>
        <v/>
      </c>
      <c r="R438" s="4" t="str">
        <f>HYPERLINK("http://141.218.60.56/~jnz1568/getInfo.php?workbook=16_15.xlsx&amp;sheet=A0&amp;row=438&amp;col=18&amp;number=&amp;sourceID=56","")</f>
        <v/>
      </c>
      <c r="S438" s="4" t="str">
        <f>HYPERLINK("http://141.218.60.56/~jnz1568/getInfo.php?workbook=16_15.xlsx&amp;sheet=A0&amp;row=438&amp;col=19&amp;number=&amp;sourceID=57","")</f>
        <v/>
      </c>
      <c r="T438" s="4" t="str">
        <f>HYPERLINK("http://141.218.60.56/~jnz1568/getInfo.php?workbook=16_15.xlsx&amp;sheet=A0&amp;row=438&amp;col=20&amp;number=&amp;sourceID=57","")</f>
        <v/>
      </c>
      <c r="U438" s="4" t="str">
        <f>HYPERLINK("http://141.218.60.56/~jnz1568/getInfo.php?workbook=16_15.xlsx&amp;sheet=A0&amp;row=438&amp;col=21&amp;number=&amp;sourceID=47","")</f>
        <v/>
      </c>
      <c r="V438" s="4" t="str">
        <f>HYPERLINK("http://141.218.60.56/~jnz1568/getInfo.php?workbook=16_15.xlsx&amp;sheet=A0&amp;row=438&amp;col=22&amp;number=&amp;sourceID=47","")</f>
        <v/>
      </c>
    </row>
    <row r="439" spans="1:22">
      <c r="A439" s="3">
        <v>16</v>
      </c>
      <c r="B439" s="3">
        <v>15</v>
      </c>
      <c r="C439" s="3">
        <v>34</v>
      </c>
      <c r="D439" s="3">
        <v>14</v>
      </c>
      <c r="E439" s="3">
        <f>((1/(INDEX(E0!J$4:J$73,C439,1)-INDEX(E0!J$4:J$73,D439,1))))*100000000</f>
        <v>0</v>
      </c>
      <c r="F439" s="4" t="str">
        <f>HYPERLINK("http://141.218.60.56/~jnz1568/getInfo.php?workbook=16_15.xlsx&amp;sheet=A0&amp;row=439&amp;col=6&amp;number=10813000&amp;sourceID=54","10813000")</f>
        <v>10813000</v>
      </c>
      <c r="G439" s="4" t="str">
        <f>HYPERLINK("http://141.218.60.56/~jnz1568/getInfo.php?workbook=16_15.xlsx&amp;sheet=A0&amp;row=439&amp;col=7&amp;number=&amp;sourceID=54","")</f>
        <v/>
      </c>
      <c r="H439" s="4" t="str">
        <f>HYPERLINK("http://141.218.60.56/~jnz1568/getInfo.php?workbook=16_15.xlsx&amp;sheet=A0&amp;row=439&amp;col=8&amp;number=&amp;sourceID=54","")</f>
        <v/>
      </c>
      <c r="I439" s="4" t="str">
        <f>HYPERLINK("http://141.218.60.56/~jnz1568/getInfo.php?workbook=16_15.xlsx&amp;sheet=A0&amp;row=439&amp;col=9&amp;number=10382000&amp;sourceID=54","10382000")</f>
        <v>10382000</v>
      </c>
      <c r="J439" s="4" t="str">
        <f>HYPERLINK("http://141.218.60.56/~jnz1568/getInfo.php?workbook=16_15.xlsx&amp;sheet=A0&amp;row=439&amp;col=10&amp;number=&amp;sourceID=54","")</f>
        <v/>
      </c>
      <c r="K439" s="4" t="str">
        <f>HYPERLINK("http://141.218.60.56/~jnz1568/getInfo.php?workbook=16_15.xlsx&amp;sheet=A0&amp;row=439&amp;col=11&amp;number=&amp;sourceID=54","")</f>
        <v/>
      </c>
      <c r="L439" s="4" t="str">
        <f>HYPERLINK("http://141.218.60.56/~jnz1568/getInfo.php?workbook=16_15.xlsx&amp;sheet=A0&amp;row=439&amp;col=12&amp;number=10918289.2569&amp;sourceID=53","10918289.2569")</f>
        <v>10918289.2569</v>
      </c>
      <c r="M439" s="4" t="str">
        <f>HYPERLINK("http://141.218.60.56/~jnz1568/getInfo.php?workbook=16_15.xlsx&amp;sheet=A0&amp;row=439&amp;col=13&amp;number=&amp;sourceID=53","")</f>
        <v/>
      </c>
      <c r="N439" s="4" t="str">
        <f>HYPERLINK("http://141.218.60.56/~jnz1568/getInfo.php?workbook=16_15.xlsx&amp;sheet=A0&amp;row=439&amp;col=14&amp;number=&amp;sourceID=53","")</f>
        <v/>
      </c>
      <c r="O439" s="4" t="str">
        <f>HYPERLINK("http://141.218.60.56/~jnz1568/getInfo.php?workbook=16_15.xlsx&amp;sheet=A0&amp;row=439&amp;col=15&amp;number=&amp;sourceID=55","")</f>
        <v/>
      </c>
      <c r="P439" s="4" t="str">
        <f>HYPERLINK("http://141.218.60.56/~jnz1568/getInfo.php?workbook=16_15.xlsx&amp;sheet=A0&amp;row=439&amp;col=16&amp;number=&amp;sourceID=55","")</f>
        <v/>
      </c>
      <c r="Q439" s="4" t="str">
        <f>HYPERLINK("http://141.218.60.56/~jnz1568/getInfo.php?workbook=16_15.xlsx&amp;sheet=A0&amp;row=439&amp;col=17&amp;number=&amp;sourceID=56","")</f>
        <v/>
      </c>
      <c r="R439" s="4" t="str">
        <f>HYPERLINK("http://141.218.60.56/~jnz1568/getInfo.php?workbook=16_15.xlsx&amp;sheet=A0&amp;row=439&amp;col=18&amp;number=&amp;sourceID=56","")</f>
        <v/>
      </c>
      <c r="S439" s="4" t="str">
        <f>HYPERLINK("http://141.218.60.56/~jnz1568/getInfo.php?workbook=16_15.xlsx&amp;sheet=A0&amp;row=439&amp;col=19&amp;number=&amp;sourceID=57","")</f>
        <v/>
      </c>
      <c r="T439" s="4" t="str">
        <f>HYPERLINK("http://141.218.60.56/~jnz1568/getInfo.php?workbook=16_15.xlsx&amp;sheet=A0&amp;row=439&amp;col=20&amp;number=&amp;sourceID=57","")</f>
        <v/>
      </c>
      <c r="U439" s="4" t="str">
        <f>HYPERLINK("http://141.218.60.56/~jnz1568/getInfo.php?workbook=16_15.xlsx&amp;sheet=A0&amp;row=439&amp;col=21&amp;number=&amp;sourceID=47","")</f>
        <v/>
      </c>
      <c r="V439" s="4" t="str">
        <f>HYPERLINK("http://141.218.60.56/~jnz1568/getInfo.php?workbook=16_15.xlsx&amp;sheet=A0&amp;row=439&amp;col=22&amp;number=&amp;sourceID=47","")</f>
        <v/>
      </c>
    </row>
    <row r="440" spans="1:22">
      <c r="A440" s="3">
        <v>16</v>
      </c>
      <c r="B440" s="3">
        <v>15</v>
      </c>
      <c r="C440" s="3">
        <v>34</v>
      </c>
      <c r="D440" s="3">
        <v>15</v>
      </c>
      <c r="E440" s="3">
        <f>((1/(INDEX(E0!J$4:J$73,C440,1)-INDEX(E0!J$4:J$73,D440,1))))*100000000</f>
        <v>0</v>
      </c>
      <c r="F440" s="4" t="str">
        <f>HYPERLINK("http://141.218.60.56/~jnz1568/getInfo.php?workbook=16_15.xlsx&amp;sheet=A0&amp;row=440&amp;col=6&amp;number=36950000&amp;sourceID=54","36950000")</f>
        <v>36950000</v>
      </c>
      <c r="G440" s="4" t="str">
        <f>HYPERLINK("http://141.218.60.56/~jnz1568/getInfo.php?workbook=16_15.xlsx&amp;sheet=A0&amp;row=440&amp;col=7&amp;number=&amp;sourceID=54","")</f>
        <v/>
      </c>
      <c r="H440" s="4" t="str">
        <f>HYPERLINK("http://141.218.60.56/~jnz1568/getInfo.php?workbook=16_15.xlsx&amp;sheet=A0&amp;row=440&amp;col=8&amp;number=&amp;sourceID=54","")</f>
        <v/>
      </c>
      <c r="I440" s="4" t="str">
        <f>HYPERLINK("http://141.218.60.56/~jnz1568/getInfo.php?workbook=16_15.xlsx&amp;sheet=A0&amp;row=440&amp;col=9&amp;number=39050000&amp;sourceID=54","39050000")</f>
        <v>39050000</v>
      </c>
      <c r="J440" s="4" t="str">
        <f>HYPERLINK("http://141.218.60.56/~jnz1568/getInfo.php?workbook=16_15.xlsx&amp;sheet=A0&amp;row=440&amp;col=10&amp;number=&amp;sourceID=54","")</f>
        <v/>
      </c>
      <c r="K440" s="4" t="str">
        <f>HYPERLINK("http://141.218.60.56/~jnz1568/getInfo.php?workbook=16_15.xlsx&amp;sheet=A0&amp;row=440&amp;col=11&amp;number=&amp;sourceID=54","")</f>
        <v/>
      </c>
      <c r="L440" s="4" t="str">
        <f>HYPERLINK("http://141.218.60.56/~jnz1568/getInfo.php?workbook=16_15.xlsx&amp;sheet=A0&amp;row=440&amp;col=12&amp;number=37976237.6408&amp;sourceID=53","37976237.6408")</f>
        <v>37976237.6408</v>
      </c>
      <c r="M440" s="4" t="str">
        <f>HYPERLINK("http://141.218.60.56/~jnz1568/getInfo.php?workbook=16_15.xlsx&amp;sheet=A0&amp;row=440&amp;col=13&amp;number=&amp;sourceID=53","")</f>
        <v/>
      </c>
      <c r="N440" s="4" t="str">
        <f>HYPERLINK("http://141.218.60.56/~jnz1568/getInfo.php?workbook=16_15.xlsx&amp;sheet=A0&amp;row=440&amp;col=14&amp;number=&amp;sourceID=53","")</f>
        <v/>
      </c>
      <c r="O440" s="4" t="str">
        <f>HYPERLINK("http://141.218.60.56/~jnz1568/getInfo.php?workbook=16_15.xlsx&amp;sheet=A0&amp;row=440&amp;col=15&amp;number=&amp;sourceID=55","")</f>
        <v/>
      </c>
      <c r="P440" s="4" t="str">
        <f>HYPERLINK("http://141.218.60.56/~jnz1568/getInfo.php?workbook=16_15.xlsx&amp;sheet=A0&amp;row=440&amp;col=16&amp;number=&amp;sourceID=55","")</f>
        <v/>
      </c>
      <c r="Q440" s="4" t="str">
        <f>HYPERLINK("http://141.218.60.56/~jnz1568/getInfo.php?workbook=16_15.xlsx&amp;sheet=A0&amp;row=440&amp;col=17&amp;number=&amp;sourceID=56","")</f>
        <v/>
      </c>
      <c r="R440" s="4" t="str">
        <f>HYPERLINK("http://141.218.60.56/~jnz1568/getInfo.php?workbook=16_15.xlsx&amp;sheet=A0&amp;row=440&amp;col=18&amp;number=&amp;sourceID=56","")</f>
        <v/>
      </c>
      <c r="S440" s="4" t="str">
        <f>HYPERLINK("http://141.218.60.56/~jnz1568/getInfo.php?workbook=16_15.xlsx&amp;sheet=A0&amp;row=440&amp;col=19&amp;number=&amp;sourceID=57","")</f>
        <v/>
      </c>
      <c r="T440" s="4" t="str">
        <f>HYPERLINK("http://141.218.60.56/~jnz1568/getInfo.php?workbook=16_15.xlsx&amp;sheet=A0&amp;row=440&amp;col=20&amp;number=&amp;sourceID=57","")</f>
        <v/>
      </c>
      <c r="U440" s="4" t="str">
        <f>HYPERLINK("http://141.218.60.56/~jnz1568/getInfo.php?workbook=16_15.xlsx&amp;sheet=A0&amp;row=440&amp;col=21&amp;number=&amp;sourceID=47","")</f>
        <v/>
      </c>
      <c r="V440" s="4" t="str">
        <f>HYPERLINK("http://141.218.60.56/~jnz1568/getInfo.php?workbook=16_15.xlsx&amp;sheet=A0&amp;row=440&amp;col=22&amp;number=&amp;sourceID=47","")</f>
        <v/>
      </c>
    </row>
    <row r="441" spans="1:22">
      <c r="A441" s="3">
        <v>16</v>
      </c>
      <c r="B441" s="3">
        <v>15</v>
      </c>
      <c r="C441" s="3">
        <v>34</v>
      </c>
      <c r="D441" s="3">
        <v>20</v>
      </c>
      <c r="E441" s="3">
        <f>((1/(INDEX(E0!J$4:J$73,C441,1)-INDEX(E0!J$4:J$73,D441,1))))*100000000</f>
        <v>0</v>
      </c>
      <c r="F441" s="4" t="str">
        <f>HYPERLINK("http://141.218.60.56/~jnz1568/getInfo.php?workbook=16_15.xlsx&amp;sheet=A0&amp;row=441&amp;col=6&amp;number=3487.5&amp;sourceID=54","3487.5")</f>
        <v>3487.5</v>
      </c>
      <c r="G441" s="4" t="str">
        <f>HYPERLINK("http://141.218.60.56/~jnz1568/getInfo.php?workbook=16_15.xlsx&amp;sheet=A0&amp;row=441&amp;col=7&amp;number=&amp;sourceID=54","")</f>
        <v/>
      </c>
      <c r="H441" s="4" t="str">
        <f>HYPERLINK("http://141.218.60.56/~jnz1568/getInfo.php?workbook=16_15.xlsx&amp;sheet=A0&amp;row=441&amp;col=8&amp;number=&amp;sourceID=54","")</f>
        <v/>
      </c>
      <c r="I441" s="4" t="str">
        <f>HYPERLINK("http://141.218.60.56/~jnz1568/getInfo.php?workbook=16_15.xlsx&amp;sheet=A0&amp;row=441&amp;col=9&amp;number=96.56&amp;sourceID=54","96.56")</f>
        <v>96.56</v>
      </c>
      <c r="J441" s="4" t="str">
        <f>HYPERLINK("http://141.218.60.56/~jnz1568/getInfo.php?workbook=16_15.xlsx&amp;sheet=A0&amp;row=441&amp;col=10&amp;number=&amp;sourceID=54","")</f>
        <v/>
      </c>
      <c r="K441" s="4" t="str">
        <f>HYPERLINK("http://141.218.60.56/~jnz1568/getInfo.php?workbook=16_15.xlsx&amp;sheet=A0&amp;row=441&amp;col=11&amp;number=&amp;sourceID=54","")</f>
        <v/>
      </c>
      <c r="L441" s="4" t="str">
        <f>HYPERLINK("http://141.218.60.56/~jnz1568/getInfo.php?workbook=16_15.xlsx&amp;sheet=A0&amp;row=441&amp;col=12&amp;number=3877.58060734&amp;sourceID=53","3877.58060734")</f>
        <v>3877.58060734</v>
      </c>
      <c r="M441" s="4" t="str">
        <f>HYPERLINK("http://141.218.60.56/~jnz1568/getInfo.php?workbook=16_15.xlsx&amp;sheet=A0&amp;row=441&amp;col=13&amp;number=&amp;sourceID=53","")</f>
        <v/>
      </c>
      <c r="N441" s="4" t="str">
        <f>HYPERLINK("http://141.218.60.56/~jnz1568/getInfo.php?workbook=16_15.xlsx&amp;sheet=A0&amp;row=441&amp;col=14&amp;number=&amp;sourceID=53","")</f>
        <v/>
      </c>
      <c r="O441" s="4" t="str">
        <f>HYPERLINK("http://141.218.60.56/~jnz1568/getInfo.php?workbook=16_15.xlsx&amp;sheet=A0&amp;row=441&amp;col=15&amp;number=&amp;sourceID=55","")</f>
        <v/>
      </c>
      <c r="P441" s="4" t="str">
        <f>HYPERLINK("http://141.218.60.56/~jnz1568/getInfo.php?workbook=16_15.xlsx&amp;sheet=A0&amp;row=441&amp;col=16&amp;number=&amp;sourceID=55","")</f>
        <v/>
      </c>
      <c r="Q441" s="4" t="str">
        <f>HYPERLINK("http://141.218.60.56/~jnz1568/getInfo.php?workbook=16_15.xlsx&amp;sheet=A0&amp;row=441&amp;col=17&amp;number=&amp;sourceID=56","")</f>
        <v/>
      </c>
      <c r="R441" s="4" t="str">
        <f>HYPERLINK("http://141.218.60.56/~jnz1568/getInfo.php?workbook=16_15.xlsx&amp;sheet=A0&amp;row=441&amp;col=18&amp;number=&amp;sourceID=56","")</f>
        <v/>
      </c>
      <c r="S441" s="4" t="str">
        <f>HYPERLINK("http://141.218.60.56/~jnz1568/getInfo.php?workbook=16_15.xlsx&amp;sheet=A0&amp;row=441&amp;col=19&amp;number=&amp;sourceID=57","")</f>
        <v/>
      </c>
      <c r="T441" s="4" t="str">
        <f>HYPERLINK("http://141.218.60.56/~jnz1568/getInfo.php?workbook=16_15.xlsx&amp;sheet=A0&amp;row=441&amp;col=20&amp;number=&amp;sourceID=57","")</f>
        <v/>
      </c>
      <c r="U441" s="4" t="str">
        <f>HYPERLINK("http://141.218.60.56/~jnz1568/getInfo.php?workbook=16_15.xlsx&amp;sheet=A0&amp;row=441&amp;col=21&amp;number=&amp;sourceID=47","")</f>
        <v/>
      </c>
      <c r="V441" s="4" t="str">
        <f>HYPERLINK("http://141.218.60.56/~jnz1568/getInfo.php?workbook=16_15.xlsx&amp;sheet=A0&amp;row=441&amp;col=22&amp;number=&amp;sourceID=47","")</f>
        <v/>
      </c>
    </row>
    <row r="442" spans="1:22">
      <c r="A442" s="3">
        <v>16</v>
      </c>
      <c r="B442" s="3">
        <v>15</v>
      </c>
      <c r="C442" s="3">
        <v>34</v>
      </c>
      <c r="D442" s="3">
        <v>21</v>
      </c>
      <c r="E442" s="3">
        <f>((1/(INDEX(E0!J$4:J$73,C442,1)-INDEX(E0!J$4:J$73,D442,1))))*100000000</f>
        <v>0</v>
      </c>
      <c r="F442" s="4" t="str">
        <f>HYPERLINK("http://141.218.60.56/~jnz1568/getInfo.php?workbook=16_15.xlsx&amp;sheet=A0&amp;row=442&amp;col=6&amp;number=5489.8&amp;sourceID=54","5489.8")</f>
        <v>5489.8</v>
      </c>
      <c r="G442" s="4" t="str">
        <f>HYPERLINK("http://141.218.60.56/~jnz1568/getInfo.php?workbook=16_15.xlsx&amp;sheet=A0&amp;row=442&amp;col=7&amp;number=&amp;sourceID=54","")</f>
        <v/>
      </c>
      <c r="H442" s="4" t="str">
        <f>HYPERLINK("http://141.218.60.56/~jnz1568/getInfo.php?workbook=16_15.xlsx&amp;sheet=A0&amp;row=442&amp;col=8&amp;number=&amp;sourceID=54","")</f>
        <v/>
      </c>
      <c r="I442" s="4" t="str">
        <f>HYPERLINK("http://141.218.60.56/~jnz1568/getInfo.php?workbook=16_15.xlsx&amp;sheet=A0&amp;row=442&amp;col=9&amp;number=9574.6&amp;sourceID=54","9574.6")</f>
        <v>9574.6</v>
      </c>
      <c r="J442" s="4" t="str">
        <f>HYPERLINK("http://141.218.60.56/~jnz1568/getInfo.php?workbook=16_15.xlsx&amp;sheet=A0&amp;row=442&amp;col=10&amp;number=&amp;sourceID=54","")</f>
        <v/>
      </c>
      <c r="K442" s="4" t="str">
        <f>HYPERLINK("http://141.218.60.56/~jnz1568/getInfo.php?workbook=16_15.xlsx&amp;sheet=A0&amp;row=442&amp;col=11&amp;number=&amp;sourceID=54","")</f>
        <v/>
      </c>
      <c r="L442" s="4" t="str">
        <f>HYPERLINK("http://141.218.60.56/~jnz1568/getInfo.php?workbook=16_15.xlsx&amp;sheet=A0&amp;row=442&amp;col=12&amp;number=4202.90087212&amp;sourceID=53","4202.90087212")</f>
        <v>4202.90087212</v>
      </c>
      <c r="M442" s="4" t="str">
        <f>HYPERLINK("http://141.218.60.56/~jnz1568/getInfo.php?workbook=16_15.xlsx&amp;sheet=A0&amp;row=442&amp;col=13&amp;number=&amp;sourceID=53","")</f>
        <v/>
      </c>
      <c r="N442" s="4" t="str">
        <f>HYPERLINK("http://141.218.60.56/~jnz1568/getInfo.php?workbook=16_15.xlsx&amp;sheet=A0&amp;row=442&amp;col=14&amp;number=&amp;sourceID=53","")</f>
        <v/>
      </c>
      <c r="O442" s="4" t="str">
        <f>HYPERLINK("http://141.218.60.56/~jnz1568/getInfo.php?workbook=16_15.xlsx&amp;sheet=A0&amp;row=442&amp;col=15&amp;number=&amp;sourceID=55","")</f>
        <v/>
      </c>
      <c r="P442" s="4" t="str">
        <f>HYPERLINK("http://141.218.60.56/~jnz1568/getInfo.php?workbook=16_15.xlsx&amp;sheet=A0&amp;row=442&amp;col=16&amp;number=&amp;sourceID=55","")</f>
        <v/>
      </c>
      <c r="Q442" s="4" t="str">
        <f>HYPERLINK("http://141.218.60.56/~jnz1568/getInfo.php?workbook=16_15.xlsx&amp;sheet=A0&amp;row=442&amp;col=17&amp;number=&amp;sourceID=56","")</f>
        <v/>
      </c>
      <c r="R442" s="4" t="str">
        <f>HYPERLINK("http://141.218.60.56/~jnz1568/getInfo.php?workbook=16_15.xlsx&amp;sheet=A0&amp;row=442&amp;col=18&amp;number=&amp;sourceID=56","")</f>
        <v/>
      </c>
      <c r="S442" s="4" t="str">
        <f>HYPERLINK("http://141.218.60.56/~jnz1568/getInfo.php?workbook=16_15.xlsx&amp;sheet=A0&amp;row=442&amp;col=19&amp;number=&amp;sourceID=57","")</f>
        <v/>
      </c>
      <c r="T442" s="4" t="str">
        <f>HYPERLINK("http://141.218.60.56/~jnz1568/getInfo.php?workbook=16_15.xlsx&amp;sheet=A0&amp;row=442&amp;col=20&amp;number=&amp;sourceID=57","")</f>
        <v/>
      </c>
      <c r="U442" s="4" t="str">
        <f>HYPERLINK("http://141.218.60.56/~jnz1568/getInfo.php?workbook=16_15.xlsx&amp;sheet=A0&amp;row=442&amp;col=21&amp;number=&amp;sourceID=47","")</f>
        <v/>
      </c>
      <c r="V442" s="4" t="str">
        <f>HYPERLINK("http://141.218.60.56/~jnz1568/getInfo.php?workbook=16_15.xlsx&amp;sheet=A0&amp;row=442&amp;col=22&amp;number=&amp;sourceID=47","")</f>
        <v/>
      </c>
    </row>
    <row r="443" spans="1:22">
      <c r="A443" s="3">
        <v>16</v>
      </c>
      <c r="B443" s="3">
        <v>15</v>
      </c>
      <c r="C443" s="3">
        <v>34</v>
      </c>
      <c r="D443" s="3">
        <v>22</v>
      </c>
      <c r="E443" s="3">
        <f>((1/(INDEX(E0!J$4:J$73,C443,1)-INDEX(E0!J$4:J$73,D443,1))))*100000000</f>
        <v>0</v>
      </c>
      <c r="F443" s="4" t="str">
        <f>HYPERLINK("http://141.218.60.56/~jnz1568/getInfo.php?workbook=16_15.xlsx&amp;sheet=A0&amp;row=443&amp;col=6&amp;number=1262800&amp;sourceID=54","1262800")</f>
        <v>1262800</v>
      </c>
      <c r="G443" s="4" t="str">
        <f>HYPERLINK("http://141.218.60.56/~jnz1568/getInfo.php?workbook=16_15.xlsx&amp;sheet=A0&amp;row=443&amp;col=7&amp;number=&amp;sourceID=54","")</f>
        <v/>
      </c>
      <c r="H443" s="4" t="str">
        <f>HYPERLINK("http://141.218.60.56/~jnz1568/getInfo.php?workbook=16_15.xlsx&amp;sheet=A0&amp;row=443&amp;col=8&amp;number=&amp;sourceID=54","")</f>
        <v/>
      </c>
      <c r="I443" s="4" t="str">
        <f>HYPERLINK("http://141.218.60.56/~jnz1568/getInfo.php?workbook=16_15.xlsx&amp;sheet=A0&amp;row=443&amp;col=9&amp;number=1328200&amp;sourceID=54","1328200")</f>
        <v>1328200</v>
      </c>
      <c r="J443" s="4" t="str">
        <f>HYPERLINK("http://141.218.60.56/~jnz1568/getInfo.php?workbook=16_15.xlsx&amp;sheet=A0&amp;row=443&amp;col=10&amp;number=&amp;sourceID=54","")</f>
        <v/>
      </c>
      <c r="K443" s="4" t="str">
        <f>HYPERLINK("http://141.218.60.56/~jnz1568/getInfo.php?workbook=16_15.xlsx&amp;sheet=A0&amp;row=443&amp;col=11&amp;number=&amp;sourceID=54","")</f>
        <v/>
      </c>
      <c r="L443" s="4" t="str">
        <f>HYPERLINK("http://141.218.60.56/~jnz1568/getInfo.php?workbook=16_15.xlsx&amp;sheet=A0&amp;row=443&amp;col=12&amp;number=1402987.17934&amp;sourceID=53","1402987.17934")</f>
        <v>1402987.17934</v>
      </c>
      <c r="M443" s="4" t="str">
        <f>HYPERLINK("http://141.218.60.56/~jnz1568/getInfo.php?workbook=16_15.xlsx&amp;sheet=A0&amp;row=443&amp;col=13&amp;number=&amp;sourceID=53","")</f>
        <v/>
      </c>
      <c r="N443" s="4" t="str">
        <f>HYPERLINK("http://141.218.60.56/~jnz1568/getInfo.php?workbook=16_15.xlsx&amp;sheet=A0&amp;row=443&amp;col=14&amp;number=&amp;sourceID=53","")</f>
        <v/>
      </c>
      <c r="O443" s="4" t="str">
        <f>HYPERLINK("http://141.218.60.56/~jnz1568/getInfo.php?workbook=16_15.xlsx&amp;sheet=A0&amp;row=443&amp;col=15&amp;number=&amp;sourceID=55","")</f>
        <v/>
      </c>
      <c r="P443" s="4" t="str">
        <f>HYPERLINK("http://141.218.60.56/~jnz1568/getInfo.php?workbook=16_15.xlsx&amp;sheet=A0&amp;row=443&amp;col=16&amp;number=&amp;sourceID=55","")</f>
        <v/>
      </c>
      <c r="Q443" s="4" t="str">
        <f>HYPERLINK("http://141.218.60.56/~jnz1568/getInfo.php?workbook=16_15.xlsx&amp;sheet=A0&amp;row=443&amp;col=17&amp;number=&amp;sourceID=56","")</f>
        <v/>
      </c>
      <c r="R443" s="4" t="str">
        <f>HYPERLINK("http://141.218.60.56/~jnz1568/getInfo.php?workbook=16_15.xlsx&amp;sheet=A0&amp;row=443&amp;col=18&amp;number=&amp;sourceID=56","")</f>
        <v/>
      </c>
      <c r="S443" s="4" t="str">
        <f>HYPERLINK("http://141.218.60.56/~jnz1568/getInfo.php?workbook=16_15.xlsx&amp;sheet=A0&amp;row=443&amp;col=19&amp;number=&amp;sourceID=57","")</f>
        <v/>
      </c>
      <c r="T443" s="4" t="str">
        <f>HYPERLINK("http://141.218.60.56/~jnz1568/getInfo.php?workbook=16_15.xlsx&amp;sheet=A0&amp;row=443&amp;col=20&amp;number=&amp;sourceID=57","")</f>
        <v/>
      </c>
      <c r="U443" s="4" t="str">
        <f>HYPERLINK("http://141.218.60.56/~jnz1568/getInfo.php?workbook=16_15.xlsx&amp;sheet=A0&amp;row=443&amp;col=21&amp;number=&amp;sourceID=47","")</f>
        <v/>
      </c>
      <c r="V443" s="4" t="str">
        <f>HYPERLINK("http://141.218.60.56/~jnz1568/getInfo.php?workbook=16_15.xlsx&amp;sheet=A0&amp;row=443&amp;col=22&amp;number=&amp;sourceID=47","")</f>
        <v/>
      </c>
    </row>
    <row r="444" spans="1:22">
      <c r="A444" s="3">
        <v>16</v>
      </c>
      <c r="B444" s="3">
        <v>15</v>
      </c>
      <c r="C444" s="3">
        <v>34</v>
      </c>
      <c r="D444" s="3">
        <v>23</v>
      </c>
      <c r="E444" s="3">
        <f>((1/(INDEX(E0!J$4:J$73,C444,1)-INDEX(E0!J$4:J$73,D444,1))))*100000000</f>
        <v>0</v>
      </c>
      <c r="F444" s="4" t="str">
        <f>HYPERLINK("http://141.218.60.56/~jnz1568/getInfo.php?workbook=16_15.xlsx&amp;sheet=A0&amp;row=444&amp;col=6&amp;number=1501400&amp;sourceID=54","1501400")</f>
        <v>1501400</v>
      </c>
      <c r="G444" s="4" t="str">
        <f>HYPERLINK("http://141.218.60.56/~jnz1568/getInfo.php?workbook=16_15.xlsx&amp;sheet=A0&amp;row=444&amp;col=7&amp;number=&amp;sourceID=54","")</f>
        <v/>
      </c>
      <c r="H444" s="4" t="str">
        <f>HYPERLINK("http://141.218.60.56/~jnz1568/getInfo.php?workbook=16_15.xlsx&amp;sheet=A0&amp;row=444&amp;col=8&amp;number=&amp;sourceID=54","")</f>
        <v/>
      </c>
      <c r="I444" s="4" t="str">
        <f>HYPERLINK("http://141.218.60.56/~jnz1568/getInfo.php?workbook=16_15.xlsx&amp;sheet=A0&amp;row=444&amp;col=9&amp;number=1576200&amp;sourceID=54","1576200")</f>
        <v>1576200</v>
      </c>
      <c r="J444" s="4" t="str">
        <f>HYPERLINK("http://141.218.60.56/~jnz1568/getInfo.php?workbook=16_15.xlsx&amp;sheet=A0&amp;row=444&amp;col=10&amp;number=&amp;sourceID=54","")</f>
        <v/>
      </c>
      <c r="K444" s="4" t="str">
        <f>HYPERLINK("http://141.218.60.56/~jnz1568/getInfo.php?workbook=16_15.xlsx&amp;sheet=A0&amp;row=444&amp;col=11&amp;number=&amp;sourceID=54","")</f>
        <v/>
      </c>
      <c r="L444" s="4" t="str">
        <f>HYPERLINK("http://141.218.60.56/~jnz1568/getInfo.php?workbook=16_15.xlsx&amp;sheet=A0&amp;row=444&amp;col=12&amp;number=1665388.44996&amp;sourceID=53","1665388.44996")</f>
        <v>1665388.44996</v>
      </c>
      <c r="M444" s="4" t="str">
        <f>HYPERLINK("http://141.218.60.56/~jnz1568/getInfo.php?workbook=16_15.xlsx&amp;sheet=A0&amp;row=444&amp;col=13&amp;number=&amp;sourceID=53","")</f>
        <v/>
      </c>
      <c r="N444" s="4" t="str">
        <f>HYPERLINK("http://141.218.60.56/~jnz1568/getInfo.php?workbook=16_15.xlsx&amp;sheet=A0&amp;row=444&amp;col=14&amp;number=&amp;sourceID=53","")</f>
        <v/>
      </c>
      <c r="O444" s="4" t="str">
        <f>HYPERLINK("http://141.218.60.56/~jnz1568/getInfo.php?workbook=16_15.xlsx&amp;sheet=A0&amp;row=444&amp;col=15&amp;number=&amp;sourceID=55","")</f>
        <v/>
      </c>
      <c r="P444" s="4" t="str">
        <f>HYPERLINK("http://141.218.60.56/~jnz1568/getInfo.php?workbook=16_15.xlsx&amp;sheet=A0&amp;row=444&amp;col=16&amp;number=&amp;sourceID=55","")</f>
        <v/>
      </c>
      <c r="Q444" s="4" t="str">
        <f>HYPERLINK("http://141.218.60.56/~jnz1568/getInfo.php?workbook=16_15.xlsx&amp;sheet=A0&amp;row=444&amp;col=17&amp;number=&amp;sourceID=56","")</f>
        <v/>
      </c>
      <c r="R444" s="4" t="str">
        <f>HYPERLINK("http://141.218.60.56/~jnz1568/getInfo.php?workbook=16_15.xlsx&amp;sheet=A0&amp;row=444&amp;col=18&amp;number=&amp;sourceID=56","")</f>
        <v/>
      </c>
      <c r="S444" s="4" t="str">
        <f>HYPERLINK("http://141.218.60.56/~jnz1568/getInfo.php?workbook=16_15.xlsx&amp;sheet=A0&amp;row=444&amp;col=19&amp;number=&amp;sourceID=57","")</f>
        <v/>
      </c>
      <c r="T444" s="4" t="str">
        <f>HYPERLINK("http://141.218.60.56/~jnz1568/getInfo.php?workbook=16_15.xlsx&amp;sheet=A0&amp;row=444&amp;col=20&amp;number=&amp;sourceID=57","")</f>
        <v/>
      </c>
      <c r="U444" s="4" t="str">
        <f>HYPERLINK("http://141.218.60.56/~jnz1568/getInfo.php?workbook=16_15.xlsx&amp;sheet=A0&amp;row=444&amp;col=21&amp;number=&amp;sourceID=47","")</f>
        <v/>
      </c>
      <c r="V444" s="4" t="str">
        <f>HYPERLINK("http://141.218.60.56/~jnz1568/getInfo.php?workbook=16_15.xlsx&amp;sheet=A0&amp;row=444&amp;col=22&amp;number=&amp;sourceID=47","")</f>
        <v/>
      </c>
    </row>
    <row r="445" spans="1:22">
      <c r="A445" s="3">
        <v>16</v>
      </c>
      <c r="B445" s="3">
        <v>15</v>
      </c>
      <c r="C445" s="3">
        <v>34</v>
      </c>
      <c r="D445" s="3">
        <v>28</v>
      </c>
      <c r="E445" s="3">
        <f>((1/(INDEX(E0!J$4:J$73,C445,1)-INDEX(E0!J$4:J$73,D445,1))))*100000000</f>
        <v>0</v>
      </c>
      <c r="F445" s="4" t="str">
        <f>HYPERLINK("http://141.218.60.56/~jnz1568/getInfo.php?workbook=16_15.xlsx&amp;sheet=A0&amp;row=445&amp;col=6&amp;number=26.274&amp;sourceID=54","26.274")</f>
        <v>26.274</v>
      </c>
      <c r="G445" s="4" t="str">
        <f>HYPERLINK("http://141.218.60.56/~jnz1568/getInfo.php?workbook=16_15.xlsx&amp;sheet=A0&amp;row=445&amp;col=7&amp;number=&amp;sourceID=54","")</f>
        <v/>
      </c>
      <c r="H445" s="4" t="str">
        <f>HYPERLINK("http://141.218.60.56/~jnz1568/getInfo.php?workbook=16_15.xlsx&amp;sheet=A0&amp;row=445&amp;col=8&amp;number=&amp;sourceID=54","")</f>
        <v/>
      </c>
      <c r="I445" s="4" t="str">
        <f>HYPERLINK("http://141.218.60.56/~jnz1568/getInfo.php?workbook=16_15.xlsx&amp;sheet=A0&amp;row=445&amp;col=9&amp;number=37.173&amp;sourceID=54","37.173")</f>
        <v>37.173</v>
      </c>
      <c r="J445" s="4" t="str">
        <f>HYPERLINK("http://141.218.60.56/~jnz1568/getInfo.php?workbook=16_15.xlsx&amp;sheet=A0&amp;row=445&amp;col=10&amp;number=&amp;sourceID=54","")</f>
        <v/>
      </c>
      <c r="K445" s="4" t="str">
        <f>HYPERLINK("http://141.218.60.56/~jnz1568/getInfo.php?workbook=16_15.xlsx&amp;sheet=A0&amp;row=445&amp;col=11&amp;number=&amp;sourceID=54","")</f>
        <v/>
      </c>
      <c r="L445" s="4" t="str">
        <f>HYPERLINK("http://141.218.60.56/~jnz1568/getInfo.php?workbook=16_15.xlsx&amp;sheet=A0&amp;row=445&amp;col=12&amp;number=21.9134315816&amp;sourceID=53","21.9134315816")</f>
        <v>21.9134315816</v>
      </c>
      <c r="M445" s="4" t="str">
        <f>HYPERLINK("http://141.218.60.56/~jnz1568/getInfo.php?workbook=16_15.xlsx&amp;sheet=A0&amp;row=445&amp;col=13&amp;number=&amp;sourceID=53","")</f>
        <v/>
      </c>
      <c r="N445" s="4" t="str">
        <f>HYPERLINK("http://141.218.60.56/~jnz1568/getInfo.php?workbook=16_15.xlsx&amp;sheet=A0&amp;row=445&amp;col=14&amp;number=&amp;sourceID=53","")</f>
        <v/>
      </c>
      <c r="O445" s="4" t="str">
        <f>HYPERLINK("http://141.218.60.56/~jnz1568/getInfo.php?workbook=16_15.xlsx&amp;sheet=A0&amp;row=445&amp;col=15&amp;number=&amp;sourceID=55","")</f>
        <v/>
      </c>
      <c r="P445" s="4" t="str">
        <f>HYPERLINK("http://141.218.60.56/~jnz1568/getInfo.php?workbook=16_15.xlsx&amp;sheet=A0&amp;row=445&amp;col=16&amp;number=&amp;sourceID=55","")</f>
        <v/>
      </c>
      <c r="Q445" s="4" t="str">
        <f>HYPERLINK("http://141.218.60.56/~jnz1568/getInfo.php?workbook=16_15.xlsx&amp;sheet=A0&amp;row=445&amp;col=17&amp;number=&amp;sourceID=56","")</f>
        <v/>
      </c>
      <c r="R445" s="4" t="str">
        <f>HYPERLINK("http://141.218.60.56/~jnz1568/getInfo.php?workbook=16_15.xlsx&amp;sheet=A0&amp;row=445&amp;col=18&amp;number=&amp;sourceID=56","")</f>
        <v/>
      </c>
      <c r="S445" s="4" t="str">
        <f>HYPERLINK("http://141.218.60.56/~jnz1568/getInfo.php?workbook=16_15.xlsx&amp;sheet=A0&amp;row=445&amp;col=19&amp;number=&amp;sourceID=57","")</f>
        <v/>
      </c>
      <c r="T445" s="4" t="str">
        <f>HYPERLINK("http://141.218.60.56/~jnz1568/getInfo.php?workbook=16_15.xlsx&amp;sheet=A0&amp;row=445&amp;col=20&amp;number=&amp;sourceID=57","")</f>
        <v/>
      </c>
      <c r="U445" s="4" t="str">
        <f>HYPERLINK("http://141.218.60.56/~jnz1568/getInfo.php?workbook=16_15.xlsx&amp;sheet=A0&amp;row=445&amp;col=21&amp;number=&amp;sourceID=47","")</f>
        <v/>
      </c>
      <c r="V445" s="4" t="str">
        <f>HYPERLINK("http://141.218.60.56/~jnz1568/getInfo.php?workbook=16_15.xlsx&amp;sheet=A0&amp;row=445&amp;col=22&amp;number=&amp;sourceID=47","")</f>
        <v/>
      </c>
    </row>
    <row r="446" spans="1:22">
      <c r="A446" s="3">
        <v>16</v>
      </c>
      <c r="B446" s="3">
        <v>15</v>
      </c>
      <c r="C446" s="3">
        <v>34</v>
      </c>
      <c r="D446" s="3">
        <v>29</v>
      </c>
      <c r="E446" s="3">
        <f>((1/(INDEX(E0!J$4:J$73,C446,1)-INDEX(E0!J$4:J$73,D446,1))))*100000000</f>
        <v>0</v>
      </c>
      <c r="F446" s="4" t="str">
        <f>HYPERLINK("http://141.218.60.56/~jnz1568/getInfo.php?workbook=16_15.xlsx&amp;sheet=A0&amp;row=446&amp;col=6&amp;number=223.08&amp;sourceID=54","223.08")</f>
        <v>223.08</v>
      </c>
      <c r="G446" s="4" t="str">
        <f>HYPERLINK("http://141.218.60.56/~jnz1568/getInfo.php?workbook=16_15.xlsx&amp;sheet=A0&amp;row=446&amp;col=7&amp;number=&amp;sourceID=54","")</f>
        <v/>
      </c>
      <c r="H446" s="4" t="str">
        <f>HYPERLINK("http://141.218.60.56/~jnz1568/getInfo.php?workbook=16_15.xlsx&amp;sheet=A0&amp;row=446&amp;col=8&amp;number=&amp;sourceID=54","")</f>
        <v/>
      </c>
      <c r="I446" s="4" t="str">
        <f>HYPERLINK("http://141.218.60.56/~jnz1568/getInfo.php?workbook=16_15.xlsx&amp;sheet=A0&amp;row=446&amp;col=9&amp;number=246.26&amp;sourceID=54","246.26")</f>
        <v>246.26</v>
      </c>
      <c r="J446" s="4" t="str">
        <f>HYPERLINK("http://141.218.60.56/~jnz1568/getInfo.php?workbook=16_15.xlsx&amp;sheet=A0&amp;row=446&amp;col=10&amp;number=&amp;sourceID=54","")</f>
        <v/>
      </c>
      <c r="K446" s="4" t="str">
        <f>HYPERLINK("http://141.218.60.56/~jnz1568/getInfo.php?workbook=16_15.xlsx&amp;sheet=A0&amp;row=446&amp;col=11&amp;number=&amp;sourceID=54","")</f>
        <v/>
      </c>
      <c r="L446" s="4" t="str">
        <f>HYPERLINK("http://141.218.60.56/~jnz1568/getInfo.php?workbook=16_15.xlsx&amp;sheet=A0&amp;row=446&amp;col=12&amp;number=265.518386101&amp;sourceID=53","265.518386101")</f>
        <v>265.518386101</v>
      </c>
      <c r="M446" s="4" t="str">
        <f>HYPERLINK("http://141.218.60.56/~jnz1568/getInfo.php?workbook=16_15.xlsx&amp;sheet=A0&amp;row=446&amp;col=13&amp;number=&amp;sourceID=53","")</f>
        <v/>
      </c>
      <c r="N446" s="4" t="str">
        <f>HYPERLINK("http://141.218.60.56/~jnz1568/getInfo.php?workbook=16_15.xlsx&amp;sheet=A0&amp;row=446&amp;col=14&amp;number=&amp;sourceID=53","")</f>
        <v/>
      </c>
      <c r="O446" s="4" t="str">
        <f>HYPERLINK("http://141.218.60.56/~jnz1568/getInfo.php?workbook=16_15.xlsx&amp;sheet=A0&amp;row=446&amp;col=15&amp;number=&amp;sourceID=55","")</f>
        <v/>
      </c>
      <c r="P446" s="4" t="str">
        <f>HYPERLINK("http://141.218.60.56/~jnz1568/getInfo.php?workbook=16_15.xlsx&amp;sheet=A0&amp;row=446&amp;col=16&amp;number=&amp;sourceID=55","")</f>
        <v/>
      </c>
      <c r="Q446" s="4" t="str">
        <f>HYPERLINK("http://141.218.60.56/~jnz1568/getInfo.php?workbook=16_15.xlsx&amp;sheet=A0&amp;row=446&amp;col=17&amp;number=&amp;sourceID=56","")</f>
        <v/>
      </c>
      <c r="R446" s="4" t="str">
        <f>HYPERLINK("http://141.218.60.56/~jnz1568/getInfo.php?workbook=16_15.xlsx&amp;sheet=A0&amp;row=446&amp;col=18&amp;number=&amp;sourceID=56","")</f>
        <v/>
      </c>
      <c r="S446" s="4" t="str">
        <f>HYPERLINK("http://141.218.60.56/~jnz1568/getInfo.php?workbook=16_15.xlsx&amp;sheet=A0&amp;row=446&amp;col=19&amp;number=&amp;sourceID=57","")</f>
        <v/>
      </c>
      <c r="T446" s="4" t="str">
        <f>HYPERLINK("http://141.218.60.56/~jnz1568/getInfo.php?workbook=16_15.xlsx&amp;sheet=A0&amp;row=446&amp;col=20&amp;number=&amp;sourceID=57","")</f>
        <v/>
      </c>
      <c r="U446" s="4" t="str">
        <f>HYPERLINK("http://141.218.60.56/~jnz1568/getInfo.php?workbook=16_15.xlsx&amp;sheet=A0&amp;row=446&amp;col=21&amp;number=&amp;sourceID=47","")</f>
        <v/>
      </c>
      <c r="V446" s="4" t="str">
        <f>HYPERLINK("http://141.218.60.56/~jnz1568/getInfo.php?workbook=16_15.xlsx&amp;sheet=A0&amp;row=446&amp;col=22&amp;number=&amp;sourceID=47","")</f>
        <v/>
      </c>
    </row>
    <row r="447" spans="1:22">
      <c r="A447" s="3">
        <v>16</v>
      </c>
      <c r="B447" s="3">
        <v>15</v>
      </c>
      <c r="C447" s="3">
        <v>34</v>
      </c>
      <c r="D447" s="3">
        <v>31</v>
      </c>
      <c r="E447" s="3">
        <f>((1/(INDEX(E0!J$4:J$73,C447,1)-INDEX(E0!J$4:J$73,D447,1))))*100000000</f>
        <v>0</v>
      </c>
      <c r="F447" s="4" t="str">
        <f>HYPERLINK("http://141.218.60.56/~jnz1568/getInfo.php?workbook=16_15.xlsx&amp;sheet=A0&amp;row=447&amp;col=6&amp;number=&amp;sourceID=54","")</f>
        <v/>
      </c>
      <c r="G447" s="4" t="str">
        <f>HYPERLINK("http://141.218.60.56/~jnz1568/getInfo.php?workbook=16_15.xlsx&amp;sheet=A0&amp;row=447&amp;col=7&amp;number=&amp;sourceID=54","")</f>
        <v/>
      </c>
      <c r="H447" s="4" t="str">
        <f>HYPERLINK("http://141.218.60.56/~jnz1568/getInfo.php?workbook=16_15.xlsx&amp;sheet=A0&amp;row=447&amp;col=8&amp;number=6.1784e-05&amp;sourceID=54","6.1784e-05")</f>
        <v>6.1784e-05</v>
      </c>
      <c r="I447" s="4" t="str">
        <f>HYPERLINK("http://141.218.60.56/~jnz1568/getInfo.php?workbook=16_15.xlsx&amp;sheet=A0&amp;row=447&amp;col=9&amp;number=&amp;sourceID=54","")</f>
        <v/>
      </c>
      <c r="J447" s="4" t="str">
        <f>HYPERLINK("http://141.218.60.56/~jnz1568/getInfo.php?workbook=16_15.xlsx&amp;sheet=A0&amp;row=447&amp;col=10&amp;number=&amp;sourceID=54","")</f>
        <v/>
      </c>
      <c r="K447" s="4" t="str">
        <f>HYPERLINK("http://141.218.60.56/~jnz1568/getInfo.php?workbook=16_15.xlsx&amp;sheet=A0&amp;row=447&amp;col=11&amp;number=6.283e-05&amp;sourceID=54","6.283e-05")</f>
        <v>6.283e-05</v>
      </c>
      <c r="L447" s="4" t="str">
        <f>HYPERLINK("http://141.218.60.56/~jnz1568/getInfo.php?workbook=16_15.xlsx&amp;sheet=A0&amp;row=447&amp;col=12&amp;number=&amp;sourceID=53","")</f>
        <v/>
      </c>
      <c r="M447" s="4" t="str">
        <f>HYPERLINK("http://141.218.60.56/~jnz1568/getInfo.php?workbook=16_15.xlsx&amp;sheet=A0&amp;row=447&amp;col=13&amp;number=&amp;sourceID=53","")</f>
        <v/>
      </c>
      <c r="N447" s="4" t="str">
        <f>HYPERLINK("http://141.218.60.56/~jnz1568/getInfo.php?workbook=16_15.xlsx&amp;sheet=A0&amp;row=447&amp;col=14&amp;number=&amp;sourceID=53","")</f>
        <v/>
      </c>
      <c r="O447" s="4" t="str">
        <f>HYPERLINK("http://141.218.60.56/~jnz1568/getInfo.php?workbook=16_15.xlsx&amp;sheet=A0&amp;row=447&amp;col=15&amp;number=&amp;sourceID=55","")</f>
        <v/>
      </c>
      <c r="P447" s="4" t="str">
        <f>HYPERLINK("http://141.218.60.56/~jnz1568/getInfo.php?workbook=16_15.xlsx&amp;sheet=A0&amp;row=447&amp;col=16&amp;number=&amp;sourceID=55","")</f>
        <v/>
      </c>
      <c r="Q447" s="4" t="str">
        <f>HYPERLINK("http://141.218.60.56/~jnz1568/getInfo.php?workbook=16_15.xlsx&amp;sheet=A0&amp;row=447&amp;col=17&amp;number=&amp;sourceID=56","")</f>
        <v/>
      </c>
      <c r="R447" s="4" t="str">
        <f>HYPERLINK("http://141.218.60.56/~jnz1568/getInfo.php?workbook=16_15.xlsx&amp;sheet=A0&amp;row=447&amp;col=18&amp;number=&amp;sourceID=56","")</f>
        <v/>
      </c>
      <c r="S447" s="4" t="str">
        <f>HYPERLINK("http://141.218.60.56/~jnz1568/getInfo.php?workbook=16_15.xlsx&amp;sheet=A0&amp;row=447&amp;col=19&amp;number=&amp;sourceID=57","")</f>
        <v/>
      </c>
      <c r="T447" s="4" t="str">
        <f>HYPERLINK("http://141.218.60.56/~jnz1568/getInfo.php?workbook=16_15.xlsx&amp;sheet=A0&amp;row=447&amp;col=20&amp;number=&amp;sourceID=57","")</f>
        <v/>
      </c>
      <c r="U447" s="4" t="str">
        <f>HYPERLINK("http://141.218.60.56/~jnz1568/getInfo.php?workbook=16_15.xlsx&amp;sheet=A0&amp;row=447&amp;col=21&amp;number=&amp;sourceID=47","")</f>
        <v/>
      </c>
      <c r="V447" s="4" t="str">
        <f>HYPERLINK("http://141.218.60.56/~jnz1568/getInfo.php?workbook=16_15.xlsx&amp;sheet=A0&amp;row=447&amp;col=22&amp;number=&amp;sourceID=47","")</f>
        <v/>
      </c>
    </row>
    <row r="448" spans="1:22">
      <c r="A448" s="3">
        <v>16</v>
      </c>
      <c r="B448" s="3">
        <v>15</v>
      </c>
      <c r="C448" s="3">
        <v>35</v>
      </c>
      <c r="D448" s="3">
        <v>1</v>
      </c>
      <c r="E448" s="3">
        <f>((1/(INDEX(E0!J$4:J$73,C448,1)-INDEX(E0!J$4:J$73,D448,1))))*100000000</f>
        <v>0</v>
      </c>
      <c r="F448" s="4" t="str">
        <f>HYPERLINK("http://141.218.60.56/~jnz1568/getInfo.php?workbook=16_15.xlsx&amp;sheet=A0&amp;row=448&amp;col=6&amp;number=&amp;sourceID=54","")</f>
        <v/>
      </c>
      <c r="G448" s="4" t="str">
        <f>HYPERLINK("http://141.218.60.56/~jnz1568/getInfo.php?workbook=16_15.xlsx&amp;sheet=A0&amp;row=448&amp;col=7&amp;number=8826.3&amp;sourceID=54","8826.3")</f>
        <v>8826.3</v>
      </c>
      <c r="H448" s="4" t="str">
        <f>HYPERLINK("http://141.218.60.56/~jnz1568/getInfo.php?workbook=16_15.xlsx&amp;sheet=A0&amp;row=448&amp;col=8&amp;number=0.0095284&amp;sourceID=54","0.0095284")</f>
        <v>0.0095284</v>
      </c>
      <c r="I448" s="4" t="str">
        <f>HYPERLINK("http://141.218.60.56/~jnz1568/getInfo.php?workbook=16_15.xlsx&amp;sheet=A0&amp;row=448&amp;col=9&amp;number=&amp;sourceID=54","")</f>
        <v/>
      </c>
      <c r="J448" s="4" t="str">
        <f>HYPERLINK("http://141.218.60.56/~jnz1568/getInfo.php?workbook=16_15.xlsx&amp;sheet=A0&amp;row=448&amp;col=10&amp;number=8965.9&amp;sourceID=54","8965.9")</f>
        <v>8965.9</v>
      </c>
      <c r="K448" s="4" t="str">
        <f>HYPERLINK("http://141.218.60.56/~jnz1568/getInfo.php?workbook=16_15.xlsx&amp;sheet=A0&amp;row=448&amp;col=11&amp;number=0.0093817&amp;sourceID=54","0.0093817")</f>
        <v>0.0093817</v>
      </c>
      <c r="L448" s="4" t="str">
        <f>HYPERLINK("http://141.218.60.56/~jnz1568/getInfo.php?workbook=16_15.xlsx&amp;sheet=A0&amp;row=448&amp;col=12&amp;number=&amp;sourceID=53","")</f>
        <v/>
      </c>
      <c r="M448" s="4" t="str">
        <f>HYPERLINK("http://141.218.60.56/~jnz1568/getInfo.php?workbook=16_15.xlsx&amp;sheet=A0&amp;row=448&amp;col=13&amp;number=&amp;sourceID=53","")</f>
        <v/>
      </c>
      <c r="N448" s="4" t="str">
        <f>HYPERLINK("http://141.218.60.56/~jnz1568/getInfo.php?workbook=16_15.xlsx&amp;sheet=A0&amp;row=448&amp;col=14&amp;number=&amp;sourceID=53","")</f>
        <v/>
      </c>
      <c r="O448" s="4" t="str">
        <f>HYPERLINK("http://141.218.60.56/~jnz1568/getInfo.php?workbook=16_15.xlsx&amp;sheet=A0&amp;row=448&amp;col=15&amp;number=&amp;sourceID=55","")</f>
        <v/>
      </c>
      <c r="P448" s="4" t="str">
        <f>HYPERLINK("http://141.218.60.56/~jnz1568/getInfo.php?workbook=16_15.xlsx&amp;sheet=A0&amp;row=448&amp;col=16&amp;number=&amp;sourceID=55","")</f>
        <v/>
      </c>
      <c r="Q448" s="4" t="str">
        <f>HYPERLINK("http://141.218.60.56/~jnz1568/getInfo.php?workbook=16_15.xlsx&amp;sheet=A0&amp;row=448&amp;col=17&amp;number=&amp;sourceID=56","")</f>
        <v/>
      </c>
      <c r="R448" s="4" t="str">
        <f>HYPERLINK("http://141.218.60.56/~jnz1568/getInfo.php?workbook=16_15.xlsx&amp;sheet=A0&amp;row=448&amp;col=18&amp;number=&amp;sourceID=56","")</f>
        <v/>
      </c>
      <c r="S448" s="4" t="str">
        <f>HYPERLINK("http://141.218.60.56/~jnz1568/getInfo.php?workbook=16_15.xlsx&amp;sheet=A0&amp;row=448&amp;col=19&amp;number=&amp;sourceID=57","")</f>
        <v/>
      </c>
      <c r="T448" s="4" t="str">
        <f>HYPERLINK("http://141.218.60.56/~jnz1568/getInfo.php?workbook=16_15.xlsx&amp;sheet=A0&amp;row=448&amp;col=20&amp;number=&amp;sourceID=57","")</f>
        <v/>
      </c>
      <c r="U448" s="4" t="str">
        <f>HYPERLINK("http://141.218.60.56/~jnz1568/getInfo.php?workbook=16_15.xlsx&amp;sheet=A0&amp;row=448&amp;col=21&amp;number=&amp;sourceID=47","")</f>
        <v/>
      </c>
      <c r="V448" s="4" t="str">
        <f>HYPERLINK("http://141.218.60.56/~jnz1568/getInfo.php?workbook=16_15.xlsx&amp;sheet=A0&amp;row=448&amp;col=22&amp;number=&amp;sourceID=47","")</f>
        <v/>
      </c>
    </row>
    <row r="449" spans="1:22">
      <c r="A449" s="3">
        <v>16</v>
      </c>
      <c r="B449" s="3">
        <v>15</v>
      </c>
      <c r="C449" s="3">
        <v>35</v>
      </c>
      <c r="D449" s="3">
        <v>2</v>
      </c>
      <c r="E449" s="3">
        <f>((1/(INDEX(E0!J$4:J$73,C449,1)-INDEX(E0!J$4:J$73,D449,1))))*100000000</f>
        <v>0</v>
      </c>
      <c r="F449" s="4" t="str">
        <f>HYPERLINK("http://141.218.60.56/~jnz1568/getInfo.php?workbook=16_15.xlsx&amp;sheet=A0&amp;row=449&amp;col=6&amp;number=&amp;sourceID=54","")</f>
        <v/>
      </c>
      <c r="G449" s="4" t="str">
        <f>HYPERLINK("http://141.218.60.56/~jnz1568/getInfo.php?workbook=16_15.xlsx&amp;sheet=A0&amp;row=449&amp;col=7&amp;number=0.015802&amp;sourceID=54","0.015802")</f>
        <v>0.015802</v>
      </c>
      <c r="H449" s="4" t="str">
        <f>HYPERLINK("http://141.218.60.56/~jnz1568/getInfo.php?workbook=16_15.xlsx&amp;sheet=A0&amp;row=449&amp;col=8&amp;number=0.11&amp;sourceID=54","0.11")</f>
        <v>0.11</v>
      </c>
      <c r="I449" s="4" t="str">
        <f>HYPERLINK("http://141.218.60.56/~jnz1568/getInfo.php?workbook=16_15.xlsx&amp;sheet=A0&amp;row=449&amp;col=9&amp;number=&amp;sourceID=54","")</f>
        <v/>
      </c>
      <c r="J449" s="4" t="str">
        <f>HYPERLINK("http://141.218.60.56/~jnz1568/getInfo.php?workbook=16_15.xlsx&amp;sheet=A0&amp;row=449&amp;col=10&amp;number=0.017856&amp;sourceID=54","0.017856")</f>
        <v>0.017856</v>
      </c>
      <c r="K449" s="4" t="str">
        <f>HYPERLINK("http://141.218.60.56/~jnz1568/getInfo.php?workbook=16_15.xlsx&amp;sheet=A0&amp;row=449&amp;col=11&amp;number=0.11239&amp;sourceID=54","0.11239")</f>
        <v>0.11239</v>
      </c>
      <c r="L449" s="4" t="str">
        <f>HYPERLINK("http://141.218.60.56/~jnz1568/getInfo.php?workbook=16_15.xlsx&amp;sheet=A0&amp;row=449&amp;col=12&amp;number=&amp;sourceID=53","")</f>
        <v/>
      </c>
      <c r="M449" s="4" t="str">
        <f>HYPERLINK("http://141.218.60.56/~jnz1568/getInfo.php?workbook=16_15.xlsx&amp;sheet=A0&amp;row=449&amp;col=13&amp;number=&amp;sourceID=53","")</f>
        <v/>
      </c>
      <c r="N449" s="4" t="str">
        <f>HYPERLINK("http://141.218.60.56/~jnz1568/getInfo.php?workbook=16_15.xlsx&amp;sheet=A0&amp;row=449&amp;col=14&amp;number=&amp;sourceID=53","")</f>
        <v/>
      </c>
      <c r="O449" s="4" t="str">
        <f>HYPERLINK("http://141.218.60.56/~jnz1568/getInfo.php?workbook=16_15.xlsx&amp;sheet=A0&amp;row=449&amp;col=15&amp;number=&amp;sourceID=55","")</f>
        <v/>
      </c>
      <c r="P449" s="4" t="str">
        <f>HYPERLINK("http://141.218.60.56/~jnz1568/getInfo.php?workbook=16_15.xlsx&amp;sheet=A0&amp;row=449&amp;col=16&amp;number=&amp;sourceID=55","")</f>
        <v/>
      </c>
      <c r="Q449" s="4" t="str">
        <f>HYPERLINK("http://141.218.60.56/~jnz1568/getInfo.php?workbook=16_15.xlsx&amp;sheet=A0&amp;row=449&amp;col=17&amp;number=&amp;sourceID=56","")</f>
        <v/>
      </c>
      <c r="R449" s="4" t="str">
        <f>HYPERLINK("http://141.218.60.56/~jnz1568/getInfo.php?workbook=16_15.xlsx&amp;sheet=A0&amp;row=449&amp;col=18&amp;number=&amp;sourceID=56","")</f>
        <v/>
      </c>
      <c r="S449" s="4" t="str">
        <f>HYPERLINK("http://141.218.60.56/~jnz1568/getInfo.php?workbook=16_15.xlsx&amp;sheet=A0&amp;row=449&amp;col=19&amp;number=&amp;sourceID=57","")</f>
        <v/>
      </c>
      <c r="T449" s="4" t="str">
        <f>HYPERLINK("http://141.218.60.56/~jnz1568/getInfo.php?workbook=16_15.xlsx&amp;sheet=A0&amp;row=449&amp;col=20&amp;number=&amp;sourceID=57","")</f>
        <v/>
      </c>
      <c r="U449" s="4" t="str">
        <f>HYPERLINK("http://141.218.60.56/~jnz1568/getInfo.php?workbook=16_15.xlsx&amp;sheet=A0&amp;row=449&amp;col=21&amp;number=&amp;sourceID=47","")</f>
        <v/>
      </c>
      <c r="V449" s="4" t="str">
        <f>HYPERLINK("http://141.218.60.56/~jnz1568/getInfo.php?workbook=16_15.xlsx&amp;sheet=A0&amp;row=449&amp;col=22&amp;number=&amp;sourceID=47","")</f>
        <v/>
      </c>
    </row>
    <row r="450" spans="1:22">
      <c r="A450" s="3">
        <v>16</v>
      </c>
      <c r="B450" s="3">
        <v>15</v>
      </c>
      <c r="C450" s="3">
        <v>35</v>
      </c>
      <c r="D450" s="3">
        <v>3</v>
      </c>
      <c r="E450" s="3">
        <f>((1/(INDEX(E0!J$4:J$73,C450,1)-INDEX(E0!J$4:J$73,D450,1))))*100000000</f>
        <v>0</v>
      </c>
      <c r="F450" s="4" t="str">
        <f>HYPERLINK("http://141.218.60.56/~jnz1568/getInfo.php?workbook=16_15.xlsx&amp;sheet=A0&amp;row=450&amp;col=6&amp;number=&amp;sourceID=54","")</f>
        <v/>
      </c>
      <c r="G450" s="4" t="str">
        <f>HYPERLINK("http://141.218.60.56/~jnz1568/getInfo.php?workbook=16_15.xlsx&amp;sheet=A0&amp;row=450&amp;col=7&amp;number=4.8242&amp;sourceID=54","4.8242")</f>
        <v>4.8242</v>
      </c>
      <c r="H450" s="4" t="str">
        <f>HYPERLINK("http://141.218.60.56/~jnz1568/getInfo.php?workbook=16_15.xlsx&amp;sheet=A0&amp;row=450&amp;col=8&amp;number=0.025086&amp;sourceID=54","0.025086")</f>
        <v>0.025086</v>
      </c>
      <c r="I450" s="4" t="str">
        <f>HYPERLINK("http://141.218.60.56/~jnz1568/getInfo.php?workbook=16_15.xlsx&amp;sheet=A0&amp;row=450&amp;col=9&amp;number=&amp;sourceID=54","")</f>
        <v/>
      </c>
      <c r="J450" s="4" t="str">
        <f>HYPERLINK("http://141.218.60.56/~jnz1568/getInfo.php?workbook=16_15.xlsx&amp;sheet=A0&amp;row=450&amp;col=10&amp;number=5.1985&amp;sourceID=54","5.1985")</f>
        <v>5.1985</v>
      </c>
      <c r="K450" s="4" t="str">
        <f>HYPERLINK("http://141.218.60.56/~jnz1568/getInfo.php?workbook=16_15.xlsx&amp;sheet=A0&amp;row=450&amp;col=11&amp;number=0.025695&amp;sourceID=54","0.025695")</f>
        <v>0.025695</v>
      </c>
      <c r="L450" s="4" t="str">
        <f>HYPERLINK("http://141.218.60.56/~jnz1568/getInfo.php?workbook=16_15.xlsx&amp;sheet=A0&amp;row=450&amp;col=12&amp;number=&amp;sourceID=53","")</f>
        <v/>
      </c>
      <c r="M450" s="4" t="str">
        <f>HYPERLINK("http://141.218.60.56/~jnz1568/getInfo.php?workbook=16_15.xlsx&amp;sheet=A0&amp;row=450&amp;col=13&amp;number=&amp;sourceID=53","")</f>
        <v/>
      </c>
      <c r="N450" s="4" t="str">
        <f>HYPERLINK("http://141.218.60.56/~jnz1568/getInfo.php?workbook=16_15.xlsx&amp;sheet=A0&amp;row=450&amp;col=14&amp;number=&amp;sourceID=53","")</f>
        <v/>
      </c>
      <c r="O450" s="4" t="str">
        <f>HYPERLINK("http://141.218.60.56/~jnz1568/getInfo.php?workbook=16_15.xlsx&amp;sheet=A0&amp;row=450&amp;col=15&amp;number=&amp;sourceID=55","")</f>
        <v/>
      </c>
      <c r="P450" s="4" t="str">
        <f>HYPERLINK("http://141.218.60.56/~jnz1568/getInfo.php?workbook=16_15.xlsx&amp;sheet=A0&amp;row=450&amp;col=16&amp;number=&amp;sourceID=55","")</f>
        <v/>
      </c>
      <c r="Q450" s="4" t="str">
        <f>HYPERLINK("http://141.218.60.56/~jnz1568/getInfo.php?workbook=16_15.xlsx&amp;sheet=A0&amp;row=450&amp;col=17&amp;number=&amp;sourceID=56","")</f>
        <v/>
      </c>
      <c r="R450" s="4" t="str">
        <f>HYPERLINK("http://141.218.60.56/~jnz1568/getInfo.php?workbook=16_15.xlsx&amp;sheet=A0&amp;row=450&amp;col=18&amp;number=&amp;sourceID=56","")</f>
        <v/>
      </c>
      <c r="S450" s="4" t="str">
        <f>HYPERLINK("http://141.218.60.56/~jnz1568/getInfo.php?workbook=16_15.xlsx&amp;sheet=A0&amp;row=450&amp;col=19&amp;number=&amp;sourceID=57","")</f>
        <v/>
      </c>
      <c r="T450" s="4" t="str">
        <f>HYPERLINK("http://141.218.60.56/~jnz1568/getInfo.php?workbook=16_15.xlsx&amp;sheet=A0&amp;row=450&amp;col=20&amp;number=&amp;sourceID=57","")</f>
        <v/>
      </c>
      <c r="U450" s="4" t="str">
        <f>HYPERLINK("http://141.218.60.56/~jnz1568/getInfo.php?workbook=16_15.xlsx&amp;sheet=A0&amp;row=450&amp;col=21&amp;number=&amp;sourceID=47","")</f>
        <v/>
      </c>
      <c r="V450" s="4" t="str">
        <f>HYPERLINK("http://141.218.60.56/~jnz1568/getInfo.php?workbook=16_15.xlsx&amp;sheet=A0&amp;row=450&amp;col=22&amp;number=&amp;sourceID=47","")</f>
        <v/>
      </c>
    </row>
    <row r="451" spans="1:22">
      <c r="A451" s="3">
        <v>16</v>
      </c>
      <c r="B451" s="3">
        <v>15</v>
      </c>
      <c r="C451" s="3">
        <v>35</v>
      </c>
      <c r="D451" s="3">
        <v>4</v>
      </c>
      <c r="E451" s="3">
        <f>((1/(INDEX(E0!J$4:J$73,C451,1)-INDEX(E0!J$4:J$73,D451,1))))*100000000</f>
        <v>0</v>
      </c>
      <c r="F451" s="4" t="str">
        <f>HYPERLINK("http://141.218.60.56/~jnz1568/getInfo.php?workbook=16_15.xlsx&amp;sheet=A0&amp;row=451&amp;col=6&amp;number=&amp;sourceID=54","")</f>
        <v/>
      </c>
      <c r="G451" s="4" t="str">
        <f>HYPERLINK("http://141.218.60.56/~jnz1568/getInfo.php?workbook=16_15.xlsx&amp;sheet=A0&amp;row=451&amp;col=7&amp;number=0.27148&amp;sourceID=54","0.27148")</f>
        <v>0.27148</v>
      </c>
      <c r="H451" s="4" t="str">
        <f>HYPERLINK("http://141.218.60.56/~jnz1568/getInfo.php?workbook=16_15.xlsx&amp;sheet=A0&amp;row=451&amp;col=8&amp;number=0.0049525&amp;sourceID=54","0.0049525")</f>
        <v>0.0049525</v>
      </c>
      <c r="I451" s="4" t="str">
        <f>HYPERLINK("http://141.218.60.56/~jnz1568/getInfo.php?workbook=16_15.xlsx&amp;sheet=A0&amp;row=451&amp;col=9&amp;number=&amp;sourceID=54","")</f>
        <v/>
      </c>
      <c r="J451" s="4" t="str">
        <f>HYPERLINK("http://141.218.60.56/~jnz1568/getInfo.php?workbook=16_15.xlsx&amp;sheet=A0&amp;row=451&amp;col=10&amp;number=0.28539&amp;sourceID=54","0.28539")</f>
        <v>0.28539</v>
      </c>
      <c r="K451" s="4" t="str">
        <f>HYPERLINK("http://141.218.60.56/~jnz1568/getInfo.php?workbook=16_15.xlsx&amp;sheet=A0&amp;row=451&amp;col=11&amp;number=0.0049955&amp;sourceID=54","0.0049955")</f>
        <v>0.0049955</v>
      </c>
      <c r="L451" s="4" t="str">
        <f>HYPERLINK("http://141.218.60.56/~jnz1568/getInfo.php?workbook=16_15.xlsx&amp;sheet=A0&amp;row=451&amp;col=12&amp;number=&amp;sourceID=53","")</f>
        <v/>
      </c>
      <c r="M451" s="4" t="str">
        <f>HYPERLINK("http://141.218.60.56/~jnz1568/getInfo.php?workbook=16_15.xlsx&amp;sheet=A0&amp;row=451&amp;col=13&amp;number=&amp;sourceID=53","")</f>
        <v/>
      </c>
      <c r="N451" s="4" t="str">
        <f>HYPERLINK("http://141.218.60.56/~jnz1568/getInfo.php?workbook=16_15.xlsx&amp;sheet=A0&amp;row=451&amp;col=14&amp;number=&amp;sourceID=53","")</f>
        <v/>
      </c>
      <c r="O451" s="4" t="str">
        <f>HYPERLINK("http://141.218.60.56/~jnz1568/getInfo.php?workbook=16_15.xlsx&amp;sheet=A0&amp;row=451&amp;col=15&amp;number=&amp;sourceID=55","")</f>
        <v/>
      </c>
      <c r="P451" s="4" t="str">
        <f>HYPERLINK("http://141.218.60.56/~jnz1568/getInfo.php?workbook=16_15.xlsx&amp;sheet=A0&amp;row=451&amp;col=16&amp;number=&amp;sourceID=55","")</f>
        <v/>
      </c>
      <c r="Q451" s="4" t="str">
        <f>HYPERLINK("http://141.218.60.56/~jnz1568/getInfo.php?workbook=16_15.xlsx&amp;sheet=A0&amp;row=451&amp;col=17&amp;number=&amp;sourceID=56","")</f>
        <v/>
      </c>
      <c r="R451" s="4" t="str">
        <f>HYPERLINK("http://141.218.60.56/~jnz1568/getInfo.php?workbook=16_15.xlsx&amp;sheet=A0&amp;row=451&amp;col=18&amp;number=&amp;sourceID=56","")</f>
        <v/>
      </c>
      <c r="S451" s="4" t="str">
        <f>HYPERLINK("http://141.218.60.56/~jnz1568/getInfo.php?workbook=16_15.xlsx&amp;sheet=A0&amp;row=451&amp;col=19&amp;number=&amp;sourceID=57","")</f>
        <v/>
      </c>
      <c r="T451" s="4" t="str">
        <f>HYPERLINK("http://141.218.60.56/~jnz1568/getInfo.php?workbook=16_15.xlsx&amp;sheet=A0&amp;row=451&amp;col=20&amp;number=&amp;sourceID=57","")</f>
        <v/>
      </c>
      <c r="U451" s="4" t="str">
        <f>HYPERLINK("http://141.218.60.56/~jnz1568/getInfo.php?workbook=16_15.xlsx&amp;sheet=A0&amp;row=451&amp;col=21&amp;number=&amp;sourceID=47","")</f>
        <v/>
      </c>
      <c r="V451" s="4" t="str">
        <f>HYPERLINK("http://141.218.60.56/~jnz1568/getInfo.php?workbook=16_15.xlsx&amp;sheet=A0&amp;row=451&amp;col=22&amp;number=&amp;sourceID=47","")</f>
        <v/>
      </c>
    </row>
    <row r="452" spans="1:22">
      <c r="A452" s="3">
        <v>16</v>
      </c>
      <c r="B452" s="3">
        <v>15</v>
      </c>
      <c r="C452" s="3">
        <v>35</v>
      </c>
      <c r="D452" s="3">
        <v>5</v>
      </c>
      <c r="E452" s="3">
        <f>((1/(INDEX(E0!J$4:J$73,C452,1)-INDEX(E0!J$4:J$73,D452,1))))*100000000</f>
        <v>0</v>
      </c>
      <c r="F452" s="4" t="str">
        <f>HYPERLINK("http://141.218.60.56/~jnz1568/getInfo.php?workbook=16_15.xlsx&amp;sheet=A0&amp;row=452&amp;col=6&amp;number=&amp;sourceID=54","")</f>
        <v/>
      </c>
      <c r="G452" s="4" t="str">
        <f>HYPERLINK("http://141.218.60.56/~jnz1568/getInfo.php?workbook=16_15.xlsx&amp;sheet=A0&amp;row=452&amp;col=7&amp;number=1.6491&amp;sourceID=54","1.6491")</f>
        <v>1.6491</v>
      </c>
      <c r="H452" s="4" t="str">
        <f>HYPERLINK("http://141.218.60.56/~jnz1568/getInfo.php?workbook=16_15.xlsx&amp;sheet=A0&amp;row=452&amp;col=8&amp;number=0.084446&amp;sourceID=54","0.084446")</f>
        <v>0.084446</v>
      </c>
      <c r="I452" s="4" t="str">
        <f>HYPERLINK("http://141.218.60.56/~jnz1568/getInfo.php?workbook=16_15.xlsx&amp;sheet=A0&amp;row=452&amp;col=9&amp;number=&amp;sourceID=54","")</f>
        <v/>
      </c>
      <c r="J452" s="4" t="str">
        <f>HYPERLINK("http://141.218.60.56/~jnz1568/getInfo.php?workbook=16_15.xlsx&amp;sheet=A0&amp;row=452&amp;col=10&amp;number=1.7628&amp;sourceID=54","1.7628")</f>
        <v>1.7628</v>
      </c>
      <c r="K452" s="4" t="str">
        <f>HYPERLINK("http://141.218.60.56/~jnz1568/getInfo.php?workbook=16_15.xlsx&amp;sheet=A0&amp;row=452&amp;col=11&amp;number=0.08511&amp;sourceID=54","0.08511")</f>
        <v>0.08511</v>
      </c>
      <c r="L452" s="4" t="str">
        <f>HYPERLINK("http://141.218.60.56/~jnz1568/getInfo.php?workbook=16_15.xlsx&amp;sheet=A0&amp;row=452&amp;col=12&amp;number=&amp;sourceID=53","")</f>
        <v/>
      </c>
      <c r="M452" s="4" t="str">
        <f>HYPERLINK("http://141.218.60.56/~jnz1568/getInfo.php?workbook=16_15.xlsx&amp;sheet=A0&amp;row=452&amp;col=13&amp;number=&amp;sourceID=53","")</f>
        <v/>
      </c>
      <c r="N452" s="4" t="str">
        <f>HYPERLINK("http://141.218.60.56/~jnz1568/getInfo.php?workbook=16_15.xlsx&amp;sheet=A0&amp;row=452&amp;col=14&amp;number=&amp;sourceID=53","")</f>
        <v/>
      </c>
      <c r="O452" s="4" t="str">
        <f>HYPERLINK("http://141.218.60.56/~jnz1568/getInfo.php?workbook=16_15.xlsx&amp;sheet=A0&amp;row=452&amp;col=15&amp;number=&amp;sourceID=55","")</f>
        <v/>
      </c>
      <c r="P452" s="4" t="str">
        <f>HYPERLINK("http://141.218.60.56/~jnz1568/getInfo.php?workbook=16_15.xlsx&amp;sheet=A0&amp;row=452&amp;col=16&amp;number=&amp;sourceID=55","")</f>
        <v/>
      </c>
      <c r="Q452" s="4" t="str">
        <f>HYPERLINK("http://141.218.60.56/~jnz1568/getInfo.php?workbook=16_15.xlsx&amp;sheet=A0&amp;row=452&amp;col=17&amp;number=&amp;sourceID=56","")</f>
        <v/>
      </c>
      <c r="R452" s="4" t="str">
        <f>HYPERLINK("http://141.218.60.56/~jnz1568/getInfo.php?workbook=16_15.xlsx&amp;sheet=A0&amp;row=452&amp;col=18&amp;number=&amp;sourceID=56","")</f>
        <v/>
      </c>
      <c r="S452" s="4" t="str">
        <f>HYPERLINK("http://141.218.60.56/~jnz1568/getInfo.php?workbook=16_15.xlsx&amp;sheet=A0&amp;row=452&amp;col=19&amp;number=&amp;sourceID=57","")</f>
        <v/>
      </c>
      <c r="T452" s="4" t="str">
        <f>HYPERLINK("http://141.218.60.56/~jnz1568/getInfo.php?workbook=16_15.xlsx&amp;sheet=A0&amp;row=452&amp;col=20&amp;number=&amp;sourceID=57","")</f>
        <v/>
      </c>
      <c r="U452" s="4" t="str">
        <f>HYPERLINK("http://141.218.60.56/~jnz1568/getInfo.php?workbook=16_15.xlsx&amp;sheet=A0&amp;row=452&amp;col=21&amp;number=&amp;sourceID=47","")</f>
        <v/>
      </c>
      <c r="V452" s="4" t="str">
        <f>HYPERLINK("http://141.218.60.56/~jnz1568/getInfo.php?workbook=16_15.xlsx&amp;sheet=A0&amp;row=452&amp;col=22&amp;number=&amp;sourceID=47","")</f>
        <v/>
      </c>
    </row>
    <row r="453" spans="1:22">
      <c r="A453" s="3">
        <v>16</v>
      </c>
      <c r="B453" s="3">
        <v>15</v>
      </c>
      <c r="C453" s="3">
        <v>35</v>
      </c>
      <c r="D453" s="3">
        <v>6</v>
      </c>
      <c r="E453" s="3">
        <f>((1/(INDEX(E0!J$4:J$73,C453,1)-INDEX(E0!J$4:J$73,D453,1))))*100000000</f>
        <v>0</v>
      </c>
      <c r="F453" s="4" t="str">
        <f>HYPERLINK("http://141.218.60.56/~jnz1568/getInfo.php?workbook=16_15.xlsx&amp;sheet=A0&amp;row=453&amp;col=6&amp;number=114200&amp;sourceID=54","114200")</f>
        <v>114200</v>
      </c>
      <c r="G453" s="4" t="str">
        <f>HYPERLINK("http://141.218.60.56/~jnz1568/getInfo.php?workbook=16_15.xlsx&amp;sheet=A0&amp;row=453&amp;col=7&amp;number=&amp;sourceID=54","")</f>
        <v/>
      </c>
      <c r="H453" s="4" t="str">
        <f>HYPERLINK("http://141.218.60.56/~jnz1568/getInfo.php?workbook=16_15.xlsx&amp;sheet=A0&amp;row=453&amp;col=8&amp;number=&amp;sourceID=54","")</f>
        <v/>
      </c>
      <c r="I453" s="4" t="str">
        <f>HYPERLINK("http://141.218.60.56/~jnz1568/getInfo.php?workbook=16_15.xlsx&amp;sheet=A0&amp;row=453&amp;col=9&amp;number=105760&amp;sourceID=54","105760")</f>
        <v>105760</v>
      </c>
      <c r="J453" s="4" t="str">
        <f>HYPERLINK("http://141.218.60.56/~jnz1568/getInfo.php?workbook=16_15.xlsx&amp;sheet=A0&amp;row=453&amp;col=10&amp;number=&amp;sourceID=54","")</f>
        <v/>
      </c>
      <c r="K453" s="4" t="str">
        <f>HYPERLINK("http://141.218.60.56/~jnz1568/getInfo.php?workbook=16_15.xlsx&amp;sheet=A0&amp;row=453&amp;col=11&amp;number=&amp;sourceID=54","")</f>
        <v/>
      </c>
      <c r="L453" s="4" t="str">
        <f>HYPERLINK("http://141.218.60.56/~jnz1568/getInfo.php?workbook=16_15.xlsx&amp;sheet=A0&amp;row=453&amp;col=12&amp;number=131254.166936&amp;sourceID=53","131254.166936")</f>
        <v>131254.166936</v>
      </c>
      <c r="M453" s="4" t="str">
        <f>HYPERLINK("http://141.218.60.56/~jnz1568/getInfo.php?workbook=16_15.xlsx&amp;sheet=A0&amp;row=453&amp;col=13&amp;number=&amp;sourceID=53","")</f>
        <v/>
      </c>
      <c r="N453" s="4" t="str">
        <f>HYPERLINK("http://141.218.60.56/~jnz1568/getInfo.php?workbook=16_15.xlsx&amp;sheet=A0&amp;row=453&amp;col=14&amp;number=&amp;sourceID=53","")</f>
        <v/>
      </c>
      <c r="O453" s="4" t="str">
        <f>HYPERLINK("http://141.218.60.56/~jnz1568/getInfo.php?workbook=16_15.xlsx&amp;sheet=A0&amp;row=453&amp;col=15&amp;number=&amp;sourceID=55","")</f>
        <v/>
      </c>
      <c r="P453" s="4" t="str">
        <f>HYPERLINK("http://141.218.60.56/~jnz1568/getInfo.php?workbook=16_15.xlsx&amp;sheet=A0&amp;row=453&amp;col=16&amp;number=&amp;sourceID=55","")</f>
        <v/>
      </c>
      <c r="Q453" s="4" t="str">
        <f>HYPERLINK("http://141.218.60.56/~jnz1568/getInfo.php?workbook=16_15.xlsx&amp;sheet=A0&amp;row=453&amp;col=17&amp;number=&amp;sourceID=56","")</f>
        <v/>
      </c>
      <c r="R453" s="4" t="str">
        <f>HYPERLINK("http://141.218.60.56/~jnz1568/getInfo.php?workbook=16_15.xlsx&amp;sheet=A0&amp;row=453&amp;col=18&amp;number=&amp;sourceID=56","")</f>
        <v/>
      </c>
      <c r="S453" s="4" t="str">
        <f>HYPERLINK("http://141.218.60.56/~jnz1568/getInfo.php?workbook=16_15.xlsx&amp;sheet=A0&amp;row=453&amp;col=19&amp;number=&amp;sourceID=57","")</f>
        <v/>
      </c>
      <c r="T453" s="4" t="str">
        <f>HYPERLINK("http://141.218.60.56/~jnz1568/getInfo.php?workbook=16_15.xlsx&amp;sheet=A0&amp;row=453&amp;col=20&amp;number=&amp;sourceID=57","")</f>
        <v/>
      </c>
      <c r="U453" s="4" t="str">
        <f>HYPERLINK("http://141.218.60.56/~jnz1568/getInfo.php?workbook=16_15.xlsx&amp;sheet=A0&amp;row=453&amp;col=21&amp;number=&amp;sourceID=47","")</f>
        <v/>
      </c>
      <c r="V453" s="4" t="str">
        <f>HYPERLINK("http://141.218.60.56/~jnz1568/getInfo.php?workbook=16_15.xlsx&amp;sheet=A0&amp;row=453&amp;col=22&amp;number=&amp;sourceID=47","")</f>
        <v/>
      </c>
    </row>
    <row r="454" spans="1:22">
      <c r="A454" s="3">
        <v>16</v>
      </c>
      <c r="B454" s="3">
        <v>15</v>
      </c>
      <c r="C454" s="3">
        <v>35</v>
      </c>
      <c r="D454" s="3">
        <v>7</v>
      </c>
      <c r="E454" s="3">
        <f>((1/(INDEX(E0!J$4:J$73,C454,1)-INDEX(E0!J$4:J$73,D454,1))))*100000000</f>
        <v>0</v>
      </c>
      <c r="F454" s="4" t="str">
        <f>HYPERLINK("http://141.218.60.56/~jnz1568/getInfo.php?workbook=16_15.xlsx&amp;sheet=A0&amp;row=454&amp;col=6&amp;number=66891&amp;sourceID=54","66891")</f>
        <v>66891</v>
      </c>
      <c r="G454" s="4" t="str">
        <f>HYPERLINK("http://141.218.60.56/~jnz1568/getInfo.php?workbook=16_15.xlsx&amp;sheet=A0&amp;row=454&amp;col=7&amp;number=&amp;sourceID=54","")</f>
        <v/>
      </c>
      <c r="H454" s="4" t="str">
        <f>HYPERLINK("http://141.218.60.56/~jnz1568/getInfo.php?workbook=16_15.xlsx&amp;sheet=A0&amp;row=454&amp;col=8&amp;number=&amp;sourceID=54","")</f>
        <v/>
      </c>
      <c r="I454" s="4" t="str">
        <f>HYPERLINK("http://141.218.60.56/~jnz1568/getInfo.php?workbook=16_15.xlsx&amp;sheet=A0&amp;row=454&amp;col=9&amp;number=64084&amp;sourceID=54","64084")</f>
        <v>64084</v>
      </c>
      <c r="J454" s="4" t="str">
        <f>HYPERLINK("http://141.218.60.56/~jnz1568/getInfo.php?workbook=16_15.xlsx&amp;sheet=A0&amp;row=454&amp;col=10&amp;number=&amp;sourceID=54","")</f>
        <v/>
      </c>
      <c r="K454" s="4" t="str">
        <f>HYPERLINK("http://141.218.60.56/~jnz1568/getInfo.php?workbook=16_15.xlsx&amp;sheet=A0&amp;row=454&amp;col=11&amp;number=&amp;sourceID=54","")</f>
        <v/>
      </c>
      <c r="L454" s="4" t="str">
        <f>HYPERLINK("http://141.218.60.56/~jnz1568/getInfo.php?workbook=16_15.xlsx&amp;sheet=A0&amp;row=454&amp;col=12&amp;number=45205.1690218&amp;sourceID=53","45205.1690218")</f>
        <v>45205.1690218</v>
      </c>
      <c r="M454" s="4" t="str">
        <f>HYPERLINK("http://141.218.60.56/~jnz1568/getInfo.php?workbook=16_15.xlsx&amp;sheet=A0&amp;row=454&amp;col=13&amp;number=&amp;sourceID=53","")</f>
        <v/>
      </c>
      <c r="N454" s="4" t="str">
        <f>HYPERLINK("http://141.218.60.56/~jnz1568/getInfo.php?workbook=16_15.xlsx&amp;sheet=A0&amp;row=454&amp;col=14&amp;number=&amp;sourceID=53","")</f>
        <v/>
      </c>
      <c r="O454" s="4" t="str">
        <f>HYPERLINK("http://141.218.60.56/~jnz1568/getInfo.php?workbook=16_15.xlsx&amp;sheet=A0&amp;row=454&amp;col=15&amp;number=&amp;sourceID=55","")</f>
        <v/>
      </c>
      <c r="P454" s="4" t="str">
        <f>HYPERLINK("http://141.218.60.56/~jnz1568/getInfo.php?workbook=16_15.xlsx&amp;sheet=A0&amp;row=454&amp;col=16&amp;number=&amp;sourceID=55","")</f>
        <v/>
      </c>
      <c r="Q454" s="4" t="str">
        <f>HYPERLINK("http://141.218.60.56/~jnz1568/getInfo.php?workbook=16_15.xlsx&amp;sheet=A0&amp;row=454&amp;col=17&amp;number=&amp;sourceID=56","")</f>
        <v/>
      </c>
      <c r="R454" s="4" t="str">
        <f>HYPERLINK("http://141.218.60.56/~jnz1568/getInfo.php?workbook=16_15.xlsx&amp;sheet=A0&amp;row=454&amp;col=18&amp;number=&amp;sourceID=56","")</f>
        <v/>
      </c>
      <c r="S454" s="4" t="str">
        <f>HYPERLINK("http://141.218.60.56/~jnz1568/getInfo.php?workbook=16_15.xlsx&amp;sheet=A0&amp;row=454&amp;col=19&amp;number=&amp;sourceID=57","")</f>
        <v/>
      </c>
      <c r="T454" s="4" t="str">
        <f>HYPERLINK("http://141.218.60.56/~jnz1568/getInfo.php?workbook=16_15.xlsx&amp;sheet=A0&amp;row=454&amp;col=20&amp;number=&amp;sourceID=57","")</f>
        <v/>
      </c>
      <c r="U454" s="4" t="str">
        <f>HYPERLINK("http://141.218.60.56/~jnz1568/getInfo.php?workbook=16_15.xlsx&amp;sheet=A0&amp;row=454&amp;col=21&amp;number=&amp;sourceID=47","")</f>
        <v/>
      </c>
      <c r="V454" s="4" t="str">
        <f>HYPERLINK("http://141.218.60.56/~jnz1568/getInfo.php?workbook=16_15.xlsx&amp;sheet=A0&amp;row=454&amp;col=22&amp;number=&amp;sourceID=47","")</f>
        <v/>
      </c>
    </row>
    <row r="455" spans="1:22">
      <c r="A455" s="3">
        <v>16</v>
      </c>
      <c r="B455" s="3">
        <v>15</v>
      </c>
      <c r="C455" s="3">
        <v>35</v>
      </c>
      <c r="D455" s="3">
        <v>8</v>
      </c>
      <c r="E455" s="3">
        <f>((1/(INDEX(E0!J$4:J$73,C455,1)-INDEX(E0!J$4:J$73,D455,1))))*100000000</f>
        <v>0</v>
      </c>
      <c r="F455" s="4" t="str">
        <f>HYPERLINK("http://141.218.60.56/~jnz1568/getInfo.php?workbook=16_15.xlsx&amp;sheet=A0&amp;row=455&amp;col=6&amp;number=6808.4&amp;sourceID=54","6808.4")</f>
        <v>6808.4</v>
      </c>
      <c r="G455" s="4" t="str">
        <f>HYPERLINK("http://141.218.60.56/~jnz1568/getInfo.php?workbook=16_15.xlsx&amp;sheet=A0&amp;row=455&amp;col=7&amp;number=&amp;sourceID=54","")</f>
        <v/>
      </c>
      <c r="H455" s="4" t="str">
        <f>HYPERLINK("http://141.218.60.56/~jnz1568/getInfo.php?workbook=16_15.xlsx&amp;sheet=A0&amp;row=455&amp;col=8&amp;number=&amp;sourceID=54","")</f>
        <v/>
      </c>
      <c r="I455" s="4" t="str">
        <f>HYPERLINK("http://141.218.60.56/~jnz1568/getInfo.php?workbook=16_15.xlsx&amp;sheet=A0&amp;row=455&amp;col=9&amp;number=5955.5&amp;sourceID=54","5955.5")</f>
        <v>5955.5</v>
      </c>
      <c r="J455" s="4" t="str">
        <f>HYPERLINK("http://141.218.60.56/~jnz1568/getInfo.php?workbook=16_15.xlsx&amp;sheet=A0&amp;row=455&amp;col=10&amp;number=&amp;sourceID=54","")</f>
        <v/>
      </c>
      <c r="K455" s="4" t="str">
        <f>HYPERLINK("http://141.218.60.56/~jnz1568/getInfo.php?workbook=16_15.xlsx&amp;sheet=A0&amp;row=455&amp;col=11&amp;number=&amp;sourceID=54","")</f>
        <v/>
      </c>
      <c r="L455" s="4" t="str">
        <f>HYPERLINK("http://141.218.60.56/~jnz1568/getInfo.php?workbook=16_15.xlsx&amp;sheet=A0&amp;row=455&amp;col=12&amp;number=25285.9649068&amp;sourceID=53","25285.9649068")</f>
        <v>25285.9649068</v>
      </c>
      <c r="M455" s="4" t="str">
        <f>HYPERLINK("http://141.218.60.56/~jnz1568/getInfo.php?workbook=16_15.xlsx&amp;sheet=A0&amp;row=455&amp;col=13&amp;number=&amp;sourceID=53","")</f>
        <v/>
      </c>
      <c r="N455" s="4" t="str">
        <f>HYPERLINK("http://141.218.60.56/~jnz1568/getInfo.php?workbook=16_15.xlsx&amp;sheet=A0&amp;row=455&amp;col=14&amp;number=&amp;sourceID=53","")</f>
        <v/>
      </c>
      <c r="O455" s="4" t="str">
        <f>HYPERLINK("http://141.218.60.56/~jnz1568/getInfo.php?workbook=16_15.xlsx&amp;sheet=A0&amp;row=455&amp;col=15&amp;number=&amp;sourceID=55","")</f>
        <v/>
      </c>
      <c r="P455" s="4" t="str">
        <f>HYPERLINK("http://141.218.60.56/~jnz1568/getInfo.php?workbook=16_15.xlsx&amp;sheet=A0&amp;row=455&amp;col=16&amp;number=&amp;sourceID=55","")</f>
        <v/>
      </c>
      <c r="Q455" s="4" t="str">
        <f>HYPERLINK("http://141.218.60.56/~jnz1568/getInfo.php?workbook=16_15.xlsx&amp;sheet=A0&amp;row=455&amp;col=17&amp;number=&amp;sourceID=56","")</f>
        <v/>
      </c>
      <c r="R455" s="4" t="str">
        <f>HYPERLINK("http://141.218.60.56/~jnz1568/getInfo.php?workbook=16_15.xlsx&amp;sheet=A0&amp;row=455&amp;col=18&amp;number=&amp;sourceID=56","")</f>
        <v/>
      </c>
      <c r="S455" s="4" t="str">
        <f>HYPERLINK("http://141.218.60.56/~jnz1568/getInfo.php?workbook=16_15.xlsx&amp;sheet=A0&amp;row=455&amp;col=19&amp;number=&amp;sourceID=57","")</f>
        <v/>
      </c>
      <c r="T455" s="4" t="str">
        <f>HYPERLINK("http://141.218.60.56/~jnz1568/getInfo.php?workbook=16_15.xlsx&amp;sheet=A0&amp;row=455&amp;col=20&amp;number=&amp;sourceID=57","")</f>
        <v/>
      </c>
      <c r="U455" s="4" t="str">
        <f>HYPERLINK("http://141.218.60.56/~jnz1568/getInfo.php?workbook=16_15.xlsx&amp;sheet=A0&amp;row=455&amp;col=21&amp;number=&amp;sourceID=47","")</f>
        <v/>
      </c>
      <c r="V455" s="4" t="str">
        <f>HYPERLINK("http://141.218.60.56/~jnz1568/getInfo.php?workbook=16_15.xlsx&amp;sheet=A0&amp;row=455&amp;col=22&amp;number=&amp;sourceID=47","")</f>
        <v/>
      </c>
    </row>
    <row r="456" spans="1:22">
      <c r="A456" s="3">
        <v>16</v>
      </c>
      <c r="B456" s="3">
        <v>15</v>
      </c>
      <c r="C456" s="3">
        <v>35</v>
      </c>
      <c r="D456" s="3">
        <v>9</v>
      </c>
      <c r="E456" s="3">
        <f>((1/(INDEX(E0!J$4:J$73,C456,1)-INDEX(E0!J$4:J$73,D456,1))))*100000000</f>
        <v>0</v>
      </c>
      <c r="F456" s="4" t="str">
        <f>HYPERLINK("http://141.218.60.56/~jnz1568/getInfo.php?workbook=16_15.xlsx&amp;sheet=A0&amp;row=456&amp;col=6&amp;number=1529.6&amp;sourceID=54","1529.6")</f>
        <v>1529.6</v>
      </c>
      <c r="G456" s="4" t="str">
        <f>HYPERLINK("http://141.218.60.56/~jnz1568/getInfo.php?workbook=16_15.xlsx&amp;sheet=A0&amp;row=456&amp;col=7&amp;number=&amp;sourceID=54","")</f>
        <v/>
      </c>
      <c r="H456" s="4" t="str">
        <f>HYPERLINK("http://141.218.60.56/~jnz1568/getInfo.php?workbook=16_15.xlsx&amp;sheet=A0&amp;row=456&amp;col=8&amp;number=&amp;sourceID=54","")</f>
        <v/>
      </c>
      <c r="I456" s="4" t="str">
        <f>HYPERLINK("http://141.218.60.56/~jnz1568/getInfo.php?workbook=16_15.xlsx&amp;sheet=A0&amp;row=456&amp;col=9&amp;number=1519.5&amp;sourceID=54","1519.5")</f>
        <v>1519.5</v>
      </c>
      <c r="J456" s="4" t="str">
        <f>HYPERLINK("http://141.218.60.56/~jnz1568/getInfo.php?workbook=16_15.xlsx&amp;sheet=A0&amp;row=456&amp;col=10&amp;number=&amp;sourceID=54","")</f>
        <v/>
      </c>
      <c r="K456" s="4" t="str">
        <f>HYPERLINK("http://141.218.60.56/~jnz1568/getInfo.php?workbook=16_15.xlsx&amp;sheet=A0&amp;row=456&amp;col=11&amp;number=&amp;sourceID=54","")</f>
        <v/>
      </c>
      <c r="L456" s="4" t="str">
        <f>HYPERLINK("http://141.218.60.56/~jnz1568/getInfo.php?workbook=16_15.xlsx&amp;sheet=A0&amp;row=456&amp;col=12&amp;number=9076.2944377&amp;sourceID=53","9076.2944377")</f>
        <v>9076.2944377</v>
      </c>
      <c r="M456" s="4" t="str">
        <f>HYPERLINK("http://141.218.60.56/~jnz1568/getInfo.php?workbook=16_15.xlsx&amp;sheet=A0&amp;row=456&amp;col=13&amp;number=&amp;sourceID=53","")</f>
        <v/>
      </c>
      <c r="N456" s="4" t="str">
        <f>HYPERLINK("http://141.218.60.56/~jnz1568/getInfo.php?workbook=16_15.xlsx&amp;sheet=A0&amp;row=456&amp;col=14&amp;number=&amp;sourceID=53","")</f>
        <v/>
      </c>
      <c r="O456" s="4" t="str">
        <f>HYPERLINK("http://141.218.60.56/~jnz1568/getInfo.php?workbook=16_15.xlsx&amp;sheet=A0&amp;row=456&amp;col=15&amp;number=&amp;sourceID=55","")</f>
        <v/>
      </c>
      <c r="P456" s="4" t="str">
        <f>HYPERLINK("http://141.218.60.56/~jnz1568/getInfo.php?workbook=16_15.xlsx&amp;sheet=A0&amp;row=456&amp;col=16&amp;number=&amp;sourceID=55","")</f>
        <v/>
      </c>
      <c r="Q456" s="4" t="str">
        <f>HYPERLINK("http://141.218.60.56/~jnz1568/getInfo.php?workbook=16_15.xlsx&amp;sheet=A0&amp;row=456&amp;col=17&amp;number=&amp;sourceID=56","")</f>
        <v/>
      </c>
      <c r="R456" s="4" t="str">
        <f>HYPERLINK("http://141.218.60.56/~jnz1568/getInfo.php?workbook=16_15.xlsx&amp;sheet=A0&amp;row=456&amp;col=18&amp;number=&amp;sourceID=56","")</f>
        <v/>
      </c>
      <c r="S456" s="4" t="str">
        <f>HYPERLINK("http://141.218.60.56/~jnz1568/getInfo.php?workbook=16_15.xlsx&amp;sheet=A0&amp;row=456&amp;col=19&amp;number=&amp;sourceID=57","")</f>
        <v/>
      </c>
      <c r="T456" s="4" t="str">
        <f>HYPERLINK("http://141.218.60.56/~jnz1568/getInfo.php?workbook=16_15.xlsx&amp;sheet=A0&amp;row=456&amp;col=20&amp;number=&amp;sourceID=57","")</f>
        <v/>
      </c>
      <c r="U456" s="4" t="str">
        <f>HYPERLINK("http://141.218.60.56/~jnz1568/getInfo.php?workbook=16_15.xlsx&amp;sheet=A0&amp;row=456&amp;col=21&amp;number=&amp;sourceID=47","")</f>
        <v/>
      </c>
      <c r="V456" s="4" t="str">
        <f>HYPERLINK("http://141.218.60.56/~jnz1568/getInfo.php?workbook=16_15.xlsx&amp;sheet=A0&amp;row=456&amp;col=22&amp;number=&amp;sourceID=47","")</f>
        <v/>
      </c>
    </row>
    <row r="457" spans="1:22">
      <c r="A457" s="3">
        <v>16</v>
      </c>
      <c r="B457" s="3">
        <v>15</v>
      </c>
      <c r="C457" s="3">
        <v>35</v>
      </c>
      <c r="D457" s="3">
        <v>10</v>
      </c>
      <c r="E457" s="3">
        <f>((1/(INDEX(E0!J$4:J$73,C457,1)-INDEX(E0!J$4:J$73,D457,1))))*100000000</f>
        <v>0</v>
      </c>
      <c r="F457" s="4" t="str">
        <f>HYPERLINK("http://141.218.60.56/~jnz1568/getInfo.php?workbook=16_15.xlsx&amp;sheet=A0&amp;row=457&amp;col=6&amp;number=5047.3&amp;sourceID=54","5047.3")</f>
        <v>5047.3</v>
      </c>
      <c r="G457" s="4" t="str">
        <f>HYPERLINK("http://141.218.60.56/~jnz1568/getInfo.php?workbook=16_15.xlsx&amp;sheet=A0&amp;row=457&amp;col=7&amp;number=&amp;sourceID=54","")</f>
        <v/>
      </c>
      <c r="H457" s="4" t="str">
        <f>HYPERLINK("http://141.218.60.56/~jnz1568/getInfo.php?workbook=16_15.xlsx&amp;sheet=A0&amp;row=457&amp;col=8&amp;number=&amp;sourceID=54","")</f>
        <v/>
      </c>
      <c r="I457" s="4" t="str">
        <f>HYPERLINK("http://141.218.60.56/~jnz1568/getInfo.php?workbook=16_15.xlsx&amp;sheet=A0&amp;row=457&amp;col=9&amp;number=5192.2&amp;sourceID=54","5192.2")</f>
        <v>5192.2</v>
      </c>
      <c r="J457" s="4" t="str">
        <f>HYPERLINK("http://141.218.60.56/~jnz1568/getInfo.php?workbook=16_15.xlsx&amp;sheet=A0&amp;row=457&amp;col=10&amp;number=&amp;sourceID=54","")</f>
        <v/>
      </c>
      <c r="K457" s="4" t="str">
        <f>HYPERLINK("http://141.218.60.56/~jnz1568/getInfo.php?workbook=16_15.xlsx&amp;sheet=A0&amp;row=457&amp;col=11&amp;number=&amp;sourceID=54","")</f>
        <v/>
      </c>
      <c r="L457" s="4" t="str">
        <f>HYPERLINK("http://141.218.60.56/~jnz1568/getInfo.php?workbook=16_15.xlsx&amp;sheet=A0&amp;row=457&amp;col=12&amp;number=25584.5213192&amp;sourceID=53","25584.5213192")</f>
        <v>25584.5213192</v>
      </c>
      <c r="M457" s="4" t="str">
        <f>HYPERLINK("http://141.218.60.56/~jnz1568/getInfo.php?workbook=16_15.xlsx&amp;sheet=A0&amp;row=457&amp;col=13&amp;number=&amp;sourceID=53","")</f>
        <v/>
      </c>
      <c r="N457" s="4" t="str">
        <f>HYPERLINK("http://141.218.60.56/~jnz1568/getInfo.php?workbook=16_15.xlsx&amp;sheet=A0&amp;row=457&amp;col=14&amp;number=&amp;sourceID=53","")</f>
        <v/>
      </c>
      <c r="O457" s="4" t="str">
        <f>HYPERLINK("http://141.218.60.56/~jnz1568/getInfo.php?workbook=16_15.xlsx&amp;sheet=A0&amp;row=457&amp;col=15&amp;number=&amp;sourceID=55","")</f>
        <v/>
      </c>
      <c r="P457" s="4" t="str">
        <f>HYPERLINK("http://141.218.60.56/~jnz1568/getInfo.php?workbook=16_15.xlsx&amp;sheet=A0&amp;row=457&amp;col=16&amp;number=&amp;sourceID=55","")</f>
        <v/>
      </c>
      <c r="Q457" s="4" t="str">
        <f>HYPERLINK("http://141.218.60.56/~jnz1568/getInfo.php?workbook=16_15.xlsx&amp;sheet=A0&amp;row=457&amp;col=17&amp;number=&amp;sourceID=56","")</f>
        <v/>
      </c>
      <c r="R457" s="4" t="str">
        <f>HYPERLINK("http://141.218.60.56/~jnz1568/getInfo.php?workbook=16_15.xlsx&amp;sheet=A0&amp;row=457&amp;col=18&amp;number=&amp;sourceID=56","")</f>
        <v/>
      </c>
      <c r="S457" s="4" t="str">
        <f>HYPERLINK("http://141.218.60.56/~jnz1568/getInfo.php?workbook=16_15.xlsx&amp;sheet=A0&amp;row=457&amp;col=19&amp;number=&amp;sourceID=57","")</f>
        <v/>
      </c>
      <c r="T457" s="4" t="str">
        <f>HYPERLINK("http://141.218.60.56/~jnz1568/getInfo.php?workbook=16_15.xlsx&amp;sheet=A0&amp;row=457&amp;col=20&amp;number=&amp;sourceID=57","")</f>
        <v/>
      </c>
      <c r="U457" s="4" t="str">
        <f>HYPERLINK("http://141.218.60.56/~jnz1568/getInfo.php?workbook=16_15.xlsx&amp;sheet=A0&amp;row=457&amp;col=21&amp;number=&amp;sourceID=47","")</f>
        <v/>
      </c>
      <c r="V457" s="4" t="str">
        <f>HYPERLINK("http://141.218.60.56/~jnz1568/getInfo.php?workbook=16_15.xlsx&amp;sheet=A0&amp;row=457&amp;col=22&amp;number=&amp;sourceID=47","")</f>
        <v/>
      </c>
    </row>
    <row r="458" spans="1:22">
      <c r="A458" s="3">
        <v>16</v>
      </c>
      <c r="B458" s="3">
        <v>15</v>
      </c>
      <c r="C458" s="3">
        <v>35</v>
      </c>
      <c r="D458" s="3">
        <v>11</v>
      </c>
      <c r="E458" s="3">
        <f>((1/(INDEX(E0!J$4:J$73,C458,1)-INDEX(E0!J$4:J$73,D458,1))))*100000000</f>
        <v>0</v>
      </c>
      <c r="F458" s="4" t="str">
        <f>HYPERLINK("http://141.218.60.56/~jnz1568/getInfo.php?workbook=16_15.xlsx&amp;sheet=A0&amp;row=458&amp;col=6&amp;number=8404.6&amp;sourceID=54","8404.6")</f>
        <v>8404.6</v>
      </c>
      <c r="G458" s="4" t="str">
        <f>HYPERLINK("http://141.218.60.56/~jnz1568/getInfo.php?workbook=16_15.xlsx&amp;sheet=A0&amp;row=458&amp;col=7&amp;number=&amp;sourceID=54","")</f>
        <v/>
      </c>
      <c r="H458" s="4" t="str">
        <f>HYPERLINK("http://141.218.60.56/~jnz1568/getInfo.php?workbook=16_15.xlsx&amp;sheet=A0&amp;row=458&amp;col=8&amp;number=&amp;sourceID=54","")</f>
        <v/>
      </c>
      <c r="I458" s="4" t="str">
        <f>HYPERLINK("http://141.218.60.56/~jnz1568/getInfo.php?workbook=16_15.xlsx&amp;sheet=A0&amp;row=458&amp;col=9&amp;number=9225.9&amp;sourceID=54","9225.9")</f>
        <v>9225.9</v>
      </c>
      <c r="J458" s="4" t="str">
        <f>HYPERLINK("http://141.218.60.56/~jnz1568/getInfo.php?workbook=16_15.xlsx&amp;sheet=A0&amp;row=458&amp;col=10&amp;number=&amp;sourceID=54","")</f>
        <v/>
      </c>
      <c r="K458" s="4" t="str">
        <f>HYPERLINK("http://141.218.60.56/~jnz1568/getInfo.php?workbook=16_15.xlsx&amp;sheet=A0&amp;row=458&amp;col=11&amp;number=&amp;sourceID=54","")</f>
        <v/>
      </c>
      <c r="L458" s="4" t="str">
        <f>HYPERLINK("http://141.218.60.56/~jnz1568/getInfo.php?workbook=16_15.xlsx&amp;sheet=A0&amp;row=458&amp;col=12&amp;number=11067.8471009&amp;sourceID=53","11067.8471009")</f>
        <v>11067.8471009</v>
      </c>
      <c r="M458" s="4" t="str">
        <f>HYPERLINK("http://141.218.60.56/~jnz1568/getInfo.php?workbook=16_15.xlsx&amp;sheet=A0&amp;row=458&amp;col=13&amp;number=&amp;sourceID=53","")</f>
        <v/>
      </c>
      <c r="N458" s="4" t="str">
        <f>HYPERLINK("http://141.218.60.56/~jnz1568/getInfo.php?workbook=16_15.xlsx&amp;sheet=A0&amp;row=458&amp;col=14&amp;number=&amp;sourceID=53","")</f>
        <v/>
      </c>
      <c r="O458" s="4" t="str">
        <f>HYPERLINK("http://141.218.60.56/~jnz1568/getInfo.php?workbook=16_15.xlsx&amp;sheet=A0&amp;row=458&amp;col=15&amp;number=&amp;sourceID=55","")</f>
        <v/>
      </c>
      <c r="P458" s="4" t="str">
        <f>HYPERLINK("http://141.218.60.56/~jnz1568/getInfo.php?workbook=16_15.xlsx&amp;sheet=A0&amp;row=458&amp;col=16&amp;number=&amp;sourceID=55","")</f>
        <v/>
      </c>
      <c r="Q458" s="4" t="str">
        <f>HYPERLINK("http://141.218.60.56/~jnz1568/getInfo.php?workbook=16_15.xlsx&amp;sheet=A0&amp;row=458&amp;col=17&amp;number=&amp;sourceID=56","")</f>
        <v/>
      </c>
      <c r="R458" s="4" t="str">
        <f>HYPERLINK("http://141.218.60.56/~jnz1568/getInfo.php?workbook=16_15.xlsx&amp;sheet=A0&amp;row=458&amp;col=18&amp;number=&amp;sourceID=56","")</f>
        <v/>
      </c>
      <c r="S458" s="4" t="str">
        <f>HYPERLINK("http://141.218.60.56/~jnz1568/getInfo.php?workbook=16_15.xlsx&amp;sheet=A0&amp;row=458&amp;col=19&amp;number=&amp;sourceID=57","")</f>
        <v/>
      </c>
      <c r="T458" s="4" t="str">
        <f>HYPERLINK("http://141.218.60.56/~jnz1568/getInfo.php?workbook=16_15.xlsx&amp;sheet=A0&amp;row=458&amp;col=20&amp;number=&amp;sourceID=57","")</f>
        <v/>
      </c>
      <c r="U458" s="4" t="str">
        <f>HYPERLINK("http://141.218.60.56/~jnz1568/getInfo.php?workbook=16_15.xlsx&amp;sheet=A0&amp;row=458&amp;col=21&amp;number=&amp;sourceID=47","")</f>
        <v/>
      </c>
      <c r="V458" s="4" t="str">
        <f>HYPERLINK("http://141.218.60.56/~jnz1568/getInfo.php?workbook=16_15.xlsx&amp;sheet=A0&amp;row=458&amp;col=22&amp;number=&amp;sourceID=47","")</f>
        <v/>
      </c>
    </row>
    <row r="459" spans="1:22">
      <c r="A459" s="3">
        <v>16</v>
      </c>
      <c r="B459" s="3">
        <v>15</v>
      </c>
      <c r="C459" s="3">
        <v>35</v>
      </c>
      <c r="D459" s="3">
        <v>12</v>
      </c>
      <c r="E459" s="3">
        <f>((1/(INDEX(E0!J$4:J$73,C459,1)-INDEX(E0!J$4:J$73,D459,1))))*100000000</f>
        <v>0</v>
      </c>
      <c r="F459" s="4" t="str">
        <f>HYPERLINK("http://141.218.60.56/~jnz1568/getInfo.php?workbook=16_15.xlsx&amp;sheet=A0&amp;row=459&amp;col=6&amp;number=10964&amp;sourceID=54","10964")</f>
        <v>10964</v>
      </c>
      <c r="G459" s="4" t="str">
        <f>HYPERLINK("http://141.218.60.56/~jnz1568/getInfo.php?workbook=16_15.xlsx&amp;sheet=A0&amp;row=459&amp;col=7&amp;number=&amp;sourceID=54","")</f>
        <v/>
      </c>
      <c r="H459" s="4" t="str">
        <f>HYPERLINK("http://141.218.60.56/~jnz1568/getInfo.php?workbook=16_15.xlsx&amp;sheet=A0&amp;row=459&amp;col=8&amp;number=&amp;sourceID=54","")</f>
        <v/>
      </c>
      <c r="I459" s="4" t="str">
        <f>HYPERLINK("http://141.218.60.56/~jnz1568/getInfo.php?workbook=16_15.xlsx&amp;sheet=A0&amp;row=459&amp;col=9&amp;number=11254&amp;sourceID=54","11254")</f>
        <v>11254</v>
      </c>
      <c r="J459" s="4" t="str">
        <f>HYPERLINK("http://141.218.60.56/~jnz1568/getInfo.php?workbook=16_15.xlsx&amp;sheet=A0&amp;row=459&amp;col=10&amp;number=&amp;sourceID=54","")</f>
        <v/>
      </c>
      <c r="K459" s="4" t="str">
        <f>HYPERLINK("http://141.218.60.56/~jnz1568/getInfo.php?workbook=16_15.xlsx&amp;sheet=A0&amp;row=459&amp;col=11&amp;number=&amp;sourceID=54","")</f>
        <v/>
      </c>
      <c r="L459" s="4" t="str">
        <f>HYPERLINK("http://141.218.60.56/~jnz1568/getInfo.php?workbook=16_15.xlsx&amp;sheet=A0&amp;row=459&amp;col=12&amp;number=8069.08426256&amp;sourceID=53","8069.08426256")</f>
        <v>8069.08426256</v>
      </c>
      <c r="M459" s="4" t="str">
        <f>HYPERLINK("http://141.218.60.56/~jnz1568/getInfo.php?workbook=16_15.xlsx&amp;sheet=A0&amp;row=459&amp;col=13&amp;number=&amp;sourceID=53","")</f>
        <v/>
      </c>
      <c r="N459" s="4" t="str">
        <f>HYPERLINK("http://141.218.60.56/~jnz1568/getInfo.php?workbook=16_15.xlsx&amp;sheet=A0&amp;row=459&amp;col=14&amp;number=&amp;sourceID=53","")</f>
        <v/>
      </c>
      <c r="O459" s="4" t="str">
        <f>HYPERLINK("http://141.218.60.56/~jnz1568/getInfo.php?workbook=16_15.xlsx&amp;sheet=A0&amp;row=459&amp;col=15&amp;number=&amp;sourceID=55","")</f>
        <v/>
      </c>
      <c r="P459" s="4" t="str">
        <f>HYPERLINK("http://141.218.60.56/~jnz1568/getInfo.php?workbook=16_15.xlsx&amp;sheet=A0&amp;row=459&amp;col=16&amp;number=&amp;sourceID=55","")</f>
        <v/>
      </c>
      <c r="Q459" s="4" t="str">
        <f>HYPERLINK("http://141.218.60.56/~jnz1568/getInfo.php?workbook=16_15.xlsx&amp;sheet=A0&amp;row=459&amp;col=17&amp;number=&amp;sourceID=56","")</f>
        <v/>
      </c>
      <c r="R459" s="4" t="str">
        <f>HYPERLINK("http://141.218.60.56/~jnz1568/getInfo.php?workbook=16_15.xlsx&amp;sheet=A0&amp;row=459&amp;col=18&amp;number=&amp;sourceID=56","")</f>
        <v/>
      </c>
      <c r="S459" s="4" t="str">
        <f>HYPERLINK("http://141.218.60.56/~jnz1568/getInfo.php?workbook=16_15.xlsx&amp;sheet=A0&amp;row=459&amp;col=19&amp;number=&amp;sourceID=57","")</f>
        <v/>
      </c>
      <c r="T459" s="4" t="str">
        <f>HYPERLINK("http://141.218.60.56/~jnz1568/getInfo.php?workbook=16_15.xlsx&amp;sheet=A0&amp;row=459&amp;col=20&amp;number=&amp;sourceID=57","")</f>
        <v/>
      </c>
      <c r="U459" s="4" t="str">
        <f>HYPERLINK("http://141.218.60.56/~jnz1568/getInfo.php?workbook=16_15.xlsx&amp;sheet=A0&amp;row=459&amp;col=21&amp;number=&amp;sourceID=47","")</f>
        <v/>
      </c>
      <c r="V459" s="4" t="str">
        <f>HYPERLINK("http://141.218.60.56/~jnz1568/getInfo.php?workbook=16_15.xlsx&amp;sheet=A0&amp;row=459&amp;col=22&amp;number=&amp;sourceID=47","")</f>
        <v/>
      </c>
    </row>
    <row r="460" spans="1:22">
      <c r="A460" s="3">
        <v>16</v>
      </c>
      <c r="B460" s="3">
        <v>15</v>
      </c>
      <c r="C460" s="3">
        <v>35</v>
      </c>
      <c r="D460" s="3">
        <v>13</v>
      </c>
      <c r="E460" s="3">
        <f>((1/(INDEX(E0!J$4:J$73,C460,1)-INDEX(E0!J$4:J$73,D460,1))))*100000000</f>
        <v>0</v>
      </c>
      <c r="F460" s="4" t="str">
        <f>HYPERLINK("http://141.218.60.56/~jnz1568/getInfo.php?workbook=16_15.xlsx&amp;sheet=A0&amp;row=460&amp;col=6&amp;number=39710000&amp;sourceID=54","39710000")</f>
        <v>39710000</v>
      </c>
      <c r="G460" s="4" t="str">
        <f>HYPERLINK("http://141.218.60.56/~jnz1568/getInfo.php?workbook=16_15.xlsx&amp;sheet=A0&amp;row=460&amp;col=7&amp;number=&amp;sourceID=54","")</f>
        <v/>
      </c>
      <c r="H460" s="4" t="str">
        <f>HYPERLINK("http://141.218.60.56/~jnz1568/getInfo.php?workbook=16_15.xlsx&amp;sheet=A0&amp;row=460&amp;col=8&amp;number=&amp;sourceID=54","")</f>
        <v/>
      </c>
      <c r="I460" s="4" t="str">
        <f>HYPERLINK("http://141.218.60.56/~jnz1568/getInfo.php?workbook=16_15.xlsx&amp;sheet=A0&amp;row=460&amp;col=9&amp;number=37679000&amp;sourceID=54","37679000")</f>
        <v>37679000</v>
      </c>
      <c r="J460" s="4" t="str">
        <f>HYPERLINK("http://141.218.60.56/~jnz1568/getInfo.php?workbook=16_15.xlsx&amp;sheet=A0&amp;row=460&amp;col=10&amp;number=&amp;sourceID=54","")</f>
        <v/>
      </c>
      <c r="K460" s="4" t="str">
        <f>HYPERLINK("http://141.218.60.56/~jnz1568/getInfo.php?workbook=16_15.xlsx&amp;sheet=A0&amp;row=460&amp;col=11&amp;number=&amp;sourceID=54","")</f>
        <v/>
      </c>
      <c r="L460" s="4" t="str">
        <f>HYPERLINK("http://141.218.60.56/~jnz1568/getInfo.php?workbook=16_15.xlsx&amp;sheet=A0&amp;row=460&amp;col=12&amp;number=39860097.1959&amp;sourceID=53","39860097.1959")</f>
        <v>39860097.1959</v>
      </c>
      <c r="M460" s="4" t="str">
        <f>HYPERLINK("http://141.218.60.56/~jnz1568/getInfo.php?workbook=16_15.xlsx&amp;sheet=A0&amp;row=460&amp;col=13&amp;number=&amp;sourceID=53","")</f>
        <v/>
      </c>
      <c r="N460" s="4" t="str">
        <f>HYPERLINK("http://141.218.60.56/~jnz1568/getInfo.php?workbook=16_15.xlsx&amp;sheet=A0&amp;row=460&amp;col=14&amp;number=&amp;sourceID=53","")</f>
        <v/>
      </c>
      <c r="O460" s="4" t="str">
        <f>HYPERLINK("http://141.218.60.56/~jnz1568/getInfo.php?workbook=16_15.xlsx&amp;sheet=A0&amp;row=460&amp;col=15&amp;number=&amp;sourceID=55","")</f>
        <v/>
      </c>
      <c r="P460" s="4" t="str">
        <f>HYPERLINK("http://141.218.60.56/~jnz1568/getInfo.php?workbook=16_15.xlsx&amp;sheet=A0&amp;row=460&amp;col=16&amp;number=&amp;sourceID=55","")</f>
        <v/>
      </c>
      <c r="Q460" s="4" t="str">
        <f>HYPERLINK("http://141.218.60.56/~jnz1568/getInfo.php?workbook=16_15.xlsx&amp;sheet=A0&amp;row=460&amp;col=17&amp;number=&amp;sourceID=56","")</f>
        <v/>
      </c>
      <c r="R460" s="4" t="str">
        <f>HYPERLINK("http://141.218.60.56/~jnz1568/getInfo.php?workbook=16_15.xlsx&amp;sheet=A0&amp;row=460&amp;col=18&amp;number=&amp;sourceID=56","")</f>
        <v/>
      </c>
      <c r="S460" s="4" t="str">
        <f>HYPERLINK("http://141.218.60.56/~jnz1568/getInfo.php?workbook=16_15.xlsx&amp;sheet=A0&amp;row=460&amp;col=19&amp;number=&amp;sourceID=57","")</f>
        <v/>
      </c>
      <c r="T460" s="4" t="str">
        <f>HYPERLINK("http://141.218.60.56/~jnz1568/getInfo.php?workbook=16_15.xlsx&amp;sheet=A0&amp;row=460&amp;col=20&amp;number=&amp;sourceID=57","")</f>
        <v/>
      </c>
      <c r="U460" s="4" t="str">
        <f>HYPERLINK("http://141.218.60.56/~jnz1568/getInfo.php?workbook=16_15.xlsx&amp;sheet=A0&amp;row=460&amp;col=21&amp;number=&amp;sourceID=47","")</f>
        <v/>
      </c>
      <c r="V460" s="4" t="str">
        <f>HYPERLINK("http://141.218.60.56/~jnz1568/getInfo.php?workbook=16_15.xlsx&amp;sheet=A0&amp;row=460&amp;col=22&amp;number=&amp;sourceID=47","")</f>
        <v/>
      </c>
    </row>
    <row r="461" spans="1:22">
      <c r="A461" s="3">
        <v>16</v>
      </c>
      <c r="B461" s="3">
        <v>15</v>
      </c>
      <c r="C461" s="3">
        <v>35</v>
      </c>
      <c r="D461" s="3">
        <v>14</v>
      </c>
      <c r="E461" s="3">
        <f>((1/(INDEX(E0!J$4:J$73,C461,1)-INDEX(E0!J$4:J$73,D461,1))))*100000000</f>
        <v>0</v>
      </c>
      <c r="F461" s="4" t="str">
        <f>HYPERLINK("http://141.218.60.56/~jnz1568/getInfo.php?workbook=16_15.xlsx&amp;sheet=A0&amp;row=461&amp;col=6&amp;number=38590000&amp;sourceID=54","38590000")</f>
        <v>38590000</v>
      </c>
      <c r="G461" s="4" t="str">
        <f>HYPERLINK("http://141.218.60.56/~jnz1568/getInfo.php?workbook=16_15.xlsx&amp;sheet=A0&amp;row=461&amp;col=7&amp;number=&amp;sourceID=54","")</f>
        <v/>
      </c>
      <c r="H461" s="4" t="str">
        <f>HYPERLINK("http://141.218.60.56/~jnz1568/getInfo.php?workbook=16_15.xlsx&amp;sheet=A0&amp;row=461&amp;col=8&amp;number=&amp;sourceID=54","")</f>
        <v/>
      </c>
      <c r="I461" s="4" t="str">
        <f>HYPERLINK("http://141.218.60.56/~jnz1568/getInfo.php?workbook=16_15.xlsx&amp;sheet=A0&amp;row=461&amp;col=9&amp;number=36789000&amp;sourceID=54","36789000")</f>
        <v>36789000</v>
      </c>
      <c r="J461" s="4" t="str">
        <f>HYPERLINK("http://141.218.60.56/~jnz1568/getInfo.php?workbook=16_15.xlsx&amp;sheet=A0&amp;row=461&amp;col=10&amp;number=&amp;sourceID=54","")</f>
        <v/>
      </c>
      <c r="K461" s="4" t="str">
        <f>HYPERLINK("http://141.218.60.56/~jnz1568/getInfo.php?workbook=16_15.xlsx&amp;sheet=A0&amp;row=461&amp;col=11&amp;number=&amp;sourceID=54","")</f>
        <v/>
      </c>
      <c r="L461" s="4" t="str">
        <f>HYPERLINK("http://141.218.60.56/~jnz1568/getInfo.php?workbook=16_15.xlsx&amp;sheet=A0&amp;row=461&amp;col=12&amp;number=38731970.0479&amp;sourceID=53","38731970.0479")</f>
        <v>38731970.0479</v>
      </c>
      <c r="M461" s="4" t="str">
        <f>HYPERLINK("http://141.218.60.56/~jnz1568/getInfo.php?workbook=16_15.xlsx&amp;sheet=A0&amp;row=461&amp;col=13&amp;number=&amp;sourceID=53","")</f>
        <v/>
      </c>
      <c r="N461" s="4" t="str">
        <f>HYPERLINK("http://141.218.60.56/~jnz1568/getInfo.php?workbook=16_15.xlsx&amp;sheet=A0&amp;row=461&amp;col=14&amp;number=&amp;sourceID=53","")</f>
        <v/>
      </c>
      <c r="O461" s="4" t="str">
        <f>HYPERLINK("http://141.218.60.56/~jnz1568/getInfo.php?workbook=16_15.xlsx&amp;sheet=A0&amp;row=461&amp;col=15&amp;number=&amp;sourceID=55","")</f>
        <v/>
      </c>
      <c r="P461" s="4" t="str">
        <f>HYPERLINK("http://141.218.60.56/~jnz1568/getInfo.php?workbook=16_15.xlsx&amp;sheet=A0&amp;row=461&amp;col=16&amp;number=&amp;sourceID=55","")</f>
        <v/>
      </c>
      <c r="Q461" s="4" t="str">
        <f>HYPERLINK("http://141.218.60.56/~jnz1568/getInfo.php?workbook=16_15.xlsx&amp;sheet=A0&amp;row=461&amp;col=17&amp;number=&amp;sourceID=56","")</f>
        <v/>
      </c>
      <c r="R461" s="4" t="str">
        <f>HYPERLINK("http://141.218.60.56/~jnz1568/getInfo.php?workbook=16_15.xlsx&amp;sheet=A0&amp;row=461&amp;col=18&amp;number=&amp;sourceID=56","")</f>
        <v/>
      </c>
      <c r="S461" s="4" t="str">
        <f>HYPERLINK("http://141.218.60.56/~jnz1568/getInfo.php?workbook=16_15.xlsx&amp;sheet=A0&amp;row=461&amp;col=19&amp;number=&amp;sourceID=57","")</f>
        <v/>
      </c>
      <c r="T461" s="4" t="str">
        <f>HYPERLINK("http://141.218.60.56/~jnz1568/getInfo.php?workbook=16_15.xlsx&amp;sheet=A0&amp;row=461&amp;col=20&amp;number=&amp;sourceID=57","")</f>
        <v/>
      </c>
      <c r="U461" s="4" t="str">
        <f>HYPERLINK("http://141.218.60.56/~jnz1568/getInfo.php?workbook=16_15.xlsx&amp;sheet=A0&amp;row=461&amp;col=21&amp;number=&amp;sourceID=47","")</f>
        <v/>
      </c>
      <c r="V461" s="4" t="str">
        <f>HYPERLINK("http://141.218.60.56/~jnz1568/getInfo.php?workbook=16_15.xlsx&amp;sheet=A0&amp;row=461&amp;col=22&amp;number=&amp;sourceID=47","")</f>
        <v/>
      </c>
    </row>
    <row r="462" spans="1:22">
      <c r="A462" s="3">
        <v>16</v>
      </c>
      <c r="B462" s="3">
        <v>15</v>
      </c>
      <c r="C462" s="3">
        <v>35</v>
      </c>
      <c r="D462" s="3">
        <v>15</v>
      </c>
      <c r="E462" s="3">
        <f>((1/(INDEX(E0!J$4:J$73,C462,1)-INDEX(E0!J$4:J$73,D462,1))))*100000000</f>
        <v>0</v>
      </c>
      <c r="F462" s="4" t="str">
        <f>HYPERLINK("http://141.218.60.56/~jnz1568/getInfo.php?workbook=16_15.xlsx&amp;sheet=A0&amp;row=462&amp;col=6&amp;number=7134900&amp;sourceID=54","7134900")</f>
        <v>7134900</v>
      </c>
      <c r="G462" s="4" t="str">
        <f>HYPERLINK("http://141.218.60.56/~jnz1568/getInfo.php?workbook=16_15.xlsx&amp;sheet=A0&amp;row=462&amp;col=7&amp;number=&amp;sourceID=54","")</f>
        <v/>
      </c>
      <c r="H462" s="4" t="str">
        <f>HYPERLINK("http://141.218.60.56/~jnz1568/getInfo.php?workbook=16_15.xlsx&amp;sheet=A0&amp;row=462&amp;col=8&amp;number=&amp;sourceID=54","")</f>
        <v/>
      </c>
      <c r="I462" s="4" t="str">
        <f>HYPERLINK("http://141.218.60.56/~jnz1568/getInfo.php?workbook=16_15.xlsx&amp;sheet=A0&amp;row=462&amp;col=9&amp;number=7590900&amp;sourceID=54","7590900")</f>
        <v>7590900</v>
      </c>
      <c r="J462" s="4" t="str">
        <f>HYPERLINK("http://141.218.60.56/~jnz1568/getInfo.php?workbook=16_15.xlsx&amp;sheet=A0&amp;row=462&amp;col=10&amp;number=&amp;sourceID=54","")</f>
        <v/>
      </c>
      <c r="K462" s="4" t="str">
        <f>HYPERLINK("http://141.218.60.56/~jnz1568/getInfo.php?workbook=16_15.xlsx&amp;sheet=A0&amp;row=462&amp;col=11&amp;number=&amp;sourceID=54","")</f>
        <v/>
      </c>
      <c r="L462" s="4" t="str">
        <f>HYPERLINK("http://141.218.60.56/~jnz1568/getInfo.php?workbook=16_15.xlsx&amp;sheet=A0&amp;row=462&amp;col=12&amp;number=7398039.54066&amp;sourceID=53","7398039.54066")</f>
        <v>7398039.54066</v>
      </c>
      <c r="M462" s="4" t="str">
        <f>HYPERLINK("http://141.218.60.56/~jnz1568/getInfo.php?workbook=16_15.xlsx&amp;sheet=A0&amp;row=462&amp;col=13&amp;number=&amp;sourceID=53","")</f>
        <v/>
      </c>
      <c r="N462" s="4" t="str">
        <f>HYPERLINK("http://141.218.60.56/~jnz1568/getInfo.php?workbook=16_15.xlsx&amp;sheet=A0&amp;row=462&amp;col=14&amp;number=&amp;sourceID=53","")</f>
        <v/>
      </c>
      <c r="O462" s="4" t="str">
        <f>HYPERLINK("http://141.218.60.56/~jnz1568/getInfo.php?workbook=16_15.xlsx&amp;sheet=A0&amp;row=462&amp;col=15&amp;number=&amp;sourceID=55","")</f>
        <v/>
      </c>
      <c r="P462" s="4" t="str">
        <f>HYPERLINK("http://141.218.60.56/~jnz1568/getInfo.php?workbook=16_15.xlsx&amp;sheet=A0&amp;row=462&amp;col=16&amp;number=&amp;sourceID=55","")</f>
        <v/>
      </c>
      <c r="Q462" s="4" t="str">
        <f>HYPERLINK("http://141.218.60.56/~jnz1568/getInfo.php?workbook=16_15.xlsx&amp;sheet=A0&amp;row=462&amp;col=17&amp;number=&amp;sourceID=56","")</f>
        <v/>
      </c>
      <c r="R462" s="4" t="str">
        <f>HYPERLINK("http://141.218.60.56/~jnz1568/getInfo.php?workbook=16_15.xlsx&amp;sheet=A0&amp;row=462&amp;col=18&amp;number=&amp;sourceID=56","")</f>
        <v/>
      </c>
      <c r="S462" s="4" t="str">
        <f>HYPERLINK("http://141.218.60.56/~jnz1568/getInfo.php?workbook=16_15.xlsx&amp;sheet=A0&amp;row=462&amp;col=19&amp;number=&amp;sourceID=57","")</f>
        <v/>
      </c>
      <c r="T462" s="4" t="str">
        <f>HYPERLINK("http://141.218.60.56/~jnz1568/getInfo.php?workbook=16_15.xlsx&amp;sheet=A0&amp;row=462&amp;col=20&amp;number=&amp;sourceID=57","")</f>
        <v/>
      </c>
      <c r="U462" s="4" t="str">
        <f>HYPERLINK("http://141.218.60.56/~jnz1568/getInfo.php?workbook=16_15.xlsx&amp;sheet=A0&amp;row=462&amp;col=21&amp;number=&amp;sourceID=47","")</f>
        <v/>
      </c>
      <c r="V462" s="4" t="str">
        <f>HYPERLINK("http://141.218.60.56/~jnz1568/getInfo.php?workbook=16_15.xlsx&amp;sheet=A0&amp;row=462&amp;col=22&amp;number=&amp;sourceID=47","")</f>
        <v/>
      </c>
    </row>
    <row r="463" spans="1:22">
      <c r="A463" s="3">
        <v>16</v>
      </c>
      <c r="B463" s="3">
        <v>15</v>
      </c>
      <c r="C463" s="3">
        <v>35</v>
      </c>
      <c r="D463" s="3">
        <v>16</v>
      </c>
      <c r="E463" s="3">
        <f>((1/(INDEX(E0!J$4:J$73,C463,1)-INDEX(E0!J$4:J$73,D463,1))))*100000000</f>
        <v>0</v>
      </c>
      <c r="F463" s="4" t="str">
        <f>HYPERLINK("http://141.218.60.56/~jnz1568/getInfo.php?workbook=16_15.xlsx&amp;sheet=A0&amp;row=463&amp;col=6&amp;number=2425600&amp;sourceID=54","2425600")</f>
        <v>2425600</v>
      </c>
      <c r="G463" s="4" t="str">
        <f>HYPERLINK("http://141.218.60.56/~jnz1568/getInfo.php?workbook=16_15.xlsx&amp;sheet=A0&amp;row=463&amp;col=7&amp;number=&amp;sourceID=54","")</f>
        <v/>
      </c>
      <c r="H463" s="4" t="str">
        <f>HYPERLINK("http://141.218.60.56/~jnz1568/getInfo.php?workbook=16_15.xlsx&amp;sheet=A0&amp;row=463&amp;col=8&amp;number=&amp;sourceID=54","")</f>
        <v/>
      </c>
      <c r="I463" s="4" t="str">
        <f>HYPERLINK("http://141.218.60.56/~jnz1568/getInfo.php?workbook=16_15.xlsx&amp;sheet=A0&amp;row=463&amp;col=9&amp;number=2499200&amp;sourceID=54","2499200")</f>
        <v>2499200</v>
      </c>
      <c r="J463" s="4" t="str">
        <f>HYPERLINK("http://141.218.60.56/~jnz1568/getInfo.php?workbook=16_15.xlsx&amp;sheet=A0&amp;row=463&amp;col=10&amp;number=&amp;sourceID=54","")</f>
        <v/>
      </c>
      <c r="K463" s="4" t="str">
        <f>HYPERLINK("http://141.218.60.56/~jnz1568/getInfo.php?workbook=16_15.xlsx&amp;sheet=A0&amp;row=463&amp;col=11&amp;number=&amp;sourceID=54","")</f>
        <v/>
      </c>
      <c r="L463" s="4" t="str">
        <f>HYPERLINK("http://141.218.60.56/~jnz1568/getInfo.php?workbook=16_15.xlsx&amp;sheet=A0&amp;row=463&amp;col=12&amp;number=2649396.53518&amp;sourceID=53","2649396.53518")</f>
        <v>2649396.53518</v>
      </c>
      <c r="M463" s="4" t="str">
        <f>HYPERLINK("http://141.218.60.56/~jnz1568/getInfo.php?workbook=16_15.xlsx&amp;sheet=A0&amp;row=463&amp;col=13&amp;number=&amp;sourceID=53","")</f>
        <v/>
      </c>
      <c r="N463" s="4" t="str">
        <f>HYPERLINK("http://141.218.60.56/~jnz1568/getInfo.php?workbook=16_15.xlsx&amp;sheet=A0&amp;row=463&amp;col=14&amp;number=&amp;sourceID=53","")</f>
        <v/>
      </c>
      <c r="O463" s="4" t="str">
        <f>HYPERLINK("http://141.218.60.56/~jnz1568/getInfo.php?workbook=16_15.xlsx&amp;sheet=A0&amp;row=463&amp;col=15&amp;number=&amp;sourceID=55","")</f>
        <v/>
      </c>
      <c r="P463" s="4" t="str">
        <f>HYPERLINK("http://141.218.60.56/~jnz1568/getInfo.php?workbook=16_15.xlsx&amp;sheet=A0&amp;row=463&amp;col=16&amp;number=&amp;sourceID=55","")</f>
        <v/>
      </c>
      <c r="Q463" s="4" t="str">
        <f>HYPERLINK("http://141.218.60.56/~jnz1568/getInfo.php?workbook=16_15.xlsx&amp;sheet=A0&amp;row=463&amp;col=17&amp;number=&amp;sourceID=56","")</f>
        <v/>
      </c>
      <c r="R463" s="4" t="str">
        <f>HYPERLINK("http://141.218.60.56/~jnz1568/getInfo.php?workbook=16_15.xlsx&amp;sheet=A0&amp;row=463&amp;col=18&amp;number=&amp;sourceID=56","")</f>
        <v/>
      </c>
      <c r="S463" s="4" t="str">
        <f>HYPERLINK("http://141.218.60.56/~jnz1568/getInfo.php?workbook=16_15.xlsx&amp;sheet=A0&amp;row=463&amp;col=19&amp;number=&amp;sourceID=57","")</f>
        <v/>
      </c>
      <c r="T463" s="4" t="str">
        <f>HYPERLINK("http://141.218.60.56/~jnz1568/getInfo.php?workbook=16_15.xlsx&amp;sheet=A0&amp;row=463&amp;col=20&amp;number=&amp;sourceID=57","")</f>
        <v/>
      </c>
      <c r="U463" s="4" t="str">
        <f>HYPERLINK("http://141.218.60.56/~jnz1568/getInfo.php?workbook=16_15.xlsx&amp;sheet=A0&amp;row=463&amp;col=21&amp;number=&amp;sourceID=47","")</f>
        <v/>
      </c>
      <c r="V463" s="4" t="str">
        <f>HYPERLINK("http://141.218.60.56/~jnz1568/getInfo.php?workbook=16_15.xlsx&amp;sheet=A0&amp;row=463&amp;col=22&amp;number=&amp;sourceID=47","")</f>
        <v/>
      </c>
    </row>
    <row r="464" spans="1:22">
      <c r="A464" s="3">
        <v>16</v>
      </c>
      <c r="B464" s="3">
        <v>15</v>
      </c>
      <c r="C464" s="3">
        <v>35</v>
      </c>
      <c r="D464" s="3">
        <v>17</v>
      </c>
      <c r="E464" s="3">
        <f>((1/(INDEX(E0!J$4:J$73,C464,1)-INDEX(E0!J$4:J$73,D464,1))))*100000000</f>
        <v>0</v>
      </c>
      <c r="F464" s="4" t="str">
        <f>HYPERLINK("http://141.218.60.56/~jnz1568/getInfo.php?workbook=16_15.xlsx&amp;sheet=A0&amp;row=464&amp;col=6&amp;number=29781000&amp;sourceID=54","29781000")</f>
        <v>29781000</v>
      </c>
      <c r="G464" s="4" t="str">
        <f>HYPERLINK("http://141.218.60.56/~jnz1568/getInfo.php?workbook=16_15.xlsx&amp;sheet=A0&amp;row=464&amp;col=7&amp;number=&amp;sourceID=54","")</f>
        <v/>
      </c>
      <c r="H464" s="4" t="str">
        <f>HYPERLINK("http://141.218.60.56/~jnz1568/getInfo.php?workbook=16_15.xlsx&amp;sheet=A0&amp;row=464&amp;col=8&amp;number=&amp;sourceID=54","")</f>
        <v/>
      </c>
      <c r="I464" s="4" t="str">
        <f>HYPERLINK("http://141.218.60.56/~jnz1568/getInfo.php?workbook=16_15.xlsx&amp;sheet=A0&amp;row=464&amp;col=9&amp;number=31332000&amp;sourceID=54","31332000")</f>
        <v>31332000</v>
      </c>
      <c r="J464" s="4" t="str">
        <f>HYPERLINK("http://141.218.60.56/~jnz1568/getInfo.php?workbook=16_15.xlsx&amp;sheet=A0&amp;row=464&amp;col=10&amp;number=&amp;sourceID=54","")</f>
        <v/>
      </c>
      <c r="K464" s="4" t="str">
        <f>HYPERLINK("http://141.218.60.56/~jnz1568/getInfo.php?workbook=16_15.xlsx&amp;sheet=A0&amp;row=464&amp;col=11&amp;number=&amp;sourceID=54","")</f>
        <v/>
      </c>
      <c r="L464" s="4" t="str">
        <f>HYPERLINK("http://141.218.60.56/~jnz1568/getInfo.php?workbook=16_15.xlsx&amp;sheet=A0&amp;row=464&amp;col=12&amp;number=30424407.557&amp;sourceID=53","30424407.557")</f>
        <v>30424407.557</v>
      </c>
      <c r="M464" s="4" t="str">
        <f>HYPERLINK("http://141.218.60.56/~jnz1568/getInfo.php?workbook=16_15.xlsx&amp;sheet=A0&amp;row=464&amp;col=13&amp;number=&amp;sourceID=53","")</f>
        <v/>
      </c>
      <c r="N464" s="4" t="str">
        <f>HYPERLINK("http://141.218.60.56/~jnz1568/getInfo.php?workbook=16_15.xlsx&amp;sheet=A0&amp;row=464&amp;col=14&amp;number=&amp;sourceID=53","")</f>
        <v/>
      </c>
      <c r="O464" s="4" t="str">
        <f>HYPERLINK("http://141.218.60.56/~jnz1568/getInfo.php?workbook=16_15.xlsx&amp;sheet=A0&amp;row=464&amp;col=15&amp;number=&amp;sourceID=55","")</f>
        <v/>
      </c>
      <c r="P464" s="4" t="str">
        <f>HYPERLINK("http://141.218.60.56/~jnz1568/getInfo.php?workbook=16_15.xlsx&amp;sheet=A0&amp;row=464&amp;col=16&amp;number=&amp;sourceID=55","")</f>
        <v/>
      </c>
      <c r="Q464" s="4" t="str">
        <f>HYPERLINK("http://141.218.60.56/~jnz1568/getInfo.php?workbook=16_15.xlsx&amp;sheet=A0&amp;row=464&amp;col=17&amp;number=&amp;sourceID=56","")</f>
        <v/>
      </c>
      <c r="R464" s="4" t="str">
        <f>HYPERLINK("http://141.218.60.56/~jnz1568/getInfo.php?workbook=16_15.xlsx&amp;sheet=A0&amp;row=464&amp;col=18&amp;number=&amp;sourceID=56","")</f>
        <v/>
      </c>
      <c r="S464" s="4" t="str">
        <f>HYPERLINK("http://141.218.60.56/~jnz1568/getInfo.php?workbook=16_15.xlsx&amp;sheet=A0&amp;row=464&amp;col=19&amp;number=&amp;sourceID=57","")</f>
        <v/>
      </c>
      <c r="T464" s="4" t="str">
        <f>HYPERLINK("http://141.218.60.56/~jnz1568/getInfo.php?workbook=16_15.xlsx&amp;sheet=A0&amp;row=464&amp;col=20&amp;number=&amp;sourceID=57","")</f>
        <v/>
      </c>
      <c r="U464" s="4" t="str">
        <f>HYPERLINK("http://141.218.60.56/~jnz1568/getInfo.php?workbook=16_15.xlsx&amp;sheet=A0&amp;row=464&amp;col=21&amp;number=&amp;sourceID=47","")</f>
        <v/>
      </c>
      <c r="V464" s="4" t="str">
        <f>HYPERLINK("http://141.218.60.56/~jnz1568/getInfo.php?workbook=16_15.xlsx&amp;sheet=A0&amp;row=464&amp;col=22&amp;number=&amp;sourceID=47","")</f>
        <v/>
      </c>
    </row>
    <row r="465" spans="1:22">
      <c r="A465" s="3">
        <v>16</v>
      </c>
      <c r="B465" s="3">
        <v>15</v>
      </c>
      <c r="C465" s="3">
        <v>35</v>
      </c>
      <c r="D465" s="3">
        <v>20</v>
      </c>
      <c r="E465" s="3">
        <f>((1/(INDEX(E0!J$4:J$73,C465,1)-INDEX(E0!J$4:J$73,D465,1))))*100000000</f>
        <v>0</v>
      </c>
      <c r="F465" s="4" t="str">
        <f>HYPERLINK("http://141.218.60.56/~jnz1568/getInfo.php?workbook=16_15.xlsx&amp;sheet=A0&amp;row=465&amp;col=6&amp;number=6073.8&amp;sourceID=54","6073.8")</f>
        <v>6073.8</v>
      </c>
      <c r="G465" s="4" t="str">
        <f>HYPERLINK("http://141.218.60.56/~jnz1568/getInfo.php?workbook=16_15.xlsx&amp;sheet=A0&amp;row=465&amp;col=7&amp;number=&amp;sourceID=54","")</f>
        <v/>
      </c>
      <c r="H465" s="4" t="str">
        <f>HYPERLINK("http://141.218.60.56/~jnz1568/getInfo.php?workbook=16_15.xlsx&amp;sheet=A0&amp;row=465&amp;col=8&amp;number=&amp;sourceID=54","")</f>
        <v/>
      </c>
      <c r="I465" s="4" t="str">
        <f>HYPERLINK("http://141.218.60.56/~jnz1568/getInfo.php?workbook=16_15.xlsx&amp;sheet=A0&amp;row=465&amp;col=9&amp;number=1776.7&amp;sourceID=54","1776.7")</f>
        <v>1776.7</v>
      </c>
      <c r="J465" s="4" t="str">
        <f>HYPERLINK("http://141.218.60.56/~jnz1568/getInfo.php?workbook=16_15.xlsx&amp;sheet=A0&amp;row=465&amp;col=10&amp;number=&amp;sourceID=54","")</f>
        <v/>
      </c>
      <c r="K465" s="4" t="str">
        <f>HYPERLINK("http://141.218.60.56/~jnz1568/getInfo.php?workbook=16_15.xlsx&amp;sheet=A0&amp;row=465&amp;col=11&amp;number=&amp;sourceID=54","")</f>
        <v/>
      </c>
      <c r="L465" s="4" t="str">
        <f>HYPERLINK("http://141.218.60.56/~jnz1568/getInfo.php?workbook=16_15.xlsx&amp;sheet=A0&amp;row=465&amp;col=12&amp;number=11904.7875825&amp;sourceID=53","11904.7875825")</f>
        <v>11904.7875825</v>
      </c>
      <c r="M465" s="4" t="str">
        <f>HYPERLINK("http://141.218.60.56/~jnz1568/getInfo.php?workbook=16_15.xlsx&amp;sheet=A0&amp;row=465&amp;col=13&amp;number=&amp;sourceID=53","")</f>
        <v/>
      </c>
      <c r="N465" s="4" t="str">
        <f>HYPERLINK("http://141.218.60.56/~jnz1568/getInfo.php?workbook=16_15.xlsx&amp;sheet=A0&amp;row=465&amp;col=14&amp;number=&amp;sourceID=53","")</f>
        <v/>
      </c>
      <c r="O465" s="4" t="str">
        <f>HYPERLINK("http://141.218.60.56/~jnz1568/getInfo.php?workbook=16_15.xlsx&amp;sheet=A0&amp;row=465&amp;col=15&amp;number=&amp;sourceID=55","")</f>
        <v/>
      </c>
      <c r="P465" s="4" t="str">
        <f>HYPERLINK("http://141.218.60.56/~jnz1568/getInfo.php?workbook=16_15.xlsx&amp;sheet=A0&amp;row=465&amp;col=16&amp;number=&amp;sourceID=55","")</f>
        <v/>
      </c>
      <c r="Q465" s="4" t="str">
        <f>HYPERLINK("http://141.218.60.56/~jnz1568/getInfo.php?workbook=16_15.xlsx&amp;sheet=A0&amp;row=465&amp;col=17&amp;number=&amp;sourceID=56","")</f>
        <v/>
      </c>
      <c r="R465" s="4" t="str">
        <f>HYPERLINK("http://141.218.60.56/~jnz1568/getInfo.php?workbook=16_15.xlsx&amp;sheet=A0&amp;row=465&amp;col=18&amp;number=&amp;sourceID=56","")</f>
        <v/>
      </c>
      <c r="S465" s="4" t="str">
        <f>HYPERLINK("http://141.218.60.56/~jnz1568/getInfo.php?workbook=16_15.xlsx&amp;sheet=A0&amp;row=465&amp;col=19&amp;number=&amp;sourceID=57","")</f>
        <v/>
      </c>
      <c r="T465" s="4" t="str">
        <f>HYPERLINK("http://141.218.60.56/~jnz1568/getInfo.php?workbook=16_15.xlsx&amp;sheet=A0&amp;row=465&amp;col=20&amp;number=&amp;sourceID=57","")</f>
        <v/>
      </c>
      <c r="U465" s="4" t="str">
        <f>HYPERLINK("http://141.218.60.56/~jnz1568/getInfo.php?workbook=16_15.xlsx&amp;sheet=A0&amp;row=465&amp;col=21&amp;number=&amp;sourceID=47","")</f>
        <v/>
      </c>
      <c r="V465" s="4" t="str">
        <f>HYPERLINK("http://141.218.60.56/~jnz1568/getInfo.php?workbook=16_15.xlsx&amp;sheet=A0&amp;row=465&amp;col=22&amp;number=&amp;sourceID=47","")</f>
        <v/>
      </c>
    </row>
    <row r="466" spans="1:22">
      <c r="A466" s="3">
        <v>16</v>
      </c>
      <c r="B466" s="3">
        <v>15</v>
      </c>
      <c r="C466" s="3">
        <v>35</v>
      </c>
      <c r="D466" s="3">
        <v>21</v>
      </c>
      <c r="E466" s="3">
        <f>((1/(INDEX(E0!J$4:J$73,C466,1)-INDEX(E0!J$4:J$73,D466,1))))*100000000</f>
        <v>0</v>
      </c>
      <c r="F466" s="4" t="str">
        <f>HYPERLINK("http://141.218.60.56/~jnz1568/getInfo.php?workbook=16_15.xlsx&amp;sheet=A0&amp;row=466&amp;col=6&amp;number=170.3&amp;sourceID=54","170.3")</f>
        <v>170.3</v>
      </c>
      <c r="G466" s="4" t="str">
        <f>HYPERLINK("http://141.218.60.56/~jnz1568/getInfo.php?workbook=16_15.xlsx&amp;sheet=A0&amp;row=466&amp;col=7&amp;number=&amp;sourceID=54","")</f>
        <v/>
      </c>
      <c r="H466" s="4" t="str">
        <f>HYPERLINK("http://141.218.60.56/~jnz1568/getInfo.php?workbook=16_15.xlsx&amp;sheet=A0&amp;row=466&amp;col=8&amp;number=&amp;sourceID=54","")</f>
        <v/>
      </c>
      <c r="I466" s="4" t="str">
        <f>HYPERLINK("http://141.218.60.56/~jnz1568/getInfo.php?workbook=16_15.xlsx&amp;sheet=A0&amp;row=466&amp;col=9&amp;number=1050.9&amp;sourceID=54","1050.9")</f>
        <v>1050.9</v>
      </c>
      <c r="J466" s="4" t="str">
        <f>HYPERLINK("http://141.218.60.56/~jnz1568/getInfo.php?workbook=16_15.xlsx&amp;sheet=A0&amp;row=466&amp;col=10&amp;number=&amp;sourceID=54","")</f>
        <v/>
      </c>
      <c r="K466" s="4" t="str">
        <f>HYPERLINK("http://141.218.60.56/~jnz1568/getInfo.php?workbook=16_15.xlsx&amp;sheet=A0&amp;row=466&amp;col=11&amp;number=&amp;sourceID=54","")</f>
        <v/>
      </c>
      <c r="L466" s="4" t="str">
        <f>HYPERLINK("http://141.218.60.56/~jnz1568/getInfo.php?workbook=16_15.xlsx&amp;sheet=A0&amp;row=466&amp;col=12&amp;number=1056.38978732&amp;sourceID=53","1056.38978732")</f>
        <v>1056.38978732</v>
      </c>
      <c r="M466" s="4" t="str">
        <f>HYPERLINK("http://141.218.60.56/~jnz1568/getInfo.php?workbook=16_15.xlsx&amp;sheet=A0&amp;row=466&amp;col=13&amp;number=&amp;sourceID=53","")</f>
        <v/>
      </c>
      <c r="N466" s="4" t="str">
        <f>HYPERLINK("http://141.218.60.56/~jnz1568/getInfo.php?workbook=16_15.xlsx&amp;sheet=A0&amp;row=466&amp;col=14&amp;number=&amp;sourceID=53","")</f>
        <v/>
      </c>
      <c r="O466" s="4" t="str">
        <f>HYPERLINK("http://141.218.60.56/~jnz1568/getInfo.php?workbook=16_15.xlsx&amp;sheet=A0&amp;row=466&amp;col=15&amp;number=&amp;sourceID=55","")</f>
        <v/>
      </c>
      <c r="P466" s="4" t="str">
        <f>HYPERLINK("http://141.218.60.56/~jnz1568/getInfo.php?workbook=16_15.xlsx&amp;sheet=A0&amp;row=466&amp;col=16&amp;number=&amp;sourceID=55","")</f>
        <v/>
      </c>
      <c r="Q466" s="4" t="str">
        <f>HYPERLINK("http://141.218.60.56/~jnz1568/getInfo.php?workbook=16_15.xlsx&amp;sheet=A0&amp;row=466&amp;col=17&amp;number=&amp;sourceID=56","")</f>
        <v/>
      </c>
      <c r="R466" s="4" t="str">
        <f>HYPERLINK("http://141.218.60.56/~jnz1568/getInfo.php?workbook=16_15.xlsx&amp;sheet=A0&amp;row=466&amp;col=18&amp;number=&amp;sourceID=56","")</f>
        <v/>
      </c>
      <c r="S466" s="4" t="str">
        <f>HYPERLINK("http://141.218.60.56/~jnz1568/getInfo.php?workbook=16_15.xlsx&amp;sheet=A0&amp;row=466&amp;col=19&amp;number=&amp;sourceID=57","")</f>
        <v/>
      </c>
      <c r="T466" s="4" t="str">
        <f>HYPERLINK("http://141.218.60.56/~jnz1568/getInfo.php?workbook=16_15.xlsx&amp;sheet=A0&amp;row=466&amp;col=20&amp;number=&amp;sourceID=57","")</f>
        <v/>
      </c>
      <c r="U466" s="4" t="str">
        <f>HYPERLINK("http://141.218.60.56/~jnz1568/getInfo.php?workbook=16_15.xlsx&amp;sheet=A0&amp;row=466&amp;col=21&amp;number=&amp;sourceID=47","")</f>
        <v/>
      </c>
      <c r="V466" s="4" t="str">
        <f>HYPERLINK("http://141.218.60.56/~jnz1568/getInfo.php?workbook=16_15.xlsx&amp;sheet=A0&amp;row=466&amp;col=22&amp;number=&amp;sourceID=47","")</f>
        <v/>
      </c>
    </row>
    <row r="467" spans="1:22">
      <c r="A467" s="3">
        <v>16</v>
      </c>
      <c r="B467" s="3">
        <v>15</v>
      </c>
      <c r="C467" s="3">
        <v>35</v>
      </c>
      <c r="D467" s="3">
        <v>22</v>
      </c>
      <c r="E467" s="3">
        <f>((1/(INDEX(E0!J$4:J$73,C467,1)-INDEX(E0!J$4:J$73,D467,1))))*100000000</f>
        <v>0</v>
      </c>
      <c r="F467" s="4" t="str">
        <f>HYPERLINK("http://141.218.60.56/~jnz1568/getInfo.php?workbook=16_15.xlsx&amp;sheet=A0&amp;row=467&amp;col=6&amp;number=689760&amp;sourceID=54","689760")</f>
        <v>689760</v>
      </c>
      <c r="G467" s="4" t="str">
        <f>HYPERLINK("http://141.218.60.56/~jnz1568/getInfo.php?workbook=16_15.xlsx&amp;sheet=A0&amp;row=467&amp;col=7&amp;number=&amp;sourceID=54","")</f>
        <v/>
      </c>
      <c r="H467" s="4" t="str">
        <f>HYPERLINK("http://141.218.60.56/~jnz1568/getInfo.php?workbook=16_15.xlsx&amp;sheet=A0&amp;row=467&amp;col=8&amp;number=&amp;sourceID=54","")</f>
        <v/>
      </c>
      <c r="I467" s="4" t="str">
        <f>HYPERLINK("http://141.218.60.56/~jnz1568/getInfo.php?workbook=16_15.xlsx&amp;sheet=A0&amp;row=467&amp;col=9&amp;number=726840&amp;sourceID=54","726840")</f>
        <v>726840</v>
      </c>
      <c r="J467" s="4" t="str">
        <f>HYPERLINK("http://141.218.60.56/~jnz1568/getInfo.php?workbook=16_15.xlsx&amp;sheet=A0&amp;row=467&amp;col=10&amp;number=&amp;sourceID=54","")</f>
        <v/>
      </c>
      <c r="K467" s="4" t="str">
        <f>HYPERLINK("http://141.218.60.56/~jnz1568/getInfo.php?workbook=16_15.xlsx&amp;sheet=A0&amp;row=467&amp;col=11&amp;number=&amp;sourceID=54","")</f>
        <v/>
      </c>
      <c r="L467" s="4" t="str">
        <f>HYPERLINK("http://141.218.60.56/~jnz1568/getInfo.php?workbook=16_15.xlsx&amp;sheet=A0&amp;row=467&amp;col=12&amp;number=777126.58026&amp;sourceID=53","777126.58026")</f>
        <v>777126.58026</v>
      </c>
      <c r="M467" s="4" t="str">
        <f>HYPERLINK("http://141.218.60.56/~jnz1568/getInfo.php?workbook=16_15.xlsx&amp;sheet=A0&amp;row=467&amp;col=13&amp;number=&amp;sourceID=53","")</f>
        <v/>
      </c>
      <c r="N467" s="4" t="str">
        <f>HYPERLINK("http://141.218.60.56/~jnz1568/getInfo.php?workbook=16_15.xlsx&amp;sheet=A0&amp;row=467&amp;col=14&amp;number=&amp;sourceID=53","")</f>
        <v/>
      </c>
      <c r="O467" s="4" t="str">
        <f>HYPERLINK("http://141.218.60.56/~jnz1568/getInfo.php?workbook=16_15.xlsx&amp;sheet=A0&amp;row=467&amp;col=15&amp;number=&amp;sourceID=55","")</f>
        <v/>
      </c>
      <c r="P467" s="4" t="str">
        <f>HYPERLINK("http://141.218.60.56/~jnz1568/getInfo.php?workbook=16_15.xlsx&amp;sheet=A0&amp;row=467&amp;col=16&amp;number=&amp;sourceID=55","")</f>
        <v/>
      </c>
      <c r="Q467" s="4" t="str">
        <f>HYPERLINK("http://141.218.60.56/~jnz1568/getInfo.php?workbook=16_15.xlsx&amp;sheet=A0&amp;row=467&amp;col=17&amp;number=&amp;sourceID=56","")</f>
        <v/>
      </c>
      <c r="R467" s="4" t="str">
        <f>HYPERLINK("http://141.218.60.56/~jnz1568/getInfo.php?workbook=16_15.xlsx&amp;sheet=A0&amp;row=467&amp;col=18&amp;number=&amp;sourceID=56","")</f>
        <v/>
      </c>
      <c r="S467" s="4" t="str">
        <f>HYPERLINK("http://141.218.60.56/~jnz1568/getInfo.php?workbook=16_15.xlsx&amp;sheet=A0&amp;row=467&amp;col=19&amp;number=&amp;sourceID=57","")</f>
        <v/>
      </c>
      <c r="T467" s="4" t="str">
        <f>HYPERLINK("http://141.218.60.56/~jnz1568/getInfo.php?workbook=16_15.xlsx&amp;sheet=A0&amp;row=467&amp;col=20&amp;number=&amp;sourceID=57","")</f>
        <v/>
      </c>
      <c r="U467" s="4" t="str">
        <f>HYPERLINK("http://141.218.60.56/~jnz1568/getInfo.php?workbook=16_15.xlsx&amp;sheet=A0&amp;row=467&amp;col=21&amp;number=&amp;sourceID=47","")</f>
        <v/>
      </c>
      <c r="V467" s="4" t="str">
        <f>HYPERLINK("http://141.218.60.56/~jnz1568/getInfo.php?workbook=16_15.xlsx&amp;sheet=A0&amp;row=467&amp;col=22&amp;number=&amp;sourceID=47","")</f>
        <v/>
      </c>
    </row>
    <row r="468" spans="1:22">
      <c r="A468" s="3">
        <v>16</v>
      </c>
      <c r="B468" s="3">
        <v>15</v>
      </c>
      <c r="C468" s="3">
        <v>35</v>
      </c>
      <c r="D468" s="3">
        <v>23</v>
      </c>
      <c r="E468" s="3">
        <f>((1/(INDEX(E0!J$4:J$73,C468,1)-INDEX(E0!J$4:J$73,D468,1))))*100000000</f>
        <v>0</v>
      </c>
      <c r="F468" s="4" t="str">
        <f>HYPERLINK("http://141.218.60.56/~jnz1568/getInfo.php?workbook=16_15.xlsx&amp;sheet=A0&amp;row=468&amp;col=6&amp;number=1006100&amp;sourceID=54","1006100")</f>
        <v>1006100</v>
      </c>
      <c r="G468" s="4" t="str">
        <f>HYPERLINK("http://141.218.60.56/~jnz1568/getInfo.php?workbook=16_15.xlsx&amp;sheet=A0&amp;row=468&amp;col=7&amp;number=&amp;sourceID=54","")</f>
        <v/>
      </c>
      <c r="H468" s="4" t="str">
        <f>HYPERLINK("http://141.218.60.56/~jnz1568/getInfo.php?workbook=16_15.xlsx&amp;sheet=A0&amp;row=468&amp;col=8&amp;number=&amp;sourceID=54","")</f>
        <v/>
      </c>
      <c r="I468" s="4" t="str">
        <f>HYPERLINK("http://141.218.60.56/~jnz1568/getInfo.php?workbook=16_15.xlsx&amp;sheet=A0&amp;row=468&amp;col=9&amp;number=1056100&amp;sourceID=54","1056100")</f>
        <v>1056100</v>
      </c>
      <c r="J468" s="4" t="str">
        <f>HYPERLINK("http://141.218.60.56/~jnz1568/getInfo.php?workbook=16_15.xlsx&amp;sheet=A0&amp;row=468&amp;col=10&amp;number=&amp;sourceID=54","")</f>
        <v/>
      </c>
      <c r="K468" s="4" t="str">
        <f>HYPERLINK("http://141.218.60.56/~jnz1568/getInfo.php?workbook=16_15.xlsx&amp;sheet=A0&amp;row=468&amp;col=11&amp;number=&amp;sourceID=54","")</f>
        <v/>
      </c>
      <c r="L468" s="4" t="str">
        <f>HYPERLINK("http://141.218.60.56/~jnz1568/getInfo.php?workbook=16_15.xlsx&amp;sheet=A0&amp;row=468&amp;col=12&amp;number=1114985.52581&amp;sourceID=53","1114985.52581")</f>
        <v>1114985.52581</v>
      </c>
      <c r="M468" s="4" t="str">
        <f>HYPERLINK("http://141.218.60.56/~jnz1568/getInfo.php?workbook=16_15.xlsx&amp;sheet=A0&amp;row=468&amp;col=13&amp;number=&amp;sourceID=53","")</f>
        <v/>
      </c>
      <c r="N468" s="4" t="str">
        <f>HYPERLINK("http://141.218.60.56/~jnz1568/getInfo.php?workbook=16_15.xlsx&amp;sheet=A0&amp;row=468&amp;col=14&amp;number=&amp;sourceID=53","")</f>
        <v/>
      </c>
      <c r="O468" s="4" t="str">
        <f>HYPERLINK("http://141.218.60.56/~jnz1568/getInfo.php?workbook=16_15.xlsx&amp;sheet=A0&amp;row=468&amp;col=15&amp;number=&amp;sourceID=55","")</f>
        <v/>
      </c>
      <c r="P468" s="4" t="str">
        <f>HYPERLINK("http://141.218.60.56/~jnz1568/getInfo.php?workbook=16_15.xlsx&amp;sheet=A0&amp;row=468&amp;col=16&amp;number=&amp;sourceID=55","")</f>
        <v/>
      </c>
      <c r="Q468" s="4" t="str">
        <f>HYPERLINK("http://141.218.60.56/~jnz1568/getInfo.php?workbook=16_15.xlsx&amp;sheet=A0&amp;row=468&amp;col=17&amp;number=&amp;sourceID=56","")</f>
        <v/>
      </c>
      <c r="R468" s="4" t="str">
        <f>HYPERLINK("http://141.218.60.56/~jnz1568/getInfo.php?workbook=16_15.xlsx&amp;sheet=A0&amp;row=468&amp;col=18&amp;number=&amp;sourceID=56","")</f>
        <v/>
      </c>
      <c r="S468" s="4" t="str">
        <f>HYPERLINK("http://141.218.60.56/~jnz1568/getInfo.php?workbook=16_15.xlsx&amp;sheet=A0&amp;row=468&amp;col=19&amp;number=&amp;sourceID=57","")</f>
        <v/>
      </c>
      <c r="T468" s="4" t="str">
        <f>HYPERLINK("http://141.218.60.56/~jnz1568/getInfo.php?workbook=16_15.xlsx&amp;sheet=A0&amp;row=468&amp;col=20&amp;number=&amp;sourceID=57","")</f>
        <v/>
      </c>
      <c r="U468" s="4" t="str">
        <f>HYPERLINK("http://141.218.60.56/~jnz1568/getInfo.php?workbook=16_15.xlsx&amp;sheet=A0&amp;row=468&amp;col=21&amp;number=&amp;sourceID=47","")</f>
        <v/>
      </c>
      <c r="V468" s="4" t="str">
        <f>HYPERLINK("http://141.218.60.56/~jnz1568/getInfo.php?workbook=16_15.xlsx&amp;sheet=A0&amp;row=468&amp;col=22&amp;number=&amp;sourceID=47","")</f>
        <v/>
      </c>
    </row>
    <row r="469" spans="1:22">
      <c r="A469" s="3">
        <v>16</v>
      </c>
      <c r="B469" s="3">
        <v>15</v>
      </c>
      <c r="C469" s="3">
        <v>35</v>
      </c>
      <c r="D469" s="3">
        <v>24</v>
      </c>
      <c r="E469" s="3">
        <f>((1/(INDEX(E0!J$4:J$73,C469,1)-INDEX(E0!J$4:J$73,D469,1))))*100000000</f>
        <v>0</v>
      </c>
      <c r="F469" s="4" t="str">
        <f>HYPERLINK("http://141.218.60.56/~jnz1568/getInfo.php?workbook=16_15.xlsx&amp;sheet=A0&amp;row=469&amp;col=6&amp;number=1263200&amp;sourceID=54","1263200")</f>
        <v>1263200</v>
      </c>
      <c r="G469" s="4" t="str">
        <f>HYPERLINK("http://141.218.60.56/~jnz1568/getInfo.php?workbook=16_15.xlsx&amp;sheet=A0&amp;row=469&amp;col=7&amp;number=&amp;sourceID=54","")</f>
        <v/>
      </c>
      <c r="H469" s="4" t="str">
        <f>HYPERLINK("http://141.218.60.56/~jnz1568/getInfo.php?workbook=16_15.xlsx&amp;sheet=A0&amp;row=469&amp;col=8&amp;number=&amp;sourceID=54","")</f>
        <v/>
      </c>
      <c r="I469" s="4" t="str">
        <f>HYPERLINK("http://141.218.60.56/~jnz1568/getInfo.php?workbook=16_15.xlsx&amp;sheet=A0&amp;row=469&amp;col=9&amp;number=1305600&amp;sourceID=54","1305600")</f>
        <v>1305600</v>
      </c>
      <c r="J469" s="4" t="str">
        <f>HYPERLINK("http://141.218.60.56/~jnz1568/getInfo.php?workbook=16_15.xlsx&amp;sheet=A0&amp;row=469&amp;col=10&amp;number=&amp;sourceID=54","")</f>
        <v/>
      </c>
      <c r="K469" s="4" t="str">
        <f>HYPERLINK("http://141.218.60.56/~jnz1568/getInfo.php?workbook=16_15.xlsx&amp;sheet=A0&amp;row=469&amp;col=11&amp;number=&amp;sourceID=54","")</f>
        <v/>
      </c>
      <c r="L469" s="4" t="str">
        <f>HYPERLINK("http://141.218.60.56/~jnz1568/getInfo.php?workbook=16_15.xlsx&amp;sheet=A0&amp;row=469&amp;col=12&amp;number=1381206.51876&amp;sourceID=53","1381206.51876")</f>
        <v>1381206.51876</v>
      </c>
      <c r="M469" s="4" t="str">
        <f>HYPERLINK("http://141.218.60.56/~jnz1568/getInfo.php?workbook=16_15.xlsx&amp;sheet=A0&amp;row=469&amp;col=13&amp;number=&amp;sourceID=53","")</f>
        <v/>
      </c>
      <c r="N469" s="4" t="str">
        <f>HYPERLINK("http://141.218.60.56/~jnz1568/getInfo.php?workbook=16_15.xlsx&amp;sheet=A0&amp;row=469&amp;col=14&amp;number=&amp;sourceID=53","")</f>
        <v/>
      </c>
      <c r="O469" s="4" t="str">
        <f>HYPERLINK("http://141.218.60.56/~jnz1568/getInfo.php?workbook=16_15.xlsx&amp;sheet=A0&amp;row=469&amp;col=15&amp;number=&amp;sourceID=55","")</f>
        <v/>
      </c>
      <c r="P469" s="4" t="str">
        <f>HYPERLINK("http://141.218.60.56/~jnz1568/getInfo.php?workbook=16_15.xlsx&amp;sheet=A0&amp;row=469&amp;col=16&amp;number=&amp;sourceID=55","")</f>
        <v/>
      </c>
      <c r="Q469" s="4" t="str">
        <f>HYPERLINK("http://141.218.60.56/~jnz1568/getInfo.php?workbook=16_15.xlsx&amp;sheet=A0&amp;row=469&amp;col=17&amp;number=&amp;sourceID=56","")</f>
        <v/>
      </c>
      <c r="R469" s="4" t="str">
        <f>HYPERLINK("http://141.218.60.56/~jnz1568/getInfo.php?workbook=16_15.xlsx&amp;sheet=A0&amp;row=469&amp;col=18&amp;number=&amp;sourceID=56","")</f>
        <v/>
      </c>
      <c r="S469" s="4" t="str">
        <f>HYPERLINK("http://141.218.60.56/~jnz1568/getInfo.php?workbook=16_15.xlsx&amp;sheet=A0&amp;row=469&amp;col=19&amp;number=&amp;sourceID=57","")</f>
        <v/>
      </c>
      <c r="T469" s="4" t="str">
        <f>HYPERLINK("http://141.218.60.56/~jnz1568/getInfo.php?workbook=16_15.xlsx&amp;sheet=A0&amp;row=469&amp;col=20&amp;number=&amp;sourceID=57","")</f>
        <v/>
      </c>
      <c r="U469" s="4" t="str">
        <f>HYPERLINK("http://141.218.60.56/~jnz1568/getInfo.php?workbook=16_15.xlsx&amp;sheet=A0&amp;row=469&amp;col=21&amp;number=&amp;sourceID=47","")</f>
        <v/>
      </c>
      <c r="V469" s="4" t="str">
        <f>HYPERLINK("http://141.218.60.56/~jnz1568/getInfo.php?workbook=16_15.xlsx&amp;sheet=A0&amp;row=469&amp;col=22&amp;number=&amp;sourceID=47","")</f>
        <v/>
      </c>
    </row>
    <row r="470" spans="1:22">
      <c r="A470" s="3">
        <v>16</v>
      </c>
      <c r="B470" s="3">
        <v>15</v>
      </c>
      <c r="C470" s="3">
        <v>35</v>
      </c>
      <c r="D470" s="3">
        <v>26</v>
      </c>
      <c r="E470" s="3">
        <f>((1/(INDEX(E0!J$4:J$73,C470,1)-INDEX(E0!J$4:J$73,D470,1))))*100000000</f>
        <v>0</v>
      </c>
      <c r="F470" s="4" t="str">
        <f>HYPERLINK("http://141.218.60.56/~jnz1568/getInfo.php?workbook=16_15.xlsx&amp;sheet=A0&amp;row=470&amp;col=6&amp;number=4866.9&amp;sourceID=54","4866.9")</f>
        <v>4866.9</v>
      </c>
      <c r="G470" s="4" t="str">
        <f>HYPERLINK("http://141.218.60.56/~jnz1568/getInfo.php?workbook=16_15.xlsx&amp;sheet=A0&amp;row=470&amp;col=7&amp;number=&amp;sourceID=54","")</f>
        <v/>
      </c>
      <c r="H470" s="4" t="str">
        <f>HYPERLINK("http://141.218.60.56/~jnz1568/getInfo.php?workbook=16_15.xlsx&amp;sheet=A0&amp;row=470&amp;col=8&amp;number=&amp;sourceID=54","")</f>
        <v/>
      </c>
      <c r="I470" s="4" t="str">
        <f>HYPERLINK("http://141.218.60.56/~jnz1568/getInfo.php?workbook=16_15.xlsx&amp;sheet=A0&amp;row=470&amp;col=9&amp;number=23438&amp;sourceID=54","23438")</f>
        <v>23438</v>
      </c>
      <c r="J470" s="4" t="str">
        <f>HYPERLINK("http://141.218.60.56/~jnz1568/getInfo.php?workbook=16_15.xlsx&amp;sheet=A0&amp;row=470&amp;col=10&amp;number=&amp;sourceID=54","")</f>
        <v/>
      </c>
      <c r="K470" s="4" t="str">
        <f>HYPERLINK("http://141.218.60.56/~jnz1568/getInfo.php?workbook=16_15.xlsx&amp;sheet=A0&amp;row=470&amp;col=11&amp;number=&amp;sourceID=54","")</f>
        <v/>
      </c>
      <c r="L470" s="4" t="str">
        <f>HYPERLINK("http://141.218.60.56/~jnz1568/getInfo.php?workbook=16_15.xlsx&amp;sheet=A0&amp;row=470&amp;col=12&amp;number=23267.7777771&amp;sourceID=53","23267.7777771")</f>
        <v>23267.7777771</v>
      </c>
      <c r="M470" s="4" t="str">
        <f>HYPERLINK("http://141.218.60.56/~jnz1568/getInfo.php?workbook=16_15.xlsx&amp;sheet=A0&amp;row=470&amp;col=13&amp;number=&amp;sourceID=53","")</f>
        <v/>
      </c>
      <c r="N470" s="4" t="str">
        <f>HYPERLINK("http://141.218.60.56/~jnz1568/getInfo.php?workbook=16_15.xlsx&amp;sheet=A0&amp;row=470&amp;col=14&amp;number=&amp;sourceID=53","")</f>
        <v/>
      </c>
      <c r="O470" s="4" t="str">
        <f>HYPERLINK("http://141.218.60.56/~jnz1568/getInfo.php?workbook=16_15.xlsx&amp;sheet=A0&amp;row=470&amp;col=15&amp;number=&amp;sourceID=55","")</f>
        <v/>
      </c>
      <c r="P470" s="4" t="str">
        <f>HYPERLINK("http://141.218.60.56/~jnz1568/getInfo.php?workbook=16_15.xlsx&amp;sheet=A0&amp;row=470&amp;col=16&amp;number=&amp;sourceID=55","")</f>
        <v/>
      </c>
      <c r="Q470" s="4" t="str">
        <f>HYPERLINK("http://141.218.60.56/~jnz1568/getInfo.php?workbook=16_15.xlsx&amp;sheet=A0&amp;row=470&amp;col=17&amp;number=&amp;sourceID=56","")</f>
        <v/>
      </c>
      <c r="R470" s="4" t="str">
        <f>HYPERLINK("http://141.218.60.56/~jnz1568/getInfo.php?workbook=16_15.xlsx&amp;sheet=A0&amp;row=470&amp;col=18&amp;number=&amp;sourceID=56","")</f>
        <v/>
      </c>
      <c r="S470" s="4" t="str">
        <f>HYPERLINK("http://141.218.60.56/~jnz1568/getInfo.php?workbook=16_15.xlsx&amp;sheet=A0&amp;row=470&amp;col=19&amp;number=&amp;sourceID=57","")</f>
        <v/>
      </c>
      <c r="T470" s="4" t="str">
        <f>HYPERLINK("http://141.218.60.56/~jnz1568/getInfo.php?workbook=16_15.xlsx&amp;sheet=A0&amp;row=470&amp;col=20&amp;number=&amp;sourceID=57","")</f>
        <v/>
      </c>
      <c r="U470" s="4" t="str">
        <f>HYPERLINK("http://141.218.60.56/~jnz1568/getInfo.php?workbook=16_15.xlsx&amp;sheet=A0&amp;row=470&amp;col=21&amp;number=&amp;sourceID=47","")</f>
        <v/>
      </c>
      <c r="V470" s="4" t="str">
        <f>HYPERLINK("http://141.218.60.56/~jnz1568/getInfo.php?workbook=16_15.xlsx&amp;sheet=A0&amp;row=470&amp;col=22&amp;number=&amp;sourceID=47","")</f>
        <v/>
      </c>
    </row>
    <row r="471" spans="1:22">
      <c r="A471" s="3">
        <v>16</v>
      </c>
      <c r="B471" s="3">
        <v>15</v>
      </c>
      <c r="C471" s="3">
        <v>35</v>
      </c>
      <c r="D471" s="3">
        <v>28</v>
      </c>
      <c r="E471" s="3">
        <f>((1/(INDEX(E0!J$4:J$73,C471,1)-INDEX(E0!J$4:J$73,D471,1))))*100000000</f>
        <v>0</v>
      </c>
      <c r="F471" s="4" t="str">
        <f>HYPERLINK("http://141.218.60.56/~jnz1568/getInfo.php?workbook=16_15.xlsx&amp;sheet=A0&amp;row=471&amp;col=6&amp;number=10.656&amp;sourceID=54","10.656")</f>
        <v>10.656</v>
      </c>
      <c r="G471" s="4" t="str">
        <f>HYPERLINK("http://141.218.60.56/~jnz1568/getInfo.php?workbook=16_15.xlsx&amp;sheet=A0&amp;row=471&amp;col=7&amp;number=&amp;sourceID=54","")</f>
        <v/>
      </c>
      <c r="H471" s="4" t="str">
        <f>HYPERLINK("http://141.218.60.56/~jnz1568/getInfo.php?workbook=16_15.xlsx&amp;sheet=A0&amp;row=471&amp;col=8&amp;number=&amp;sourceID=54","")</f>
        <v/>
      </c>
      <c r="I471" s="4" t="str">
        <f>HYPERLINK("http://141.218.60.56/~jnz1568/getInfo.php?workbook=16_15.xlsx&amp;sheet=A0&amp;row=471&amp;col=9&amp;number=12.072&amp;sourceID=54","12.072")</f>
        <v>12.072</v>
      </c>
      <c r="J471" s="4" t="str">
        <f>HYPERLINK("http://141.218.60.56/~jnz1568/getInfo.php?workbook=16_15.xlsx&amp;sheet=A0&amp;row=471&amp;col=10&amp;number=&amp;sourceID=54","")</f>
        <v/>
      </c>
      <c r="K471" s="4" t="str">
        <f>HYPERLINK("http://141.218.60.56/~jnz1568/getInfo.php?workbook=16_15.xlsx&amp;sheet=A0&amp;row=471&amp;col=11&amp;number=&amp;sourceID=54","")</f>
        <v/>
      </c>
      <c r="L471" s="4" t="str">
        <f>HYPERLINK("http://141.218.60.56/~jnz1568/getInfo.php?workbook=16_15.xlsx&amp;sheet=A0&amp;row=471&amp;col=12&amp;number=12.9236478081&amp;sourceID=53","12.9236478081")</f>
        <v>12.9236478081</v>
      </c>
      <c r="M471" s="4" t="str">
        <f>HYPERLINK("http://141.218.60.56/~jnz1568/getInfo.php?workbook=16_15.xlsx&amp;sheet=A0&amp;row=471&amp;col=13&amp;number=&amp;sourceID=53","")</f>
        <v/>
      </c>
      <c r="N471" s="4" t="str">
        <f>HYPERLINK("http://141.218.60.56/~jnz1568/getInfo.php?workbook=16_15.xlsx&amp;sheet=A0&amp;row=471&amp;col=14&amp;number=&amp;sourceID=53","")</f>
        <v/>
      </c>
      <c r="O471" s="4" t="str">
        <f>HYPERLINK("http://141.218.60.56/~jnz1568/getInfo.php?workbook=16_15.xlsx&amp;sheet=A0&amp;row=471&amp;col=15&amp;number=&amp;sourceID=55","")</f>
        <v/>
      </c>
      <c r="P471" s="4" t="str">
        <f>HYPERLINK("http://141.218.60.56/~jnz1568/getInfo.php?workbook=16_15.xlsx&amp;sheet=A0&amp;row=471&amp;col=16&amp;number=&amp;sourceID=55","")</f>
        <v/>
      </c>
      <c r="Q471" s="4" t="str">
        <f>HYPERLINK("http://141.218.60.56/~jnz1568/getInfo.php?workbook=16_15.xlsx&amp;sheet=A0&amp;row=471&amp;col=17&amp;number=&amp;sourceID=56","")</f>
        <v/>
      </c>
      <c r="R471" s="4" t="str">
        <f>HYPERLINK("http://141.218.60.56/~jnz1568/getInfo.php?workbook=16_15.xlsx&amp;sheet=A0&amp;row=471&amp;col=18&amp;number=&amp;sourceID=56","")</f>
        <v/>
      </c>
      <c r="S471" s="4" t="str">
        <f>HYPERLINK("http://141.218.60.56/~jnz1568/getInfo.php?workbook=16_15.xlsx&amp;sheet=A0&amp;row=471&amp;col=19&amp;number=&amp;sourceID=57","")</f>
        <v/>
      </c>
      <c r="T471" s="4" t="str">
        <f>HYPERLINK("http://141.218.60.56/~jnz1568/getInfo.php?workbook=16_15.xlsx&amp;sheet=A0&amp;row=471&amp;col=20&amp;number=&amp;sourceID=57","")</f>
        <v/>
      </c>
      <c r="U471" s="4" t="str">
        <f>HYPERLINK("http://141.218.60.56/~jnz1568/getInfo.php?workbook=16_15.xlsx&amp;sheet=A0&amp;row=471&amp;col=21&amp;number=&amp;sourceID=47","")</f>
        <v/>
      </c>
      <c r="V471" s="4" t="str">
        <f>HYPERLINK("http://141.218.60.56/~jnz1568/getInfo.php?workbook=16_15.xlsx&amp;sheet=A0&amp;row=471&amp;col=22&amp;number=&amp;sourceID=47","")</f>
        <v/>
      </c>
    </row>
    <row r="472" spans="1:22">
      <c r="A472" s="3">
        <v>16</v>
      </c>
      <c r="B472" s="3">
        <v>15</v>
      </c>
      <c r="C472" s="3">
        <v>35</v>
      </c>
      <c r="D472" s="3">
        <v>29</v>
      </c>
      <c r="E472" s="3">
        <f>((1/(INDEX(E0!J$4:J$73,C472,1)-INDEX(E0!J$4:J$73,D472,1))))*100000000</f>
        <v>0</v>
      </c>
      <c r="F472" s="4" t="str">
        <f>HYPERLINK("http://141.218.60.56/~jnz1568/getInfo.php?workbook=16_15.xlsx&amp;sheet=A0&amp;row=472&amp;col=6&amp;number=199.78&amp;sourceID=54","199.78")</f>
        <v>199.78</v>
      </c>
      <c r="G472" s="4" t="str">
        <f>HYPERLINK("http://141.218.60.56/~jnz1568/getInfo.php?workbook=16_15.xlsx&amp;sheet=A0&amp;row=472&amp;col=7&amp;number=&amp;sourceID=54","")</f>
        <v/>
      </c>
      <c r="H472" s="4" t="str">
        <f>HYPERLINK("http://141.218.60.56/~jnz1568/getInfo.php?workbook=16_15.xlsx&amp;sheet=A0&amp;row=472&amp;col=8&amp;number=&amp;sourceID=54","")</f>
        <v/>
      </c>
      <c r="I472" s="4" t="str">
        <f>HYPERLINK("http://141.218.60.56/~jnz1568/getInfo.php?workbook=16_15.xlsx&amp;sheet=A0&amp;row=472&amp;col=9&amp;number=241.86&amp;sourceID=54","241.86")</f>
        <v>241.86</v>
      </c>
      <c r="J472" s="4" t="str">
        <f>HYPERLINK("http://141.218.60.56/~jnz1568/getInfo.php?workbook=16_15.xlsx&amp;sheet=A0&amp;row=472&amp;col=10&amp;number=&amp;sourceID=54","")</f>
        <v/>
      </c>
      <c r="K472" s="4" t="str">
        <f>HYPERLINK("http://141.218.60.56/~jnz1568/getInfo.php?workbook=16_15.xlsx&amp;sheet=A0&amp;row=472&amp;col=11&amp;number=&amp;sourceID=54","")</f>
        <v/>
      </c>
      <c r="L472" s="4" t="str">
        <f>HYPERLINK("http://141.218.60.56/~jnz1568/getInfo.php?workbook=16_15.xlsx&amp;sheet=A0&amp;row=472&amp;col=12&amp;number=86.8930269872&amp;sourceID=53","86.8930269872")</f>
        <v>86.8930269872</v>
      </c>
      <c r="M472" s="4" t="str">
        <f>HYPERLINK("http://141.218.60.56/~jnz1568/getInfo.php?workbook=16_15.xlsx&amp;sheet=A0&amp;row=472&amp;col=13&amp;number=&amp;sourceID=53","")</f>
        <v/>
      </c>
      <c r="N472" s="4" t="str">
        <f>HYPERLINK("http://141.218.60.56/~jnz1568/getInfo.php?workbook=16_15.xlsx&amp;sheet=A0&amp;row=472&amp;col=14&amp;number=&amp;sourceID=53","")</f>
        <v/>
      </c>
      <c r="O472" s="4" t="str">
        <f>HYPERLINK("http://141.218.60.56/~jnz1568/getInfo.php?workbook=16_15.xlsx&amp;sheet=A0&amp;row=472&amp;col=15&amp;number=&amp;sourceID=55","")</f>
        <v/>
      </c>
      <c r="P472" s="4" t="str">
        <f>HYPERLINK("http://141.218.60.56/~jnz1568/getInfo.php?workbook=16_15.xlsx&amp;sheet=A0&amp;row=472&amp;col=16&amp;number=&amp;sourceID=55","")</f>
        <v/>
      </c>
      <c r="Q472" s="4" t="str">
        <f>HYPERLINK("http://141.218.60.56/~jnz1568/getInfo.php?workbook=16_15.xlsx&amp;sheet=A0&amp;row=472&amp;col=17&amp;number=&amp;sourceID=56","")</f>
        <v/>
      </c>
      <c r="R472" s="4" t="str">
        <f>HYPERLINK("http://141.218.60.56/~jnz1568/getInfo.php?workbook=16_15.xlsx&amp;sheet=A0&amp;row=472&amp;col=18&amp;number=&amp;sourceID=56","")</f>
        <v/>
      </c>
      <c r="S472" s="4" t="str">
        <f>HYPERLINK("http://141.218.60.56/~jnz1568/getInfo.php?workbook=16_15.xlsx&amp;sheet=A0&amp;row=472&amp;col=19&amp;number=&amp;sourceID=57","")</f>
        <v/>
      </c>
      <c r="T472" s="4" t="str">
        <f>HYPERLINK("http://141.218.60.56/~jnz1568/getInfo.php?workbook=16_15.xlsx&amp;sheet=A0&amp;row=472&amp;col=20&amp;number=&amp;sourceID=57","")</f>
        <v/>
      </c>
      <c r="U472" s="4" t="str">
        <f>HYPERLINK("http://141.218.60.56/~jnz1568/getInfo.php?workbook=16_15.xlsx&amp;sheet=A0&amp;row=472&amp;col=21&amp;number=&amp;sourceID=47","")</f>
        <v/>
      </c>
      <c r="V472" s="4" t="str">
        <f>HYPERLINK("http://141.218.60.56/~jnz1568/getInfo.php?workbook=16_15.xlsx&amp;sheet=A0&amp;row=472&amp;col=22&amp;number=&amp;sourceID=47","")</f>
        <v/>
      </c>
    </row>
    <row r="473" spans="1:22">
      <c r="A473" s="3">
        <v>16</v>
      </c>
      <c r="B473" s="3">
        <v>15</v>
      </c>
      <c r="C473" s="3">
        <v>35</v>
      </c>
      <c r="D473" s="3">
        <v>30</v>
      </c>
      <c r="E473" s="3">
        <f>((1/(INDEX(E0!J$4:J$73,C473,1)-INDEX(E0!J$4:J$73,D473,1))))*100000000</f>
        <v>0</v>
      </c>
      <c r="F473" s="4" t="str">
        <f>HYPERLINK("http://141.218.60.56/~jnz1568/getInfo.php?workbook=16_15.xlsx&amp;sheet=A0&amp;row=473&amp;col=6&amp;number=24.696&amp;sourceID=54","24.696")</f>
        <v>24.696</v>
      </c>
      <c r="G473" s="4" t="str">
        <f>HYPERLINK("http://141.218.60.56/~jnz1568/getInfo.php?workbook=16_15.xlsx&amp;sheet=A0&amp;row=473&amp;col=7&amp;number=&amp;sourceID=54","")</f>
        <v/>
      </c>
      <c r="H473" s="4" t="str">
        <f>HYPERLINK("http://141.218.60.56/~jnz1568/getInfo.php?workbook=16_15.xlsx&amp;sheet=A0&amp;row=473&amp;col=8&amp;number=&amp;sourceID=54","")</f>
        <v/>
      </c>
      <c r="I473" s="4" t="str">
        <f>HYPERLINK("http://141.218.60.56/~jnz1568/getInfo.php?workbook=16_15.xlsx&amp;sheet=A0&amp;row=473&amp;col=9&amp;number=25.433&amp;sourceID=54","25.433")</f>
        <v>25.433</v>
      </c>
      <c r="J473" s="4" t="str">
        <f>HYPERLINK("http://141.218.60.56/~jnz1568/getInfo.php?workbook=16_15.xlsx&amp;sheet=A0&amp;row=473&amp;col=10&amp;number=&amp;sourceID=54","")</f>
        <v/>
      </c>
      <c r="K473" s="4" t="str">
        <f>HYPERLINK("http://141.218.60.56/~jnz1568/getInfo.php?workbook=16_15.xlsx&amp;sheet=A0&amp;row=473&amp;col=11&amp;number=&amp;sourceID=54","")</f>
        <v/>
      </c>
      <c r="L473" s="4" t="str">
        <f>HYPERLINK("http://141.218.60.56/~jnz1568/getInfo.php?workbook=16_15.xlsx&amp;sheet=A0&amp;row=473&amp;col=12&amp;number=35.6860090185&amp;sourceID=53","35.6860090185")</f>
        <v>35.6860090185</v>
      </c>
      <c r="M473" s="4" t="str">
        <f>HYPERLINK("http://141.218.60.56/~jnz1568/getInfo.php?workbook=16_15.xlsx&amp;sheet=A0&amp;row=473&amp;col=13&amp;number=&amp;sourceID=53","")</f>
        <v/>
      </c>
      <c r="N473" s="4" t="str">
        <f>HYPERLINK("http://141.218.60.56/~jnz1568/getInfo.php?workbook=16_15.xlsx&amp;sheet=A0&amp;row=473&amp;col=14&amp;number=&amp;sourceID=53","")</f>
        <v/>
      </c>
      <c r="O473" s="4" t="str">
        <f>HYPERLINK("http://141.218.60.56/~jnz1568/getInfo.php?workbook=16_15.xlsx&amp;sheet=A0&amp;row=473&amp;col=15&amp;number=&amp;sourceID=55","")</f>
        <v/>
      </c>
      <c r="P473" s="4" t="str">
        <f>HYPERLINK("http://141.218.60.56/~jnz1568/getInfo.php?workbook=16_15.xlsx&amp;sheet=A0&amp;row=473&amp;col=16&amp;number=&amp;sourceID=55","")</f>
        <v/>
      </c>
      <c r="Q473" s="4" t="str">
        <f>HYPERLINK("http://141.218.60.56/~jnz1568/getInfo.php?workbook=16_15.xlsx&amp;sheet=A0&amp;row=473&amp;col=17&amp;number=&amp;sourceID=56","")</f>
        <v/>
      </c>
      <c r="R473" s="4" t="str">
        <f>HYPERLINK("http://141.218.60.56/~jnz1568/getInfo.php?workbook=16_15.xlsx&amp;sheet=A0&amp;row=473&amp;col=18&amp;number=&amp;sourceID=56","")</f>
        <v/>
      </c>
      <c r="S473" s="4" t="str">
        <f>HYPERLINK("http://141.218.60.56/~jnz1568/getInfo.php?workbook=16_15.xlsx&amp;sheet=A0&amp;row=473&amp;col=19&amp;number=&amp;sourceID=57","")</f>
        <v/>
      </c>
      <c r="T473" s="4" t="str">
        <f>HYPERLINK("http://141.218.60.56/~jnz1568/getInfo.php?workbook=16_15.xlsx&amp;sheet=A0&amp;row=473&amp;col=20&amp;number=&amp;sourceID=57","")</f>
        <v/>
      </c>
      <c r="U473" s="4" t="str">
        <f>HYPERLINK("http://141.218.60.56/~jnz1568/getInfo.php?workbook=16_15.xlsx&amp;sheet=A0&amp;row=473&amp;col=21&amp;number=&amp;sourceID=47","")</f>
        <v/>
      </c>
      <c r="V473" s="4" t="str">
        <f>HYPERLINK("http://141.218.60.56/~jnz1568/getInfo.php?workbook=16_15.xlsx&amp;sheet=A0&amp;row=473&amp;col=22&amp;number=&amp;sourceID=47","")</f>
        <v/>
      </c>
    </row>
    <row r="474" spans="1:22">
      <c r="A474" s="3">
        <v>16</v>
      </c>
      <c r="B474" s="3">
        <v>15</v>
      </c>
      <c r="C474" s="3">
        <v>35</v>
      </c>
      <c r="D474" s="3">
        <v>31</v>
      </c>
      <c r="E474" s="3">
        <f>((1/(INDEX(E0!J$4:J$73,C474,1)-INDEX(E0!J$4:J$73,D474,1))))*100000000</f>
        <v>0</v>
      </c>
      <c r="F474" s="4" t="str">
        <f>HYPERLINK("http://141.218.60.56/~jnz1568/getInfo.php?workbook=16_15.xlsx&amp;sheet=A0&amp;row=474&amp;col=6&amp;number=&amp;sourceID=54","")</f>
        <v/>
      </c>
      <c r="G474" s="4" t="str">
        <f>HYPERLINK("http://141.218.60.56/~jnz1568/getInfo.php?workbook=16_15.xlsx&amp;sheet=A0&amp;row=474&amp;col=7&amp;number=4.5233e-06&amp;sourceID=54","4.5233e-06")</f>
        <v>4.5233e-06</v>
      </c>
      <c r="H474" s="4" t="str">
        <f>HYPERLINK("http://141.218.60.56/~jnz1568/getInfo.php?workbook=16_15.xlsx&amp;sheet=A0&amp;row=474&amp;col=8&amp;number=6.9205e-05&amp;sourceID=54","6.9205e-05")</f>
        <v>6.9205e-05</v>
      </c>
      <c r="I474" s="4" t="str">
        <f>HYPERLINK("http://141.218.60.56/~jnz1568/getInfo.php?workbook=16_15.xlsx&amp;sheet=A0&amp;row=474&amp;col=9&amp;number=&amp;sourceID=54","")</f>
        <v/>
      </c>
      <c r="J474" s="4" t="str">
        <f>HYPERLINK("http://141.218.60.56/~jnz1568/getInfo.php?workbook=16_15.xlsx&amp;sheet=A0&amp;row=474&amp;col=10&amp;number=4.2796e-06&amp;sourceID=54","4.2796e-06")</f>
        <v>4.2796e-06</v>
      </c>
      <c r="K474" s="4" t="str">
        <f>HYPERLINK("http://141.218.60.56/~jnz1568/getInfo.php?workbook=16_15.xlsx&amp;sheet=A0&amp;row=474&amp;col=11&amp;number=6.8076e-05&amp;sourceID=54","6.8076e-05")</f>
        <v>6.8076e-05</v>
      </c>
      <c r="L474" s="4" t="str">
        <f>HYPERLINK("http://141.218.60.56/~jnz1568/getInfo.php?workbook=16_15.xlsx&amp;sheet=A0&amp;row=474&amp;col=12&amp;number=&amp;sourceID=53","")</f>
        <v/>
      </c>
      <c r="M474" s="4" t="str">
        <f>HYPERLINK("http://141.218.60.56/~jnz1568/getInfo.php?workbook=16_15.xlsx&amp;sheet=A0&amp;row=474&amp;col=13&amp;number=&amp;sourceID=53","")</f>
        <v/>
      </c>
      <c r="N474" s="4" t="str">
        <f>HYPERLINK("http://141.218.60.56/~jnz1568/getInfo.php?workbook=16_15.xlsx&amp;sheet=A0&amp;row=474&amp;col=14&amp;number=&amp;sourceID=53","")</f>
        <v/>
      </c>
      <c r="O474" s="4" t="str">
        <f>HYPERLINK("http://141.218.60.56/~jnz1568/getInfo.php?workbook=16_15.xlsx&amp;sheet=A0&amp;row=474&amp;col=15&amp;number=&amp;sourceID=55","")</f>
        <v/>
      </c>
      <c r="P474" s="4" t="str">
        <f>HYPERLINK("http://141.218.60.56/~jnz1568/getInfo.php?workbook=16_15.xlsx&amp;sheet=A0&amp;row=474&amp;col=16&amp;number=&amp;sourceID=55","")</f>
        <v/>
      </c>
      <c r="Q474" s="4" t="str">
        <f>HYPERLINK("http://141.218.60.56/~jnz1568/getInfo.php?workbook=16_15.xlsx&amp;sheet=A0&amp;row=474&amp;col=17&amp;number=&amp;sourceID=56","")</f>
        <v/>
      </c>
      <c r="R474" s="4" t="str">
        <f>HYPERLINK("http://141.218.60.56/~jnz1568/getInfo.php?workbook=16_15.xlsx&amp;sheet=A0&amp;row=474&amp;col=18&amp;number=&amp;sourceID=56","")</f>
        <v/>
      </c>
      <c r="S474" s="4" t="str">
        <f>HYPERLINK("http://141.218.60.56/~jnz1568/getInfo.php?workbook=16_15.xlsx&amp;sheet=A0&amp;row=474&amp;col=19&amp;number=&amp;sourceID=57","")</f>
        <v/>
      </c>
      <c r="T474" s="4" t="str">
        <f>HYPERLINK("http://141.218.60.56/~jnz1568/getInfo.php?workbook=16_15.xlsx&amp;sheet=A0&amp;row=474&amp;col=20&amp;number=&amp;sourceID=57","")</f>
        <v/>
      </c>
      <c r="U474" s="4" t="str">
        <f>HYPERLINK("http://141.218.60.56/~jnz1568/getInfo.php?workbook=16_15.xlsx&amp;sheet=A0&amp;row=474&amp;col=21&amp;number=&amp;sourceID=47","")</f>
        <v/>
      </c>
      <c r="V474" s="4" t="str">
        <f>HYPERLINK("http://141.218.60.56/~jnz1568/getInfo.php?workbook=16_15.xlsx&amp;sheet=A0&amp;row=474&amp;col=22&amp;number=&amp;sourceID=47","")</f>
        <v/>
      </c>
    </row>
    <row r="475" spans="1:22">
      <c r="A475" s="3">
        <v>16</v>
      </c>
      <c r="B475" s="3">
        <v>15</v>
      </c>
      <c r="C475" s="3">
        <v>35</v>
      </c>
      <c r="D475" s="3">
        <v>34</v>
      </c>
      <c r="E475" s="3">
        <f>((1/(INDEX(E0!J$4:J$73,C475,1)-INDEX(E0!J$4:J$73,D475,1))))*100000000</f>
        <v>0</v>
      </c>
      <c r="F475" s="4" t="str">
        <f>HYPERLINK("http://141.218.60.56/~jnz1568/getInfo.php?workbook=16_15.xlsx&amp;sheet=A0&amp;row=475&amp;col=6&amp;number=&amp;sourceID=54","")</f>
        <v/>
      </c>
      <c r="G475" s="4" t="str">
        <f>HYPERLINK("http://141.218.60.56/~jnz1568/getInfo.php?workbook=16_15.xlsx&amp;sheet=A0&amp;row=475&amp;col=7&amp;number=2.7343e-10&amp;sourceID=54","2.7343e-10")</f>
        <v>2.7343e-10</v>
      </c>
      <c r="H475" s="4" t="str">
        <f>HYPERLINK("http://141.218.60.56/~jnz1568/getInfo.php?workbook=16_15.xlsx&amp;sheet=A0&amp;row=475&amp;col=8&amp;number=9.8723e-05&amp;sourceID=54","9.8723e-05")</f>
        <v>9.8723e-05</v>
      </c>
      <c r="I475" s="4" t="str">
        <f>HYPERLINK("http://141.218.60.56/~jnz1568/getInfo.php?workbook=16_15.xlsx&amp;sheet=A0&amp;row=475&amp;col=9&amp;number=&amp;sourceID=54","")</f>
        <v/>
      </c>
      <c r="J475" s="4" t="str">
        <f>HYPERLINK("http://141.218.60.56/~jnz1568/getInfo.php?workbook=16_15.xlsx&amp;sheet=A0&amp;row=475&amp;col=10&amp;number=2.7404e-10&amp;sourceID=54","2.7404e-10")</f>
        <v>2.7404e-10</v>
      </c>
      <c r="K475" s="4" t="str">
        <f>HYPERLINK("http://141.218.60.56/~jnz1568/getInfo.php?workbook=16_15.xlsx&amp;sheet=A0&amp;row=475&amp;col=11&amp;number=9.9262e-05&amp;sourceID=54","9.9262e-05")</f>
        <v>9.9262e-05</v>
      </c>
      <c r="L475" s="4" t="str">
        <f>HYPERLINK("http://141.218.60.56/~jnz1568/getInfo.php?workbook=16_15.xlsx&amp;sheet=A0&amp;row=475&amp;col=12&amp;number=&amp;sourceID=53","")</f>
        <v/>
      </c>
      <c r="M475" s="4" t="str">
        <f>HYPERLINK("http://141.218.60.56/~jnz1568/getInfo.php?workbook=16_15.xlsx&amp;sheet=A0&amp;row=475&amp;col=13&amp;number=&amp;sourceID=53","")</f>
        <v/>
      </c>
      <c r="N475" s="4" t="str">
        <f>HYPERLINK("http://141.218.60.56/~jnz1568/getInfo.php?workbook=16_15.xlsx&amp;sheet=A0&amp;row=475&amp;col=14&amp;number=&amp;sourceID=53","")</f>
        <v/>
      </c>
      <c r="O475" s="4" t="str">
        <f>HYPERLINK("http://141.218.60.56/~jnz1568/getInfo.php?workbook=16_15.xlsx&amp;sheet=A0&amp;row=475&amp;col=15&amp;number=&amp;sourceID=55","")</f>
        <v/>
      </c>
      <c r="P475" s="4" t="str">
        <f>HYPERLINK("http://141.218.60.56/~jnz1568/getInfo.php?workbook=16_15.xlsx&amp;sheet=A0&amp;row=475&amp;col=16&amp;number=&amp;sourceID=55","")</f>
        <v/>
      </c>
      <c r="Q475" s="4" t="str">
        <f>HYPERLINK("http://141.218.60.56/~jnz1568/getInfo.php?workbook=16_15.xlsx&amp;sheet=A0&amp;row=475&amp;col=17&amp;number=&amp;sourceID=56","")</f>
        <v/>
      </c>
      <c r="R475" s="4" t="str">
        <f>HYPERLINK("http://141.218.60.56/~jnz1568/getInfo.php?workbook=16_15.xlsx&amp;sheet=A0&amp;row=475&amp;col=18&amp;number=&amp;sourceID=56","")</f>
        <v/>
      </c>
      <c r="S475" s="4" t="str">
        <f>HYPERLINK("http://141.218.60.56/~jnz1568/getInfo.php?workbook=16_15.xlsx&amp;sheet=A0&amp;row=475&amp;col=19&amp;number=&amp;sourceID=57","")</f>
        <v/>
      </c>
      <c r="T475" s="4" t="str">
        <f>HYPERLINK("http://141.218.60.56/~jnz1568/getInfo.php?workbook=16_15.xlsx&amp;sheet=A0&amp;row=475&amp;col=20&amp;number=&amp;sourceID=57","")</f>
        <v/>
      </c>
      <c r="U475" s="4" t="str">
        <f>HYPERLINK("http://141.218.60.56/~jnz1568/getInfo.php?workbook=16_15.xlsx&amp;sheet=A0&amp;row=475&amp;col=21&amp;number=&amp;sourceID=47","")</f>
        <v/>
      </c>
      <c r="V475" s="4" t="str">
        <f>HYPERLINK("http://141.218.60.56/~jnz1568/getInfo.php?workbook=16_15.xlsx&amp;sheet=A0&amp;row=475&amp;col=22&amp;number=&amp;sourceID=47","")</f>
        <v/>
      </c>
    </row>
    <row r="476" spans="1:22">
      <c r="A476" s="3">
        <v>16</v>
      </c>
      <c r="B476" s="3">
        <v>15</v>
      </c>
      <c r="C476" s="3">
        <v>36</v>
      </c>
      <c r="D476" s="3">
        <v>1</v>
      </c>
      <c r="E476" s="3">
        <f>((1/(INDEX(E0!J$4:J$73,C476,1)-INDEX(E0!J$4:J$73,D476,1))))*100000000</f>
        <v>0</v>
      </c>
      <c r="F476" s="4" t="str">
        <f>HYPERLINK("http://141.218.60.56/~jnz1568/getInfo.php?workbook=16_15.xlsx&amp;sheet=A0&amp;row=476&amp;col=6&amp;number=&amp;sourceID=54","")</f>
        <v/>
      </c>
      <c r="G476" s="4" t="str">
        <f>HYPERLINK("http://141.218.60.56/~jnz1568/getInfo.php?workbook=16_15.xlsx&amp;sheet=A0&amp;row=476&amp;col=7&amp;number=8890&amp;sourceID=54","8890")</f>
        <v>8890</v>
      </c>
      <c r="H476" s="4" t="str">
        <f>HYPERLINK("http://141.218.60.56/~jnz1568/getInfo.php?workbook=16_15.xlsx&amp;sheet=A0&amp;row=476&amp;col=8&amp;number=1.6112e-08&amp;sourceID=54","1.6112e-08")</f>
        <v>1.6112e-08</v>
      </c>
      <c r="I476" s="4" t="str">
        <f>HYPERLINK("http://141.218.60.56/~jnz1568/getInfo.php?workbook=16_15.xlsx&amp;sheet=A0&amp;row=476&amp;col=9&amp;number=&amp;sourceID=54","")</f>
        <v/>
      </c>
      <c r="J476" s="4" t="str">
        <f>HYPERLINK("http://141.218.60.56/~jnz1568/getInfo.php?workbook=16_15.xlsx&amp;sheet=A0&amp;row=476&amp;col=10&amp;number=9030.9&amp;sourceID=54","9030.9")</f>
        <v>9030.9</v>
      </c>
      <c r="K476" s="4" t="str">
        <f>HYPERLINK("http://141.218.60.56/~jnz1568/getInfo.php?workbook=16_15.xlsx&amp;sheet=A0&amp;row=476&amp;col=11&amp;number=1.7453e-08&amp;sourceID=54","1.7453e-08")</f>
        <v>1.7453e-08</v>
      </c>
      <c r="L476" s="4" t="str">
        <f>HYPERLINK("http://141.218.60.56/~jnz1568/getInfo.php?workbook=16_15.xlsx&amp;sheet=A0&amp;row=476&amp;col=12&amp;number=&amp;sourceID=53","")</f>
        <v/>
      </c>
      <c r="M476" s="4" t="str">
        <f>HYPERLINK("http://141.218.60.56/~jnz1568/getInfo.php?workbook=16_15.xlsx&amp;sheet=A0&amp;row=476&amp;col=13&amp;number=&amp;sourceID=53","")</f>
        <v/>
      </c>
      <c r="N476" s="4" t="str">
        <f>HYPERLINK("http://141.218.60.56/~jnz1568/getInfo.php?workbook=16_15.xlsx&amp;sheet=A0&amp;row=476&amp;col=14&amp;number=&amp;sourceID=53","")</f>
        <v/>
      </c>
      <c r="O476" s="4" t="str">
        <f>HYPERLINK("http://141.218.60.56/~jnz1568/getInfo.php?workbook=16_15.xlsx&amp;sheet=A0&amp;row=476&amp;col=15&amp;number=&amp;sourceID=55","")</f>
        <v/>
      </c>
      <c r="P476" s="4" t="str">
        <f>HYPERLINK("http://141.218.60.56/~jnz1568/getInfo.php?workbook=16_15.xlsx&amp;sheet=A0&amp;row=476&amp;col=16&amp;number=&amp;sourceID=55","")</f>
        <v/>
      </c>
      <c r="Q476" s="4" t="str">
        <f>HYPERLINK("http://141.218.60.56/~jnz1568/getInfo.php?workbook=16_15.xlsx&amp;sheet=A0&amp;row=476&amp;col=17&amp;number=&amp;sourceID=56","")</f>
        <v/>
      </c>
      <c r="R476" s="4" t="str">
        <f>HYPERLINK("http://141.218.60.56/~jnz1568/getInfo.php?workbook=16_15.xlsx&amp;sheet=A0&amp;row=476&amp;col=18&amp;number=&amp;sourceID=56","")</f>
        <v/>
      </c>
      <c r="S476" s="4" t="str">
        <f>HYPERLINK("http://141.218.60.56/~jnz1568/getInfo.php?workbook=16_15.xlsx&amp;sheet=A0&amp;row=476&amp;col=19&amp;number=&amp;sourceID=57","")</f>
        <v/>
      </c>
      <c r="T476" s="4" t="str">
        <f>HYPERLINK("http://141.218.60.56/~jnz1568/getInfo.php?workbook=16_15.xlsx&amp;sheet=A0&amp;row=476&amp;col=20&amp;number=&amp;sourceID=57","")</f>
        <v/>
      </c>
      <c r="U476" s="4" t="str">
        <f>HYPERLINK("http://141.218.60.56/~jnz1568/getInfo.php?workbook=16_15.xlsx&amp;sheet=A0&amp;row=476&amp;col=21&amp;number=&amp;sourceID=47","")</f>
        <v/>
      </c>
      <c r="V476" s="4" t="str">
        <f>HYPERLINK("http://141.218.60.56/~jnz1568/getInfo.php?workbook=16_15.xlsx&amp;sheet=A0&amp;row=476&amp;col=22&amp;number=&amp;sourceID=47","")</f>
        <v/>
      </c>
    </row>
    <row r="477" spans="1:22">
      <c r="A477" s="3">
        <v>16</v>
      </c>
      <c r="B477" s="3">
        <v>15</v>
      </c>
      <c r="C477" s="3">
        <v>36</v>
      </c>
      <c r="D477" s="3">
        <v>2</v>
      </c>
      <c r="E477" s="3">
        <f>((1/(INDEX(E0!J$4:J$73,C477,1)-INDEX(E0!J$4:J$73,D477,1))))*100000000</f>
        <v>0</v>
      </c>
      <c r="F477" s="4" t="str">
        <f>HYPERLINK("http://141.218.60.56/~jnz1568/getInfo.php?workbook=16_15.xlsx&amp;sheet=A0&amp;row=477&amp;col=6&amp;number=&amp;sourceID=54","")</f>
        <v/>
      </c>
      <c r="G477" s="4" t="str">
        <f>HYPERLINK("http://141.218.60.56/~jnz1568/getInfo.php?workbook=16_15.xlsx&amp;sheet=A0&amp;row=477&amp;col=7&amp;number=1.9648&amp;sourceID=54","1.9648")</f>
        <v>1.9648</v>
      </c>
      <c r="H477" s="4" t="str">
        <f>HYPERLINK("http://141.218.60.56/~jnz1568/getInfo.php?workbook=16_15.xlsx&amp;sheet=A0&amp;row=477&amp;col=8&amp;number=0.022674&amp;sourceID=54","0.022674")</f>
        <v>0.022674</v>
      </c>
      <c r="I477" s="4" t="str">
        <f>HYPERLINK("http://141.218.60.56/~jnz1568/getInfo.php?workbook=16_15.xlsx&amp;sheet=A0&amp;row=477&amp;col=9&amp;number=&amp;sourceID=54","")</f>
        <v/>
      </c>
      <c r="J477" s="4" t="str">
        <f>HYPERLINK("http://141.218.60.56/~jnz1568/getInfo.php?workbook=16_15.xlsx&amp;sheet=A0&amp;row=477&amp;col=10&amp;number=2.1595&amp;sourceID=54","2.1595")</f>
        <v>2.1595</v>
      </c>
      <c r="K477" s="4" t="str">
        <f>HYPERLINK("http://141.218.60.56/~jnz1568/getInfo.php?workbook=16_15.xlsx&amp;sheet=A0&amp;row=477&amp;col=11&amp;number=0.023201&amp;sourceID=54","0.023201")</f>
        <v>0.023201</v>
      </c>
      <c r="L477" s="4" t="str">
        <f>HYPERLINK("http://141.218.60.56/~jnz1568/getInfo.php?workbook=16_15.xlsx&amp;sheet=A0&amp;row=477&amp;col=12&amp;number=&amp;sourceID=53","")</f>
        <v/>
      </c>
      <c r="M477" s="4" t="str">
        <f>HYPERLINK("http://141.218.60.56/~jnz1568/getInfo.php?workbook=16_15.xlsx&amp;sheet=A0&amp;row=477&amp;col=13&amp;number=&amp;sourceID=53","")</f>
        <v/>
      </c>
      <c r="N477" s="4" t="str">
        <f>HYPERLINK("http://141.218.60.56/~jnz1568/getInfo.php?workbook=16_15.xlsx&amp;sheet=A0&amp;row=477&amp;col=14&amp;number=&amp;sourceID=53","")</f>
        <v/>
      </c>
      <c r="O477" s="4" t="str">
        <f>HYPERLINK("http://141.218.60.56/~jnz1568/getInfo.php?workbook=16_15.xlsx&amp;sheet=A0&amp;row=477&amp;col=15&amp;number=&amp;sourceID=55","")</f>
        <v/>
      </c>
      <c r="P477" s="4" t="str">
        <f>HYPERLINK("http://141.218.60.56/~jnz1568/getInfo.php?workbook=16_15.xlsx&amp;sheet=A0&amp;row=477&amp;col=16&amp;number=&amp;sourceID=55","")</f>
        <v/>
      </c>
      <c r="Q477" s="4" t="str">
        <f>HYPERLINK("http://141.218.60.56/~jnz1568/getInfo.php?workbook=16_15.xlsx&amp;sheet=A0&amp;row=477&amp;col=17&amp;number=&amp;sourceID=56","")</f>
        <v/>
      </c>
      <c r="R477" s="4" t="str">
        <f>HYPERLINK("http://141.218.60.56/~jnz1568/getInfo.php?workbook=16_15.xlsx&amp;sheet=A0&amp;row=477&amp;col=18&amp;number=&amp;sourceID=56","")</f>
        <v/>
      </c>
      <c r="S477" s="4" t="str">
        <f>HYPERLINK("http://141.218.60.56/~jnz1568/getInfo.php?workbook=16_15.xlsx&amp;sheet=A0&amp;row=477&amp;col=19&amp;number=&amp;sourceID=57","")</f>
        <v/>
      </c>
      <c r="T477" s="4" t="str">
        <f>HYPERLINK("http://141.218.60.56/~jnz1568/getInfo.php?workbook=16_15.xlsx&amp;sheet=A0&amp;row=477&amp;col=20&amp;number=&amp;sourceID=57","")</f>
        <v/>
      </c>
      <c r="U477" s="4" t="str">
        <f>HYPERLINK("http://141.218.60.56/~jnz1568/getInfo.php?workbook=16_15.xlsx&amp;sheet=A0&amp;row=477&amp;col=21&amp;number=&amp;sourceID=47","")</f>
        <v/>
      </c>
      <c r="V477" s="4" t="str">
        <f>HYPERLINK("http://141.218.60.56/~jnz1568/getInfo.php?workbook=16_15.xlsx&amp;sheet=A0&amp;row=477&amp;col=22&amp;number=&amp;sourceID=47","")</f>
        <v/>
      </c>
    </row>
    <row r="478" spans="1:22">
      <c r="A478" s="3">
        <v>16</v>
      </c>
      <c r="B478" s="3">
        <v>15</v>
      </c>
      <c r="C478" s="3">
        <v>36</v>
      </c>
      <c r="D478" s="3">
        <v>3</v>
      </c>
      <c r="E478" s="3">
        <f>((1/(INDEX(E0!J$4:J$73,C478,1)-INDEX(E0!J$4:J$73,D478,1))))*100000000</f>
        <v>0</v>
      </c>
      <c r="F478" s="4" t="str">
        <f>HYPERLINK("http://141.218.60.56/~jnz1568/getInfo.php?workbook=16_15.xlsx&amp;sheet=A0&amp;row=478&amp;col=6&amp;number=&amp;sourceID=54","")</f>
        <v/>
      </c>
      <c r="G478" s="4" t="str">
        <f>HYPERLINK("http://141.218.60.56/~jnz1568/getInfo.php?workbook=16_15.xlsx&amp;sheet=A0&amp;row=478&amp;col=7&amp;number=0.97517&amp;sourceID=54","0.97517")</f>
        <v>0.97517</v>
      </c>
      <c r="H478" s="4" t="str">
        <f>HYPERLINK("http://141.218.60.56/~jnz1568/getInfo.php?workbook=16_15.xlsx&amp;sheet=A0&amp;row=478&amp;col=8&amp;number=0.73347&amp;sourceID=54","0.73347")</f>
        <v>0.73347</v>
      </c>
      <c r="I478" s="4" t="str">
        <f>HYPERLINK("http://141.218.60.56/~jnz1568/getInfo.php?workbook=16_15.xlsx&amp;sheet=A0&amp;row=478&amp;col=9&amp;number=&amp;sourceID=54","")</f>
        <v/>
      </c>
      <c r="J478" s="4" t="str">
        <f>HYPERLINK("http://141.218.60.56/~jnz1568/getInfo.php?workbook=16_15.xlsx&amp;sheet=A0&amp;row=478&amp;col=10&amp;number=1.0176&amp;sourceID=54","1.0176")</f>
        <v>1.0176</v>
      </c>
      <c r="K478" s="4" t="str">
        <f>HYPERLINK("http://141.218.60.56/~jnz1568/getInfo.php?workbook=16_15.xlsx&amp;sheet=A0&amp;row=478&amp;col=11&amp;number=0.75075&amp;sourceID=54","0.75075")</f>
        <v>0.75075</v>
      </c>
      <c r="L478" s="4" t="str">
        <f>HYPERLINK("http://141.218.60.56/~jnz1568/getInfo.php?workbook=16_15.xlsx&amp;sheet=A0&amp;row=478&amp;col=12&amp;number=&amp;sourceID=53","")</f>
        <v/>
      </c>
      <c r="M478" s="4" t="str">
        <f>HYPERLINK("http://141.218.60.56/~jnz1568/getInfo.php?workbook=16_15.xlsx&amp;sheet=A0&amp;row=478&amp;col=13&amp;number=&amp;sourceID=53","")</f>
        <v/>
      </c>
      <c r="N478" s="4" t="str">
        <f>HYPERLINK("http://141.218.60.56/~jnz1568/getInfo.php?workbook=16_15.xlsx&amp;sheet=A0&amp;row=478&amp;col=14&amp;number=&amp;sourceID=53","")</f>
        <v/>
      </c>
      <c r="O478" s="4" t="str">
        <f>HYPERLINK("http://141.218.60.56/~jnz1568/getInfo.php?workbook=16_15.xlsx&amp;sheet=A0&amp;row=478&amp;col=15&amp;number=&amp;sourceID=55","")</f>
        <v/>
      </c>
      <c r="P478" s="4" t="str">
        <f>HYPERLINK("http://141.218.60.56/~jnz1568/getInfo.php?workbook=16_15.xlsx&amp;sheet=A0&amp;row=478&amp;col=16&amp;number=&amp;sourceID=55","")</f>
        <v/>
      </c>
      <c r="Q478" s="4" t="str">
        <f>HYPERLINK("http://141.218.60.56/~jnz1568/getInfo.php?workbook=16_15.xlsx&amp;sheet=A0&amp;row=478&amp;col=17&amp;number=&amp;sourceID=56","")</f>
        <v/>
      </c>
      <c r="R478" s="4" t="str">
        <f>HYPERLINK("http://141.218.60.56/~jnz1568/getInfo.php?workbook=16_15.xlsx&amp;sheet=A0&amp;row=478&amp;col=18&amp;number=&amp;sourceID=56","")</f>
        <v/>
      </c>
      <c r="S478" s="4" t="str">
        <f>HYPERLINK("http://141.218.60.56/~jnz1568/getInfo.php?workbook=16_15.xlsx&amp;sheet=A0&amp;row=478&amp;col=19&amp;number=&amp;sourceID=57","")</f>
        <v/>
      </c>
      <c r="T478" s="4" t="str">
        <f>HYPERLINK("http://141.218.60.56/~jnz1568/getInfo.php?workbook=16_15.xlsx&amp;sheet=A0&amp;row=478&amp;col=20&amp;number=&amp;sourceID=57","")</f>
        <v/>
      </c>
      <c r="U478" s="4" t="str">
        <f>HYPERLINK("http://141.218.60.56/~jnz1568/getInfo.php?workbook=16_15.xlsx&amp;sheet=A0&amp;row=478&amp;col=21&amp;number=&amp;sourceID=47","")</f>
        <v/>
      </c>
      <c r="V478" s="4" t="str">
        <f>HYPERLINK("http://141.218.60.56/~jnz1568/getInfo.php?workbook=16_15.xlsx&amp;sheet=A0&amp;row=478&amp;col=22&amp;number=&amp;sourceID=47","")</f>
        <v/>
      </c>
    </row>
    <row r="479" spans="1:22">
      <c r="A479" s="3">
        <v>16</v>
      </c>
      <c r="B479" s="3">
        <v>15</v>
      </c>
      <c r="C479" s="3">
        <v>36</v>
      </c>
      <c r="D479" s="3">
        <v>4</v>
      </c>
      <c r="E479" s="3">
        <f>((1/(INDEX(E0!J$4:J$73,C479,1)-INDEX(E0!J$4:J$73,D479,1))))*100000000</f>
        <v>0</v>
      </c>
      <c r="F479" s="4" t="str">
        <f>HYPERLINK("http://141.218.60.56/~jnz1568/getInfo.php?workbook=16_15.xlsx&amp;sheet=A0&amp;row=479&amp;col=6&amp;number=&amp;sourceID=54","")</f>
        <v/>
      </c>
      <c r="G479" s="4" t="str">
        <f>HYPERLINK("http://141.218.60.56/~jnz1568/getInfo.php?workbook=16_15.xlsx&amp;sheet=A0&amp;row=479&amp;col=7&amp;number=0.067259&amp;sourceID=54","0.067259")</f>
        <v>0.067259</v>
      </c>
      <c r="H479" s="4" t="str">
        <f>HYPERLINK("http://141.218.60.56/~jnz1568/getInfo.php?workbook=16_15.xlsx&amp;sheet=A0&amp;row=479&amp;col=8&amp;number=&amp;sourceID=54","")</f>
        <v/>
      </c>
      <c r="I479" s="4" t="str">
        <f>HYPERLINK("http://141.218.60.56/~jnz1568/getInfo.php?workbook=16_15.xlsx&amp;sheet=A0&amp;row=479&amp;col=9&amp;number=&amp;sourceID=54","")</f>
        <v/>
      </c>
      <c r="J479" s="4" t="str">
        <f>HYPERLINK("http://141.218.60.56/~jnz1568/getInfo.php?workbook=16_15.xlsx&amp;sheet=A0&amp;row=479&amp;col=10&amp;number=0.064132&amp;sourceID=54","0.064132")</f>
        <v>0.064132</v>
      </c>
      <c r="K479" s="4" t="str">
        <f>HYPERLINK("http://141.218.60.56/~jnz1568/getInfo.php?workbook=16_15.xlsx&amp;sheet=A0&amp;row=479&amp;col=11&amp;number=&amp;sourceID=54","")</f>
        <v/>
      </c>
      <c r="L479" s="4" t="str">
        <f>HYPERLINK("http://141.218.60.56/~jnz1568/getInfo.php?workbook=16_15.xlsx&amp;sheet=A0&amp;row=479&amp;col=12&amp;number=&amp;sourceID=53","")</f>
        <v/>
      </c>
      <c r="M479" s="4" t="str">
        <f>HYPERLINK("http://141.218.60.56/~jnz1568/getInfo.php?workbook=16_15.xlsx&amp;sheet=A0&amp;row=479&amp;col=13&amp;number=&amp;sourceID=53","")</f>
        <v/>
      </c>
      <c r="N479" s="4" t="str">
        <f>HYPERLINK("http://141.218.60.56/~jnz1568/getInfo.php?workbook=16_15.xlsx&amp;sheet=A0&amp;row=479&amp;col=14&amp;number=&amp;sourceID=53","")</f>
        <v/>
      </c>
      <c r="O479" s="4" t="str">
        <f>HYPERLINK("http://141.218.60.56/~jnz1568/getInfo.php?workbook=16_15.xlsx&amp;sheet=A0&amp;row=479&amp;col=15&amp;number=&amp;sourceID=55","")</f>
        <v/>
      </c>
      <c r="P479" s="4" t="str">
        <f>HYPERLINK("http://141.218.60.56/~jnz1568/getInfo.php?workbook=16_15.xlsx&amp;sheet=A0&amp;row=479&amp;col=16&amp;number=&amp;sourceID=55","")</f>
        <v/>
      </c>
      <c r="Q479" s="4" t="str">
        <f>HYPERLINK("http://141.218.60.56/~jnz1568/getInfo.php?workbook=16_15.xlsx&amp;sheet=A0&amp;row=479&amp;col=17&amp;number=&amp;sourceID=56","")</f>
        <v/>
      </c>
      <c r="R479" s="4" t="str">
        <f>HYPERLINK("http://141.218.60.56/~jnz1568/getInfo.php?workbook=16_15.xlsx&amp;sheet=A0&amp;row=479&amp;col=18&amp;number=&amp;sourceID=56","")</f>
        <v/>
      </c>
      <c r="S479" s="4" t="str">
        <f>HYPERLINK("http://141.218.60.56/~jnz1568/getInfo.php?workbook=16_15.xlsx&amp;sheet=A0&amp;row=479&amp;col=19&amp;number=&amp;sourceID=57","")</f>
        <v/>
      </c>
      <c r="T479" s="4" t="str">
        <f>HYPERLINK("http://141.218.60.56/~jnz1568/getInfo.php?workbook=16_15.xlsx&amp;sheet=A0&amp;row=479&amp;col=20&amp;number=&amp;sourceID=57","")</f>
        <v/>
      </c>
      <c r="U479" s="4" t="str">
        <f>HYPERLINK("http://141.218.60.56/~jnz1568/getInfo.php?workbook=16_15.xlsx&amp;sheet=A0&amp;row=479&amp;col=21&amp;number=&amp;sourceID=47","")</f>
        <v/>
      </c>
      <c r="V479" s="4" t="str">
        <f>HYPERLINK("http://141.218.60.56/~jnz1568/getInfo.php?workbook=16_15.xlsx&amp;sheet=A0&amp;row=479&amp;col=22&amp;number=&amp;sourceID=47","")</f>
        <v/>
      </c>
    </row>
    <row r="480" spans="1:22">
      <c r="A480" s="3">
        <v>16</v>
      </c>
      <c r="B480" s="3">
        <v>15</v>
      </c>
      <c r="C480" s="3">
        <v>36</v>
      </c>
      <c r="D480" s="3">
        <v>5</v>
      </c>
      <c r="E480" s="3">
        <f>((1/(INDEX(E0!J$4:J$73,C480,1)-INDEX(E0!J$4:J$73,D480,1))))*100000000</f>
        <v>0</v>
      </c>
      <c r="F480" s="4" t="str">
        <f>HYPERLINK("http://141.218.60.56/~jnz1568/getInfo.php?workbook=16_15.xlsx&amp;sheet=A0&amp;row=480&amp;col=6&amp;number=&amp;sourceID=54","")</f>
        <v/>
      </c>
      <c r="G480" s="4" t="str">
        <f>HYPERLINK("http://141.218.60.56/~jnz1568/getInfo.php?workbook=16_15.xlsx&amp;sheet=A0&amp;row=480&amp;col=7&amp;number=0.3882&amp;sourceID=54","0.3882")</f>
        <v>0.3882</v>
      </c>
      <c r="H480" s="4" t="str">
        <f>HYPERLINK("http://141.218.60.56/~jnz1568/getInfo.php?workbook=16_15.xlsx&amp;sheet=A0&amp;row=480&amp;col=8&amp;number=3.6683e-05&amp;sourceID=54","3.6683e-05")</f>
        <v>3.6683e-05</v>
      </c>
      <c r="I480" s="4" t="str">
        <f>HYPERLINK("http://141.218.60.56/~jnz1568/getInfo.php?workbook=16_15.xlsx&amp;sheet=A0&amp;row=480&amp;col=9&amp;number=&amp;sourceID=54","")</f>
        <v/>
      </c>
      <c r="J480" s="4" t="str">
        <f>HYPERLINK("http://141.218.60.56/~jnz1568/getInfo.php?workbook=16_15.xlsx&amp;sheet=A0&amp;row=480&amp;col=10&amp;number=0.42094&amp;sourceID=54","0.42094")</f>
        <v>0.42094</v>
      </c>
      <c r="K480" s="4" t="str">
        <f>HYPERLINK("http://141.218.60.56/~jnz1568/getInfo.php?workbook=16_15.xlsx&amp;sheet=A0&amp;row=480&amp;col=11&amp;number=3.6196e-05&amp;sourceID=54","3.6196e-05")</f>
        <v>3.6196e-05</v>
      </c>
      <c r="L480" s="4" t="str">
        <f>HYPERLINK("http://141.218.60.56/~jnz1568/getInfo.php?workbook=16_15.xlsx&amp;sheet=A0&amp;row=480&amp;col=12&amp;number=&amp;sourceID=53","")</f>
        <v/>
      </c>
      <c r="M480" s="4" t="str">
        <f>HYPERLINK("http://141.218.60.56/~jnz1568/getInfo.php?workbook=16_15.xlsx&amp;sheet=A0&amp;row=480&amp;col=13&amp;number=&amp;sourceID=53","")</f>
        <v/>
      </c>
      <c r="N480" s="4" t="str">
        <f>HYPERLINK("http://141.218.60.56/~jnz1568/getInfo.php?workbook=16_15.xlsx&amp;sheet=A0&amp;row=480&amp;col=14&amp;number=&amp;sourceID=53","")</f>
        <v/>
      </c>
      <c r="O480" s="4" t="str">
        <f>HYPERLINK("http://141.218.60.56/~jnz1568/getInfo.php?workbook=16_15.xlsx&amp;sheet=A0&amp;row=480&amp;col=15&amp;number=&amp;sourceID=55","")</f>
        <v/>
      </c>
      <c r="P480" s="4" t="str">
        <f>HYPERLINK("http://141.218.60.56/~jnz1568/getInfo.php?workbook=16_15.xlsx&amp;sheet=A0&amp;row=480&amp;col=16&amp;number=&amp;sourceID=55","")</f>
        <v/>
      </c>
      <c r="Q480" s="4" t="str">
        <f>HYPERLINK("http://141.218.60.56/~jnz1568/getInfo.php?workbook=16_15.xlsx&amp;sheet=A0&amp;row=480&amp;col=17&amp;number=&amp;sourceID=56","")</f>
        <v/>
      </c>
      <c r="R480" s="4" t="str">
        <f>HYPERLINK("http://141.218.60.56/~jnz1568/getInfo.php?workbook=16_15.xlsx&amp;sheet=A0&amp;row=480&amp;col=18&amp;number=&amp;sourceID=56","")</f>
        <v/>
      </c>
      <c r="S480" s="4" t="str">
        <f>HYPERLINK("http://141.218.60.56/~jnz1568/getInfo.php?workbook=16_15.xlsx&amp;sheet=A0&amp;row=480&amp;col=19&amp;number=&amp;sourceID=57","")</f>
        <v/>
      </c>
      <c r="T480" s="4" t="str">
        <f>HYPERLINK("http://141.218.60.56/~jnz1568/getInfo.php?workbook=16_15.xlsx&amp;sheet=A0&amp;row=480&amp;col=20&amp;number=&amp;sourceID=57","")</f>
        <v/>
      </c>
      <c r="U480" s="4" t="str">
        <f>HYPERLINK("http://141.218.60.56/~jnz1568/getInfo.php?workbook=16_15.xlsx&amp;sheet=A0&amp;row=480&amp;col=21&amp;number=&amp;sourceID=47","")</f>
        <v/>
      </c>
      <c r="V480" s="4" t="str">
        <f>HYPERLINK("http://141.218.60.56/~jnz1568/getInfo.php?workbook=16_15.xlsx&amp;sheet=A0&amp;row=480&amp;col=22&amp;number=&amp;sourceID=47","")</f>
        <v/>
      </c>
    </row>
    <row r="481" spans="1:22">
      <c r="A481" s="3">
        <v>16</v>
      </c>
      <c r="B481" s="3">
        <v>15</v>
      </c>
      <c r="C481" s="3">
        <v>36</v>
      </c>
      <c r="D481" s="3">
        <v>6</v>
      </c>
      <c r="E481" s="3">
        <f>((1/(INDEX(E0!J$4:J$73,C481,1)-INDEX(E0!J$4:J$73,D481,1))))*100000000</f>
        <v>0</v>
      </c>
      <c r="F481" s="4" t="str">
        <f>HYPERLINK("http://141.218.60.56/~jnz1568/getInfo.php?workbook=16_15.xlsx&amp;sheet=A0&amp;row=481&amp;col=6&amp;number=220250&amp;sourceID=54","220250")</f>
        <v>220250</v>
      </c>
      <c r="G481" s="4" t="str">
        <f>HYPERLINK("http://141.218.60.56/~jnz1568/getInfo.php?workbook=16_15.xlsx&amp;sheet=A0&amp;row=481&amp;col=7&amp;number=&amp;sourceID=54","")</f>
        <v/>
      </c>
      <c r="H481" s="4" t="str">
        <f>HYPERLINK("http://141.218.60.56/~jnz1568/getInfo.php?workbook=16_15.xlsx&amp;sheet=A0&amp;row=481&amp;col=8&amp;number=&amp;sourceID=54","")</f>
        <v/>
      </c>
      <c r="I481" s="4" t="str">
        <f>HYPERLINK("http://141.218.60.56/~jnz1568/getInfo.php?workbook=16_15.xlsx&amp;sheet=A0&amp;row=481&amp;col=9&amp;number=206580&amp;sourceID=54","206580")</f>
        <v>206580</v>
      </c>
      <c r="J481" s="4" t="str">
        <f>HYPERLINK("http://141.218.60.56/~jnz1568/getInfo.php?workbook=16_15.xlsx&amp;sheet=A0&amp;row=481&amp;col=10&amp;number=&amp;sourceID=54","")</f>
        <v/>
      </c>
      <c r="K481" s="4" t="str">
        <f>HYPERLINK("http://141.218.60.56/~jnz1568/getInfo.php?workbook=16_15.xlsx&amp;sheet=A0&amp;row=481&amp;col=11&amp;number=&amp;sourceID=54","")</f>
        <v/>
      </c>
      <c r="L481" s="4" t="str">
        <f>HYPERLINK("http://141.218.60.56/~jnz1568/getInfo.php?workbook=16_15.xlsx&amp;sheet=A0&amp;row=481&amp;col=12&amp;number=236012.597879&amp;sourceID=53","236012.597879")</f>
        <v>236012.597879</v>
      </c>
      <c r="M481" s="4" t="str">
        <f>HYPERLINK("http://141.218.60.56/~jnz1568/getInfo.php?workbook=16_15.xlsx&amp;sheet=A0&amp;row=481&amp;col=13&amp;number=&amp;sourceID=53","")</f>
        <v/>
      </c>
      <c r="N481" s="4" t="str">
        <f>HYPERLINK("http://141.218.60.56/~jnz1568/getInfo.php?workbook=16_15.xlsx&amp;sheet=A0&amp;row=481&amp;col=14&amp;number=&amp;sourceID=53","")</f>
        <v/>
      </c>
      <c r="O481" s="4" t="str">
        <f>HYPERLINK("http://141.218.60.56/~jnz1568/getInfo.php?workbook=16_15.xlsx&amp;sheet=A0&amp;row=481&amp;col=15&amp;number=&amp;sourceID=55","")</f>
        <v/>
      </c>
      <c r="P481" s="4" t="str">
        <f>HYPERLINK("http://141.218.60.56/~jnz1568/getInfo.php?workbook=16_15.xlsx&amp;sheet=A0&amp;row=481&amp;col=16&amp;number=&amp;sourceID=55","")</f>
        <v/>
      </c>
      <c r="Q481" s="4" t="str">
        <f>HYPERLINK("http://141.218.60.56/~jnz1568/getInfo.php?workbook=16_15.xlsx&amp;sheet=A0&amp;row=481&amp;col=17&amp;number=&amp;sourceID=56","")</f>
        <v/>
      </c>
      <c r="R481" s="4" t="str">
        <f>HYPERLINK("http://141.218.60.56/~jnz1568/getInfo.php?workbook=16_15.xlsx&amp;sheet=A0&amp;row=481&amp;col=18&amp;number=&amp;sourceID=56","")</f>
        <v/>
      </c>
      <c r="S481" s="4" t="str">
        <f>HYPERLINK("http://141.218.60.56/~jnz1568/getInfo.php?workbook=16_15.xlsx&amp;sheet=A0&amp;row=481&amp;col=19&amp;number=&amp;sourceID=57","")</f>
        <v/>
      </c>
      <c r="T481" s="4" t="str">
        <f>HYPERLINK("http://141.218.60.56/~jnz1568/getInfo.php?workbook=16_15.xlsx&amp;sheet=A0&amp;row=481&amp;col=20&amp;number=&amp;sourceID=57","")</f>
        <v/>
      </c>
      <c r="U481" s="4" t="str">
        <f>HYPERLINK("http://141.218.60.56/~jnz1568/getInfo.php?workbook=16_15.xlsx&amp;sheet=A0&amp;row=481&amp;col=21&amp;number=&amp;sourceID=47","")</f>
        <v/>
      </c>
      <c r="V481" s="4" t="str">
        <f>HYPERLINK("http://141.218.60.56/~jnz1568/getInfo.php?workbook=16_15.xlsx&amp;sheet=A0&amp;row=481&amp;col=22&amp;number=&amp;sourceID=47","")</f>
        <v/>
      </c>
    </row>
    <row r="482" spans="1:22">
      <c r="A482" s="3">
        <v>16</v>
      </c>
      <c r="B482" s="3">
        <v>15</v>
      </c>
      <c r="C482" s="3">
        <v>36</v>
      </c>
      <c r="D482" s="3">
        <v>7</v>
      </c>
      <c r="E482" s="3">
        <f>((1/(INDEX(E0!J$4:J$73,C482,1)-INDEX(E0!J$4:J$73,D482,1))))*100000000</f>
        <v>0</v>
      </c>
      <c r="F482" s="4" t="str">
        <f>HYPERLINK("http://141.218.60.56/~jnz1568/getInfo.php?workbook=16_15.xlsx&amp;sheet=A0&amp;row=482&amp;col=6&amp;number=2702.6&amp;sourceID=54","2702.6")</f>
        <v>2702.6</v>
      </c>
      <c r="G482" s="4" t="str">
        <f>HYPERLINK("http://141.218.60.56/~jnz1568/getInfo.php?workbook=16_15.xlsx&amp;sheet=A0&amp;row=482&amp;col=7&amp;number=&amp;sourceID=54","")</f>
        <v/>
      </c>
      <c r="H482" s="4" t="str">
        <f>HYPERLINK("http://141.218.60.56/~jnz1568/getInfo.php?workbook=16_15.xlsx&amp;sheet=A0&amp;row=482&amp;col=8&amp;number=&amp;sourceID=54","")</f>
        <v/>
      </c>
      <c r="I482" s="4" t="str">
        <f>HYPERLINK("http://141.218.60.56/~jnz1568/getInfo.php?workbook=16_15.xlsx&amp;sheet=A0&amp;row=482&amp;col=9&amp;number=2153.6&amp;sourceID=54","2153.6")</f>
        <v>2153.6</v>
      </c>
      <c r="J482" s="4" t="str">
        <f>HYPERLINK("http://141.218.60.56/~jnz1568/getInfo.php?workbook=16_15.xlsx&amp;sheet=A0&amp;row=482&amp;col=10&amp;number=&amp;sourceID=54","")</f>
        <v/>
      </c>
      <c r="K482" s="4" t="str">
        <f>HYPERLINK("http://141.218.60.56/~jnz1568/getInfo.php?workbook=16_15.xlsx&amp;sheet=A0&amp;row=482&amp;col=11&amp;number=&amp;sourceID=54","")</f>
        <v/>
      </c>
      <c r="L482" s="4" t="str">
        <f>HYPERLINK("http://141.218.60.56/~jnz1568/getInfo.php?workbook=16_15.xlsx&amp;sheet=A0&amp;row=482&amp;col=12&amp;number=19311.2054416&amp;sourceID=53","19311.2054416")</f>
        <v>19311.2054416</v>
      </c>
      <c r="M482" s="4" t="str">
        <f>HYPERLINK("http://141.218.60.56/~jnz1568/getInfo.php?workbook=16_15.xlsx&amp;sheet=A0&amp;row=482&amp;col=13&amp;number=&amp;sourceID=53","")</f>
        <v/>
      </c>
      <c r="N482" s="4" t="str">
        <f>HYPERLINK("http://141.218.60.56/~jnz1568/getInfo.php?workbook=16_15.xlsx&amp;sheet=A0&amp;row=482&amp;col=14&amp;number=&amp;sourceID=53","")</f>
        <v/>
      </c>
      <c r="O482" s="4" t="str">
        <f>HYPERLINK("http://141.218.60.56/~jnz1568/getInfo.php?workbook=16_15.xlsx&amp;sheet=A0&amp;row=482&amp;col=15&amp;number=&amp;sourceID=55","")</f>
        <v/>
      </c>
      <c r="P482" s="4" t="str">
        <f>HYPERLINK("http://141.218.60.56/~jnz1568/getInfo.php?workbook=16_15.xlsx&amp;sheet=A0&amp;row=482&amp;col=16&amp;number=&amp;sourceID=55","")</f>
        <v/>
      </c>
      <c r="Q482" s="4" t="str">
        <f>HYPERLINK("http://141.218.60.56/~jnz1568/getInfo.php?workbook=16_15.xlsx&amp;sheet=A0&amp;row=482&amp;col=17&amp;number=&amp;sourceID=56","")</f>
        <v/>
      </c>
      <c r="R482" s="4" t="str">
        <f>HYPERLINK("http://141.218.60.56/~jnz1568/getInfo.php?workbook=16_15.xlsx&amp;sheet=A0&amp;row=482&amp;col=18&amp;number=&amp;sourceID=56","")</f>
        <v/>
      </c>
      <c r="S482" s="4" t="str">
        <f>HYPERLINK("http://141.218.60.56/~jnz1568/getInfo.php?workbook=16_15.xlsx&amp;sheet=A0&amp;row=482&amp;col=19&amp;number=&amp;sourceID=57","")</f>
        <v/>
      </c>
      <c r="T482" s="4" t="str">
        <f>HYPERLINK("http://141.218.60.56/~jnz1568/getInfo.php?workbook=16_15.xlsx&amp;sheet=A0&amp;row=482&amp;col=20&amp;number=&amp;sourceID=57","")</f>
        <v/>
      </c>
      <c r="U482" s="4" t="str">
        <f>HYPERLINK("http://141.218.60.56/~jnz1568/getInfo.php?workbook=16_15.xlsx&amp;sheet=A0&amp;row=482&amp;col=21&amp;number=&amp;sourceID=47","")</f>
        <v/>
      </c>
      <c r="V482" s="4" t="str">
        <f>HYPERLINK("http://141.218.60.56/~jnz1568/getInfo.php?workbook=16_15.xlsx&amp;sheet=A0&amp;row=482&amp;col=22&amp;number=&amp;sourceID=47","")</f>
        <v/>
      </c>
    </row>
    <row r="483" spans="1:22">
      <c r="A483" s="3">
        <v>16</v>
      </c>
      <c r="B483" s="3">
        <v>15</v>
      </c>
      <c r="C483" s="3">
        <v>36</v>
      </c>
      <c r="D483" s="3">
        <v>9</v>
      </c>
      <c r="E483" s="3">
        <f>((1/(INDEX(E0!J$4:J$73,C483,1)-INDEX(E0!J$4:J$73,D483,1))))*100000000</f>
        <v>0</v>
      </c>
      <c r="F483" s="4" t="str">
        <f>HYPERLINK("http://141.218.60.56/~jnz1568/getInfo.php?workbook=16_15.xlsx&amp;sheet=A0&amp;row=483&amp;col=6&amp;number=563.86&amp;sourceID=54","563.86")</f>
        <v>563.86</v>
      </c>
      <c r="G483" s="4" t="str">
        <f>HYPERLINK("http://141.218.60.56/~jnz1568/getInfo.php?workbook=16_15.xlsx&amp;sheet=A0&amp;row=483&amp;col=7&amp;number=&amp;sourceID=54","")</f>
        <v/>
      </c>
      <c r="H483" s="4" t="str">
        <f>HYPERLINK("http://141.218.60.56/~jnz1568/getInfo.php?workbook=16_15.xlsx&amp;sheet=A0&amp;row=483&amp;col=8&amp;number=&amp;sourceID=54","")</f>
        <v/>
      </c>
      <c r="I483" s="4" t="str">
        <f>HYPERLINK("http://141.218.60.56/~jnz1568/getInfo.php?workbook=16_15.xlsx&amp;sheet=A0&amp;row=483&amp;col=9&amp;number=583.43&amp;sourceID=54","583.43")</f>
        <v>583.43</v>
      </c>
      <c r="J483" s="4" t="str">
        <f>HYPERLINK("http://141.218.60.56/~jnz1568/getInfo.php?workbook=16_15.xlsx&amp;sheet=A0&amp;row=483&amp;col=10&amp;number=&amp;sourceID=54","")</f>
        <v/>
      </c>
      <c r="K483" s="4" t="str">
        <f>HYPERLINK("http://141.218.60.56/~jnz1568/getInfo.php?workbook=16_15.xlsx&amp;sheet=A0&amp;row=483&amp;col=11&amp;number=&amp;sourceID=54","")</f>
        <v/>
      </c>
      <c r="L483" s="4" t="str">
        <f>HYPERLINK("http://141.218.60.56/~jnz1568/getInfo.php?workbook=16_15.xlsx&amp;sheet=A0&amp;row=483&amp;col=12&amp;number=2462.11460166&amp;sourceID=53","2462.11460166")</f>
        <v>2462.11460166</v>
      </c>
      <c r="M483" s="4" t="str">
        <f>HYPERLINK("http://141.218.60.56/~jnz1568/getInfo.php?workbook=16_15.xlsx&amp;sheet=A0&amp;row=483&amp;col=13&amp;number=&amp;sourceID=53","")</f>
        <v/>
      </c>
      <c r="N483" s="4" t="str">
        <f>HYPERLINK("http://141.218.60.56/~jnz1568/getInfo.php?workbook=16_15.xlsx&amp;sheet=A0&amp;row=483&amp;col=14&amp;number=&amp;sourceID=53","")</f>
        <v/>
      </c>
      <c r="O483" s="4" t="str">
        <f>HYPERLINK("http://141.218.60.56/~jnz1568/getInfo.php?workbook=16_15.xlsx&amp;sheet=A0&amp;row=483&amp;col=15&amp;number=&amp;sourceID=55","")</f>
        <v/>
      </c>
      <c r="P483" s="4" t="str">
        <f>HYPERLINK("http://141.218.60.56/~jnz1568/getInfo.php?workbook=16_15.xlsx&amp;sheet=A0&amp;row=483&amp;col=16&amp;number=&amp;sourceID=55","")</f>
        <v/>
      </c>
      <c r="Q483" s="4" t="str">
        <f>HYPERLINK("http://141.218.60.56/~jnz1568/getInfo.php?workbook=16_15.xlsx&amp;sheet=A0&amp;row=483&amp;col=17&amp;number=&amp;sourceID=56","")</f>
        <v/>
      </c>
      <c r="R483" s="4" t="str">
        <f>HYPERLINK("http://141.218.60.56/~jnz1568/getInfo.php?workbook=16_15.xlsx&amp;sheet=A0&amp;row=483&amp;col=18&amp;number=&amp;sourceID=56","")</f>
        <v/>
      </c>
      <c r="S483" s="4" t="str">
        <f>HYPERLINK("http://141.218.60.56/~jnz1568/getInfo.php?workbook=16_15.xlsx&amp;sheet=A0&amp;row=483&amp;col=19&amp;number=&amp;sourceID=57","")</f>
        <v/>
      </c>
      <c r="T483" s="4" t="str">
        <f>HYPERLINK("http://141.218.60.56/~jnz1568/getInfo.php?workbook=16_15.xlsx&amp;sheet=A0&amp;row=483&amp;col=20&amp;number=&amp;sourceID=57","")</f>
        <v/>
      </c>
      <c r="U483" s="4" t="str">
        <f>HYPERLINK("http://141.218.60.56/~jnz1568/getInfo.php?workbook=16_15.xlsx&amp;sheet=A0&amp;row=483&amp;col=21&amp;number=&amp;sourceID=47","")</f>
        <v/>
      </c>
      <c r="V483" s="4" t="str">
        <f>HYPERLINK("http://141.218.60.56/~jnz1568/getInfo.php?workbook=16_15.xlsx&amp;sheet=A0&amp;row=483&amp;col=22&amp;number=&amp;sourceID=47","")</f>
        <v/>
      </c>
    </row>
    <row r="484" spans="1:22">
      <c r="A484" s="3">
        <v>16</v>
      </c>
      <c r="B484" s="3">
        <v>15</v>
      </c>
      <c r="C484" s="3">
        <v>36</v>
      </c>
      <c r="D484" s="3">
        <v>10</v>
      </c>
      <c r="E484" s="3">
        <f>((1/(INDEX(E0!J$4:J$73,C484,1)-INDEX(E0!J$4:J$73,D484,1))))*100000000</f>
        <v>0</v>
      </c>
      <c r="F484" s="4" t="str">
        <f>HYPERLINK("http://141.218.60.56/~jnz1568/getInfo.php?workbook=16_15.xlsx&amp;sheet=A0&amp;row=484&amp;col=6&amp;number=316.01&amp;sourceID=54","316.01")</f>
        <v>316.01</v>
      </c>
      <c r="G484" s="4" t="str">
        <f>HYPERLINK("http://141.218.60.56/~jnz1568/getInfo.php?workbook=16_15.xlsx&amp;sheet=A0&amp;row=484&amp;col=7&amp;number=&amp;sourceID=54","")</f>
        <v/>
      </c>
      <c r="H484" s="4" t="str">
        <f>HYPERLINK("http://141.218.60.56/~jnz1568/getInfo.php?workbook=16_15.xlsx&amp;sheet=A0&amp;row=484&amp;col=8&amp;number=&amp;sourceID=54","")</f>
        <v/>
      </c>
      <c r="I484" s="4" t="str">
        <f>HYPERLINK("http://141.218.60.56/~jnz1568/getInfo.php?workbook=16_15.xlsx&amp;sheet=A0&amp;row=484&amp;col=9&amp;number=318.56&amp;sourceID=54","318.56")</f>
        <v>318.56</v>
      </c>
      <c r="J484" s="4" t="str">
        <f>HYPERLINK("http://141.218.60.56/~jnz1568/getInfo.php?workbook=16_15.xlsx&amp;sheet=A0&amp;row=484&amp;col=10&amp;number=&amp;sourceID=54","")</f>
        <v/>
      </c>
      <c r="K484" s="4" t="str">
        <f>HYPERLINK("http://141.218.60.56/~jnz1568/getInfo.php?workbook=16_15.xlsx&amp;sheet=A0&amp;row=484&amp;col=11&amp;number=&amp;sourceID=54","")</f>
        <v/>
      </c>
      <c r="L484" s="4" t="str">
        <f>HYPERLINK("http://141.218.60.56/~jnz1568/getInfo.php?workbook=16_15.xlsx&amp;sheet=A0&amp;row=484&amp;col=12&amp;number=2041.35942272&amp;sourceID=53","2041.35942272")</f>
        <v>2041.35942272</v>
      </c>
      <c r="M484" s="4" t="str">
        <f>HYPERLINK("http://141.218.60.56/~jnz1568/getInfo.php?workbook=16_15.xlsx&amp;sheet=A0&amp;row=484&amp;col=13&amp;number=&amp;sourceID=53","")</f>
        <v/>
      </c>
      <c r="N484" s="4" t="str">
        <f>HYPERLINK("http://141.218.60.56/~jnz1568/getInfo.php?workbook=16_15.xlsx&amp;sheet=A0&amp;row=484&amp;col=14&amp;number=&amp;sourceID=53","")</f>
        <v/>
      </c>
      <c r="O484" s="4" t="str">
        <f>HYPERLINK("http://141.218.60.56/~jnz1568/getInfo.php?workbook=16_15.xlsx&amp;sheet=A0&amp;row=484&amp;col=15&amp;number=&amp;sourceID=55","")</f>
        <v/>
      </c>
      <c r="P484" s="4" t="str">
        <f>HYPERLINK("http://141.218.60.56/~jnz1568/getInfo.php?workbook=16_15.xlsx&amp;sheet=A0&amp;row=484&amp;col=16&amp;number=&amp;sourceID=55","")</f>
        <v/>
      </c>
      <c r="Q484" s="4" t="str">
        <f>HYPERLINK("http://141.218.60.56/~jnz1568/getInfo.php?workbook=16_15.xlsx&amp;sheet=A0&amp;row=484&amp;col=17&amp;number=&amp;sourceID=56","")</f>
        <v/>
      </c>
      <c r="R484" s="4" t="str">
        <f>HYPERLINK("http://141.218.60.56/~jnz1568/getInfo.php?workbook=16_15.xlsx&amp;sheet=A0&amp;row=484&amp;col=18&amp;number=&amp;sourceID=56","")</f>
        <v/>
      </c>
      <c r="S484" s="4" t="str">
        <f>HYPERLINK("http://141.218.60.56/~jnz1568/getInfo.php?workbook=16_15.xlsx&amp;sheet=A0&amp;row=484&amp;col=19&amp;number=&amp;sourceID=57","")</f>
        <v/>
      </c>
      <c r="T484" s="4" t="str">
        <f>HYPERLINK("http://141.218.60.56/~jnz1568/getInfo.php?workbook=16_15.xlsx&amp;sheet=A0&amp;row=484&amp;col=20&amp;number=&amp;sourceID=57","")</f>
        <v/>
      </c>
      <c r="U484" s="4" t="str">
        <f>HYPERLINK("http://141.218.60.56/~jnz1568/getInfo.php?workbook=16_15.xlsx&amp;sheet=A0&amp;row=484&amp;col=21&amp;number=&amp;sourceID=47","")</f>
        <v/>
      </c>
      <c r="V484" s="4" t="str">
        <f>HYPERLINK("http://141.218.60.56/~jnz1568/getInfo.php?workbook=16_15.xlsx&amp;sheet=A0&amp;row=484&amp;col=22&amp;number=&amp;sourceID=47","")</f>
        <v/>
      </c>
    </row>
    <row r="485" spans="1:22">
      <c r="A485" s="3">
        <v>16</v>
      </c>
      <c r="B485" s="3">
        <v>15</v>
      </c>
      <c r="C485" s="3">
        <v>36</v>
      </c>
      <c r="D485" s="3">
        <v>11</v>
      </c>
      <c r="E485" s="3">
        <f>((1/(INDEX(E0!J$4:J$73,C485,1)-INDEX(E0!J$4:J$73,D485,1))))*100000000</f>
        <v>0</v>
      </c>
      <c r="F485" s="4" t="str">
        <f>HYPERLINK("http://141.218.60.56/~jnz1568/getInfo.php?workbook=16_15.xlsx&amp;sheet=A0&amp;row=485&amp;col=6&amp;number=4668.1&amp;sourceID=54","4668.1")</f>
        <v>4668.1</v>
      </c>
      <c r="G485" s="4" t="str">
        <f>HYPERLINK("http://141.218.60.56/~jnz1568/getInfo.php?workbook=16_15.xlsx&amp;sheet=A0&amp;row=485&amp;col=7&amp;number=&amp;sourceID=54","")</f>
        <v/>
      </c>
      <c r="H485" s="4" t="str">
        <f>HYPERLINK("http://141.218.60.56/~jnz1568/getInfo.php?workbook=16_15.xlsx&amp;sheet=A0&amp;row=485&amp;col=8&amp;number=&amp;sourceID=54","")</f>
        <v/>
      </c>
      <c r="I485" s="4" t="str">
        <f>HYPERLINK("http://141.218.60.56/~jnz1568/getInfo.php?workbook=16_15.xlsx&amp;sheet=A0&amp;row=485&amp;col=9&amp;number=4640.5&amp;sourceID=54","4640.5")</f>
        <v>4640.5</v>
      </c>
      <c r="J485" s="4" t="str">
        <f>HYPERLINK("http://141.218.60.56/~jnz1568/getInfo.php?workbook=16_15.xlsx&amp;sheet=A0&amp;row=485&amp;col=10&amp;number=&amp;sourceID=54","")</f>
        <v/>
      </c>
      <c r="K485" s="4" t="str">
        <f>HYPERLINK("http://141.218.60.56/~jnz1568/getInfo.php?workbook=16_15.xlsx&amp;sheet=A0&amp;row=485&amp;col=11&amp;number=&amp;sourceID=54","")</f>
        <v/>
      </c>
      <c r="L485" s="4" t="str">
        <f>HYPERLINK("http://141.218.60.56/~jnz1568/getInfo.php?workbook=16_15.xlsx&amp;sheet=A0&amp;row=485&amp;col=12&amp;number=2177.11904626&amp;sourceID=53","2177.11904626")</f>
        <v>2177.11904626</v>
      </c>
      <c r="M485" s="4" t="str">
        <f>HYPERLINK("http://141.218.60.56/~jnz1568/getInfo.php?workbook=16_15.xlsx&amp;sheet=A0&amp;row=485&amp;col=13&amp;number=&amp;sourceID=53","")</f>
        <v/>
      </c>
      <c r="N485" s="4" t="str">
        <f>HYPERLINK("http://141.218.60.56/~jnz1568/getInfo.php?workbook=16_15.xlsx&amp;sheet=A0&amp;row=485&amp;col=14&amp;number=&amp;sourceID=53","")</f>
        <v/>
      </c>
      <c r="O485" s="4" t="str">
        <f>HYPERLINK("http://141.218.60.56/~jnz1568/getInfo.php?workbook=16_15.xlsx&amp;sheet=A0&amp;row=485&amp;col=15&amp;number=&amp;sourceID=55","")</f>
        <v/>
      </c>
      <c r="P485" s="4" t="str">
        <f>HYPERLINK("http://141.218.60.56/~jnz1568/getInfo.php?workbook=16_15.xlsx&amp;sheet=A0&amp;row=485&amp;col=16&amp;number=&amp;sourceID=55","")</f>
        <v/>
      </c>
      <c r="Q485" s="4" t="str">
        <f>HYPERLINK("http://141.218.60.56/~jnz1568/getInfo.php?workbook=16_15.xlsx&amp;sheet=A0&amp;row=485&amp;col=17&amp;number=&amp;sourceID=56","")</f>
        <v/>
      </c>
      <c r="R485" s="4" t="str">
        <f>HYPERLINK("http://141.218.60.56/~jnz1568/getInfo.php?workbook=16_15.xlsx&amp;sheet=A0&amp;row=485&amp;col=18&amp;number=&amp;sourceID=56","")</f>
        <v/>
      </c>
      <c r="S485" s="4" t="str">
        <f>HYPERLINK("http://141.218.60.56/~jnz1568/getInfo.php?workbook=16_15.xlsx&amp;sheet=A0&amp;row=485&amp;col=19&amp;number=&amp;sourceID=57","")</f>
        <v/>
      </c>
      <c r="T485" s="4" t="str">
        <f>HYPERLINK("http://141.218.60.56/~jnz1568/getInfo.php?workbook=16_15.xlsx&amp;sheet=A0&amp;row=485&amp;col=20&amp;number=&amp;sourceID=57","")</f>
        <v/>
      </c>
      <c r="U485" s="4" t="str">
        <f>HYPERLINK("http://141.218.60.56/~jnz1568/getInfo.php?workbook=16_15.xlsx&amp;sheet=A0&amp;row=485&amp;col=21&amp;number=&amp;sourceID=47","")</f>
        <v/>
      </c>
      <c r="V485" s="4" t="str">
        <f>HYPERLINK("http://141.218.60.56/~jnz1568/getInfo.php?workbook=16_15.xlsx&amp;sheet=A0&amp;row=485&amp;col=22&amp;number=&amp;sourceID=47","")</f>
        <v/>
      </c>
    </row>
    <row r="486" spans="1:22">
      <c r="A486" s="3">
        <v>16</v>
      </c>
      <c r="B486" s="3">
        <v>15</v>
      </c>
      <c r="C486" s="3">
        <v>36</v>
      </c>
      <c r="D486" s="3">
        <v>14</v>
      </c>
      <c r="E486" s="3">
        <f>((1/(INDEX(E0!J$4:J$73,C486,1)-INDEX(E0!J$4:J$73,D486,1))))*100000000</f>
        <v>0</v>
      </c>
      <c r="F486" s="4" t="str">
        <f>HYPERLINK("http://141.218.60.56/~jnz1568/getInfo.php?workbook=16_15.xlsx&amp;sheet=A0&amp;row=486&amp;col=6&amp;number=63502000&amp;sourceID=54","63502000")</f>
        <v>63502000</v>
      </c>
      <c r="G486" s="4" t="str">
        <f>HYPERLINK("http://141.218.60.56/~jnz1568/getInfo.php?workbook=16_15.xlsx&amp;sheet=A0&amp;row=486&amp;col=7&amp;number=&amp;sourceID=54","")</f>
        <v/>
      </c>
      <c r="H486" s="4" t="str">
        <f>HYPERLINK("http://141.218.60.56/~jnz1568/getInfo.php?workbook=16_15.xlsx&amp;sheet=A0&amp;row=486&amp;col=8&amp;number=&amp;sourceID=54","")</f>
        <v/>
      </c>
      <c r="I486" s="4" t="str">
        <f>HYPERLINK("http://141.218.60.56/~jnz1568/getInfo.php?workbook=16_15.xlsx&amp;sheet=A0&amp;row=486&amp;col=9&amp;number=60345000&amp;sourceID=54","60345000")</f>
        <v>60345000</v>
      </c>
      <c r="J486" s="4" t="str">
        <f>HYPERLINK("http://141.218.60.56/~jnz1568/getInfo.php?workbook=16_15.xlsx&amp;sheet=A0&amp;row=486&amp;col=10&amp;number=&amp;sourceID=54","")</f>
        <v/>
      </c>
      <c r="K486" s="4" t="str">
        <f>HYPERLINK("http://141.218.60.56/~jnz1568/getInfo.php?workbook=16_15.xlsx&amp;sheet=A0&amp;row=486&amp;col=11&amp;number=&amp;sourceID=54","")</f>
        <v/>
      </c>
      <c r="L486" s="4" t="str">
        <f>HYPERLINK("http://141.218.60.56/~jnz1568/getInfo.php?workbook=16_15.xlsx&amp;sheet=A0&amp;row=486&amp;col=12&amp;number=63967067.5993&amp;sourceID=53","63967067.5993")</f>
        <v>63967067.5993</v>
      </c>
      <c r="M486" s="4" t="str">
        <f>HYPERLINK("http://141.218.60.56/~jnz1568/getInfo.php?workbook=16_15.xlsx&amp;sheet=A0&amp;row=486&amp;col=13&amp;number=&amp;sourceID=53","")</f>
        <v/>
      </c>
      <c r="N486" s="4" t="str">
        <f>HYPERLINK("http://141.218.60.56/~jnz1568/getInfo.php?workbook=16_15.xlsx&amp;sheet=A0&amp;row=486&amp;col=14&amp;number=&amp;sourceID=53","")</f>
        <v/>
      </c>
      <c r="O486" s="4" t="str">
        <f>HYPERLINK("http://141.218.60.56/~jnz1568/getInfo.php?workbook=16_15.xlsx&amp;sheet=A0&amp;row=486&amp;col=15&amp;number=&amp;sourceID=55","")</f>
        <v/>
      </c>
      <c r="P486" s="4" t="str">
        <f>HYPERLINK("http://141.218.60.56/~jnz1568/getInfo.php?workbook=16_15.xlsx&amp;sheet=A0&amp;row=486&amp;col=16&amp;number=&amp;sourceID=55","")</f>
        <v/>
      </c>
      <c r="Q486" s="4" t="str">
        <f>HYPERLINK("http://141.218.60.56/~jnz1568/getInfo.php?workbook=16_15.xlsx&amp;sheet=A0&amp;row=486&amp;col=17&amp;number=&amp;sourceID=56","")</f>
        <v/>
      </c>
      <c r="R486" s="4" t="str">
        <f>HYPERLINK("http://141.218.60.56/~jnz1568/getInfo.php?workbook=16_15.xlsx&amp;sheet=A0&amp;row=486&amp;col=18&amp;number=&amp;sourceID=56","")</f>
        <v/>
      </c>
      <c r="S486" s="4" t="str">
        <f>HYPERLINK("http://141.218.60.56/~jnz1568/getInfo.php?workbook=16_15.xlsx&amp;sheet=A0&amp;row=486&amp;col=19&amp;number=&amp;sourceID=57","")</f>
        <v/>
      </c>
      <c r="T486" s="4" t="str">
        <f>HYPERLINK("http://141.218.60.56/~jnz1568/getInfo.php?workbook=16_15.xlsx&amp;sheet=A0&amp;row=486&amp;col=20&amp;number=&amp;sourceID=57","")</f>
        <v/>
      </c>
      <c r="U486" s="4" t="str">
        <f>HYPERLINK("http://141.218.60.56/~jnz1568/getInfo.php?workbook=16_15.xlsx&amp;sheet=A0&amp;row=486&amp;col=21&amp;number=&amp;sourceID=47","")</f>
        <v/>
      </c>
      <c r="V486" s="4" t="str">
        <f>HYPERLINK("http://141.218.60.56/~jnz1568/getInfo.php?workbook=16_15.xlsx&amp;sheet=A0&amp;row=486&amp;col=22&amp;number=&amp;sourceID=47","")</f>
        <v/>
      </c>
    </row>
    <row r="487" spans="1:22">
      <c r="A487" s="3">
        <v>16</v>
      </c>
      <c r="B487" s="3">
        <v>15</v>
      </c>
      <c r="C487" s="3">
        <v>36</v>
      </c>
      <c r="D487" s="3">
        <v>15</v>
      </c>
      <c r="E487" s="3">
        <f>((1/(INDEX(E0!J$4:J$73,C487,1)-INDEX(E0!J$4:J$73,D487,1))))*100000000</f>
        <v>0</v>
      </c>
      <c r="F487" s="4" t="str">
        <f>HYPERLINK("http://141.218.60.56/~jnz1568/getInfo.php?workbook=16_15.xlsx&amp;sheet=A0&amp;row=487&amp;col=6&amp;number=311760&amp;sourceID=54","311760")</f>
        <v>311760</v>
      </c>
      <c r="G487" s="4" t="str">
        <f>HYPERLINK("http://141.218.60.56/~jnz1568/getInfo.php?workbook=16_15.xlsx&amp;sheet=A0&amp;row=487&amp;col=7&amp;number=&amp;sourceID=54","")</f>
        <v/>
      </c>
      <c r="H487" s="4" t="str">
        <f>HYPERLINK("http://141.218.60.56/~jnz1568/getInfo.php?workbook=16_15.xlsx&amp;sheet=A0&amp;row=487&amp;col=8&amp;number=&amp;sourceID=54","")</f>
        <v/>
      </c>
      <c r="I487" s="4" t="str">
        <f>HYPERLINK("http://141.218.60.56/~jnz1568/getInfo.php?workbook=16_15.xlsx&amp;sheet=A0&amp;row=487&amp;col=9&amp;number=322530&amp;sourceID=54","322530")</f>
        <v>322530</v>
      </c>
      <c r="J487" s="4" t="str">
        <f>HYPERLINK("http://141.218.60.56/~jnz1568/getInfo.php?workbook=16_15.xlsx&amp;sheet=A0&amp;row=487&amp;col=10&amp;number=&amp;sourceID=54","")</f>
        <v/>
      </c>
      <c r="K487" s="4" t="str">
        <f>HYPERLINK("http://141.218.60.56/~jnz1568/getInfo.php?workbook=16_15.xlsx&amp;sheet=A0&amp;row=487&amp;col=11&amp;number=&amp;sourceID=54","")</f>
        <v/>
      </c>
      <c r="L487" s="4" t="str">
        <f>HYPERLINK("http://141.218.60.56/~jnz1568/getInfo.php?workbook=16_15.xlsx&amp;sheet=A0&amp;row=487&amp;col=12&amp;number=310111.318201&amp;sourceID=53","310111.318201")</f>
        <v>310111.318201</v>
      </c>
      <c r="M487" s="4" t="str">
        <f>HYPERLINK("http://141.218.60.56/~jnz1568/getInfo.php?workbook=16_15.xlsx&amp;sheet=A0&amp;row=487&amp;col=13&amp;number=&amp;sourceID=53","")</f>
        <v/>
      </c>
      <c r="N487" s="4" t="str">
        <f>HYPERLINK("http://141.218.60.56/~jnz1568/getInfo.php?workbook=16_15.xlsx&amp;sheet=A0&amp;row=487&amp;col=14&amp;number=&amp;sourceID=53","")</f>
        <v/>
      </c>
      <c r="O487" s="4" t="str">
        <f>HYPERLINK("http://141.218.60.56/~jnz1568/getInfo.php?workbook=16_15.xlsx&amp;sheet=A0&amp;row=487&amp;col=15&amp;number=&amp;sourceID=55","")</f>
        <v/>
      </c>
      <c r="P487" s="4" t="str">
        <f>HYPERLINK("http://141.218.60.56/~jnz1568/getInfo.php?workbook=16_15.xlsx&amp;sheet=A0&amp;row=487&amp;col=16&amp;number=&amp;sourceID=55","")</f>
        <v/>
      </c>
      <c r="Q487" s="4" t="str">
        <f>HYPERLINK("http://141.218.60.56/~jnz1568/getInfo.php?workbook=16_15.xlsx&amp;sheet=A0&amp;row=487&amp;col=17&amp;number=&amp;sourceID=56","")</f>
        <v/>
      </c>
      <c r="R487" s="4" t="str">
        <f>HYPERLINK("http://141.218.60.56/~jnz1568/getInfo.php?workbook=16_15.xlsx&amp;sheet=A0&amp;row=487&amp;col=18&amp;number=&amp;sourceID=56","")</f>
        <v/>
      </c>
      <c r="S487" s="4" t="str">
        <f>HYPERLINK("http://141.218.60.56/~jnz1568/getInfo.php?workbook=16_15.xlsx&amp;sheet=A0&amp;row=487&amp;col=19&amp;number=&amp;sourceID=57","")</f>
        <v/>
      </c>
      <c r="T487" s="4" t="str">
        <f>HYPERLINK("http://141.218.60.56/~jnz1568/getInfo.php?workbook=16_15.xlsx&amp;sheet=A0&amp;row=487&amp;col=20&amp;number=&amp;sourceID=57","")</f>
        <v/>
      </c>
      <c r="U487" s="4" t="str">
        <f>HYPERLINK("http://141.218.60.56/~jnz1568/getInfo.php?workbook=16_15.xlsx&amp;sheet=A0&amp;row=487&amp;col=21&amp;number=&amp;sourceID=47","")</f>
        <v/>
      </c>
      <c r="V487" s="4" t="str">
        <f>HYPERLINK("http://141.218.60.56/~jnz1568/getInfo.php?workbook=16_15.xlsx&amp;sheet=A0&amp;row=487&amp;col=22&amp;number=&amp;sourceID=47","")</f>
        <v/>
      </c>
    </row>
    <row r="488" spans="1:22">
      <c r="A488" s="3">
        <v>16</v>
      </c>
      <c r="B488" s="3">
        <v>15</v>
      </c>
      <c r="C488" s="3">
        <v>36</v>
      </c>
      <c r="D488" s="3">
        <v>16</v>
      </c>
      <c r="E488" s="3">
        <f>((1/(INDEX(E0!J$4:J$73,C488,1)-INDEX(E0!J$4:J$73,D488,1))))*100000000</f>
        <v>0</v>
      </c>
      <c r="F488" s="4" t="str">
        <f>HYPERLINK("http://141.218.60.56/~jnz1568/getInfo.php?workbook=16_15.xlsx&amp;sheet=A0&amp;row=488&amp;col=6&amp;number=17588000&amp;sourceID=54","17588000")</f>
        <v>17588000</v>
      </c>
      <c r="G488" s="4" t="str">
        <f>HYPERLINK("http://141.218.60.56/~jnz1568/getInfo.php?workbook=16_15.xlsx&amp;sheet=A0&amp;row=488&amp;col=7&amp;number=&amp;sourceID=54","")</f>
        <v/>
      </c>
      <c r="H488" s="4" t="str">
        <f>HYPERLINK("http://141.218.60.56/~jnz1568/getInfo.php?workbook=16_15.xlsx&amp;sheet=A0&amp;row=488&amp;col=8&amp;number=&amp;sourceID=54","")</f>
        <v/>
      </c>
      <c r="I488" s="4" t="str">
        <f>HYPERLINK("http://141.218.60.56/~jnz1568/getInfo.php?workbook=16_15.xlsx&amp;sheet=A0&amp;row=488&amp;col=9&amp;number=16637000&amp;sourceID=54","16637000")</f>
        <v>16637000</v>
      </c>
      <c r="J488" s="4" t="str">
        <f>HYPERLINK("http://141.218.60.56/~jnz1568/getInfo.php?workbook=16_15.xlsx&amp;sheet=A0&amp;row=488&amp;col=10&amp;number=&amp;sourceID=54","")</f>
        <v/>
      </c>
      <c r="K488" s="4" t="str">
        <f>HYPERLINK("http://141.218.60.56/~jnz1568/getInfo.php?workbook=16_15.xlsx&amp;sheet=A0&amp;row=488&amp;col=11&amp;number=&amp;sourceID=54","")</f>
        <v/>
      </c>
      <c r="L488" s="4" t="str">
        <f>HYPERLINK("http://141.218.60.56/~jnz1568/getInfo.php?workbook=16_15.xlsx&amp;sheet=A0&amp;row=488&amp;col=12&amp;number=17365674.9198&amp;sourceID=53","17365674.9198")</f>
        <v>17365674.9198</v>
      </c>
      <c r="M488" s="4" t="str">
        <f>HYPERLINK("http://141.218.60.56/~jnz1568/getInfo.php?workbook=16_15.xlsx&amp;sheet=A0&amp;row=488&amp;col=13&amp;number=&amp;sourceID=53","")</f>
        <v/>
      </c>
      <c r="N488" s="4" t="str">
        <f>HYPERLINK("http://141.218.60.56/~jnz1568/getInfo.php?workbook=16_15.xlsx&amp;sheet=A0&amp;row=488&amp;col=14&amp;number=&amp;sourceID=53","")</f>
        <v/>
      </c>
      <c r="O488" s="4" t="str">
        <f>HYPERLINK("http://141.218.60.56/~jnz1568/getInfo.php?workbook=16_15.xlsx&amp;sheet=A0&amp;row=488&amp;col=15&amp;number=&amp;sourceID=55","")</f>
        <v/>
      </c>
      <c r="P488" s="4" t="str">
        <f>HYPERLINK("http://141.218.60.56/~jnz1568/getInfo.php?workbook=16_15.xlsx&amp;sheet=A0&amp;row=488&amp;col=16&amp;number=&amp;sourceID=55","")</f>
        <v/>
      </c>
      <c r="Q488" s="4" t="str">
        <f>HYPERLINK("http://141.218.60.56/~jnz1568/getInfo.php?workbook=16_15.xlsx&amp;sheet=A0&amp;row=488&amp;col=17&amp;number=&amp;sourceID=56","")</f>
        <v/>
      </c>
      <c r="R488" s="4" t="str">
        <f>HYPERLINK("http://141.218.60.56/~jnz1568/getInfo.php?workbook=16_15.xlsx&amp;sheet=A0&amp;row=488&amp;col=18&amp;number=&amp;sourceID=56","")</f>
        <v/>
      </c>
      <c r="S488" s="4" t="str">
        <f>HYPERLINK("http://141.218.60.56/~jnz1568/getInfo.php?workbook=16_15.xlsx&amp;sheet=A0&amp;row=488&amp;col=19&amp;number=&amp;sourceID=57","")</f>
        <v/>
      </c>
      <c r="T488" s="4" t="str">
        <f>HYPERLINK("http://141.218.60.56/~jnz1568/getInfo.php?workbook=16_15.xlsx&amp;sheet=A0&amp;row=488&amp;col=20&amp;number=&amp;sourceID=57","")</f>
        <v/>
      </c>
      <c r="U488" s="4" t="str">
        <f>HYPERLINK("http://141.218.60.56/~jnz1568/getInfo.php?workbook=16_15.xlsx&amp;sheet=A0&amp;row=488&amp;col=21&amp;number=&amp;sourceID=47","")</f>
        <v/>
      </c>
      <c r="V488" s="4" t="str">
        <f>HYPERLINK("http://141.218.60.56/~jnz1568/getInfo.php?workbook=16_15.xlsx&amp;sheet=A0&amp;row=488&amp;col=22&amp;number=&amp;sourceID=47","")</f>
        <v/>
      </c>
    </row>
    <row r="489" spans="1:22">
      <c r="A489" s="3">
        <v>16</v>
      </c>
      <c r="B489" s="3">
        <v>15</v>
      </c>
      <c r="C489" s="3">
        <v>36</v>
      </c>
      <c r="D489" s="3">
        <v>17</v>
      </c>
      <c r="E489" s="3">
        <f>((1/(INDEX(E0!J$4:J$73,C489,1)-INDEX(E0!J$4:J$73,D489,1))))*100000000</f>
        <v>0</v>
      </c>
      <c r="F489" s="4" t="str">
        <f>HYPERLINK("http://141.218.60.56/~jnz1568/getInfo.php?workbook=16_15.xlsx&amp;sheet=A0&amp;row=489&amp;col=6&amp;number=6112200&amp;sourceID=54","6112200")</f>
        <v>6112200</v>
      </c>
      <c r="G489" s="4" t="str">
        <f>HYPERLINK("http://141.218.60.56/~jnz1568/getInfo.php?workbook=16_15.xlsx&amp;sheet=A0&amp;row=489&amp;col=7&amp;number=&amp;sourceID=54","")</f>
        <v/>
      </c>
      <c r="H489" s="4" t="str">
        <f>HYPERLINK("http://141.218.60.56/~jnz1568/getInfo.php?workbook=16_15.xlsx&amp;sheet=A0&amp;row=489&amp;col=8&amp;number=&amp;sourceID=54","")</f>
        <v/>
      </c>
      <c r="I489" s="4" t="str">
        <f>HYPERLINK("http://141.218.60.56/~jnz1568/getInfo.php?workbook=16_15.xlsx&amp;sheet=A0&amp;row=489&amp;col=9&amp;number=6682200&amp;sourceID=54","6682200")</f>
        <v>6682200</v>
      </c>
      <c r="J489" s="4" t="str">
        <f>HYPERLINK("http://141.218.60.56/~jnz1568/getInfo.php?workbook=16_15.xlsx&amp;sheet=A0&amp;row=489&amp;col=10&amp;number=&amp;sourceID=54","")</f>
        <v/>
      </c>
      <c r="K489" s="4" t="str">
        <f>HYPERLINK("http://141.218.60.56/~jnz1568/getInfo.php?workbook=16_15.xlsx&amp;sheet=A0&amp;row=489&amp;col=11&amp;number=&amp;sourceID=54","")</f>
        <v/>
      </c>
      <c r="L489" s="4" t="str">
        <f>HYPERLINK("http://141.218.60.56/~jnz1568/getInfo.php?workbook=16_15.xlsx&amp;sheet=A0&amp;row=489&amp;col=12&amp;number=6587408.03404&amp;sourceID=53","6587408.03404")</f>
        <v>6587408.03404</v>
      </c>
      <c r="M489" s="4" t="str">
        <f>HYPERLINK("http://141.218.60.56/~jnz1568/getInfo.php?workbook=16_15.xlsx&amp;sheet=A0&amp;row=489&amp;col=13&amp;number=&amp;sourceID=53","")</f>
        <v/>
      </c>
      <c r="N489" s="4" t="str">
        <f>HYPERLINK("http://141.218.60.56/~jnz1568/getInfo.php?workbook=16_15.xlsx&amp;sheet=A0&amp;row=489&amp;col=14&amp;number=&amp;sourceID=53","")</f>
        <v/>
      </c>
      <c r="O489" s="4" t="str">
        <f>HYPERLINK("http://141.218.60.56/~jnz1568/getInfo.php?workbook=16_15.xlsx&amp;sheet=A0&amp;row=489&amp;col=15&amp;number=&amp;sourceID=55","")</f>
        <v/>
      </c>
      <c r="P489" s="4" t="str">
        <f>HYPERLINK("http://141.218.60.56/~jnz1568/getInfo.php?workbook=16_15.xlsx&amp;sheet=A0&amp;row=489&amp;col=16&amp;number=&amp;sourceID=55","")</f>
        <v/>
      </c>
      <c r="Q489" s="4" t="str">
        <f>HYPERLINK("http://141.218.60.56/~jnz1568/getInfo.php?workbook=16_15.xlsx&amp;sheet=A0&amp;row=489&amp;col=17&amp;number=&amp;sourceID=56","")</f>
        <v/>
      </c>
      <c r="R489" s="4" t="str">
        <f>HYPERLINK("http://141.218.60.56/~jnz1568/getInfo.php?workbook=16_15.xlsx&amp;sheet=A0&amp;row=489&amp;col=18&amp;number=&amp;sourceID=56","")</f>
        <v/>
      </c>
      <c r="S489" s="4" t="str">
        <f>HYPERLINK("http://141.218.60.56/~jnz1568/getInfo.php?workbook=16_15.xlsx&amp;sheet=A0&amp;row=489&amp;col=19&amp;number=&amp;sourceID=57","")</f>
        <v/>
      </c>
      <c r="T489" s="4" t="str">
        <f>HYPERLINK("http://141.218.60.56/~jnz1568/getInfo.php?workbook=16_15.xlsx&amp;sheet=A0&amp;row=489&amp;col=20&amp;number=&amp;sourceID=57","")</f>
        <v/>
      </c>
      <c r="U489" s="4" t="str">
        <f>HYPERLINK("http://141.218.60.56/~jnz1568/getInfo.php?workbook=16_15.xlsx&amp;sheet=A0&amp;row=489&amp;col=21&amp;number=&amp;sourceID=47","")</f>
        <v/>
      </c>
      <c r="V489" s="4" t="str">
        <f>HYPERLINK("http://141.218.60.56/~jnz1568/getInfo.php?workbook=16_15.xlsx&amp;sheet=A0&amp;row=489&amp;col=22&amp;number=&amp;sourceID=47","")</f>
        <v/>
      </c>
    </row>
    <row r="490" spans="1:22">
      <c r="A490" s="3">
        <v>16</v>
      </c>
      <c r="B490" s="3">
        <v>15</v>
      </c>
      <c r="C490" s="3">
        <v>36</v>
      </c>
      <c r="D490" s="3">
        <v>18</v>
      </c>
      <c r="E490" s="3">
        <f>((1/(INDEX(E0!J$4:J$73,C490,1)-INDEX(E0!J$4:J$73,D490,1))))*100000000</f>
        <v>0</v>
      </c>
      <c r="F490" s="4" t="str">
        <f>HYPERLINK("http://141.218.60.56/~jnz1568/getInfo.php?workbook=16_15.xlsx&amp;sheet=A0&amp;row=490&amp;col=6&amp;number=30470000&amp;sourceID=54","30470000")</f>
        <v>30470000</v>
      </c>
      <c r="G490" s="4" t="str">
        <f>HYPERLINK("http://141.218.60.56/~jnz1568/getInfo.php?workbook=16_15.xlsx&amp;sheet=A0&amp;row=490&amp;col=7&amp;number=&amp;sourceID=54","")</f>
        <v/>
      </c>
      <c r="H490" s="4" t="str">
        <f>HYPERLINK("http://141.218.60.56/~jnz1568/getInfo.php?workbook=16_15.xlsx&amp;sheet=A0&amp;row=490&amp;col=8&amp;number=&amp;sourceID=54","")</f>
        <v/>
      </c>
      <c r="I490" s="4" t="str">
        <f>HYPERLINK("http://141.218.60.56/~jnz1568/getInfo.php?workbook=16_15.xlsx&amp;sheet=A0&amp;row=490&amp;col=9&amp;number=32229000&amp;sourceID=54","32229000")</f>
        <v>32229000</v>
      </c>
      <c r="J490" s="4" t="str">
        <f>HYPERLINK("http://141.218.60.56/~jnz1568/getInfo.php?workbook=16_15.xlsx&amp;sheet=A0&amp;row=490&amp;col=10&amp;number=&amp;sourceID=54","")</f>
        <v/>
      </c>
      <c r="K490" s="4" t="str">
        <f>HYPERLINK("http://141.218.60.56/~jnz1568/getInfo.php?workbook=16_15.xlsx&amp;sheet=A0&amp;row=490&amp;col=11&amp;number=&amp;sourceID=54","")</f>
        <v/>
      </c>
      <c r="L490" s="4" t="str">
        <f>HYPERLINK("http://141.218.60.56/~jnz1568/getInfo.php?workbook=16_15.xlsx&amp;sheet=A0&amp;row=490&amp;col=12&amp;number=31401696.1216&amp;sourceID=53","31401696.1216")</f>
        <v>31401696.1216</v>
      </c>
      <c r="M490" s="4" t="str">
        <f>HYPERLINK("http://141.218.60.56/~jnz1568/getInfo.php?workbook=16_15.xlsx&amp;sheet=A0&amp;row=490&amp;col=13&amp;number=&amp;sourceID=53","")</f>
        <v/>
      </c>
      <c r="N490" s="4" t="str">
        <f>HYPERLINK("http://141.218.60.56/~jnz1568/getInfo.php?workbook=16_15.xlsx&amp;sheet=A0&amp;row=490&amp;col=14&amp;number=&amp;sourceID=53","")</f>
        <v/>
      </c>
      <c r="O490" s="4" t="str">
        <f>HYPERLINK("http://141.218.60.56/~jnz1568/getInfo.php?workbook=16_15.xlsx&amp;sheet=A0&amp;row=490&amp;col=15&amp;number=&amp;sourceID=55","")</f>
        <v/>
      </c>
      <c r="P490" s="4" t="str">
        <f>HYPERLINK("http://141.218.60.56/~jnz1568/getInfo.php?workbook=16_15.xlsx&amp;sheet=A0&amp;row=490&amp;col=16&amp;number=&amp;sourceID=55","")</f>
        <v/>
      </c>
      <c r="Q490" s="4" t="str">
        <f>HYPERLINK("http://141.218.60.56/~jnz1568/getInfo.php?workbook=16_15.xlsx&amp;sheet=A0&amp;row=490&amp;col=17&amp;number=&amp;sourceID=56","")</f>
        <v/>
      </c>
      <c r="R490" s="4" t="str">
        <f>HYPERLINK("http://141.218.60.56/~jnz1568/getInfo.php?workbook=16_15.xlsx&amp;sheet=A0&amp;row=490&amp;col=18&amp;number=&amp;sourceID=56","")</f>
        <v/>
      </c>
      <c r="S490" s="4" t="str">
        <f>HYPERLINK("http://141.218.60.56/~jnz1568/getInfo.php?workbook=16_15.xlsx&amp;sheet=A0&amp;row=490&amp;col=19&amp;number=&amp;sourceID=57","")</f>
        <v/>
      </c>
      <c r="T490" s="4" t="str">
        <f>HYPERLINK("http://141.218.60.56/~jnz1568/getInfo.php?workbook=16_15.xlsx&amp;sheet=A0&amp;row=490&amp;col=20&amp;number=&amp;sourceID=57","")</f>
        <v/>
      </c>
      <c r="U490" s="4" t="str">
        <f>HYPERLINK("http://141.218.60.56/~jnz1568/getInfo.php?workbook=16_15.xlsx&amp;sheet=A0&amp;row=490&amp;col=21&amp;number=&amp;sourceID=47","")</f>
        <v/>
      </c>
      <c r="V490" s="4" t="str">
        <f>HYPERLINK("http://141.218.60.56/~jnz1568/getInfo.php?workbook=16_15.xlsx&amp;sheet=A0&amp;row=490&amp;col=22&amp;number=&amp;sourceID=47","")</f>
        <v/>
      </c>
    </row>
    <row r="491" spans="1:22">
      <c r="A491" s="3">
        <v>16</v>
      </c>
      <c r="B491" s="3">
        <v>15</v>
      </c>
      <c r="C491" s="3">
        <v>36</v>
      </c>
      <c r="D491" s="3">
        <v>21</v>
      </c>
      <c r="E491" s="3">
        <f>((1/(INDEX(E0!J$4:J$73,C491,1)-INDEX(E0!J$4:J$73,D491,1))))*100000000</f>
        <v>0</v>
      </c>
      <c r="F491" s="4" t="str">
        <f>HYPERLINK("http://141.218.60.56/~jnz1568/getInfo.php?workbook=16_15.xlsx&amp;sheet=A0&amp;row=491&amp;col=6&amp;number=6714.3&amp;sourceID=54","6714.3")</f>
        <v>6714.3</v>
      </c>
      <c r="G491" s="4" t="str">
        <f>HYPERLINK("http://141.218.60.56/~jnz1568/getInfo.php?workbook=16_15.xlsx&amp;sheet=A0&amp;row=491&amp;col=7&amp;number=&amp;sourceID=54","")</f>
        <v/>
      </c>
      <c r="H491" s="4" t="str">
        <f>HYPERLINK("http://141.218.60.56/~jnz1568/getInfo.php?workbook=16_15.xlsx&amp;sheet=A0&amp;row=491&amp;col=8&amp;number=&amp;sourceID=54","")</f>
        <v/>
      </c>
      <c r="I491" s="4" t="str">
        <f>HYPERLINK("http://141.218.60.56/~jnz1568/getInfo.php?workbook=16_15.xlsx&amp;sheet=A0&amp;row=491&amp;col=9&amp;number=631.65&amp;sourceID=54","631.65")</f>
        <v>631.65</v>
      </c>
      <c r="J491" s="4" t="str">
        <f>HYPERLINK("http://141.218.60.56/~jnz1568/getInfo.php?workbook=16_15.xlsx&amp;sheet=A0&amp;row=491&amp;col=10&amp;number=&amp;sourceID=54","")</f>
        <v/>
      </c>
      <c r="K491" s="4" t="str">
        <f>HYPERLINK("http://141.218.60.56/~jnz1568/getInfo.php?workbook=16_15.xlsx&amp;sheet=A0&amp;row=491&amp;col=11&amp;number=&amp;sourceID=54","")</f>
        <v/>
      </c>
      <c r="L491" s="4" t="str">
        <f>HYPERLINK("http://141.218.60.56/~jnz1568/getInfo.php?workbook=16_15.xlsx&amp;sheet=A0&amp;row=491&amp;col=12&amp;number=15455.8055516&amp;sourceID=53","15455.8055516")</f>
        <v>15455.8055516</v>
      </c>
      <c r="M491" s="4" t="str">
        <f>HYPERLINK("http://141.218.60.56/~jnz1568/getInfo.php?workbook=16_15.xlsx&amp;sheet=A0&amp;row=491&amp;col=13&amp;number=&amp;sourceID=53","")</f>
        <v/>
      </c>
      <c r="N491" s="4" t="str">
        <f>HYPERLINK("http://141.218.60.56/~jnz1568/getInfo.php?workbook=16_15.xlsx&amp;sheet=A0&amp;row=491&amp;col=14&amp;number=&amp;sourceID=53","")</f>
        <v/>
      </c>
      <c r="O491" s="4" t="str">
        <f>HYPERLINK("http://141.218.60.56/~jnz1568/getInfo.php?workbook=16_15.xlsx&amp;sheet=A0&amp;row=491&amp;col=15&amp;number=&amp;sourceID=55","")</f>
        <v/>
      </c>
      <c r="P491" s="4" t="str">
        <f>HYPERLINK("http://141.218.60.56/~jnz1568/getInfo.php?workbook=16_15.xlsx&amp;sheet=A0&amp;row=491&amp;col=16&amp;number=&amp;sourceID=55","")</f>
        <v/>
      </c>
      <c r="Q491" s="4" t="str">
        <f>HYPERLINK("http://141.218.60.56/~jnz1568/getInfo.php?workbook=16_15.xlsx&amp;sheet=A0&amp;row=491&amp;col=17&amp;number=&amp;sourceID=56","")</f>
        <v/>
      </c>
      <c r="R491" s="4" t="str">
        <f>HYPERLINK("http://141.218.60.56/~jnz1568/getInfo.php?workbook=16_15.xlsx&amp;sheet=A0&amp;row=491&amp;col=18&amp;number=&amp;sourceID=56","")</f>
        <v/>
      </c>
      <c r="S491" s="4" t="str">
        <f>HYPERLINK("http://141.218.60.56/~jnz1568/getInfo.php?workbook=16_15.xlsx&amp;sheet=A0&amp;row=491&amp;col=19&amp;number=&amp;sourceID=57","")</f>
        <v/>
      </c>
      <c r="T491" s="4" t="str">
        <f>HYPERLINK("http://141.218.60.56/~jnz1568/getInfo.php?workbook=16_15.xlsx&amp;sheet=A0&amp;row=491&amp;col=20&amp;number=&amp;sourceID=57","")</f>
        <v/>
      </c>
      <c r="U491" s="4" t="str">
        <f>HYPERLINK("http://141.218.60.56/~jnz1568/getInfo.php?workbook=16_15.xlsx&amp;sheet=A0&amp;row=491&amp;col=21&amp;number=&amp;sourceID=47","")</f>
        <v/>
      </c>
      <c r="V491" s="4" t="str">
        <f>HYPERLINK("http://141.218.60.56/~jnz1568/getInfo.php?workbook=16_15.xlsx&amp;sheet=A0&amp;row=491&amp;col=22&amp;number=&amp;sourceID=47","")</f>
        <v/>
      </c>
    </row>
    <row r="492" spans="1:22">
      <c r="A492" s="3">
        <v>16</v>
      </c>
      <c r="B492" s="3">
        <v>15</v>
      </c>
      <c r="C492" s="3">
        <v>36</v>
      </c>
      <c r="D492" s="3">
        <v>23</v>
      </c>
      <c r="E492" s="3">
        <f>((1/(INDEX(E0!J$4:J$73,C492,1)-INDEX(E0!J$4:J$73,D492,1))))*100000000</f>
        <v>0</v>
      </c>
      <c r="F492" s="4" t="str">
        <f>HYPERLINK("http://141.218.60.56/~jnz1568/getInfo.php?workbook=16_15.xlsx&amp;sheet=A0&amp;row=492&amp;col=6&amp;number=739810&amp;sourceID=54","739810")</f>
        <v>739810</v>
      </c>
      <c r="G492" s="4" t="str">
        <f>HYPERLINK("http://141.218.60.56/~jnz1568/getInfo.php?workbook=16_15.xlsx&amp;sheet=A0&amp;row=492&amp;col=7&amp;number=&amp;sourceID=54","")</f>
        <v/>
      </c>
      <c r="H492" s="4" t="str">
        <f>HYPERLINK("http://141.218.60.56/~jnz1568/getInfo.php?workbook=16_15.xlsx&amp;sheet=A0&amp;row=492&amp;col=8&amp;number=&amp;sourceID=54","")</f>
        <v/>
      </c>
      <c r="I492" s="4" t="str">
        <f>HYPERLINK("http://141.218.60.56/~jnz1568/getInfo.php?workbook=16_15.xlsx&amp;sheet=A0&amp;row=492&amp;col=9&amp;number=779430&amp;sourceID=54","779430")</f>
        <v>779430</v>
      </c>
      <c r="J492" s="4" t="str">
        <f>HYPERLINK("http://141.218.60.56/~jnz1568/getInfo.php?workbook=16_15.xlsx&amp;sheet=A0&amp;row=492&amp;col=10&amp;number=&amp;sourceID=54","")</f>
        <v/>
      </c>
      <c r="K492" s="4" t="str">
        <f>HYPERLINK("http://141.218.60.56/~jnz1568/getInfo.php?workbook=16_15.xlsx&amp;sheet=A0&amp;row=492&amp;col=11&amp;number=&amp;sourceID=54","")</f>
        <v/>
      </c>
      <c r="L492" s="4" t="str">
        <f>HYPERLINK("http://141.218.60.56/~jnz1568/getInfo.php?workbook=16_15.xlsx&amp;sheet=A0&amp;row=492&amp;col=12&amp;number=840737.059269&amp;sourceID=53","840737.059269")</f>
        <v>840737.059269</v>
      </c>
      <c r="M492" s="4" t="str">
        <f>HYPERLINK("http://141.218.60.56/~jnz1568/getInfo.php?workbook=16_15.xlsx&amp;sheet=A0&amp;row=492&amp;col=13&amp;number=&amp;sourceID=53","")</f>
        <v/>
      </c>
      <c r="N492" s="4" t="str">
        <f>HYPERLINK("http://141.218.60.56/~jnz1568/getInfo.php?workbook=16_15.xlsx&amp;sheet=A0&amp;row=492&amp;col=14&amp;number=&amp;sourceID=53","")</f>
        <v/>
      </c>
      <c r="O492" s="4" t="str">
        <f>HYPERLINK("http://141.218.60.56/~jnz1568/getInfo.php?workbook=16_15.xlsx&amp;sheet=A0&amp;row=492&amp;col=15&amp;number=&amp;sourceID=55","")</f>
        <v/>
      </c>
      <c r="P492" s="4" t="str">
        <f>HYPERLINK("http://141.218.60.56/~jnz1568/getInfo.php?workbook=16_15.xlsx&amp;sheet=A0&amp;row=492&amp;col=16&amp;number=&amp;sourceID=55","")</f>
        <v/>
      </c>
      <c r="Q492" s="4" t="str">
        <f>HYPERLINK("http://141.218.60.56/~jnz1568/getInfo.php?workbook=16_15.xlsx&amp;sheet=A0&amp;row=492&amp;col=17&amp;number=&amp;sourceID=56","")</f>
        <v/>
      </c>
      <c r="R492" s="4" t="str">
        <f>HYPERLINK("http://141.218.60.56/~jnz1568/getInfo.php?workbook=16_15.xlsx&amp;sheet=A0&amp;row=492&amp;col=18&amp;number=&amp;sourceID=56","")</f>
        <v/>
      </c>
      <c r="S492" s="4" t="str">
        <f>HYPERLINK("http://141.218.60.56/~jnz1568/getInfo.php?workbook=16_15.xlsx&amp;sheet=A0&amp;row=492&amp;col=19&amp;number=&amp;sourceID=57","")</f>
        <v/>
      </c>
      <c r="T492" s="4" t="str">
        <f>HYPERLINK("http://141.218.60.56/~jnz1568/getInfo.php?workbook=16_15.xlsx&amp;sheet=A0&amp;row=492&amp;col=20&amp;number=&amp;sourceID=57","")</f>
        <v/>
      </c>
      <c r="U492" s="4" t="str">
        <f>HYPERLINK("http://141.218.60.56/~jnz1568/getInfo.php?workbook=16_15.xlsx&amp;sheet=A0&amp;row=492&amp;col=21&amp;number=&amp;sourceID=47","")</f>
        <v/>
      </c>
      <c r="V492" s="4" t="str">
        <f>HYPERLINK("http://141.218.60.56/~jnz1568/getInfo.php?workbook=16_15.xlsx&amp;sheet=A0&amp;row=492&amp;col=22&amp;number=&amp;sourceID=47","")</f>
        <v/>
      </c>
    </row>
    <row r="493" spans="1:22">
      <c r="A493" s="3">
        <v>16</v>
      </c>
      <c r="B493" s="3">
        <v>15</v>
      </c>
      <c r="C493" s="3">
        <v>36</v>
      </c>
      <c r="D493" s="3">
        <v>24</v>
      </c>
      <c r="E493" s="3">
        <f>((1/(INDEX(E0!J$4:J$73,C493,1)-INDEX(E0!J$4:J$73,D493,1))))*100000000</f>
        <v>0</v>
      </c>
      <c r="F493" s="4" t="str">
        <f>HYPERLINK("http://141.218.60.56/~jnz1568/getInfo.php?workbook=16_15.xlsx&amp;sheet=A0&amp;row=493&amp;col=6&amp;number=1674100&amp;sourceID=54","1674100")</f>
        <v>1674100</v>
      </c>
      <c r="G493" s="4" t="str">
        <f>HYPERLINK("http://141.218.60.56/~jnz1568/getInfo.php?workbook=16_15.xlsx&amp;sheet=A0&amp;row=493&amp;col=7&amp;number=&amp;sourceID=54","")</f>
        <v/>
      </c>
      <c r="H493" s="4" t="str">
        <f>HYPERLINK("http://141.218.60.56/~jnz1568/getInfo.php?workbook=16_15.xlsx&amp;sheet=A0&amp;row=493&amp;col=8&amp;number=&amp;sourceID=54","")</f>
        <v/>
      </c>
      <c r="I493" s="4" t="str">
        <f>HYPERLINK("http://141.218.60.56/~jnz1568/getInfo.php?workbook=16_15.xlsx&amp;sheet=A0&amp;row=493&amp;col=9&amp;number=1708700&amp;sourceID=54","1708700")</f>
        <v>1708700</v>
      </c>
      <c r="J493" s="4" t="str">
        <f>HYPERLINK("http://141.218.60.56/~jnz1568/getInfo.php?workbook=16_15.xlsx&amp;sheet=A0&amp;row=493&amp;col=10&amp;number=&amp;sourceID=54","")</f>
        <v/>
      </c>
      <c r="K493" s="4" t="str">
        <f>HYPERLINK("http://141.218.60.56/~jnz1568/getInfo.php?workbook=16_15.xlsx&amp;sheet=A0&amp;row=493&amp;col=11&amp;number=&amp;sourceID=54","")</f>
        <v/>
      </c>
      <c r="L493" s="4" t="str">
        <f>HYPERLINK("http://141.218.60.56/~jnz1568/getInfo.php?workbook=16_15.xlsx&amp;sheet=A0&amp;row=493&amp;col=12&amp;number=1817006.87828&amp;sourceID=53","1817006.87828")</f>
        <v>1817006.87828</v>
      </c>
      <c r="M493" s="4" t="str">
        <f>HYPERLINK("http://141.218.60.56/~jnz1568/getInfo.php?workbook=16_15.xlsx&amp;sheet=A0&amp;row=493&amp;col=13&amp;number=&amp;sourceID=53","")</f>
        <v/>
      </c>
      <c r="N493" s="4" t="str">
        <f>HYPERLINK("http://141.218.60.56/~jnz1568/getInfo.php?workbook=16_15.xlsx&amp;sheet=A0&amp;row=493&amp;col=14&amp;number=&amp;sourceID=53","")</f>
        <v/>
      </c>
      <c r="O493" s="4" t="str">
        <f>HYPERLINK("http://141.218.60.56/~jnz1568/getInfo.php?workbook=16_15.xlsx&amp;sheet=A0&amp;row=493&amp;col=15&amp;number=&amp;sourceID=55","")</f>
        <v/>
      </c>
      <c r="P493" s="4" t="str">
        <f>HYPERLINK("http://141.218.60.56/~jnz1568/getInfo.php?workbook=16_15.xlsx&amp;sheet=A0&amp;row=493&amp;col=16&amp;number=&amp;sourceID=55","")</f>
        <v/>
      </c>
      <c r="Q493" s="4" t="str">
        <f>HYPERLINK("http://141.218.60.56/~jnz1568/getInfo.php?workbook=16_15.xlsx&amp;sheet=A0&amp;row=493&amp;col=17&amp;number=&amp;sourceID=56","")</f>
        <v/>
      </c>
      <c r="R493" s="4" t="str">
        <f>HYPERLINK("http://141.218.60.56/~jnz1568/getInfo.php?workbook=16_15.xlsx&amp;sheet=A0&amp;row=493&amp;col=18&amp;number=&amp;sourceID=56","")</f>
        <v/>
      </c>
      <c r="S493" s="4" t="str">
        <f>HYPERLINK("http://141.218.60.56/~jnz1568/getInfo.php?workbook=16_15.xlsx&amp;sheet=A0&amp;row=493&amp;col=19&amp;number=&amp;sourceID=57","")</f>
        <v/>
      </c>
      <c r="T493" s="4" t="str">
        <f>HYPERLINK("http://141.218.60.56/~jnz1568/getInfo.php?workbook=16_15.xlsx&amp;sheet=A0&amp;row=493&amp;col=20&amp;number=&amp;sourceID=57","")</f>
        <v/>
      </c>
      <c r="U493" s="4" t="str">
        <f>HYPERLINK("http://141.218.60.56/~jnz1568/getInfo.php?workbook=16_15.xlsx&amp;sheet=A0&amp;row=493&amp;col=21&amp;number=&amp;sourceID=47","")</f>
        <v/>
      </c>
      <c r="V493" s="4" t="str">
        <f>HYPERLINK("http://141.218.60.56/~jnz1568/getInfo.php?workbook=16_15.xlsx&amp;sheet=A0&amp;row=493&amp;col=22&amp;number=&amp;sourceID=47","")</f>
        <v/>
      </c>
    </row>
    <row r="494" spans="1:22">
      <c r="A494" s="3">
        <v>16</v>
      </c>
      <c r="B494" s="3">
        <v>15</v>
      </c>
      <c r="C494" s="3">
        <v>36</v>
      </c>
      <c r="D494" s="3">
        <v>25</v>
      </c>
      <c r="E494" s="3">
        <f>((1/(INDEX(E0!J$4:J$73,C494,1)-INDEX(E0!J$4:J$73,D494,1))))*100000000</f>
        <v>0</v>
      </c>
      <c r="F494" s="4" t="str">
        <f>HYPERLINK("http://141.218.60.56/~jnz1568/getInfo.php?workbook=16_15.xlsx&amp;sheet=A0&amp;row=494&amp;col=6&amp;number=852900&amp;sourceID=54","852900")</f>
        <v>852900</v>
      </c>
      <c r="G494" s="4" t="str">
        <f>HYPERLINK("http://141.218.60.56/~jnz1568/getInfo.php?workbook=16_15.xlsx&amp;sheet=A0&amp;row=494&amp;col=7&amp;number=&amp;sourceID=54","")</f>
        <v/>
      </c>
      <c r="H494" s="4" t="str">
        <f>HYPERLINK("http://141.218.60.56/~jnz1568/getInfo.php?workbook=16_15.xlsx&amp;sheet=A0&amp;row=494&amp;col=8&amp;number=&amp;sourceID=54","")</f>
        <v/>
      </c>
      <c r="I494" s="4" t="str">
        <f>HYPERLINK("http://141.218.60.56/~jnz1568/getInfo.php?workbook=16_15.xlsx&amp;sheet=A0&amp;row=494&amp;col=9&amp;number=878940&amp;sourceID=54","878940")</f>
        <v>878940</v>
      </c>
      <c r="J494" s="4" t="str">
        <f>HYPERLINK("http://141.218.60.56/~jnz1568/getInfo.php?workbook=16_15.xlsx&amp;sheet=A0&amp;row=494&amp;col=10&amp;number=&amp;sourceID=54","")</f>
        <v/>
      </c>
      <c r="K494" s="4" t="str">
        <f>HYPERLINK("http://141.218.60.56/~jnz1568/getInfo.php?workbook=16_15.xlsx&amp;sheet=A0&amp;row=494&amp;col=11&amp;number=&amp;sourceID=54","")</f>
        <v/>
      </c>
      <c r="L494" s="4" t="str">
        <f>HYPERLINK("http://141.218.60.56/~jnz1568/getInfo.php?workbook=16_15.xlsx&amp;sheet=A0&amp;row=494&amp;col=12&amp;number=935835.642196&amp;sourceID=53","935835.642196")</f>
        <v>935835.642196</v>
      </c>
      <c r="M494" s="4" t="str">
        <f>HYPERLINK("http://141.218.60.56/~jnz1568/getInfo.php?workbook=16_15.xlsx&amp;sheet=A0&amp;row=494&amp;col=13&amp;number=&amp;sourceID=53","")</f>
        <v/>
      </c>
      <c r="N494" s="4" t="str">
        <f>HYPERLINK("http://141.218.60.56/~jnz1568/getInfo.php?workbook=16_15.xlsx&amp;sheet=A0&amp;row=494&amp;col=14&amp;number=&amp;sourceID=53","")</f>
        <v/>
      </c>
      <c r="O494" s="4" t="str">
        <f>HYPERLINK("http://141.218.60.56/~jnz1568/getInfo.php?workbook=16_15.xlsx&amp;sheet=A0&amp;row=494&amp;col=15&amp;number=&amp;sourceID=55","")</f>
        <v/>
      </c>
      <c r="P494" s="4" t="str">
        <f>HYPERLINK("http://141.218.60.56/~jnz1568/getInfo.php?workbook=16_15.xlsx&amp;sheet=A0&amp;row=494&amp;col=16&amp;number=&amp;sourceID=55","")</f>
        <v/>
      </c>
      <c r="Q494" s="4" t="str">
        <f>HYPERLINK("http://141.218.60.56/~jnz1568/getInfo.php?workbook=16_15.xlsx&amp;sheet=A0&amp;row=494&amp;col=17&amp;number=&amp;sourceID=56","")</f>
        <v/>
      </c>
      <c r="R494" s="4" t="str">
        <f>HYPERLINK("http://141.218.60.56/~jnz1568/getInfo.php?workbook=16_15.xlsx&amp;sheet=A0&amp;row=494&amp;col=18&amp;number=&amp;sourceID=56","")</f>
        <v/>
      </c>
      <c r="S494" s="4" t="str">
        <f>HYPERLINK("http://141.218.60.56/~jnz1568/getInfo.php?workbook=16_15.xlsx&amp;sheet=A0&amp;row=494&amp;col=19&amp;number=&amp;sourceID=57","")</f>
        <v/>
      </c>
      <c r="T494" s="4" t="str">
        <f>HYPERLINK("http://141.218.60.56/~jnz1568/getInfo.php?workbook=16_15.xlsx&amp;sheet=A0&amp;row=494&amp;col=20&amp;number=&amp;sourceID=57","")</f>
        <v/>
      </c>
      <c r="U494" s="4" t="str">
        <f>HYPERLINK("http://141.218.60.56/~jnz1568/getInfo.php?workbook=16_15.xlsx&amp;sheet=A0&amp;row=494&amp;col=21&amp;number=&amp;sourceID=47","")</f>
        <v/>
      </c>
      <c r="V494" s="4" t="str">
        <f>HYPERLINK("http://141.218.60.56/~jnz1568/getInfo.php?workbook=16_15.xlsx&amp;sheet=A0&amp;row=494&amp;col=22&amp;number=&amp;sourceID=47","")</f>
        <v/>
      </c>
    </row>
    <row r="495" spans="1:22">
      <c r="A495" s="3">
        <v>16</v>
      </c>
      <c r="B495" s="3">
        <v>15</v>
      </c>
      <c r="C495" s="3">
        <v>36</v>
      </c>
      <c r="D495" s="3">
        <v>26</v>
      </c>
      <c r="E495" s="3">
        <f>((1/(INDEX(E0!J$4:J$73,C495,1)-INDEX(E0!J$4:J$73,D495,1))))*100000000</f>
        <v>0</v>
      </c>
      <c r="F495" s="4" t="str">
        <f>HYPERLINK("http://141.218.60.56/~jnz1568/getInfo.php?workbook=16_15.xlsx&amp;sheet=A0&amp;row=495&amp;col=6&amp;number=26753&amp;sourceID=54","26753")</f>
        <v>26753</v>
      </c>
      <c r="G495" s="4" t="str">
        <f>HYPERLINK("http://141.218.60.56/~jnz1568/getInfo.php?workbook=16_15.xlsx&amp;sheet=A0&amp;row=495&amp;col=7&amp;number=&amp;sourceID=54","")</f>
        <v/>
      </c>
      <c r="H495" s="4" t="str">
        <f>HYPERLINK("http://141.218.60.56/~jnz1568/getInfo.php?workbook=16_15.xlsx&amp;sheet=A0&amp;row=495&amp;col=8&amp;number=&amp;sourceID=54","")</f>
        <v/>
      </c>
      <c r="I495" s="4" t="str">
        <f>HYPERLINK("http://141.218.60.56/~jnz1568/getInfo.php?workbook=16_15.xlsx&amp;sheet=A0&amp;row=495&amp;col=9&amp;number=71148&amp;sourceID=54","71148")</f>
        <v>71148</v>
      </c>
      <c r="J495" s="4" t="str">
        <f>HYPERLINK("http://141.218.60.56/~jnz1568/getInfo.php?workbook=16_15.xlsx&amp;sheet=A0&amp;row=495&amp;col=10&amp;number=&amp;sourceID=54","")</f>
        <v/>
      </c>
      <c r="K495" s="4" t="str">
        <f>HYPERLINK("http://141.218.60.56/~jnz1568/getInfo.php?workbook=16_15.xlsx&amp;sheet=A0&amp;row=495&amp;col=11&amp;number=&amp;sourceID=54","")</f>
        <v/>
      </c>
      <c r="L495" s="4" t="str">
        <f>HYPERLINK("http://141.218.60.56/~jnz1568/getInfo.php?workbook=16_15.xlsx&amp;sheet=A0&amp;row=495&amp;col=12&amp;number=72045.3289289&amp;sourceID=53","72045.3289289")</f>
        <v>72045.3289289</v>
      </c>
      <c r="M495" s="4" t="str">
        <f>HYPERLINK("http://141.218.60.56/~jnz1568/getInfo.php?workbook=16_15.xlsx&amp;sheet=A0&amp;row=495&amp;col=13&amp;number=&amp;sourceID=53","")</f>
        <v/>
      </c>
      <c r="N495" s="4" t="str">
        <f>HYPERLINK("http://141.218.60.56/~jnz1568/getInfo.php?workbook=16_15.xlsx&amp;sheet=A0&amp;row=495&amp;col=14&amp;number=&amp;sourceID=53","")</f>
        <v/>
      </c>
      <c r="O495" s="4" t="str">
        <f>HYPERLINK("http://141.218.60.56/~jnz1568/getInfo.php?workbook=16_15.xlsx&amp;sheet=A0&amp;row=495&amp;col=15&amp;number=&amp;sourceID=55","")</f>
        <v/>
      </c>
      <c r="P495" s="4" t="str">
        <f>HYPERLINK("http://141.218.60.56/~jnz1568/getInfo.php?workbook=16_15.xlsx&amp;sheet=A0&amp;row=495&amp;col=16&amp;number=&amp;sourceID=55","")</f>
        <v/>
      </c>
      <c r="Q495" s="4" t="str">
        <f>HYPERLINK("http://141.218.60.56/~jnz1568/getInfo.php?workbook=16_15.xlsx&amp;sheet=A0&amp;row=495&amp;col=17&amp;number=&amp;sourceID=56","")</f>
        <v/>
      </c>
      <c r="R495" s="4" t="str">
        <f>HYPERLINK("http://141.218.60.56/~jnz1568/getInfo.php?workbook=16_15.xlsx&amp;sheet=A0&amp;row=495&amp;col=18&amp;number=&amp;sourceID=56","")</f>
        <v/>
      </c>
      <c r="S495" s="4" t="str">
        <f>HYPERLINK("http://141.218.60.56/~jnz1568/getInfo.php?workbook=16_15.xlsx&amp;sheet=A0&amp;row=495&amp;col=19&amp;number=&amp;sourceID=57","")</f>
        <v/>
      </c>
      <c r="T495" s="4" t="str">
        <f>HYPERLINK("http://141.218.60.56/~jnz1568/getInfo.php?workbook=16_15.xlsx&amp;sheet=A0&amp;row=495&amp;col=20&amp;number=&amp;sourceID=57","")</f>
        <v/>
      </c>
      <c r="U495" s="4" t="str">
        <f>HYPERLINK("http://141.218.60.56/~jnz1568/getInfo.php?workbook=16_15.xlsx&amp;sheet=A0&amp;row=495&amp;col=21&amp;number=&amp;sourceID=47","")</f>
        <v/>
      </c>
      <c r="V495" s="4" t="str">
        <f>HYPERLINK("http://141.218.60.56/~jnz1568/getInfo.php?workbook=16_15.xlsx&amp;sheet=A0&amp;row=495&amp;col=22&amp;number=&amp;sourceID=47","")</f>
        <v/>
      </c>
    </row>
    <row r="496" spans="1:22">
      <c r="A496" s="3">
        <v>16</v>
      </c>
      <c r="B496" s="3">
        <v>15</v>
      </c>
      <c r="C496" s="3">
        <v>36</v>
      </c>
      <c r="D496" s="3">
        <v>27</v>
      </c>
      <c r="E496" s="3">
        <f>((1/(INDEX(E0!J$4:J$73,C496,1)-INDEX(E0!J$4:J$73,D496,1))))*100000000</f>
        <v>0</v>
      </c>
      <c r="F496" s="4" t="str">
        <f>HYPERLINK("http://141.218.60.56/~jnz1568/getInfo.php?workbook=16_15.xlsx&amp;sheet=A0&amp;row=496&amp;col=6&amp;number=7762.7&amp;sourceID=54","7762.7")</f>
        <v>7762.7</v>
      </c>
      <c r="G496" s="4" t="str">
        <f>HYPERLINK("http://141.218.60.56/~jnz1568/getInfo.php?workbook=16_15.xlsx&amp;sheet=A0&amp;row=496&amp;col=7&amp;number=&amp;sourceID=54","")</f>
        <v/>
      </c>
      <c r="H496" s="4" t="str">
        <f>HYPERLINK("http://141.218.60.56/~jnz1568/getInfo.php?workbook=16_15.xlsx&amp;sheet=A0&amp;row=496&amp;col=8&amp;number=&amp;sourceID=54","")</f>
        <v/>
      </c>
      <c r="I496" s="4" t="str">
        <f>HYPERLINK("http://141.218.60.56/~jnz1568/getInfo.php?workbook=16_15.xlsx&amp;sheet=A0&amp;row=496&amp;col=9&amp;number=22821&amp;sourceID=54","22821")</f>
        <v>22821</v>
      </c>
      <c r="J496" s="4" t="str">
        <f>HYPERLINK("http://141.218.60.56/~jnz1568/getInfo.php?workbook=16_15.xlsx&amp;sheet=A0&amp;row=496&amp;col=10&amp;number=&amp;sourceID=54","")</f>
        <v/>
      </c>
      <c r="K496" s="4" t="str">
        <f>HYPERLINK("http://141.218.60.56/~jnz1568/getInfo.php?workbook=16_15.xlsx&amp;sheet=A0&amp;row=496&amp;col=11&amp;number=&amp;sourceID=54","")</f>
        <v/>
      </c>
      <c r="L496" s="4" t="str">
        <f>HYPERLINK("http://141.218.60.56/~jnz1568/getInfo.php?workbook=16_15.xlsx&amp;sheet=A0&amp;row=496&amp;col=12&amp;number=23674.7133891&amp;sourceID=53","23674.7133891")</f>
        <v>23674.7133891</v>
      </c>
      <c r="M496" s="4" t="str">
        <f>HYPERLINK("http://141.218.60.56/~jnz1568/getInfo.php?workbook=16_15.xlsx&amp;sheet=A0&amp;row=496&amp;col=13&amp;number=&amp;sourceID=53","")</f>
        <v/>
      </c>
      <c r="N496" s="4" t="str">
        <f>HYPERLINK("http://141.218.60.56/~jnz1568/getInfo.php?workbook=16_15.xlsx&amp;sheet=A0&amp;row=496&amp;col=14&amp;number=&amp;sourceID=53","")</f>
        <v/>
      </c>
      <c r="O496" s="4" t="str">
        <f>HYPERLINK("http://141.218.60.56/~jnz1568/getInfo.php?workbook=16_15.xlsx&amp;sheet=A0&amp;row=496&amp;col=15&amp;number=&amp;sourceID=55","")</f>
        <v/>
      </c>
      <c r="P496" s="4" t="str">
        <f>HYPERLINK("http://141.218.60.56/~jnz1568/getInfo.php?workbook=16_15.xlsx&amp;sheet=A0&amp;row=496&amp;col=16&amp;number=&amp;sourceID=55","")</f>
        <v/>
      </c>
      <c r="Q496" s="4" t="str">
        <f>HYPERLINK("http://141.218.60.56/~jnz1568/getInfo.php?workbook=16_15.xlsx&amp;sheet=A0&amp;row=496&amp;col=17&amp;number=&amp;sourceID=56","")</f>
        <v/>
      </c>
      <c r="R496" s="4" t="str">
        <f>HYPERLINK("http://141.218.60.56/~jnz1568/getInfo.php?workbook=16_15.xlsx&amp;sheet=A0&amp;row=496&amp;col=18&amp;number=&amp;sourceID=56","")</f>
        <v/>
      </c>
      <c r="S496" s="4" t="str">
        <f>HYPERLINK("http://141.218.60.56/~jnz1568/getInfo.php?workbook=16_15.xlsx&amp;sheet=A0&amp;row=496&amp;col=19&amp;number=&amp;sourceID=57","")</f>
        <v/>
      </c>
      <c r="T496" s="4" t="str">
        <f>HYPERLINK("http://141.218.60.56/~jnz1568/getInfo.php?workbook=16_15.xlsx&amp;sheet=A0&amp;row=496&amp;col=20&amp;number=&amp;sourceID=57","")</f>
        <v/>
      </c>
      <c r="U496" s="4" t="str">
        <f>HYPERLINK("http://141.218.60.56/~jnz1568/getInfo.php?workbook=16_15.xlsx&amp;sheet=A0&amp;row=496&amp;col=21&amp;number=&amp;sourceID=47","")</f>
        <v/>
      </c>
      <c r="V496" s="4" t="str">
        <f>HYPERLINK("http://141.218.60.56/~jnz1568/getInfo.php?workbook=16_15.xlsx&amp;sheet=A0&amp;row=496&amp;col=22&amp;number=&amp;sourceID=47","")</f>
        <v/>
      </c>
    </row>
    <row r="497" spans="1:22">
      <c r="A497" s="3">
        <v>16</v>
      </c>
      <c r="B497" s="3">
        <v>15</v>
      </c>
      <c r="C497" s="3">
        <v>36</v>
      </c>
      <c r="D497" s="3">
        <v>29</v>
      </c>
      <c r="E497" s="3">
        <f>((1/(INDEX(E0!J$4:J$73,C497,1)-INDEX(E0!J$4:J$73,D497,1))))*100000000</f>
        <v>0</v>
      </c>
      <c r="F497" s="4" t="str">
        <f>HYPERLINK("http://141.218.60.56/~jnz1568/getInfo.php?workbook=16_15.xlsx&amp;sheet=A0&amp;row=497&amp;col=6&amp;number=9.5376&amp;sourceID=54","9.5376")</f>
        <v>9.5376</v>
      </c>
      <c r="G497" s="4" t="str">
        <f>HYPERLINK("http://141.218.60.56/~jnz1568/getInfo.php?workbook=16_15.xlsx&amp;sheet=A0&amp;row=497&amp;col=7&amp;number=&amp;sourceID=54","")</f>
        <v/>
      </c>
      <c r="H497" s="4" t="str">
        <f>HYPERLINK("http://141.218.60.56/~jnz1568/getInfo.php?workbook=16_15.xlsx&amp;sheet=A0&amp;row=497&amp;col=8&amp;number=&amp;sourceID=54","")</f>
        <v/>
      </c>
      <c r="I497" s="4" t="str">
        <f>HYPERLINK("http://141.218.60.56/~jnz1568/getInfo.php?workbook=16_15.xlsx&amp;sheet=A0&amp;row=497&amp;col=9&amp;number=11.411&amp;sourceID=54","11.411")</f>
        <v>11.411</v>
      </c>
      <c r="J497" s="4" t="str">
        <f>HYPERLINK("http://141.218.60.56/~jnz1568/getInfo.php?workbook=16_15.xlsx&amp;sheet=A0&amp;row=497&amp;col=10&amp;number=&amp;sourceID=54","")</f>
        <v/>
      </c>
      <c r="K497" s="4" t="str">
        <f>HYPERLINK("http://141.218.60.56/~jnz1568/getInfo.php?workbook=16_15.xlsx&amp;sheet=A0&amp;row=497&amp;col=11&amp;number=&amp;sourceID=54","")</f>
        <v/>
      </c>
      <c r="L497" s="4" t="str">
        <f>HYPERLINK("http://141.218.60.56/~jnz1568/getInfo.php?workbook=16_15.xlsx&amp;sheet=A0&amp;row=497&amp;col=12&amp;number=3.47028441531&amp;sourceID=53","3.47028441531")</f>
        <v>3.47028441531</v>
      </c>
      <c r="M497" s="4" t="str">
        <f>HYPERLINK("http://141.218.60.56/~jnz1568/getInfo.php?workbook=16_15.xlsx&amp;sheet=A0&amp;row=497&amp;col=13&amp;number=&amp;sourceID=53","")</f>
        <v/>
      </c>
      <c r="N497" s="4" t="str">
        <f>HYPERLINK("http://141.218.60.56/~jnz1568/getInfo.php?workbook=16_15.xlsx&amp;sheet=A0&amp;row=497&amp;col=14&amp;number=&amp;sourceID=53","")</f>
        <v/>
      </c>
      <c r="O497" s="4" t="str">
        <f>HYPERLINK("http://141.218.60.56/~jnz1568/getInfo.php?workbook=16_15.xlsx&amp;sheet=A0&amp;row=497&amp;col=15&amp;number=&amp;sourceID=55","")</f>
        <v/>
      </c>
      <c r="P497" s="4" t="str">
        <f>HYPERLINK("http://141.218.60.56/~jnz1568/getInfo.php?workbook=16_15.xlsx&amp;sheet=A0&amp;row=497&amp;col=16&amp;number=&amp;sourceID=55","")</f>
        <v/>
      </c>
      <c r="Q497" s="4" t="str">
        <f>HYPERLINK("http://141.218.60.56/~jnz1568/getInfo.php?workbook=16_15.xlsx&amp;sheet=A0&amp;row=497&amp;col=17&amp;number=&amp;sourceID=56","")</f>
        <v/>
      </c>
      <c r="R497" s="4" t="str">
        <f>HYPERLINK("http://141.218.60.56/~jnz1568/getInfo.php?workbook=16_15.xlsx&amp;sheet=A0&amp;row=497&amp;col=18&amp;number=&amp;sourceID=56","")</f>
        <v/>
      </c>
      <c r="S497" s="4" t="str">
        <f>HYPERLINK("http://141.218.60.56/~jnz1568/getInfo.php?workbook=16_15.xlsx&amp;sheet=A0&amp;row=497&amp;col=19&amp;number=&amp;sourceID=57","")</f>
        <v/>
      </c>
      <c r="T497" s="4" t="str">
        <f>HYPERLINK("http://141.218.60.56/~jnz1568/getInfo.php?workbook=16_15.xlsx&amp;sheet=A0&amp;row=497&amp;col=20&amp;number=&amp;sourceID=57","")</f>
        <v/>
      </c>
      <c r="U497" s="4" t="str">
        <f>HYPERLINK("http://141.218.60.56/~jnz1568/getInfo.php?workbook=16_15.xlsx&amp;sheet=A0&amp;row=497&amp;col=21&amp;number=&amp;sourceID=47","")</f>
        <v/>
      </c>
      <c r="V497" s="4" t="str">
        <f>HYPERLINK("http://141.218.60.56/~jnz1568/getInfo.php?workbook=16_15.xlsx&amp;sheet=A0&amp;row=497&amp;col=22&amp;number=&amp;sourceID=47","")</f>
        <v/>
      </c>
    </row>
    <row r="498" spans="1:22">
      <c r="A498" s="3">
        <v>16</v>
      </c>
      <c r="B498" s="3">
        <v>15</v>
      </c>
      <c r="C498" s="3">
        <v>36</v>
      </c>
      <c r="D498" s="3">
        <v>30</v>
      </c>
      <c r="E498" s="3">
        <f>((1/(INDEX(E0!J$4:J$73,C498,1)-INDEX(E0!J$4:J$73,D498,1))))*100000000</f>
        <v>0</v>
      </c>
      <c r="F498" s="4" t="str">
        <f>HYPERLINK("http://141.218.60.56/~jnz1568/getInfo.php?workbook=16_15.xlsx&amp;sheet=A0&amp;row=498&amp;col=6&amp;number=227.54&amp;sourceID=54","227.54")</f>
        <v>227.54</v>
      </c>
      <c r="G498" s="4" t="str">
        <f>HYPERLINK("http://141.218.60.56/~jnz1568/getInfo.php?workbook=16_15.xlsx&amp;sheet=A0&amp;row=498&amp;col=7&amp;number=&amp;sourceID=54","")</f>
        <v/>
      </c>
      <c r="H498" s="4" t="str">
        <f>HYPERLINK("http://141.218.60.56/~jnz1568/getInfo.php?workbook=16_15.xlsx&amp;sheet=A0&amp;row=498&amp;col=8&amp;number=&amp;sourceID=54","")</f>
        <v/>
      </c>
      <c r="I498" s="4" t="str">
        <f>HYPERLINK("http://141.218.60.56/~jnz1568/getInfo.php?workbook=16_15.xlsx&amp;sheet=A0&amp;row=498&amp;col=9&amp;number=275&amp;sourceID=54","275")</f>
        <v>275</v>
      </c>
      <c r="J498" s="4" t="str">
        <f>HYPERLINK("http://141.218.60.56/~jnz1568/getInfo.php?workbook=16_15.xlsx&amp;sheet=A0&amp;row=498&amp;col=10&amp;number=&amp;sourceID=54","")</f>
        <v/>
      </c>
      <c r="K498" s="4" t="str">
        <f>HYPERLINK("http://141.218.60.56/~jnz1568/getInfo.php?workbook=16_15.xlsx&amp;sheet=A0&amp;row=498&amp;col=11&amp;number=&amp;sourceID=54","")</f>
        <v/>
      </c>
      <c r="L498" s="4" t="str">
        <f>HYPERLINK("http://141.218.60.56/~jnz1568/getInfo.php?workbook=16_15.xlsx&amp;sheet=A0&amp;row=498&amp;col=12&amp;number=49.6338380181&amp;sourceID=53","49.6338380181")</f>
        <v>49.6338380181</v>
      </c>
      <c r="M498" s="4" t="str">
        <f>HYPERLINK("http://141.218.60.56/~jnz1568/getInfo.php?workbook=16_15.xlsx&amp;sheet=A0&amp;row=498&amp;col=13&amp;number=&amp;sourceID=53","")</f>
        <v/>
      </c>
      <c r="N498" s="4" t="str">
        <f>HYPERLINK("http://141.218.60.56/~jnz1568/getInfo.php?workbook=16_15.xlsx&amp;sheet=A0&amp;row=498&amp;col=14&amp;number=&amp;sourceID=53","")</f>
        <v/>
      </c>
      <c r="O498" s="4" t="str">
        <f>HYPERLINK("http://141.218.60.56/~jnz1568/getInfo.php?workbook=16_15.xlsx&amp;sheet=A0&amp;row=498&amp;col=15&amp;number=&amp;sourceID=55","")</f>
        <v/>
      </c>
      <c r="P498" s="4" t="str">
        <f>HYPERLINK("http://141.218.60.56/~jnz1568/getInfo.php?workbook=16_15.xlsx&amp;sheet=A0&amp;row=498&amp;col=16&amp;number=&amp;sourceID=55","")</f>
        <v/>
      </c>
      <c r="Q498" s="4" t="str">
        <f>HYPERLINK("http://141.218.60.56/~jnz1568/getInfo.php?workbook=16_15.xlsx&amp;sheet=A0&amp;row=498&amp;col=17&amp;number=&amp;sourceID=56","")</f>
        <v/>
      </c>
      <c r="R498" s="4" t="str">
        <f>HYPERLINK("http://141.218.60.56/~jnz1568/getInfo.php?workbook=16_15.xlsx&amp;sheet=A0&amp;row=498&amp;col=18&amp;number=&amp;sourceID=56","")</f>
        <v/>
      </c>
      <c r="S498" s="4" t="str">
        <f>HYPERLINK("http://141.218.60.56/~jnz1568/getInfo.php?workbook=16_15.xlsx&amp;sheet=A0&amp;row=498&amp;col=19&amp;number=&amp;sourceID=57","")</f>
        <v/>
      </c>
      <c r="T498" s="4" t="str">
        <f>HYPERLINK("http://141.218.60.56/~jnz1568/getInfo.php?workbook=16_15.xlsx&amp;sheet=A0&amp;row=498&amp;col=20&amp;number=&amp;sourceID=57","")</f>
        <v/>
      </c>
      <c r="U498" s="4" t="str">
        <f>HYPERLINK("http://141.218.60.56/~jnz1568/getInfo.php?workbook=16_15.xlsx&amp;sheet=A0&amp;row=498&amp;col=21&amp;number=&amp;sourceID=47","")</f>
        <v/>
      </c>
      <c r="V498" s="4" t="str">
        <f>HYPERLINK("http://141.218.60.56/~jnz1568/getInfo.php?workbook=16_15.xlsx&amp;sheet=A0&amp;row=498&amp;col=22&amp;number=&amp;sourceID=47","")</f>
        <v/>
      </c>
    </row>
    <row r="499" spans="1:22">
      <c r="A499" s="3">
        <v>16</v>
      </c>
      <c r="B499" s="3">
        <v>15</v>
      </c>
      <c r="C499" s="3">
        <v>36</v>
      </c>
      <c r="D499" s="3">
        <v>31</v>
      </c>
      <c r="E499" s="3">
        <f>((1/(INDEX(E0!J$4:J$73,C499,1)-INDEX(E0!J$4:J$73,D499,1))))*100000000</f>
        <v>0</v>
      </c>
      <c r="F499" s="4" t="str">
        <f>HYPERLINK("http://141.218.60.56/~jnz1568/getInfo.php?workbook=16_15.xlsx&amp;sheet=A0&amp;row=499&amp;col=6&amp;number=&amp;sourceID=54","")</f>
        <v/>
      </c>
      <c r="G499" s="4" t="str">
        <f>HYPERLINK("http://141.218.60.56/~jnz1568/getInfo.php?workbook=16_15.xlsx&amp;sheet=A0&amp;row=499&amp;col=7&amp;number=8.0405e-06&amp;sourceID=54","8.0405e-06")</f>
        <v>8.0405e-06</v>
      </c>
      <c r="H499" s="4" t="str">
        <f>HYPERLINK("http://141.218.60.56/~jnz1568/getInfo.php?workbook=16_15.xlsx&amp;sheet=A0&amp;row=499&amp;col=8&amp;number=&amp;sourceID=54","")</f>
        <v/>
      </c>
      <c r="I499" s="4" t="str">
        <f>HYPERLINK("http://141.218.60.56/~jnz1568/getInfo.php?workbook=16_15.xlsx&amp;sheet=A0&amp;row=499&amp;col=9&amp;number=&amp;sourceID=54","")</f>
        <v/>
      </c>
      <c r="J499" s="4" t="str">
        <f>HYPERLINK("http://141.218.60.56/~jnz1568/getInfo.php?workbook=16_15.xlsx&amp;sheet=A0&amp;row=499&amp;col=10&amp;number=7.5729e-06&amp;sourceID=54","7.5729e-06")</f>
        <v>7.5729e-06</v>
      </c>
      <c r="K499" s="4" t="str">
        <f>HYPERLINK("http://141.218.60.56/~jnz1568/getInfo.php?workbook=16_15.xlsx&amp;sheet=A0&amp;row=499&amp;col=11&amp;number=&amp;sourceID=54","")</f>
        <v/>
      </c>
      <c r="L499" s="4" t="str">
        <f>HYPERLINK("http://141.218.60.56/~jnz1568/getInfo.php?workbook=16_15.xlsx&amp;sheet=A0&amp;row=499&amp;col=12&amp;number=&amp;sourceID=53","")</f>
        <v/>
      </c>
      <c r="M499" s="4" t="str">
        <f>HYPERLINK("http://141.218.60.56/~jnz1568/getInfo.php?workbook=16_15.xlsx&amp;sheet=A0&amp;row=499&amp;col=13&amp;number=&amp;sourceID=53","")</f>
        <v/>
      </c>
      <c r="N499" s="4" t="str">
        <f>HYPERLINK("http://141.218.60.56/~jnz1568/getInfo.php?workbook=16_15.xlsx&amp;sheet=A0&amp;row=499&amp;col=14&amp;number=&amp;sourceID=53","")</f>
        <v/>
      </c>
      <c r="O499" s="4" t="str">
        <f>HYPERLINK("http://141.218.60.56/~jnz1568/getInfo.php?workbook=16_15.xlsx&amp;sheet=A0&amp;row=499&amp;col=15&amp;number=&amp;sourceID=55","")</f>
        <v/>
      </c>
      <c r="P499" s="4" t="str">
        <f>HYPERLINK("http://141.218.60.56/~jnz1568/getInfo.php?workbook=16_15.xlsx&amp;sheet=A0&amp;row=499&amp;col=16&amp;number=&amp;sourceID=55","")</f>
        <v/>
      </c>
      <c r="Q499" s="4" t="str">
        <f>HYPERLINK("http://141.218.60.56/~jnz1568/getInfo.php?workbook=16_15.xlsx&amp;sheet=A0&amp;row=499&amp;col=17&amp;number=&amp;sourceID=56","")</f>
        <v/>
      </c>
      <c r="R499" s="4" t="str">
        <f>HYPERLINK("http://141.218.60.56/~jnz1568/getInfo.php?workbook=16_15.xlsx&amp;sheet=A0&amp;row=499&amp;col=18&amp;number=&amp;sourceID=56","")</f>
        <v/>
      </c>
      <c r="S499" s="4" t="str">
        <f>HYPERLINK("http://141.218.60.56/~jnz1568/getInfo.php?workbook=16_15.xlsx&amp;sheet=A0&amp;row=499&amp;col=19&amp;number=&amp;sourceID=57","")</f>
        <v/>
      </c>
      <c r="T499" s="4" t="str">
        <f>HYPERLINK("http://141.218.60.56/~jnz1568/getInfo.php?workbook=16_15.xlsx&amp;sheet=A0&amp;row=499&amp;col=20&amp;number=&amp;sourceID=57","")</f>
        <v/>
      </c>
      <c r="U499" s="4" t="str">
        <f>HYPERLINK("http://141.218.60.56/~jnz1568/getInfo.php?workbook=16_15.xlsx&amp;sheet=A0&amp;row=499&amp;col=21&amp;number=&amp;sourceID=47","")</f>
        <v/>
      </c>
      <c r="V499" s="4" t="str">
        <f>HYPERLINK("http://141.218.60.56/~jnz1568/getInfo.php?workbook=16_15.xlsx&amp;sheet=A0&amp;row=499&amp;col=22&amp;number=&amp;sourceID=47","")</f>
        <v/>
      </c>
    </row>
    <row r="500" spans="1:22">
      <c r="A500" s="3">
        <v>16</v>
      </c>
      <c r="B500" s="3">
        <v>15</v>
      </c>
      <c r="C500" s="3">
        <v>36</v>
      </c>
      <c r="D500" s="3">
        <v>32</v>
      </c>
      <c r="E500" s="3">
        <f>((1/(INDEX(E0!J$4:J$73,C500,1)-INDEX(E0!J$4:J$73,D500,1))))*100000000</f>
        <v>0</v>
      </c>
      <c r="F500" s="4" t="str">
        <f>HYPERLINK("http://141.218.60.56/~jnz1568/getInfo.php?workbook=16_15.xlsx&amp;sheet=A0&amp;row=500&amp;col=6&amp;number=0.00023781&amp;sourceID=54","0.00023781")</f>
        <v>0.00023781</v>
      </c>
      <c r="G500" s="4" t="str">
        <f>HYPERLINK("http://141.218.60.56/~jnz1568/getInfo.php?workbook=16_15.xlsx&amp;sheet=A0&amp;row=500&amp;col=7&amp;number=&amp;sourceID=54","")</f>
        <v/>
      </c>
      <c r="H500" s="4" t="str">
        <f>HYPERLINK("http://141.218.60.56/~jnz1568/getInfo.php?workbook=16_15.xlsx&amp;sheet=A0&amp;row=500&amp;col=8&amp;number=&amp;sourceID=54","")</f>
        <v/>
      </c>
      <c r="I500" s="4" t="str">
        <f>HYPERLINK("http://141.218.60.56/~jnz1568/getInfo.php?workbook=16_15.xlsx&amp;sheet=A0&amp;row=500&amp;col=9&amp;number=0.30423&amp;sourceID=54","0.30423")</f>
        <v>0.30423</v>
      </c>
      <c r="J500" s="4" t="str">
        <f>HYPERLINK("http://141.218.60.56/~jnz1568/getInfo.php?workbook=16_15.xlsx&amp;sheet=A0&amp;row=500&amp;col=10&amp;number=&amp;sourceID=54","")</f>
        <v/>
      </c>
      <c r="K500" s="4" t="str">
        <f>HYPERLINK("http://141.218.60.56/~jnz1568/getInfo.php?workbook=16_15.xlsx&amp;sheet=A0&amp;row=500&amp;col=11&amp;number=&amp;sourceID=54","")</f>
        <v/>
      </c>
      <c r="L500" s="4" t="str">
        <f>HYPERLINK("http://141.218.60.56/~jnz1568/getInfo.php?workbook=16_15.xlsx&amp;sheet=A0&amp;row=500&amp;col=12&amp;number=0.548377737188&amp;sourceID=53","0.548377737188")</f>
        <v>0.548377737188</v>
      </c>
      <c r="M500" s="4" t="str">
        <f>HYPERLINK("http://141.218.60.56/~jnz1568/getInfo.php?workbook=16_15.xlsx&amp;sheet=A0&amp;row=500&amp;col=13&amp;number=&amp;sourceID=53","")</f>
        <v/>
      </c>
      <c r="N500" s="4" t="str">
        <f>HYPERLINK("http://141.218.60.56/~jnz1568/getInfo.php?workbook=16_15.xlsx&amp;sheet=A0&amp;row=500&amp;col=14&amp;number=&amp;sourceID=53","")</f>
        <v/>
      </c>
      <c r="O500" s="4" t="str">
        <f>HYPERLINK("http://141.218.60.56/~jnz1568/getInfo.php?workbook=16_15.xlsx&amp;sheet=A0&amp;row=500&amp;col=15&amp;number=&amp;sourceID=55","")</f>
        <v/>
      </c>
      <c r="P500" s="4" t="str">
        <f>HYPERLINK("http://141.218.60.56/~jnz1568/getInfo.php?workbook=16_15.xlsx&amp;sheet=A0&amp;row=500&amp;col=16&amp;number=&amp;sourceID=55","")</f>
        <v/>
      </c>
      <c r="Q500" s="4" t="str">
        <f>HYPERLINK("http://141.218.60.56/~jnz1568/getInfo.php?workbook=16_15.xlsx&amp;sheet=A0&amp;row=500&amp;col=17&amp;number=&amp;sourceID=56","")</f>
        <v/>
      </c>
      <c r="R500" s="4" t="str">
        <f>HYPERLINK("http://141.218.60.56/~jnz1568/getInfo.php?workbook=16_15.xlsx&amp;sheet=A0&amp;row=500&amp;col=18&amp;number=&amp;sourceID=56","")</f>
        <v/>
      </c>
      <c r="S500" s="4" t="str">
        <f>HYPERLINK("http://141.218.60.56/~jnz1568/getInfo.php?workbook=16_15.xlsx&amp;sheet=A0&amp;row=500&amp;col=19&amp;number=&amp;sourceID=57","")</f>
        <v/>
      </c>
      <c r="T500" s="4" t="str">
        <f>HYPERLINK("http://141.218.60.56/~jnz1568/getInfo.php?workbook=16_15.xlsx&amp;sheet=A0&amp;row=500&amp;col=20&amp;number=&amp;sourceID=57","")</f>
        <v/>
      </c>
      <c r="U500" s="4" t="str">
        <f>HYPERLINK("http://141.218.60.56/~jnz1568/getInfo.php?workbook=16_15.xlsx&amp;sheet=A0&amp;row=500&amp;col=21&amp;number=&amp;sourceID=47","")</f>
        <v/>
      </c>
      <c r="V500" s="4" t="str">
        <f>HYPERLINK("http://141.218.60.56/~jnz1568/getInfo.php?workbook=16_15.xlsx&amp;sheet=A0&amp;row=500&amp;col=22&amp;number=&amp;sourceID=47","")</f>
        <v/>
      </c>
    </row>
    <row r="501" spans="1:22">
      <c r="A501" s="3">
        <v>16</v>
      </c>
      <c r="B501" s="3">
        <v>15</v>
      </c>
      <c r="C501" s="3">
        <v>36</v>
      </c>
      <c r="D501" s="3">
        <v>34</v>
      </c>
      <c r="E501" s="3">
        <f>((1/(INDEX(E0!J$4:J$73,C501,1)-INDEX(E0!J$4:J$73,D501,1))))*100000000</f>
        <v>0</v>
      </c>
      <c r="F501" s="4" t="str">
        <f>HYPERLINK("http://141.218.60.56/~jnz1568/getInfo.php?workbook=16_15.xlsx&amp;sheet=A0&amp;row=501&amp;col=6&amp;number=&amp;sourceID=54","")</f>
        <v/>
      </c>
      <c r="G501" s="4" t="str">
        <f>HYPERLINK("http://141.218.60.56/~jnz1568/getInfo.php?workbook=16_15.xlsx&amp;sheet=A0&amp;row=501&amp;col=7&amp;number=7.2545e-09&amp;sourceID=54","7.2545e-09")</f>
        <v>7.2545e-09</v>
      </c>
      <c r="H501" s="4" t="str">
        <f>HYPERLINK("http://141.218.60.56/~jnz1568/getInfo.php?workbook=16_15.xlsx&amp;sheet=A0&amp;row=501&amp;col=8&amp;number=&amp;sourceID=54","")</f>
        <v/>
      </c>
      <c r="I501" s="4" t="str">
        <f>HYPERLINK("http://141.218.60.56/~jnz1568/getInfo.php?workbook=16_15.xlsx&amp;sheet=A0&amp;row=501&amp;col=9&amp;number=&amp;sourceID=54","")</f>
        <v/>
      </c>
      <c r="J501" s="4" t="str">
        <f>HYPERLINK("http://141.218.60.56/~jnz1568/getInfo.php?workbook=16_15.xlsx&amp;sheet=A0&amp;row=501&amp;col=10&amp;number=7.307e-09&amp;sourceID=54","7.307e-09")</f>
        <v>7.307e-09</v>
      </c>
      <c r="K501" s="4" t="str">
        <f>HYPERLINK("http://141.218.60.56/~jnz1568/getInfo.php?workbook=16_15.xlsx&amp;sheet=A0&amp;row=501&amp;col=11&amp;number=&amp;sourceID=54","")</f>
        <v/>
      </c>
      <c r="L501" s="4" t="str">
        <f>HYPERLINK("http://141.218.60.56/~jnz1568/getInfo.php?workbook=16_15.xlsx&amp;sheet=A0&amp;row=501&amp;col=12&amp;number=&amp;sourceID=53","")</f>
        <v/>
      </c>
      <c r="M501" s="4" t="str">
        <f>HYPERLINK("http://141.218.60.56/~jnz1568/getInfo.php?workbook=16_15.xlsx&amp;sheet=A0&amp;row=501&amp;col=13&amp;number=&amp;sourceID=53","")</f>
        <v/>
      </c>
      <c r="N501" s="4" t="str">
        <f>HYPERLINK("http://141.218.60.56/~jnz1568/getInfo.php?workbook=16_15.xlsx&amp;sheet=A0&amp;row=501&amp;col=14&amp;number=&amp;sourceID=53","")</f>
        <v/>
      </c>
      <c r="O501" s="4" t="str">
        <f>HYPERLINK("http://141.218.60.56/~jnz1568/getInfo.php?workbook=16_15.xlsx&amp;sheet=A0&amp;row=501&amp;col=15&amp;number=&amp;sourceID=55","")</f>
        <v/>
      </c>
      <c r="P501" s="4" t="str">
        <f>HYPERLINK("http://141.218.60.56/~jnz1568/getInfo.php?workbook=16_15.xlsx&amp;sheet=A0&amp;row=501&amp;col=16&amp;number=&amp;sourceID=55","")</f>
        <v/>
      </c>
      <c r="Q501" s="4" t="str">
        <f>HYPERLINK("http://141.218.60.56/~jnz1568/getInfo.php?workbook=16_15.xlsx&amp;sheet=A0&amp;row=501&amp;col=17&amp;number=&amp;sourceID=56","")</f>
        <v/>
      </c>
      <c r="R501" s="4" t="str">
        <f>HYPERLINK("http://141.218.60.56/~jnz1568/getInfo.php?workbook=16_15.xlsx&amp;sheet=A0&amp;row=501&amp;col=18&amp;number=&amp;sourceID=56","")</f>
        <v/>
      </c>
      <c r="S501" s="4" t="str">
        <f>HYPERLINK("http://141.218.60.56/~jnz1568/getInfo.php?workbook=16_15.xlsx&amp;sheet=A0&amp;row=501&amp;col=19&amp;number=&amp;sourceID=57","")</f>
        <v/>
      </c>
      <c r="T501" s="4" t="str">
        <f>HYPERLINK("http://141.218.60.56/~jnz1568/getInfo.php?workbook=16_15.xlsx&amp;sheet=A0&amp;row=501&amp;col=20&amp;number=&amp;sourceID=57","")</f>
        <v/>
      </c>
      <c r="U501" s="4" t="str">
        <f>HYPERLINK("http://141.218.60.56/~jnz1568/getInfo.php?workbook=16_15.xlsx&amp;sheet=A0&amp;row=501&amp;col=21&amp;number=&amp;sourceID=47","")</f>
        <v/>
      </c>
      <c r="V501" s="4" t="str">
        <f>HYPERLINK("http://141.218.60.56/~jnz1568/getInfo.php?workbook=16_15.xlsx&amp;sheet=A0&amp;row=501&amp;col=22&amp;number=&amp;sourceID=47","")</f>
        <v/>
      </c>
    </row>
    <row r="502" spans="1:22">
      <c r="A502" s="3">
        <v>16</v>
      </c>
      <c r="B502" s="3">
        <v>15</v>
      </c>
      <c r="C502" s="3">
        <v>36</v>
      </c>
      <c r="D502" s="3">
        <v>35</v>
      </c>
      <c r="E502" s="3">
        <f>((1/(INDEX(E0!J$4:J$73,C502,1)-INDEX(E0!J$4:J$73,D502,1))))*100000000</f>
        <v>0</v>
      </c>
      <c r="F502" s="4" t="str">
        <f>HYPERLINK("http://141.218.60.56/~jnz1568/getInfo.php?workbook=16_15.xlsx&amp;sheet=A0&amp;row=502&amp;col=6&amp;number=&amp;sourceID=54","")</f>
        <v/>
      </c>
      <c r="G502" s="4" t="str">
        <f>HYPERLINK("http://141.218.60.56/~jnz1568/getInfo.php?workbook=16_15.xlsx&amp;sheet=A0&amp;row=502&amp;col=7&amp;number=3.1807e-09&amp;sourceID=54","3.1807e-09")</f>
        <v>3.1807e-09</v>
      </c>
      <c r="H502" s="4" t="str">
        <f>HYPERLINK("http://141.218.60.56/~jnz1568/getInfo.php?workbook=16_15.xlsx&amp;sheet=A0&amp;row=502&amp;col=8&amp;number=0.00044917&amp;sourceID=54","0.00044917")</f>
        <v>0.00044917</v>
      </c>
      <c r="I502" s="4" t="str">
        <f>HYPERLINK("http://141.218.60.56/~jnz1568/getInfo.php?workbook=16_15.xlsx&amp;sheet=A0&amp;row=502&amp;col=9&amp;number=&amp;sourceID=54","")</f>
        <v/>
      </c>
      <c r="J502" s="4" t="str">
        <f>HYPERLINK("http://141.218.60.56/~jnz1568/getInfo.php?workbook=16_15.xlsx&amp;sheet=A0&amp;row=502&amp;col=10&amp;number=3.1806e-09&amp;sourceID=54","3.1806e-09")</f>
        <v>3.1806e-09</v>
      </c>
      <c r="K502" s="4" t="str">
        <f>HYPERLINK("http://141.218.60.56/~jnz1568/getInfo.php?workbook=16_15.xlsx&amp;sheet=A0&amp;row=502&amp;col=11&amp;number=0.00044951&amp;sourceID=54","0.00044951")</f>
        <v>0.00044951</v>
      </c>
      <c r="L502" s="4" t="str">
        <f>HYPERLINK("http://141.218.60.56/~jnz1568/getInfo.php?workbook=16_15.xlsx&amp;sheet=A0&amp;row=502&amp;col=12&amp;number=&amp;sourceID=53","")</f>
        <v/>
      </c>
      <c r="M502" s="4" t="str">
        <f>HYPERLINK("http://141.218.60.56/~jnz1568/getInfo.php?workbook=16_15.xlsx&amp;sheet=A0&amp;row=502&amp;col=13&amp;number=&amp;sourceID=53","")</f>
        <v/>
      </c>
      <c r="N502" s="4" t="str">
        <f>HYPERLINK("http://141.218.60.56/~jnz1568/getInfo.php?workbook=16_15.xlsx&amp;sheet=A0&amp;row=502&amp;col=14&amp;number=&amp;sourceID=53","")</f>
        <v/>
      </c>
      <c r="O502" s="4" t="str">
        <f>HYPERLINK("http://141.218.60.56/~jnz1568/getInfo.php?workbook=16_15.xlsx&amp;sheet=A0&amp;row=502&amp;col=15&amp;number=&amp;sourceID=55","")</f>
        <v/>
      </c>
      <c r="P502" s="4" t="str">
        <f>HYPERLINK("http://141.218.60.56/~jnz1568/getInfo.php?workbook=16_15.xlsx&amp;sheet=A0&amp;row=502&amp;col=16&amp;number=&amp;sourceID=55","")</f>
        <v/>
      </c>
      <c r="Q502" s="4" t="str">
        <f>HYPERLINK("http://141.218.60.56/~jnz1568/getInfo.php?workbook=16_15.xlsx&amp;sheet=A0&amp;row=502&amp;col=17&amp;number=&amp;sourceID=56","")</f>
        <v/>
      </c>
      <c r="R502" s="4" t="str">
        <f>HYPERLINK("http://141.218.60.56/~jnz1568/getInfo.php?workbook=16_15.xlsx&amp;sheet=A0&amp;row=502&amp;col=18&amp;number=&amp;sourceID=56","")</f>
        <v/>
      </c>
      <c r="S502" s="4" t="str">
        <f>HYPERLINK("http://141.218.60.56/~jnz1568/getInfo.php?workbook=16_15.xlsx&amp;sheet=A0&amp;row=502&amp;col=19&amp;number=&amp;sourceID=57","")</f>
        <v/>
      </c>
      <c r="T502" s="4" t="str">
        <f>HYPERLINK("http://141.218.60.56/~jnz1568/getInfo.php?workbook=16_15.xlsx&amp;sheet=A0&amp;row=502&amp;col=20&amp;number=&amp;sourceID=57","")</f>
        <v/>
      </c>
      <c r="U502" s="4" t="str">
        <f>HYPERLINK("http://141.218.60.56/~jnz1568/getInfo.php?workbook=16_15.xlsx&amp;sheet=A0&amp;row=502&amp;col=21&amp;number=&amp;sourceID=47","")</f>
        <v/>
      </c>
      <c r="V502" s="4" t="str">
        <f>HYPERLINK("http://141.218.60.56/~jnz1568/getInfo.php?workbook=16_15.xlsx&amp;sheet=A0&amp;row=502&amp;col=22&amp;number=&amp;sourceID=47","")</f>
        <v/>
      </c>
    </row>
    <row r="503" spans="1:22">
      <c r="A503" s="3">
        <v>16</v>
      </c>
      <c r="B503" s="3">
        <v>15</v>
      </c>
      <c r="C503" s="3">
        <v>37</v>
      </c>
      <c r="D503" s="3">
        <v>1</v>
      </c>
      <c r="E503" s="3">
        <f>((1/(INDEX(E0!J$4:J$73,C503,1)-INDEX(E0!J$4:J$73,D503,1))))*100000000</f>
        <v>0</v>
      </c>
      <c r="F503" s="4" t="str">
        <f>HYPERLINK("http://141.218.60.56/~jnz1568/getInfo.php?workbook=16_15.xlsx&amp;sheet=A0&amp;row=503&amp;col=6&amp;number=&amp;sourceID=54","")</f>
        <v/>
      </c>
      <c r="G503" s="4" t="str">
        <f>HYPERLINK("http://141.218.60.56/~jnz1568/getInfo.php?workbook=16_15.xlsx&amp;sheet=A0&amp;row=503&amp;col=7&amp;number=9072.3&amp;sourceID=54","9072.3")</f>
        <v>9072.3</v>
      </c>
      <c r="H503" s="4" t="str">
        <f>HYPERLINK("http://141.218.60.56/~jnz1568/getInfo.php?workbook=16_15.xlsx&amp;sheet=A0&amp;row=503&amp;col=8&amp;number=&amp;sourceID=54","")</f>
        <v/>
      </c>
      <c r="I503" s="4" t="str">
        <f>HYPERLINK("http://141.218.60.56/~jnz1568/getInfo.php?workbook=16_15.xlsx&amp;sheet=A0&amp;row=503&amp;col=9&amp;number=&amp;sourceID=54","")</f>
        <v/>
      </c>
      <c r="J503" s="4" t="str">
        <f>HYPERLINK("http://141.218.60.56/~jnz1568/getInfo.php?workbook=16_15.xlsx&amp;sheet=A0&amp;row=503&amp;col=10&amp;number=9212.3&amp;sourceID=54","9212.3")</f>
        <v>9212.3</v>
      </c>
      <c r="K503" s="4" t="str">
        <f>HYPERLINK("http://141.218.60.56/~jnz1568/getInfo.php?workbook=16_15.xlsx&amp;sheet=A0&amp;row=503&amp;col=11&amp;number=&amp;sourceID=54","")</f>
        <v/>
      </c>
      <c r="L503" s="4" t="str">
        <f>HYPERLINK("http://141.218.60.56/~jnz1568/getInfo.php?workbook=16_15.xlsx&amp;sheet=A0&amp;row=503&amp;col=12&amp;number=&amp;sourceID=53","")</f>
        <v/>
      </c>
      <c r="M503" s="4" t="str">
        <f>HYPERLINK("http://141.218.60.56/~jnz1568/getInfo.php?workbook=16_15.xlsx&amp;sheet=A0&amp;row=503&amp;col=13&amp;number=&amp;sourceID=53","")</f>
        <v/>
      </c>
      <c r="N503" s="4" t="str">
        <f>HYPERLINK("http://141.218.60.56/~jnz1568/getInfo.php?workbook=16_15.xlsx&amp;sheet=A0&amp;row=503&amp;col=14&amp;number=&amp;sourceID=53","")</f>
        <v/>
      </c>
      <c r="O503" s="4" t="str">
        <f>HYPERLINK("http://141.218.60.56/~jnz1568/getInfo.php?workbook=16_15.xlsx&amp;sheet=A0&amp;row=503&amp;col=15&amp;number=&amp;sourceID=55","")</f>
        <v/>
      </c>
      <c r="P503" s="4" t="str">
        <f>HYPERLINK("http://141.218.60.56/~jnz1568/getInfo.php?workbook=16_15.xlsx&amp;sheet=A0&amp;row=503&amp;col=16&amp;number=&amp;sourceID=55","")</f>
        <v/>
      </c>
      <c r="Q503" s="4" t="str">
        <f>HYPERLINK("http://141.218.60.56/~jnz1568/getInfo.php?workbook=16_15.xlsx&amp;sheet=A0&amp;row=503&amp;col=17&amp;number=&amp;sourceID=56","")</f>
        <v/>
      </c>
      <c r="R503" s="4" t="str">
        <f>HYPERLINK("http://141.218.60.56/~jnz1568/getInfo.php?workbook=16_15.xlsx&amp;sheet=A0&amp;row=503&amp;col=18&amp;number=&amp;sourceID=56","")</f>
        <v/>
      </c>
      <c r="S503" s="4" t="str">
        <f>HYPERLINK("http://141.218.60.56/~jnz1568/getInfo.php?workbook=16_15.xlsx&amp;sheet=A0&amp;row=503&amp;col=19&amp;number=&amp;sourceID=57","")</f>
        <v/>
      </c>
      <c r="T503" s="4" t="str">
        <f>HYPERLINK("http://141.218.60.56/~jnz1568/getInfo.php?workbook=16_15.xlsx&amp;sheet=A0&amp;row=503&amp;col=20&amp;number=&amp;sourceID=57","")</f>
        <v/>
      </c>
      <c r="U503" s="4" t="str">
        <f>HYPERLINK("http://141.218.60.56/~jnz1568/getInfo.php?workbook=16_15.xlsx&amp;sheet=A0&amp;row=503&amp;col=21&amp;number=&amp;sourceID=47","")</f>
        <v/>
      </c>
      <c r="V503" s="4" t="str">
        <f>HYPERLINK("http://141.218.60.56/~jnz1568/getInfo.php?workbook=16_15.xlsx&amp;sheet=A0&amp;row=503&amp;col=22&amp;number=&amp;sourceID=47","")</f>
        <v/>
      </c>
    </row>
    <row r="504" spans="1:22">
      <c r="A504" s="3">
        <v>16</v>
      </c>
      <c r="B504" s="3">
        <v>15</v>
      </c>
      <c r="C504" s="3">
        <v>37</v>
      </c>
      <c r="D504" s="3">
        <v>2</v>
      </c>
      <c r="E504" s="3">
        <f>((1/(INDEX(E0!J$4:J$73,C504,1)-INDEX(E0!J$4:J$73,D504,1))))*100000000</f>
        <v>0</v>
      </c>
      <c r="F504" s="4" t="str">
        <f>HYPERLINK("http://141.218.60.56/~jnz1568/getInfo.php?workbook=16_15.xlsx&amp;sheet=A0&amp;row=504&amp;col=6&amp;number=&amp;sourceID=54","")</f>
        <v/>
      </c>
      <c r="G504" s="4" t="str">
        <f>HYPERLINK("http://141.218.60.56/~jnz1568/getInfo.php?workbook=16_15.xlsx&amp;sheet=A0&amp;row=504&amp;col=7&amp;number=0.29904&amp;sourceID=54","0.29904")</f>
        <v>0.29904</v>
      </c>
      <c r="H504" s="4" t="str">
        <f>HYPERLINK("http://141.218.60.56/~jnz1568/getInfo.php?workbook=16_15.xlsx&amp;sheet=A0&amp;row=504&amp;col=8&amp;number=&amp;sourceID=54","")</f>
        <v/>
      </c>
      <c r="I504" s="4" t="str">
        <f>HYPERLINK("http://141.218.60.56/~jnz1568/getInfo.php?workbook=16_15.xlsx&amp;sheet=A0&amp;row=504&amp;col=9&amp;number=&amp;sourceID=54","")</f>
        <v/>
      </c>
      <c r="J504" s="4" t="str">
        <f>HYPERLINK("http://141.218.60.56/~jnz1568/getInfo.php?workbook=16_15.xlsx&amp;sheet=A0&amp;row=504&amp;col=10&amp;number=0.34047&amp;sourceID=54","0.34047")</f>
        <v>0.34047</v>
      </c>
      <c r="K504" s="4" t="str">
        <f>HYPERLINK("http://141.218.60.56/~jnz1568/getInfo.php?workbook=16_15.xlsx&amp;sheet=A0&amp;row=504&amp;col=11&amp;number=&amp;sourceID=54","")</f>
        <v/>
      </c>
      <c r="L504" s="4" t="str">
        <f>HYPERLINK("http://141.218.60.56/~jnz1568/getInfo.php?workbook=16_15.xlsx&amp;sheet=A0&amp;row=504&amp;col=12&amp;number=&amp;sourceID=53","")</f>
        <v/>
      </c>
      <c r="M504" s="4" t="str">
        <f>HYPERLINK("http://141.218.60.56/~jnz1568/getInfo.php?workbook=16_15.xlsx&amp;sheet=A0&amp;row=504&amp;col=13&amp;number=&amp;sourceID=53","")</f>
        <v/>
      </c>
      <c r="N504" s="4" t="str">
        <f>HYPERLINK("http://141.218.60.56/~jnz1568/getInfo.php?workbook=16_15.xlsx&amp;sheet=A0&amp;row=504&amp;col=14&amp;number=&amp;sourceID=53","")</f>
        <v/>
      </c>
      <c r="O504" s="4" t="str">
        <f>HYPERLINK("http://141.218.60.56/~jnz1568/getInfo.php?workbook=16_15.xlsx&amp;sheet=A0&amp;row=504&amp;col=15&amp;number=&amp;sourceID=55","")</f>
        <v/>
      </c>
      <c r="P504" s="4" t="str">
        <f>HYPERLINK("http://141.218.60.56/~jnz1568/getInfo.php?workbook=16_15.xlsx&amp;sheet=A0&amp;row=504&amp;col=16&amp;number=&amp;sourceID=55","")</f>
        <v/>
      </c>
      <c r="Q504" s="4" t="str">
        <f>HYPERLINK("http://141.218.60.56/~jnz1568/getInfo.php?workbook=16_15.xlsx&amp;sheet=A0&amp;row=504&amp;col=17&amp;number=&amp;sourceID=56","")</f>
        <v/>
      </c>
      <c r="R504" s="4" t="str">
        <f>HYPERLINK("http://141.218.60.56/~jnz1568/getInfo.php?workbook=16_15.xlsx&amp;sheet=A0&amp;row=504&amp;col=18&amp;number=&amp;sourceID=56","")</f>
        <v/>
      </c>
      <c r="S504" s="4" t="str">
        <f>HYPERLINK("http://141.218.60.56/~jnz1568/getInfo.php?workbook=16_15.xlsx&amp;sheet=A0&amp;row=504&amp;col=19&amp;number=&amp;sourceID=57","")</f>
        <v/>
      </c>
      <c r="T504" s="4" t="str">
        <f>HYPERLINK("http://141.218.60.56/~jnz1568/getInfo.php?workbook=16_15.xlsx&amp;sheet=A0&amp;row=504&amp;col=20&amp;number=&amp;sourceID=57","")</f>
        <v/>
      </c>
      <c r="U504" s="4" t="str">
        <f>HYPERLINK("http://141.218.60.56/~jnz1568/getInfo.php?workbook=16_15.xlsx&amp;sheet=A0&amp;row=504&amp;col=21&amp;number=&amp;sourceID=47","")</f>
        <v/>
      </c>
      <c r="V504" s="4" t="str">
        <f>HYPERLINK("http://141.218.60.56/~jnz1568/getInfo.php?workbook=16_15.xlsx&amp;sheet=A0&amp;row=504&amp;col=22&amp;number=&amp;sourceID=47","")</f>
        <v/>
      </c>
    </row>
    <row r="505" spans="1:22">
      <c r="A505" s="3">
        <v>16</v>
      </c>
      <c r="B505" s="3">
        <v>15</v>
      </c>
      <c r="C505" s="3">
        <v>37</v>
      </c>
      <c r="D505" s="3">
        <v>3</v>
      </c>
      <c r="E505" s="3">
        <f>((1/(INDEX(E0!J$4:J$73,C505,1)-INDEX(E0!J$4:J$73,D505,1))))*100000000</f>
        <v>0</v>
      </c>
      <c r="F505" s="4" t="str">
        <f>HYPERLINK("http://141.218.60.56/~jnz1568/getInfo.php?workbook=16_15.xlsx&amp;sheet=A0&amp;row=505&amp;col=6&amp;number=&amp;sourceID=54","")</f>
        <v/>
      </c>
      <c r="G505" s="4" t="str">
        <f>HYPERLINK("http://141.218.60.56/~jnz1568/getInfo.php?workbook=16_15.xlsx&amp;sheet=A0&amp;row=505&amp;col=7&amp;number=3.0995&amp;sourceID=54","3.0995")</f>
        <v>3.0995</v>
      </c>
      <c r="H505" s="4" t="str">
        <f>HYPERLINK("http://141.218.60.56/~jnz1568/getInfo.php?workbook=16_15.xlsx&amp;sheet=A0&amp;row=505&amp;col=8&amp;number=0&amp;sourceID=54","0")</f>
        <v>0</v>
      </c>
      <c r="I505" s="4" t="str">
        <f>HYPERLINK("http://141.218.60.56/~jnz1568/getInfo.php?workbook=16_15.xlsx&amp;sheet=A0&amp;row=505&amp;col=9&amp;number=&amp;sourceID=54","")</f>
        <v/>
      </c>
      <c r="J505" s="4" t="str">
        <f>HYPERLINK("http://141.218.60.56/~jnz1568/getInfo.php?workbook=16_15.xlsx&amp;sheet=A0&amp;row=505&amp;col=10&amp;number=3.5038&amp;sourceID=54","3.5038")</f>
        <v>3.5038</v>
      </c>
      <c r="K505" s="4" t="str">
        <f>HYPERLINK("http://141.218.60.56/~jnz1568/getInfo.php?workbook=16_15.xlsx&amp;sheet=A0&amp;row=505&amp;col=11&amp;number=0&amp;sourceID=54","0")</f>
        <v>0</v>
      </c>
      <c r="L505" s="4" t="str">
        <f>HYPERLINK("http://141.218.60.56/~jnz1568/getInfo.php?workbook=16_15.xlsx&amp;sheet=A0&amp;row=505&amp;col=12&amp;number=&amp;sourceID=53","")</f>
        <v/>
      </c>
      <c r="M505" s="4" t="str">
        <f>HYPERLINK("http://141.218.60.56/~jnz1568/getInfo.php?workbook=16_15.xlsx&amp;sheet=A0&amp;row=505&amp;col=13&amp;number=&amp;sourceID=53","")</f>
        <v/>
      </c>
      <c r="N505" s="4" t="str">
        <f>HYPERLINK("http://141.218.60.56/~jnz1568/getInfo.php?workbook=16_15.xlsx&amp;sheet=A0&amp;row=505&amp;col=14&amp;number=&amp;sourceID=53","")</f>
        <v/>
      </c>
      <c r="O505" s="4" t="str">
        <f>HYPERLINK("http://141.218.60.56/~jnz1568/getInfo.php?workbook=16_15.xlsx&amp;sheet=A0&amp;row=505&amp;col=15&amp;number=&amp;sourceID=55","")</f>
        <v/>
      </c>
      <c r="P505" s="4" t="str">
        <f>HYPERLINK("http://141.218.60.56/~jnz1568/getInfo.php?workbook=16_15.xlsx&amp;sheet=A0&amp;row=505&amp;col=16&amp;number=&amp;sourceID=55","")</f>
        <v/>
      </c>
      <c r="Q505" s="4" t="str">
        <f>HYPERLINK("http://141.218.60.56/~jnz1568/getInfo.php?workbook=16_15.xlsx&amp;sheet=A0&amp;row=505&amp;col=17&amp;number=&amp;sourceID=56","")</f>
        <v/>
      </c>
      <c r="R505" s="4" t="str">
        <f>HYPERLINK("http://141.218.60.56/~jnz1568/getInfo.php?workbook=16_15.xlsx&amp;sheet=A0&amp;row=505&amp;col=18&amp;number=&amp;sourceID=56","")</f>
        <v/>
      </c>
      <c r="S505" s="4" t="str">
        <f>HYPERLINK("http://141.218.60.56/~jnz1568/getInfo.php?workbook=16_15.xlsx&amp;sheet=A0&amp;row=505&amp;col=19&amp;number=&amp;sourceID=57","")</f>
        <v/>
      </c>
      <c r="T505" s="4" t="str">
        <f>HYPERLINK("http://141.218.60.56/~jnz1568/getInfo.php?workbook=16_15.xlsx&amp;sheet=A0&amp;row=505&amp;col=20&amp;number=&amp;sourceID=57","")</f>
        <v/>
      </c>
      <c r="U505" s="4" t="str">
        <f>HYPERLINK("http://141.218.60.56/~jnz1568/getInfo.php?workbook=16_15.xlsx&amp;sheet=A0&amp;row=505&amp;col=21&amp;number=&amp;sourceID=47","")</f>
        <v/>
      </c>
      <c r="V505" s="4" t="str">
        <f>HYPERLINK("http://141.218.60.56/~jnz1568/getInfo.php?workbook=16_15.xlsx&amp;sheet=A0&amp;row=505&amp;col=22&amp;number=&amp;sourceID=47","")</f>
        <v/>
      </c>
    </row>
    <row r="506" spans="1:22">
      <c r="A506" s="3">
        <v>16</v>
      </c>
      <c r="B506" s="3">
        <v>15</v>
      </c>
      <c r="C506" s="3">
        <v>37</v>
      </c>
      <c r="D506" s="3">
        <v>5</v>
      </c>
      <c r="E506" s="3">
        <f>((1/(INDEX(E0!J$4:J$73,C506,1)-INDEX(E0!J$4:J$73,D506,1))))*100000000</f>
        <v>0</v>
      </c>
      <c r="F506" s="4" t="str">
        <f>HYPERLINK("http://141.218.60.56/~jnz1568/getInfo.php?workbook=16_15.xlsx&amp;sheet=A0&amp;row=506&amp;col=6&amp;number=&amp;sourceID=54","")</f>
        <v/>
      </c>
      <c r="G506" s="4" t="str">
        <f>HYPERLINK("http://141.218.60.56/~jnz1568/getInfo.php?workbook=16_15.xlsx&amp;sheet=A0&amp;row=506&amp;col=7&amp;number=0.018251&amp;sourceID=54","0.018251")</f>
        <v>0.018251</v>
      </c>
      <c r="H506" s="4" t="str">
        <f>HYPERLINK("http://141.218.60.56/~jnz1568/getInfo.php?workbook=16_15.xlsx&amp;sheet=A0&amp;row=506&amp;col=8&amp;number=&amp;sourceID=54","")</f>
        <v/>
      </c>
      <c r="I506" s="4" t="str">
        <f>HYPERLINK("http://141.218.60.56/~jnz1568/getInfo.php?workbook=16_15.xlsx&amp;sheet=A0&amp;row=506&amp;col=9&amp;number=&amp;sourceID=54","")</f>
        <v/>
      </c>
      <c r="J506" s="4" t="str">
        <f>HYPERLINK("http://141.218.60.56/~jnz1568/getInfo.php?workbook=16_15.xlsx&amp;sheet=A0&amp;row=506&amp;col=10&amp;number=0.030946&amp;sourceID=54","0.030946")</f>
        <v>0.030946</v>
      </c>
      <c r="K506" s="4" t="str">
        <f>HYPERLINK("http://141.218.60.56/~jnz1568/getInfo.php?workbook=16_15.xlsx&amp;sheet=A0&amp;row=506&amp;col=11&amp;number=&amp;sourceID=54","")</f>
        <v/>
      </c>
      <c r="L506" s="4" t="str">
        <f>HYPERLINK("http://141.218.60.56/~jnz1568/getInfo.php?workbook=16_15.xlsx&amp;sheet=A0&amp;row=506&amp;col=12&amp;number=&amp;sourceID=53","")</f>
        <v/>
      </c>
      <c r="M506" s="4" t="str">
        <f>HYPERLINK("http://141.218.60.56/~jnz1568/getInfo.php?workbook=16_15.xlsx&amp;sheet=A0&amp;row=506&amp;col=13&amp;number=&amp;sourceID=53","")</f>
        <v/>
      </c>
      <c r="N506" s="4" t="str">
        <f>HYPERLINK("http://141.218.60.56/~jnz1568/getInfo.php?workbook=16_15.xlsx&amp;sheet=A0&amp;row=506&amp;col=14&amp;number=&amp;sourceID=53","")</f>
        <v/>
      </c>
      <c r="O506" s="4" t="str">
        <f>HYPERLINK("http://141.218.60.56/~jnz1568/getInfo.php?workbook=16_15.xlsx&amp;sheet=A0&amp;row=506&amp;col=15&amp;number=&amp;sourceID=55","")</f>
        <v/>
      </c>
      <c r="P506" s="4" t="str">
        <f>HYPERLINK("http://141.218.60.56/~jnz1568/getInfo.php?workbook=16_15.xlsx&amp;sheet=A0&amp;row=506&amp;col=16&amp;number=&amp;sourceID=55","")</f>
        <v/>
      </c>
      <c r="Q506" s="4" t="str">
        <f>HYPERLINK("http://141.218.60.56/~jnz1568/getInfo.php?workbook=16_15.xlsx&amp;sheet=A0&amp;row=506&amp;col=17&amp;number=&amp;sourceID=56","")</f>
        <v/>
      </c>
      <c r="R506" s="4" t="str">
        <f>HYPERLINK("http://141.218.60.56/~jnz1568/getInfo.php?workbook=16_15.xlsx&amp;sheet=A0&amp;row=506&amp;col=18&amp;number=&amp;sourceID=56","")</f>
        <v/>
      </c>
      <c r="S506" s="4" t="str">
        <f>HYPERLINK("http://141.218.60.56/~jnz1568/getInfo.php?workbook=16_15.xlsx&amp;sheet=A0&amp;row=506&amp;col=19&amp;number=&amp;sourceID=57","")</f>
        <v/>
      </c>
      <c r="T506" s="4" t="str">
        <f>HYPERLINK("http://141.218.60.56/~jnz1568/getInfo.php?workbook=16_15.xlsx&amp;sheet=A0&amp;row=506&amp;col=20&amp;number=&amp;sourceID=57","")</f>
        <v/>
      </c>
      <c r="U506" s="4" t="str">
        <f>HYPERLINK("http://141.218.60.56/~jnz1568/getInfo.php?workbook=16_15.xlsx&amp;sheet=A0&amp;row=506&amp;col=21&amp;number=&amp;sourceID=47","")</f>
        <v/>
      </c>
      <c r="V506" s="4" t="str">
        <f>HYPERLINK("http://141.218.60.56/~jnz1568/getInfo.php?workbook=16_15.xlsx&amp;sheet=A0&amp;row=506&amp;col=22&amp;number=&amp;sourceID=47","")</f>
        <v/>
      </c>
    </row>
    <row r="507" spans="1:22">
      <c r="A507" s="3">
        <v>16</v>
      </c>
      <c r="B507" s="3">
        <v>15</v>
      </c>
      <c r="C507" s="3">
        <v>37</v>
      </c>
      <c r="D507" s="3">
        <v>6</v>
      </c>
      <c r="E507" s="3">
        <f>((1/(INDEX(E0!J$4:J$73,C507,1)-INDEX(E0!J$4:J$73,D507,1))))*100000000</f>
        <v>0</v>
      </c>
      <c r="F507" s="4" t="str">
        <f>HYPERLINK("http://141.218.60.56/~jnz1568/getInfo.php?workbook=16_15.xlsx&amp;sheet=A0&amp;row=507&amp;col=6&amp;number=47328&amp;sourceID=54","47328")</f>
        <v>47328</v>
      </c>
      <c r="G507" s="4" t="str">
        <f>HYPERLINK("http://141.218.60.56/~jnz1568/getInfo.php?workbook=16_15.xlsx&amp;sheet=A0&amp;row=507&amp;col=7&amp;number=&amp;sourceID=54","")</f>
        <v/>
      </c>
      <c r="H507" s="4" t="str">
        <f>HYPERLINK("http://141.218.60.56/~jnz1568/getInfo.php?workbook=16_15.xlsx&amp;sheet=A0&amp;row=507&amp;col=8&amp;number=&amp;sourceID=54","")</f>
        <v/>
      </c>
      <c r="I507" s="4" t="str">
        <f>HYPERLINK("http://141.218.60.56/~jnz1568/getInfo.php?workbook=16_15.xlsx&amp;sheet=A0&amp;row=507&amp;col=9&amp;number=45845&amp;sourceID=54","45845")</f>
        <v>45845</v>
      </c>
      <c r="J507" s="4" t="str">
        <f>HYPERLINK("http://141.218.60.56/~jnz1568/getInfo.php?workbook=16_15.xlsx&amp;sheet=A0&amp;row=507&amp;col=10&amp;number=&amp;sourceID=54","")</f>
        <v/>
      </c>
      <c r="K507" s="4" t="str">
        <f>HYPERLINK("http://141.218.60.56/~jnz1568/getInfo.php?workbook=16_15.xlsx&amp;sheet=A0&amp;row=507&amp;col=11&amp;number=&amp;sourceID=54","")</f>
        <v/>
      </c>
      <c r="L507" s="4" t="str">
        <f>HYPERLINK("http://141.218.60.56/~jnz1568/getInfo.php?workbook=16_15.xlsx&amp;sheet=A0&amp;row=507&amp;col=12&amp;number=2154.12056341&amp;sourceID=53","2154.12056341")</f>
        <v>2154.12056341</v>
      </c>
      <c r="M507" s="4" t="str">
        <f>HYPERLINK("http://141.218.60.56/~jnz1568/getInfo.php?workbook=16_15.xlsx&amp;sheet=A0&amp;row=507&amp;col=13&amp;number=&amp;sourceID=53","")</f>
        <v/>
      </c>
      <c r="N507" s="4" t="str">
        <f>HYPERLINK("http://141.218.60.56/~jnz1568/getInfo.php?workbook=16_15.xlsx&amp;sheet=A0&amp;row=507&amp;col=14&amp;number=&amp;sourceID=53","")</f>
        <v/>
      </c>
      <c r="O507" s="4" t="str">
        <f>HYPERLINK("http://141.218.60.56/~jnz1568/getInfo.php?workbook=16_15.xlsx&amp;sheet=A0&amp;row=507&amp;col=15&amp;number=&amp;sourceID=55","")</f>
        <v/>
      </c>
      <c r="P507" s="4" t="str">
        <f>HYPERLINK("http://141.218.60.56/~jnz1568/getInfo.php?workbook=16_15.xlsx&amp;sheet=A0&amp;row=507&amp;col=16&amp;number=&amp;sourceID=55","")</f>
        <v/>
      </c>
      <c r="Q507" s="4" t="str">
        <f>HYPERLINK("http://141.218.60.56/~jnz1568/getInfo.php?workbook=16_15.xlsx&amp;sheet=A0&amp;row=507&amp;col=17&amp;number=&amp;sourceID=56","")</f>
        <v/>
      </c>
      <c r="R507" s="4" t="str">
        <f>HYPERLINK("http://141.218.60.56/~jnz1568/getInfo.php?workbook=16_15.xlsx&amp;sheet=A0&amp;row=507&amp;col=18&amp;number=&amp;sourceID=56","")</f>
        <v/>
      </c>
      <c r="S507" s="4" t="str">
        <f>HYPERLINK("http://141.218.60.56/~jnz1568/getInfo.php?workbook=16_15.xlsx&amp;sheet=A0&amp;row=507&amp;col=19&amp;number=&amp;sourceID=57","")</f>
        <v/>
      </c>
      <c r="T507" s="4" t="str">
        <f>HYPERLINK("http://141.218.60.56/~jnz1568/getInfo.php?workbook=16_15.xlsx&amp;sheet=A0&amp;row=507&amp;col=20&amp;number=&amp;sourceID=57","")</f>
        <v/>
      </c>
      <c r="U507" s="4" t="str">
        <f>HYPERLINK("http://141.218.60.56/~jnz1568/getInfo.php?workbook=16_15.xlsx&amp;sheet=A0&amp;row=507&amp;col=21&amp;number=&amp;sourceID=47","")</f>
        <v/>
      </c>
      <c r="V507" s="4" t="str">
        <f>HYPERLINK("http://141.218.60.56/~jnz1568/getInfo.php?workbook=16_15.xlsx&amp;sheet=A0&amp;row=507&amp;col=22&amp;number=&amp;sourceID=47","")</f>
        <v/>
      </c>
    </row>
    <row r="508" spans="1:22">
      <c r="A508" s="3">
        <v>16</v>
      </c>
      <c r="B508" s="3">
        <v>15</v>
      </c>
      <c r="C508" s="3">
        <v>37</v>
      </c>
      <c r="D508" s="3">
        <v>10</v>
      </c>
      <c r="E508" s="3">
        <f>((1/(INDEX(E0!J$4:J$73,C508,1)-INDEX(E0!J$4:J$73,D508,1))))*100000000</f>
        <v>0</v>
      </c>
      <c r="F508" s="4" t="str">
        <f>HYPERLINK("http://141.218.60.56/~jnz1568/getInfo.php?workbook=16_15.xlsx&amp;sheet=A0&amp;row=508&amp;col=6&amp;number=1941.8&amp;sourceID=54","1941.8")</f>
        <v>1941.8</v>
      </c>
      <c r="G508" s="4" t="str">
        <f>HYPERLINK("http://141.218.60.56/~jnz1568/getInfo.php?workbook=16_15.xlsx&amp;sheet=A0&amp;row=508&amp;col=7&amp;number=&amp;sourceID=54","")</f>
        <v/>
      </c>
      <c r="H508" s="4" t="str">
        <f>HYPERLINK("http://141.218.60.56/~jnz1568/getInfo.php?workbook=16_15.xlsx&amp;sheet=A0&amp;row=508&amp;col=8&amp;number=&amp;sourceID=54","")</f>
        <v/>
      </c>
      <c r="I508" s="4" t="str">
        <f>HYPERLINK("http://141.218.60.56/~jnz1568/getInfo.php?workbook=16_15.xlsx&amp;sheet=A0&amp;row=508&amp;col=9&amp;number=2056.1&amp;sourceID=54","2056.1")</f>
        <v>2056.1</v>
      </c>
      <c r="J508" s="4" t="str">
        <f>HYPERLINK("http://141.218.60.56/~jnz1568/getInfo.php?workbook=16_15.xlsx&amp;sheet=A0&amp;row=508&amp;col=10&amp;number=&amp;sourceID=54","")</f>
        <v/>
      </c>
      <c r="K508" s="4" t="str">
        <f>HYPERLINK("http://141.218.60.56/~jnz1568/getInfo.php?workbook=16_15.xlsx&amp;sheet=A0&amp;row=508&amp;col=11&amp;number=&amp;sourceID=54","")</f>
        <v/>
      </c>
      <c r="L508" s="4" t="str">
        <f>HYPERLINK("http://141.218.60.56/~jnz1568/getInfo.php?workbook=16_15.xlsx&amp;sheet=A0&amp;row=508&amp;col=12&amp;number=6648.43373636&amp;sourceID=53","6648.43373636")</f>
        <v>6648.43373636</v>
      </c>
      <c r="M508" s="4" t="str">
        <f>HYPERLINK("http://141.218.60.56/~jnz1568/getInfo.php?workbook=16_15.xlsx&amp;sheet=A0&amp;row=508&amp;col=13&amp;number=&amp;sourceID=53","")</f>
        <v/>
      </c>
      <c r="N508" s="4" t="str">
        <f>HYPERLINK("http://141.218.60.56/~jnz1568/getInfo.php?workbook=16_15.xlsx&amp;sheet=A0&amp;row=508&amp;col=14&amp;number=&amp;sourceID=53","")</f>
        <v/>
      </c>
      <c r="O508" s="4" t="str">
        <f>HYPERLINK("http://141.218.60.56/~jnz1568/getInfo.php?workbook=16_15.xlsx&amp;sheet=A0&amp;row=508&amp;col=15&amp;number=&amp;sourceID=55","")</f>
        <v/>
      </c>
      <c r="P508" s="4" t="str">
        <f>HYPERLINK("http://141.218.60.56/~jnz1568/getInfo.php?workbook=16_15.xlsx&amp;sheet=A0&amp;row=508&amp;col=16&amp;number=&amp;sourceID=55","")</f>
        <v/>
      </c>
      <c r="Q508" s="4" t="str">
        <f>HYPERLINK("http://141.218.60.56/~jnz1568/getInfo.php?workbook=16_15.xlsx&amp;sheet=A0&amp;row=508&amp;col=17&amp;number=&amp;sourceID=56","")</f>
        <v/>
      </c>
      <c r="R508" s="4" t="str">
        <f>HYPERLINK("http://141.218.60.56/~jnz1568/getInfo.php?workbook=16_15.xlsx&amp;sheet=A0&amp;row=508&amp;col=18&amp;number=&amp;sourceID=56","")</f>
        <v/>
      </c>
      <c r="S508" s="4" t="str">
        <f>HYPERLINK("http://141.218.60.56/~jnz1568/getInfo.php?workbook=16_15.xlsx&amp;sheet=A0&amp;row=508&amp;col=19&amp;number=&amp;sourceID=57","")</f>
        <v/>
      </c>
      <c r="T508" s="4" t="str">
        <f>HYPERLINK("http://141.218.60.56/~jnz1568/getInfo.php?workbook=16_15.xlsx&amp;sheet=A0&amp;row=508&amp;col=20&amp;number=&amp;sourceID=57","")</f>
        <v/>
      </c>
      <c r="U508" s="4" t="str">
        <f>HYPERLINK("http://141.218.60.56/~jnz1568/getInfo.php?workbook=16_15.xlsx&amp;sheet=A0&amp;row=508&amp;col=21&amp;number=&amp;sourceID=47","")</f>
        <v/>
      </c>
      <c r="V508" s="4" t="str">
        <f>HYPERLINK("http://141.218.60.56/~jnz1568/getInfo.php?workbook=16_15.xlsx&amp;sheet=A0&amp;row=508&amp;col=22&amp;number=&amp;sourceID=47","")</f>
        <v/>
      </c>
    </row>
    <row r="509" spans="1:22">
      <c r="A509" s="3">
        <v>16</v>
      </c>
      <c r="B509" s="3">
        <v>15</v>
      </c>
      <c r="C509" s="3">
        <v>37</v>
      </c>
      <c r="D509" s="3">
        <v>16</v>
      </c>
      <c r="E509" s="3">
        <f>((1/(INDEX(E0!J$4:J$73,C509,1)-INDEX(E0!J$4:J$73,D509,1))))*100000000</f>
        <v>0</v>
      </c>
      <c r="F509" s="4" t="str">
        <f>HYPERLINK("http://141.218.60.56/~jnz1568/getInfo.php?workbook=16_15.xlsx&amp;sheet=A0&amp;row=509&amp;col=6&amp;number=81418000&amp;sourceID=54","81418000")</f>
        <v>81418000</v>
      </c>
      <c r="G509" s="4" t="str">
        <f>HYPERLINK("http://141.218.60.56/~jnz1568/getInfo.php?workbook=16_15.xlsx&amp;sheet=A0&amp;row=509&amp;col=7&amp;number=&amp;sourceID=54","")</f>
        <v/>
      </c>
      <c r="H509" s="4" t="str">
        <f>HYPERLINK("http://141.218.60.56/~jnz1568/getInfo.php?workbook=16_15.xlsx&amp;sheet=A0&amp;row=509&amp;col=8&amp;number=&amp;sourceID=54","")</f>
        <v/>
      </c>
      <c r="I509" s="4" t="str">
        <f>HYPERLINK("http://141.218.60.56/~jnz1568/getInfo.php?workbook=16_15.xlsx&amp;sheet=A0&amp;row=509&amp;col=9&amp;number=77549000&amp;sourceID=54","77549000")</f>
        <v>77549000</v>
      </c>
      <c r="J509" s="4" t="str">
        <f>HYPERLINK("http://141.218.60.56/~jnz1568/getInfo.php?workbook=16_15.xlsx&amp;sheet=A0&amp;row=509&amp;col=10&amp;number=&amp;sourceID=54","")</f>
        <v/>
      </c>
      <c r="K509" s="4" t="str">
        <f>HYPERLINK("http://141.218.60.56/~jnz1568/getInfo.php?workbook=16_15.xlsx&amp;sheet=A0&amp;row=509&amp;col=11&amp;number=&amp;sourceID=54","")</f>
        <v/>
      </c>
      <c r="L509" s="4" t="str">
        <f>HYPERLINK("http://141.218.60.56/~jnz1568/getInfo.php?workbook=16_15.xlsx&amp;sheet=A0&amp;row=509&amp;col=12&amp;number=82052080.6772&amp;sourceID=53","82052080.6772")</f>
        <v>82052080.6772</v>
      </c>
      <c r="M509" s="4" t="str">
        <f>HYPERLINK("http://141.218.60.56/~jnz1568/getInfo.php?workbook=16_15.xlsx&amp;sheet=A0&amp;row=509&amp;col=13&amp;number=&amp;sourceID=53","")</f>
        <v/>
      </c>
      <c r="N509" s="4" t="str">
        <f>HYPERLINK("http://141.218.60.56/~jnz1568/getInfo.php?workbook=16_15.xlsx&amp;sheet=A0&amp;row=509&amp;col=14&amp;number=&amp;sourceID=53","")</f>
        <v/>
      </c>
      <c r="O509" s="4" t="str">
        <f>HYPERLINK("http://141.218.60.56/~jnz1568/getInfo.php?workbook=16_15.xlsx&amp;sheet=A0&amp;row=509&amp;col=15&amp;number=&amp;sourceID=55","")</f>
        <v/>
      </c>
      <c r="P509" s="4" t="str">
        <f>HYPERLINK("http://141.218.60.56/~jnz1568/getInfo.php?workbook=16_15.xlsx&amp;sheet=A0&amp;row=509&amp;col=16&amp;number=&amp;sourceID=55","")</f>
        <v/>
      </c>
      <c r="Q509" s="4" t="str">
        <f>HYPERLINK("http://141.218.60.56/~jnz1568/getInfo.php?workbook=16_15.xlsx&amp;sheet=A0&amp;row=509&amp;col=17&amp;number=&amp;sourceID=56","")</f>
        <v/>
      </c>
      <c r="R509" s="4" t="str">
        <f>HYPERLINK("http://141.218.60.56/~jnz1568/getInfo.php?workbook=16_15.xlsx&amp;sheet=A0&amp;row=509&amp;col=18&amp;number=&amp;sourceID=56","")</f>
        <v/>
      </c>
      <c r="S509" s="4" t="str">
        <f>HYPERLINK("http://141.218.60.56/~jnz1568/getInfo.php?workbook=16_15.xlsx&amp;sheet=A0&amp;row=509&amp;col=19&amp;number=&amp;sourceID=57","")</f>
        <v/>
      </c>
      <c r="T509" s="4" t="str">
        <f>HYPERLINK("http://141.218.60.56/~jnz1568/getInfo.php?workbook=16_15.xlsx&amp;sheet=A0&amp;row=509&amp;col=20&amp;number=&amp;sourceID=57","")</f>
        <v/>
      </c>
      <c r="U509" s="4" t="str">
        <f>HYPERLINK("http://141.218.60.56/~jnz1568/getInfo.php?workbook=16_15.xlsx&amp;sheet=A0&amp;row=509&amp;col=21&amp;number=&amp;sourceID=47","")</f>
        <v/>
      </c>
      <c r="V509" s="4" t="str">
        <f>HYPERLINK("http://141.218.60.56/~jnz1568/getInfo.php?workbook=16_15.xlsx&amp;sheet=A0&amp;row=509&amp;col=22&amp;number=&amp;sourceID=47","")</f>
        <v/>
      </c>
    </row>
    <row r="510" spans="1:22">
      <c r="A510" s="3">
        <v>16</v>
      </c>
      <c r="B510" s="3">
        <v>15</v>
      </c>
      <c r="C510" s="3">
        <v>37</v>
      </c>
      <c r="D510" s="3">
        <v>17</v>
      </c>
      <c r="E510" s="3">
        <f>((1/(INDEX(E0!J$4:J$73,C510,1)-INDEX(E0!J$4:J$73,D510,1))))*100000000</f>
        <v>0</v>
      </c>
      <c r="F510" s="4" t="str">
        <f>HYPERLINK("http://141.218.60.56/~jnz1568/getInfo.php?workbook=16_15.xlsx&amp;sheet=A0&amp;row=510&amp;col=6&amp;number=151590&amp;sourceID=54","151590")</f>
        <v>151590</v>
      </c>
      <c r="G510" s="4" t="str">
        <f>HYPERLINK("http://141.218.60.56/~jnz1568/getInfo.php?workbook=16_15.xlsx&amp;sheet=A0&amp;row=510&amp;col=7&amp;number=&amp;sourceID=54","")</f>
        <v/>
      </c>
      <c r="H510" s="4" t="str">
        <f>HYPERLINK("http://141.218.60.56/~jnz1568/getInfo.php?workbook=16_15.xlsx&amp;sheet=A0&amp;row=510&amp;col=8&amp;number=&amp;sourceID=54","")</f>
        <v/>
      </c>
      <c r="I510" s="4" t="str">
        <f>HYPERLINK("http://141.218.60.56/~jnz1568/getInfo.php?workbook=16_15.xlsx&amp;sheet=A0&amp;row=510&amp;col=9&amp;number=100600&amp;sourceID=54","100600")</f>
        <v>100600</v>
      </c>
      <c r="J510" s="4" t="str">
        <f>HYPERLINK("http://141.218.60.56/~jnz1568/getInfo.php?workbook=16_15.xlsx&amp;sheet=A0&amp;row=510&amp;col=10&amp;number=&amp;sourceID=54","")</f>
        <v/>
      </c>
      <c r="K510" s="4" t="str">
        <f>HYPERLINK("http://141.218.60.56/~jnz1568/getInfo.php?workbook=16_15.xlsx&amp;sheet=A0&amp;row=510&amp;col=11&amp;number=&amp;sourceID=54","")</f>
        <v/>
      </c>
      <c r="L510" s="4" t="str">
        <f>HYPERLINK("http://141.218.60.56/~jnz1568/getInfo.php?workbook=16_15.xlsx&amp;sheet=A0&amp;row=510&amp;col=12&amp;number=75567.5815983&amp;sourceID=53","75567.5815983")</f>
        <v>75567.5815983</v>
      </c>
      <c r="M510" s="4" t="str">
        <f>HYPERLINK("http://141.218.60.56/~jnz1568/getInfo.php?workbook=16_15.xlsx&amp;sheet=A0&amp;row=510&amp;col=13&amp;number=&amp;sourceID=53","")</f>
        <v/>
      </c>
      <c r="N510" s="4" t="str">
        <f>HYPERLINK("http://141.218.60.56/~jnz1568/getInfo.php?workbook=16_15.xlsx&amp;sheet=A0&amp;row=510&amp;col=14&amp;number=&amp;sourceID=53","")</f>
        <v/>
      </c>
      <c r="O510" s="4" t="str">
        <f>HYPERLINK("http://141.218.60.56/~jnz1568/getInfo.php?workbook=16_15.xlsx&amp;sheet=A0&amp;row=510&amp;col=15&amp;number=&amp;sourceID=55","")</f>
        <v/>
      </c>
      <c r="P510" s="4" t="str">
        <f>HYPERLINK("http://141.218.60.56/~jnz1568/getInfo.php?workbook=16_15.xlsx&amp;sheet=A0&amp;row=510&amp;col=16&amp;number=&amp;sourceID=55","")</f>
        <v/>
      </c>
      <c r="Q510" s="4" t="str">
        <f>HYPERLINK("http://141.218.60.56/~jnz1568/getInfo.php?workbook=16_15.xlsx&amp;sheet=A0&amp;row=510&amp;col=17&amp;number=&amp;sourceID=56","")</f>
        <v/>
      </c>
      <c r="R510" s="4" t="str">
        <f>HYPERLINK("http://141.218.60.56/~jnz1568/getInfo.php?workbook=16_15.xlsx&amp;sheet=A0&amp;row=510&amp;col=18&amp;number=&amp;sourceID=56","")</f>
        <v/>
      </c>
      <c r="S510" s="4" t="str">
        <f>HYPERLINK("http://141.218.60.56/~jnz1568/getInfo.php?workbook=16_15.xlsx&amp;sheet=A0&amp;row=510&amp;col=19&amp;number=&amp;sourceID=57","")</f>
        <v/>
      </c>
      <c r="T510" s="4" t="str">
        <f>HYPERLINK("http://141.218.60.56/~jnz1568/getInfo.php?workbook=16_15.xlsx&amp;sheet=A0&amp;row=510&amp;col=20&amp;number=&amp;sourceID=57","")</f>
        <v/>
      </c>
      <c r="U510" s="4" t="str">
        <f>HYPERLINK("http://141.218.60.56/~jnz1568/getInfo.php?workbook=16_15.xlsx&amp;sheet=A0&amp;row=510&amp;col=21&amp;number=&amp;sourceID=47","")</f>
        <v/>
      </c>
      <c r="V510" s="4" t="str">
        <f>HYPERLINK("http://141.218.60.56/~jnz1568/getInfo.php?workbook=16_15.xlsx&amp;sheet=A0&amp;row=510&amp;col=22&amp;number=&amp;sourceID=47","")</f>
        <v/>
      </c>
    </row>
    <row r="511" spans="1:22">
      <c r="A511" s="3">
        <v>16</v>
      </c>
      <c r="B511" s="3">
        <v>15</v>
      </c>
      <c r="C511" s="3">
        <v>37</v>
      </c>
      <c r="D511" s="3">
        <v>18</v>
      </c>
      <c r="E511" s="3">
        <f>((1/(INDEX(E0!J$4:J$73,C511,1)-INDEX(E0!J$4:J$73,D511,1))))*100000000</f>
        <v>0</v>
      </c>
      <c r="F511" s="4" t="str">
        <f>HYPERLINK("http://141.218.60.56/~jnz1568/getInfo.php?workbook=16_15.xlsx&amp;sheet=A0&amp;row=511&amp;col=6&amp;number=3474600&amp;sourceID=54","3474600")</f>
        <v>3474600</v>
      </c>
      <c r="G511" s="4" t="str">
        <f>HYPERLINK("http://141.218.60.56/~jnz1568/getInfo.php?workbook=16_15.xlsx&amp;sheet=A0&amp;row=511&amp;col=7&amp;number=&amp;sourceID=54","")</f>
        <v/>
      </c>
      <c r="H511" s="4" t="str">
        <f>HYPERLINK("http://141.218.60.56/~jnz1568/getInfo.php?workbook=16_15.xlsx&amp;sheet=A0&amp;row=511&amp;col=8&amp;number=&amp;sourceID=54","")</f>
        <v/>
      </c>
      <c r="I511" s="4" t="str">
        <f>HYPERLINK("http://141.218.60.56/~jnz1568/getInfo.php?workbook=16_15.xlsx&amp;sheet=A0&amp;row=511&amp;col=9&amp;number=3688600&amp;sourceID=54","3688600")</f>
        <v>3688600</v>
      </c>
      <c r="J511" s="4" t="str">
        <f>HYPERLINK("http://141.218.60.56/~jnz1568/getInfo.php?workbook=16_15.xlsx&amp;sheet=A0&amp;row=511&amp;col=10&amp;number=&amp;sourceID=54","")</f>
        <v/>
      </c>
      <c r="K511" s="4" t="str">
        <f>HYPERLINK("http://141.218.60.56/~jnz1568/getInfo.php?workbook=16_15.xlsx&amp;sheet=A0&amp;row=511&amp;col=11&amp;number=&amp;sourceID=54","")</f>
        <v/>
      </c>
      <c r="L511" s="4" t="str">
        <f>HYPERLINK("http://141.218.60.56/~jnz1568/getInfo.php?workbook=16_15.xlsx&amp;sheet=A0&amp;row=511&amp;col=12&amp;number=3583625.89984&amp;sourceID=53","3583625.89984")</f>
        <v>3583625.89984</v>
      </c>
      <c r="M511" s="4" t="str">
        <f>HYPERLINK("http://141.218.60.56/~jnz1568/getInfo.php?workbook=16_15.xlsx&amp;sheet=A0&amp;row=511&amp;col=13&amp;number=&amp;sourceID=53","")</f>
        <v/>
      </c>
      <c r="N511" s="4" t="str">
        <f>HYPERLINK("http://141.218.60.56/~jnz1568/getInfo.php?workbook=16_15.xlsx&amp;sheet=A0&amp;row=511&amp;col=14&amp;number=&amp;sourceID=53","")</f>
        <v/>
      </c>
      <c r="O511" s="4" t="str">
        <f>HYPERLINK("http://141.218.60.56/~jnz1568/getInfo.php?workbook=16_15.xlsx&amp;sheet=A0&amp;row=511&amp;col=15&amp;number=&amp;sourceID=55","")</f>
        <v/>
      </c>
      <c r="P511" s="4" t="str">
        <f>HYPERLINK("http://141.218.60.56/~jnz1568/getInfo.php?workbook=16_15.xlsx&amp;sheet=A0&amp;row=511&amp;col=16&amp;number=&amp;sourceID=55","")</f>
        <v/>
      </c>
      <c r="Q511" s="4" t="str">
        <f>HYPERLINK("http://141.218.60.56/~jnz1568/getInfo.php?workbook=16_15.xlsx&amp;sheet=A0&amp;row=511&amp;col=17&amp;number=&amp;sourceID=56","")</f>
        <v/>
      </c>
      <c r="R511" s="4" t="str">
        <f>HYPERLINK("http://141.218.60.56/~jnz1568/getInfo.php?workbook=16_15.xlsx&amp;sheet=A0&amp;row=511&amp;col=18&amp;number=&amp;sourceID=56","")</f>
        <v/>
      </c>
      <c r="S511" s="4" t="str">
        <f>HYPERLINK("http://141.218.60.56/~jnz1568/getInfo.php?workbook=16_15.xlsx&amp;sheet=A0&amp;row=511&amp;col=19&amp;number=&amp;sourceID=57","")</f>
        <v/>
      </c>
      <c r="T511" s="4" t="str">
        <f>HYPERLINK("http://141.218.60.56/~jnz1568/getInfo.php?workbook=16_15.xlsx&amp;sheet=A0&amp;row=511&amp;col=20&amp;number=&amp;sourceID=57","")</f>
        <v/>
      </c>
      <c r="U511" s="4" t="str">
        <f>HYPERLINK("http://141.218.60.56/~jnz1568/getInfo.php?workbook=16_15.xlsx&amp;sheet=A0&amp;row=511&amp;col=21&amp;number=&amp;sourceID=47","")</f>
        <v/>
      </c>
      <c r="V511" s="4" t="str">
        <f>HYPERLINK("http://141.218.60.56/~jnz1568/getInfo.php?workbook=16_15.xlsx&amp;sheet=A0&amp;row=511&amp;col=22&amp;number=&amp;sourceID=47","")</f>
        <v/>
      </c>
    </row>
    <row r="512" spans="1:22">
      <c r="A512" s="3">
        <v>16</v>
      </c>
      <c r="B512" s="3">
        <v>15</v>
      </c>
      <c r="C512" s="3">
        <v>37</v>
      </c>
      <c r="D512" s="3">
        <v>19</v>
      </c>
      <c r="E512" s="3">
        <f>((1/(INDEX(E0!J$4:J$73,C512,1)-INDEX(E0!J$4:J$73,D512,1))))*100000000</f>
        <v>0</v>
      </c>
      <c r="F512" s="4" t="str">
        <f>HYPERLINK("http://141.218.60.56/~jnz1568/getInfo.php?workbook=16_15.xlsx&amp;sheet=A0&amp;row=512&amp;col=6&amp;number=33228000&amp;sourceID=54","33228000")</f>
        <v>33228000</v>
      </c>
      <c r="G512" s="4" t="str">
        <f>HYPERLINK("http://141.218.60.56/~jnz1568/getInfo.php?workbook=16_15.xlsx&amp;sheet=A0&amp;row=512&amp;col=7&amp;number=&amp;sourceID=54","")</f>
        <v/>
      </c>
      <c r="H512" s="4" t="str">
        <f>HYPERLINK("http://141.218.60.56/~jnz1568/getInfo.php?workbook=16_15.xlsx&amp;sheet=A0&amp;row=512&amp;col=8&amp;number=&amp;sourceID=54","")</f>
        <v/>
      </c>
      <c r="I512" s="4" t="str">
        <f>HYPERLINK("http://141.218.60.56/~jnz1568/getInfo.php?workbook=16_15.xlsx&amp;sheet=A0&amp;row=512&amp;col=9&amp;number=35157000&amp;sourceID=54","35157000")</f>
        <v>35157000</v>
      </c>
      <c r="J512" s="4" t="str">
        <f>HYPERLINK("http://141.218.60.56/~jnz1568/getInfo.php?workbook=16_15.xlsx&amp;sheet=A0&amp;row=512&amp;col=10&amp;number=&amp;sourceID=54","")</f>
        <v/>
      </c>
      <c r="K512" s="4" t="str">
        <f>HYPERLINK("http://141.218.60.56/~jnz1568/getInfo.php?workbook=16_15.xlsx&amp;sheet=A0&amp;row=512&amp;col=11&amp;number=&amp;sourceID=54","")</f>
        <v/>
      </c>
      <c r="L512" s="4" t="str">
        <f>HYPERLINK("http://141.218.60.56/~jnz1568/getInfo.php?workbook=16_15.xlsx&amp;sheet=A0&amp;row=512&amp;col=12&amp;number=34325633.4703&amp;sourceID=53","34325633.4703")</f>
        <v>34325633.4703</v>
      </c>
      <c r="M512" s="4" t="str">
        <f>HYPERLINK("http://141.218.60.56/~jnz1568/getInfo.php?workbook=16_15.xlsx&amp;sheet=A0&amp;row=512&amp;col=13&amp;number=&amp;sourceID=53","")</f>
        <v/>
      </c>
      <c r="N512" s="4" t="str">
        <f>HYPERLINK("http://141.218.60.56/~jnz1568/getInfo.php?workbook=16_15.xlsx&amp;sheet=A0&amp;row=512&amp;col=14&amp;number=&amp;sourceID=53","")</f>
        <v/>
      </c>
      <c r="O512" s="4" t="str">
        <f>HYPERLINK("http://141.218.60.56/~jnz1568/getInfo.php?workbook=16_15.xlsx&amp;sheet=A0&amp;row=512&amp;col=15&amp;number=&amp;sourceID=55","")</f>
        <v/>
      </c>
      <c r="P512" s="4" t="str">
        <f>HYPERLINK("http://141.218.60.56/~jnz1568/getInfo.php?workbook=16_15.xlsx&amp;sheet=A0&amp;row=512&amp;col=16&amp;number=&amp;sourceID=55","")</f>
        <v/>
      </c>
      <c r="Q512" s="4" t="str">
        <f>HYPERLINK("http://141.218.60.56/~jnz1568/getInfo.php?workbook=16_15.xlsx&amp;sheet=A0&amp;row=512&amp;col=17&amp;number=&amp;sourceID=56","")</f>
        <v/>
      </c>
      <c r="R512" s="4" t="str">
        <f>HYPERLINK("http://141.218.60.56/~jnz1568/getInfo.php?workbook=16_15.xlsx&amp;sheet=A0&amp;row=512&amp;col=18&amp;number=&amp;sourceID=56","")</f>
        <v/>
      </c>
      <c r="S512" s="4" t="str">
        <f>HYPERLINK("http://141.218.60.56/~jnz1568/getInfo.php?workbook=16_15.xlsx&amp;sheet=A0&amp;row=512&amp;col=19&amp;number=&amp;sourceID=57","")</f>
        <v/>
      </c>
      <c r="T512" s="4" t="str">
        <f>HYPERLINK("http://141.218.60.56/~jnz1568/getInfo.php?workbook=16_15.xlsx&amp;sheet=A0&amp;row=512&amp;col=20&amp;number=&amp;sourceID=57","")</f>
        <v/>
      </c>
      <c r="U512" s="4" t="str">
        <f>HYPERLINK("http://141.218.60.56/~jnz1568/getInfo.php?workbook=16_15.xlsx&amp;sheet=A0&amp;row=512&amp;col=21&amp;number=&amp;sourceID=47","")</f>
        <v/>
      </c>
      <c r="V512" s="4" t="str">
        <f>HYPERLINK("http://141.218.60.56/~jnz1568/getInfo.php?workbook=16_15.xlsx&amp;sheet=A0&amp;row=512&amp;col=22&amp;number=&amp;sourceID=47","")</f>
        <v/>
      </c>
    </row>
    <row r="513" spans="1:22">
      <c r="A513" s="3">
        <v>16</v>
      </c>
      <c r="B513" s="3">
        <v>15</v>
      </c>
      <c r="C513" s="3">
        <v>37</v>
      </c>
      <c r="D513" s="3">
        <v>24</v>
      </c>
      <c r="E513" s="3">
        <f>((1/(INDEX(E0!J$4:J$73,C513,1)-INDEX(E0!J$4:J$73,D513,1))))*100000000</f>
        <v>0</v>
      </c>
      <c r="F513" s="4" t="str">
        <f>HYPERLINK("http://141.218.60.56/~jnz1568/getInfo.php?workbook=16_15.xlsx&amp;sheet=A0&amp;row=513&amp;col=6&amp;number=553340&amp;sourceID=54","553340")</f>
        <v>553340</v>
      </c>
      <c r="G513" s="4" t="str">
        <f>HYPERLINK("http://141.218.60.56/~jnz1568/getInfo.php?workbook=16_15.xlsx&amp;sheet=A0&amp;row=513&amp;col=7&amp;number=&amp;sourceID=54","")</f>
        <v/>
      </c>
      <c r="H513" s="4" t="str">
        <f>HYPERLINK("http://141.218.60.56/~jnz1568/getInfo.php?workbook=16_15.xlsx&amp;sheet=A0&amp;row=513&amp;col=8&amp;number=&amp;sourceID=54","")</f>
        <v/>
      </c>
      <c r="I513" s="4" t="str">
        <f>HYPERLINK("http://141.218.60.56/~jnz1568/getInfo.php?workbook=16_15.xlsx&amp;sheet=A0&amp;row=513&amp;col=9&amp;number=570120&amp;sourceID=54","570120")</f>
        <v>570120</v>
      </c>
      <c r="J513" s="4" t="str">
        <f>HYPERLINK("http://141.218.60.56/~jnz1568/getInfo.php?workbook=16_15.xlsx&amp;sheet=A0&amp;row=513&amp;col=10&amp;number=&amp;sourceID=54","")</f>
        <v/>
      </c>
      <c r="K513" s="4" t="str">
        <f>HYPERLINK("http://141.218.60.56/~jnz1568/getInfo.php?workbook=16_15.xlsx&amp;sheet=A0&amp;row=513&amp;col=11&amp;number=&amp;sourceID=54","")</f>
        <v/>
      </c>
      <c r="L513" s="4" t="str">
        <f>HYPERLINK("http://141.218.60.56/~jnz1568/getInfo.php?workbook=16_15.xlsx&amp;sheet=A0&amp;row=513&amp;col=12&amp;number=622774.792287&amp;sourceID=53","622774.792287")</f>
        <v>622774.792287</v>
      </c>
      <c r="M513" s="4" t="str">
        <f>HYPERLINK("http://141.218.60.56/~jnz1568/getInfo.php?workbook=16_15.xlsx&amp;sheet=A0&amp;row=513&amp;col=13&amp;number=&amp;sourceID=53","")</f>
        <v/>
      </c>
      <c r="N513" s="4" t="str">
        <f>HYPERLINK("http://141.218.60.56/~jnz1568/getInfo.php?workbook=16_15.xlsx&amp;sheet=A0&amp;row=513&amp;col=14&amp;number=&amp;sourceID=53","")</f>
        <v/>
      </c>
      <c r="O513" s="4" t="str">
        <f>HYPERLINK("http://141.218.60.56/~jnz1568/getInfo.php?workbook=16_15.xlsx&amp;sheet=A0&amp;row=513&amp;col=15&amp;number=&amp;sourceID=55","")</f>
        <v/>
      </c>
      <c r="P513" s="4" t="str">
        <f>HYPERLINK("http://141.218.60.56/~jnz1568/getInfo.php?workbook=16_15.xlsx&amp;sheet=A0&amp;row=513&amp;col=16&amp;number=&amp;sourceID=55","")</f>
        <v/>
      </c>
      <c r="Q513" s="4" t="str">
        <f>HYPERLINK("http://141.218.60.56/~jnz1568/getInfo.php?workbook=16_15.xlsx&amp;sheet=A0&amp;row=513&amp;col=17&amp;number=&amp;sourceID=56","")</f>
        <v/>
      </c>
      <c r="R513" s="4" t="str">
        <f>HYPERLINK("http://141.218.60.56/~jnz1568/getInfo.php?workbook=16_15.xlsx&amp;sheet=A0&amp;row=513&amp;col=18&amp;number=&amp;sourceID=56","")</f>
        <v/>
      </c>
      <c r="S513" s="4" t="str">
        <f>HYPERLINK("http://141.218.60.56/~jnz1568/getInfo.php?workbook=16_15.xlsx&amp;sheet=A0&amp;row=513&amp;col=19&amp;number=&amp;sourceID=57","")</f>
        <v/>
      </c>
      <c r="T513" s="4" t="str">
        <f>HYPERLINK("http://141.218.60.56/~jnz1568/getInfo.php?workbook=16_15.xlsx&amp;sheet=A0&amp;row=513&amp;col=20&amp;number=&amp;sourceID=57","")</f>
        <v/>
      </c>
      <c r="U513" s="4" t="str">
        <f>HYPERLINK("http://141.218.60.56/~jnz1568/getInfo.php?workbook=16_15.xlsx&amp;sheet=A0&amp;row=513&amp;col=21&amp;number=&amp;sourceID=47","")</f>
        <v/>
      </c>
      <c r="V513" s="4" t="str">
        <f>HYPERLINK("http://141.218.60.56/~jnz1568/getInfo.php?workbook=16_15.xlsx&amp;sheet=A0&amp;row=513&amp;col=22&amp;number=&amp;sourceID=47","")</f>
        <v/>
      </c>
    </row>
    <row r="514" spans="1:22">
      <c r="A514" s="3">
        <v>16</v>
      </c>
      <c r="B514" s="3">
        <v>15</v>
      </c>
      <c r="C514" s="3">
        <v>37</v>
      </c>
      <c r="D514" s="3">
        <v>25</v>
      </c>
      <c r="E514" s="3">
        <f>((1/(INDEX(E0!J$4:J$73,C514,1)-INDEX(E0!J$4:J$73,D514,1))))*100000000</f>
        <v>0</v>
      </c>
      <c r="F514" s="4" t="str">
        <f>HYPERLINK("http://141.218.60.56/~jnz1568/getInfo.php?workbook=16_15.xlsx&amp;sheet=A0&amp;row=514&amp;col=6&amp;number=3160900&amp;sourceID=54","3160900")</f>
        <v>3160900</v>
      </c>
      <c r="G514" s="4" t="str">
        <f>HYPERLINK("http://141.218.60.56/~jnz1568/getInfo.php?workbook=16_15.xlsx&amp;sheet=A0&amp;row=514&amp;col=7&amp;number=&amp;sourceID=54","")</f>
        <v/>
      </c>
      <c r="H514" s="4" t="str">
        <f>HYPERLINK("http://141.218.60.56/~jnz1568/getInfo.php?workbook=16_15.xlsx&amp;sheet=A0&amp;row=514&amp;col=8&amp;number=&amp;sourceID=54","")</f>
        <v/>
      </c>
      <c r="I514" s="4" t="str">
        <f>HYPERLINK("http://141.218.60.56/~jnz1568/getInfo.php?workbook=16_15.xlsx&amp;sheet=A0&amp;row=514&amp;col=9&amp;number=3211900&amp;sourceID=54","3211900")</f>
        <v>3211900</v>
      </c>
      <c r="J514" s="4" t="str">
        <f>HYPERLINK("http://141.218.60.56/~jnz1568/getInfo.php?workbook=16_15.xlsx&amp;sheet=A0&amp;row=514&amp;col=10&amp;number=&amp;sourceID=54","")</f>
        <v/>
      </c>
      <c r="K514" s="4" t="str">
        <f>HYPERLINK("http://141.218.60.56/~jnz1568/getInfo.php?workbook=16_15.xlsx&amp;sheet=A0&amp;row=514&amp;col=11&amp;number=&amp;sourceID=54","")</f>
        <v/>
      </c>
      <c r="L514" s="4" t="str">
        <f>HYPERLINK("http://141.218.60.56/~jnz1568/getInfo.php?workbook=16_15.xlsx&amp;sheet=A0&amp;row=514&amp;col=12&amp;number=3443271.22454&amp;sourceID=53","3443271.22454")</f>
        <v>3443271.22454</v>
      </c>
      <c r="M514" s="4" t="str">
        <f>HYPERLINK("http://141.218.60.56/~jnz1568/getInfo.php?workbook=16_15.xlsx&amp;sheet=A0&amp;row=514&amp;col=13&amp;number=&amp;sourceID=53","")</f>
        <v/>
      </c>
      <c r="N514" s="4" t="str">
        <f>HYPERLINK("http://141.218.60.56/~jnz1568/getInfo.php?workbook=16_15.xlsx&amp;sheet=A0&amp;row=514&amp;col=14&amp;number=&amp;sourceID=53","")</f>
        <v/>
      </c>
      <c r="O514" s="4" t="str">
        <f>HYPERLINK("http://141.218.60.56/~jnz1568/getInfo.php?workbook=16_15.xlsx&amp;sheet=A0&amp;row=514&amp;col=15&amp;number=&amp;sourceID=55","")</f>
        <v/>
      </c>
      <c r="P514" s="4" t="str">
        <f>HYPERLINK("http://141.218.60.56/~jnz1568/getInfo.php?workbook=16_15.xlsx&amp;sheet=A0&amp;row=514&amp;col=16&amp;number=&amp;sourceID=55","")</f>
        <v/>
      </c>
      <c r="Q514" s="4" t="str">
        <f>HYPERLINK("http://141.218.60.56/~jnz1568/getInfo.php?workbook=16_15.xlsx&amp;sheet=A0&amp;row=514&amp;col=17&amp;number=&amp;sourceID=56","")</f>
        <v/>
      </c>
      <c r="R514" s="4" t="str">
        <f>HYPERLINK("http://141.218.60.56/~jnz1568/getInfo.php?workbook=16_15.xlsx&amp;sheet=A0&amp;row=514&amp;col=18&amp;number=&amp;sourceID=56","")</f>
        <v/>
      </c>
      <c r="S514" s="4" t="str">
        <f>HYPERLINK("http://141.218.60.56/~jnz1568/getInfo.php?workbook=16_15.xlsx&amp;sheet=A0&amp;row=514&amp;col=19&amp;number=&amp;sourceID=57","")</f>
        <v/>
      </c>
      <c r="T514" s="4" t="str">
        <f>HYPERLINK("http://141.218.60.56/~jnz1568/getInfo.php?workbook=16_15.xlsx&amp;sheet=A0&amp;row=514&amp;col=20&amp;number=&amp;sourceID=57","")</f>
        <v/>
      </c>
      <c r="U514" s="4" t="str">
        <f>HYPERLINK("http://141.218.60.56/~jnz1568/getInfo.php?workbook=16_15.xlsx&amp;sheet=A0&amp;row=514&amp;col=21&amp;number=&amp;sourceID=47","")</f>
        <v/>
      </c>
      <c r="V514" s="4" t="str">
        <f>HYPERLINK("http://141.218.60.56/~jnz1568/getInfo.php?workbook=16_15.xlsx&amp;sheet=A0&amp;row=514&amp;col=22&amp;number=&amp;sourceID=47","")</f>
        <v/>
      </c>
    </row>
    <row r="515" spans="1:22">
      <c r="A515" s="3">
        <v>16</v>
      </c>
      <c r="B515" s="3">
        <v>15</v>
      </c>
      <c r="C515" s="3">
        <v>37</v>
      </c>
      <c r="D515" s="3">
        <v>26</v>
      </c>
      <c r="E515" s="3">
        <f>((1/(INDEX(E0!J$4:J$73,C515,1)-INDEX(E0!J$4:J$73,D515,1))))*100000000</f>
        <v>0</v>
      </c>
      <c r="F515" s="4" t="str">
        <f>HYPERLINK("http://141.218.60.56/~jnz1568/getInfo.php?workbook=16_15.xlsx&amp;sheet=A0&amp;row=515&amp;col=6&amp;number=7117.6&amp;sourceID=54","7117.6")</f>
        <v>7117.6</v>
      </c>
      <c r="G515" s="4" t="str">
        <f>HYPERLINK("http://141.218.60.56/~jnz1568/getInfo.php?workbook=16_15.xlsx&amp;sheet=A0&amp;row=515&amp;col=7&amp;number=&amp;sourceID=54","")</f>
        <v/>
      </c>
      <c r="H515" s="4" t="str">
        <f>HYPERLINK("http://141.218.60.56/~jnz1568/getInfo.php?workbook=16_15.xlsx&amp;sheet=A0&amp;row=515&amp;col=8&amp;number=&amp;sourceID=54","")</f>
        <v/>
      </c>
      <c r="I515" s="4" t="str">
        <f>HYPERLINK("http://141.218.60.56/~jnz1568/getInfo.php?workbook=16_15.xlsx&amp;sheet=A0&amp;row=515&amp;col=9&amp;number=20487&amp;sourceID=54","20487")</f>
        <v>20487</v>
      </c>
      <c r="J515" s="4" t="str">
        <f>HYPERLINK("http://141.218.60.56/~jnz1568/getInfo.php?workbook=16_15.xlsx&amp;sheet=A0&amp;row=515&amp;col=10&amp;number=&amp;sourceID=54","")</f>
        <v/>
      </c>
      <c r="K515" s="4" t="str">
        <f>HYPERLINK("http://141.218.60.56/~jnz1568/getInfo.php?workbook=16_15.xlsx&amp;sheet=A0&amp;row=515&amp;col=11&amp;number=&amp;sourceID=54","")</f>
        <v/>
      </c>
      <c r="L515" s="4" t="str">
        <f>HYPERLINK("http://141.218.60.56/~jnz1568/getInfo.php?workbook=16_15.xlsx&amp;sheet=A0&amp;row=515&amp;col=12&amp;number=21208.6301771&amp;sourceID=53","21208.6301771")</f>
        <v>21208.6301771</v>
      </c>
      <c r="M515" s="4" t="str">
        <f>HYPERLINK("http://141.218.60.56/~jnz1568/getInfo.php?workbook=16_15.xlsx&amp;sheet=A0&amp;row=515&amp;col=13&amp;number=&amp;sourceID=53","")</f>
        <v/>
      </c>
      <c r="N515" s="4" t="str">
        <f>HYPERLINK("http://141.218.60.56/~jnz1568/getInfo.php?workbook=16_15.xlsx&amp;sheet=A0&amp;row=515&amp;col=14&amp;number=&amp;sourceID=53","")</f>
        <v/>
      </c>
      <c r="O515" s="4" t="str">
        <f>HYPERLINK("http://141.218.60.56/~jnz1568/getInfo.php?workbook=16_15.xlsx&amp;sheet=A0&amp;row=515&amp;col=15&amp;number=&amp;sourceID=55","")</f>
        <v/>
      </c>
      <c r="P515" s="4" t="str">
        <f>HYPERLINK("http://141.218.60.56/~jnz1568/getInfo.php?workbook=16_15.xlsx&amp;sheet=A0&amp;row=515&amp;col=16&amp;number=&amp;sourceID=55","")</f>
        <v/>
      </c>
      <c r="Q515" s="4" t="str">
        <f>HYPERLINK("http://141.218.60.56/~jnz1568/getInfo.php?workbook=16_15.xlsx&amp;sheet=A0&amp;row=515&amp;col=17&amp;number=&amp;sourceID=56","")</f>
        <v/>
      </c>
      <c r="R515" s="4" t="str">
        <f>HYPERLINK("http://141.218.60.56/~jnz1568/getInfo.php?workbook=16_15.xlsx&amp;sheet=A0&amp;row=515&amp;col=18&amp;number=&amp;sourceID=56","")</f>
        <v/>
      </c>
      <c r="S515" s="4" t="str">
        <f>HYPERLINK("http://141.218.60.56/~jnz1568/getInfo.php?workbook=16_15.xlsx&amp;sheet=A0&amp;row=515&amp;col=19&amp;number=&amp;sourceID=57","")</f>
        <v/>
      </c>
      <c r="T515" s="4" t="str">
        <f>HYPERLINK("http://141.218.60.56/~jnz1568/getInfo.php?workbook=16_15.xlsx&amp;sheet=A0&amp;row=515&amp;col=20&amp;number=&amp;sourceID=57","")</f>
        <v/>
      </c>
      <c r="U515" s="4" t="str">
        <f>HYPERLINK("http://141.218.60.56/~jnz1568/getInfo.php?workbook=16_15.xlsx&amp;sheet=A0&amp;row=515&amp;col=21&amp;number=&amp;sourceID=47","")</f>
        <v/>
      </c>
      <c r="V515" s="4" t="str">
        <f>HYPERLINK("http://141.218.60.56/~jnz1568/getInfo.php?workbook=16_15.xlsx&amp;sheet=A0&amp;row=515&amp;col=22&amp;number=&amp;sourceID=47","")</f>
        <v/>
      </c>
    </row>
    <row r="516" spans="1:22">
      <c r="A516" s="3">
        <v>16</v>
      </c>
      <c r="B516" s="3">
        <v>15</v>
      </c>
      <c r="C516" s="3">
        <v>37</v>
      </c>
      <c r="D516" s="3">
        <v>27</v>
      </c>
      <c r="E516" s="3">
        <f>((1/(INDEX(E0!J$4:J$73,C516,1)-INDEX(E0!J$4:J$73,D516,1))))*100000000</f>
        <v>0</v>
      </c>
      <c r="F516" s="4" t="str">
        <f>HYPERLINK("http://141.218.60.56/~jnz1568/getInfo.php?workbook=16_15.xlsx&amp;sheet=A0&amp;row=516&amp;col=6&amp;number=84737&amp;sourceID=54","84737")</f>
        <v>84737</v>
      </c>
      <c r="G516" s="4" t="str">
        <f>HYPERLINK("http://141.218.60.56/~jnz1568/getInfo.php?workbook=16_15.xlsx&amp;sheet=A0&amp;row=516&amp;col=7&amp;number=&amp;sourceID=54","")</f>
        <v/>
      </c>
      <c r="H516" s="4" t="str">
        <f>HYPERLINK("http://141.218.60.56/~jnz1568/getInfo.php?workbook=16_15.xlsx&amp;sheet=A0&amp;row=516&amp;col=8&amp;number=&amp;sourceID=54","")</f>
        <v/>
      </c>
      <c r="I516" s="4" t="str">
        <f>HYPERLINK("http://141.218.60.56/~jnz1568/getInfo.php?workbook=16_15.xlsx&amp;sheet=A0&amp;row=516&amp;col=9&amp;number=178000&amp;sourceID=54","178000")</f>
        <v>178000</v>
      </c>
      <c r="J516" s="4" t="str">
        <f>HYPERLINK("http://141.218.60.56/~jnz1568/getInfo.php?workbook=16_15.xlsx&amp;sheet=A0&amp;row=516&amp;col=10&amp;number=&amp;sourceID=54","")</f>
        <v/>
      </c>
      <c r="K516" s="4" t="str">
        <f>HYPERLINK("http://141.218.60.56/~jnz1568/getInfo.php?workbook=16_15.xlsx&amp;sheet=A0&amp;row=516&amp;col=11&amp;number=&amp;sourceID=54","")</f>
        <v/>
      </c>
      <c r="L516" s="4" t="str">
        <f>HYPERLINK("http://141.218.60.56/~jnz1568/getInfo.php?workbook=16_15.xlsx&amp;sheet=A0&amp;row=516&amp;col=12&amp;number=186471.674379&amp;sourceID=53","186471.674379")</f>
        <v>186471.674379</v>
      </c>
      <c r="M516" s="4" t="str">
        <f>HYPERLINK("http://141.218.60.56/~jnz1568/getInfo.php?workbook=16_15.xlsx&amp;sheet=A0&amp;row=516&amp;col=13&amp;number=&amp;sourceID=53","")</f>
        <v/>
      </c>
      <c r="N516" s="4" t="str">
        <f>HYPERLINK("http://141.218.60.56/~jnz1568/getInfo.php?workbook=16_15.xlsx&amp;sheet=A0&amp;row=516&amp;col=14&amp;number=&amp;sourceID=53","")</f>
        <v/>
      </c>
      <c r="O516" s="4" t="str">
        <f>HYPERLINK("http://141.218.60.56/~jnz1568/getInfo.php?workbook=16_15.xlsx&amp;sheet=A0&amp;row=516&amp;col=15&amp;number=&amp;sourceID=55","")</f>
        <v/>
      </c>
      <c r="P516" s="4" t="str">
        <f>HYPERLINK("http://141.218.60.56/~jnz1568/getInfo.php?workbook=16_15.xlsx&amp;sheet=A0&amp;row=516&amp;col=16&amp;number=&amp;sourceID=55","")</f>
        <v/>
      </c>
      <c r="Q516" s="4" t="str">
        <f>HYPERLINK("http://141.218.60.56/~jnz1568/getInfo.php?workbook=16_15.xlsx&amp;sheet=A0&amp;row=516&amp;col=17&amp;number=&amp;sourceID=56","")</f>
        <v/>
      </c>
      <c r="R516" s="4" t="str">
        <f>HYPERLINK("http://141.218.60.56/~jnz1568/getInfo.php?workbook=16_15.xlsx&amp;sheet=A0&amp;row=516&amp;col=18&amp;number=&amp;sourceID=56","")</f>
        <v/>
      </c>
      <c r="S516" s="4" t="str">
        <f>HYPERLINK("http://141.218.60.56/~jnz1568/getInfo.php?workbook=16_15.xlsx&amp;sheet=A0&amp;row=516&amp;col=19&amp;number=&amp;sourceID=57","")</f>
        <v/>
      </c>
      <c r="T516" s="4" t="str">
        <f>HYPERLINK("http://141.218.60.56/~jnz1568/getInfo.php?workbook=16_15.xlsx&amp;sheet=A0&amp;row=516&amp;col=20&amp;number=&amp;sourceID=57","")</f>
        <v/>
      </c>
      <c r="U516" s="4" t="str">
        <f>HYPERLINK("http://141.218.60.56/~jnz1568/getInfo.php?workbook=16_15.xlsx&amp;sheet=A0&amp;row=516&amp;col=21&amp;number=&amp;sourceID=47","")</f>
        <v/>
      </c>
      <c r="V516" s="4" t="str">
        <f>HYPERLINK("http://141.218.60.56/~jnz1568/getInfo.php?workbook=16_15.xlsx&amp;sheet=A0&amp;row=516&amp;col=22&amp;number=&amp;sourceID=47","")</f>
        <v/>
      </c>
    </row>
    <row r="517" spans="1:22">
      <c r="A517" s="3">
        <v>16</v>
      </c>
      <c r="B517" s="3">
        <v>15</v>
      </c>
      <c r="C517" s="3">
        <v>37</v>
      </c>
      <c r="D517" s="3">
        <v>30</v>
      </c>
      <c r="E517" s="3">
        <f>((1/(INDEX(E0!J$4:J$73,C517,1)-INDEX(E0!J$4:J$73,D517,1))))*100000000</f>
        <v>0</v>
      </c>
      <c r="F517" s="4" t="str">
        <f>HYPERLINK("http://141.218.60.56/~jnz1568/getInfo.php?workbook=16_15.xlsx&amp;sheet=A0&amp;row=517&amp;col=6&amp;number=3.4565&amp;sourceID=54","3.4565")</f>
        <v>3.4565</v>
      </c>
      <c r="G517" s="4" t="str">
        <f>HYPERLINK("http://141.218.60.56/~jnz1568/getInfo.php?workbook=16_15.xlsx&amp;sheet=A0&amp;row=517&amp;col=7&amp;number=&amp;sourceID=54","")</f>
        <v/>
      </c>
      <c r="H517" s="4" t="str">
        <f>HYPERLINK("http://141.218.60.56/~jnz1568/getInfo.php?workbook=16_15.xlsx&amp;sheet=A0&amp;row=517&amp;col=8&amp;number=&amp;sourceID=54","")</f>
        <v/>
      </c>
      <c r="I517" s="4" t="str">
        <f>HYPERLINK("http://141.218.60.56/~jnz1568/getInfo.php?workbook=16_15.xlsx&amp;sheet=A0&amp;row=517&amp;col=9&amp;number=3.6213&amp;sourceID=54","3.6213")</f>
        <v>3.6213</v>
      </c>
      <c r="J517" s="4" t="str">
        <f>HYPERLINK("http://141.218.60.56/~jnz1568/getInfo.php?workbook=16_15.xlsx&amp;sheet=A0&amp;row=517&amp;col=10&amp;number=&amp;sourceID=54","")</f>
        <v/>
      </c>
      <c r="K517" s="4" t="str">
        <f>HYPERLINK("http://141.218.60.56/~jnz1568/getInfo.php?workbook=16_15.xlsx&amp;sheet=A0&amp;row=517&amp;col=11&amp;number=&amp;sourceID=54","")</f>
        <v/>
      </c>
      <c r="L517" s="4" t="str">
        <f>HYPERLINK("http://141.218.60.56/~jnz1568/getInfo.php?workbook=16_15.xlsx&amp;sheet=A0&amp;row=517&amp;col=12&amp;number=3.83825386373&amp;sourceID=53","3.83825386373")</f>
        <v>3.83825386373</v>
      </c>
      <c r="M517" s="4" t="str">
        <f>HYPERLINK("http://141.218.60.56/~jnz1568/getInfo.php?workbook=16_15.xlsx&amp;sheet=A0&amp;row=517&amp;col=13&amp;number=&amp;sourceID=53","")</f>
        <v/>
      </c>
      <c r="N517" s="4" t="str">
        <f>HYPERLINK("http://141.218.60.56/~jnz1568/getInfo.php?workbook=16_15.xlsx&amp;sheet=A0&amp;row=517&amp;col=14&amp;number=&amp;sourceID=53","")</f>
        <v/>
      </c>
      <c r="O517" s="4" t="str">
        <f>HYPERLINK("http://141.218.60.56/~jnz1568/getInfo.php?workbook=16_15.xlsx&amp;sheet=A0&amp;row=517&amp;col=15&amp;number=&amp;sourceID=55","")</f>
        <v/>
      </c>
      <c r="P517" s="4" t="str">
        <f>HYPERLINK("http://141.218.60.56/~jnz1568/getInfo.php?workbook=16_15.xlsx&amp;sheet=A0&amp;row=517&amp;col=16&amp;number=&amp;sourceID=55","")</f>
        <v/>
      </c>
      <c r="Q517" s="4" t="str">
        <f>HYPERLINK("http://141.218.60.56/~jnz1568/getInfo.php?workbook=16_15.xlsx&amp;sheet=A0&amp;row=517&amp;col=17&amp;number=&amp;sourceID=56","")</f>
        <v/>
      </c>
      <c r="R517" s="4" t="str">
        <f>HYPERLINK("http://141.218.60.56/~jnz1568/getInfo.php?workbook=16_15.xlsx&amp;sheet=A0&amp;row=517&amp;col=18&amp;number=&amp;sourceID=56","")</f>
        <v/>
      </c>
      <c r="S517" s="4" t="str">
        <f>HYPERLINK("http://141.218.60.56/~jnz1568/getInfo.php?workbook=16_15.xlsx&amp;sheet=A0&amp;row=517&amp;col=19&amp;number=&amp;sourceID=57","")</f>
        <v/>
      </c>
      <c r="T517" s="4" t="str">
        <f>HYPERLINK("http://141.218.60.56/~jnz1568/getInfo.php?workbook=16_15.xlsx&amp;sheet=A0&amp;row=517&amp;col=20&amp;number=&amp;sourceID=57","")</f>
        <v/>
      </c>
      <c r="U517" s="4" t="str">
        <f>HYPERLINK("http://141.218.60.56/~jnz1568/getInfo.php?workbook=16_15.xlsx&amp;sheet=A0&amp;row=517&amp;col=21&amp;number=&amp;sourceID=47","")</f>
        <v/>
      </c>
      <c r="V517" s="4" t="str">
        <f>HYPERLINK("http://141.218.60.56/~jnz1568/getInfo.php?workbook=16_15.xlsx&amp;sheet=A0&amp;row=517&amp;col=22&amp;number=&amp;sourceID=47","")</f>
        <v/>
      </c>
    </row>
    <row r="518" spans="1:22">
      <c r="A518" s="3">
        <v>16</v>
      </c>
      <c r="B518" s="3">
        <v>15</v>
      </c>
      <c r="C518" s="3">
        <v>37</v>
      </c>
      <c r="D518" s="3">
        <v>32</v>
      </c>
      <c r="E518" s="3">
        <f>((1/(INDEX(E0!J$4:J$73,C518,1)-INDEX(E0!J$4:J$73,D518,1))))*100000000</f>
        <v>0</v>
      </c>
      <c r="F518" s="4" t="str">
        <f>HYPERLINK("http://141.218.60.56/~jnz1568/getInfo.php?workbook=16_15.xlsx&amp;sheet=A0&amp;row=518&amp;col=6&amp;number=0.0024836&amp;sourceID=54","0.0024836")</f>
        <v>0.0024836</v>
      </c>
      <c r="G518" s="4" t="str">
        <f>HYPERLINK("http://141.218.60.56/~jnz1568/getInfo.php?workbook=16_15.xlsx&amp;sheet=A0&amp;row=518&amp;col=7&amp;number=&amp;sourceID=54","")</f>
        <v/>
      </c>
      <c r="H518" s="4" t="str">
        <f>HYPERLINK("http://141.218.60.56/~jnz1568/getInfo.php?workbook=16_15.xlsx&amp;sheet=A0&amp;row=518&amp;col=8&amp;number=&amp;sourceID=54","")</f>
        <v/>
      </c>
      <c r="I518" s="4" t="str">
        <f>HYPERLINK("http://141.218.60.56/~jnz1568/getInfo.php?workbook=16_15.xlsx&amp;sheet=A0&amp;row=518&amp;col=9&amp;number=0.10439&amp;sourceID=54","0.10439")</f>
        <v>0.10439</v>
      </c>
      <c r="J518" s="4" t="str">
        <f>HYPERLINK("http://141.218.60.56/~jnz1568/getInfo.php?workbook=16_15.xlsx&amp;sheet=A0&amp;row=518&amp;col=10&amp;number=&amp;sourceID=54","")</f>
        <v/>
      </c>
      <c r="K518" s="4" t="str">
        <f>HYPERLINK("http://141.218.60.56/~jnz1568/getInfo.php?workbook=16_15.xlsx&amp;sheet=A0&amp;row=518&amp;col=11&amp;number=&amp;sourceID=54","")</f>
        <v/>
      </c>
      <c r="L518" s="4" t="str">
        <f>HYPERLINK("http://141.218.60.56/~jnz1568/getInfo.php?workbook=16_15.xlsx&amp;sheet=A0&amp;row=518&amp;col=12&amp;number=0.118760092139&amp;sourceID=53","0.118760092139")</f>
        <v>0.118760092139</v>
      </c>
      <c r="M518" s="4" t="str">
        <f>HYPERLINK("http://141.218.60.56/~jnz1568/getInfo.php?workbook=16_15.xlsx&amp;sheet=A0&amp;row=518&amp;col=13&amp;number=&amp;sourceID=53","")</f>
        <v/>
      </c>
      <c r="N518" s="4" t="str">
        <f>HYPERLINK("http://141.218.60.56/~jnz1568/getInfo.php?workbook=16_15.xlsx&amp;sheet=A0&amp;row=518&amp;col=14&amp;number=&amp;sourceID=53","")</f>
        <v/>
      </c>
      <c r="O518" s="4" t="str">
        <f>HYPERLINK("http://141.218.60.56/~jnz1568/getInfo.php?workbook=16_15.xlsx&amp;sheet=A0&amp;row=518&amp;col=15&amp;number=&amp;sourceID=55","")</f>
        <v/>
      </c>
      <c r="P518" s="4" t="str">
        <f>HYPERLINK("http://141.218.60.56/~jnz1568/getInfo.php?workbook=16_15.xlsx&amp;sheet=A0&amp;row=518&amp;col=16&amp;number=&amp;sourceID=55","")</f>
        <v/>
      </c>
      <c r="Q518" s="4" t="str">
        <f>HYPERLINK("http://141.218.60.56/~jnz1568/getInfo.php?workbook=16_15.xlsx&amp;sheet=A0&amp;row=518&amp;col=17&amp;number=&amp;sourceID=56","")</f>
        <v/>
      </c>
      <c r="R518" s="4" t="str">
        <f>HYPERLINK("http://141.218.60.56/~jnz1568/getInfo.php?workbook=16_15.xlsx&amp;sheet=A0&amp;row=518&amp;col=18&amp;number=&amp;sourceID=56","")</f>
        <v/>
      </c>
      <c r="S518" s="4" t="str">
        <f>HYPERLINK("http://141.218.60.56/~jnz1568/getInfo.php?workbook=16_15.xlsx&amp;sheet=A0&amp;row=518&amp;col=19&amp;number=&amp;sourceID=57","")</f>
        <v/>
      </c>
      <c r="T518" s="4" t="str">
        <f>HYPERLINK("http://141.218.60.56/~jnz1568/getInfo.php?workbook=16_15.xlsx&amp;sheet=A0&amp;row=518&amp;col=20&amp;number=&amp;sourceID=57","")</f>
        <v/>
      </c>
      <c r="U518" s="4" t="str">
        <f>HYPERLINK("http://141.218.60.56/~jnz1568/getInfo.php?workbook=16_15.xlsx&amp;sheet=A0&amp;row=518&amp;col=21&amp;number=&amp;sourceID=47","")</f>
        <v/>
      </c>
      <c r="V518" s="4" t="str">
        <f>HYPERLINK("http://141.218.60.56/~jnz1568/getInfo.php?workbook=16_15.xlsx&amp;sheet=A0&amp;row=518&amp;col=22&amp;number=&amp;sourceID=47","")</f>
        <v/>
      </c>
    </row>
    <row r="519" spans="1:22">
      <c r="A519" s="3">
        <v>16</v>
      </c>
      <c r="B519" s="3">
        <v>15</v>
      </c>
      <c r="C519" s="3">
        <v>37</v>
      </c>
      <c r="D519" s="3">
        <v>33</v>
      </c>
      <c r="E519" s="3">
        <f>((1/(INDEX(E0!J$4:J$73,C519,1)-INDEX(E0!J$4:J$73,D519,1))))*100000000</f>
        <v>0</v>
      </c>
      <c r="F519" s="4" t="str">
        <f>HYPERLINK("http://141.218.60.56/~jnz1568/getInfo.php?workbook=16_15.xlsx&amp;sheet=A0&amp;row=519&amp;col=6&amp;number=0.095146&amp;sourceID=54","0.095146")</f>
        <v>0.095146</v>
      </c>
      <c r="G519" s="4" t="str">
        <f>HYPERLINK("http://141.218.60.56/~jnz1568/getInfo.php?workbook=16_15.xlsx&amp;sheet=A0&amp;row=519&amp;col=7&amp;number=&amp;sourceID=54","")</f>
        <v/>
      </c>
      <c r="H519" s="4" t="str">
        <f>HYPERLINK("http://141.218.60.56/~jnz1568/getInfo.php?workbook=16_15.xlsx&amp;sheet=A0&amp;row=519&amp;col=8&amp;number=&amp;sourceID=54","")</f>
        <v/>
      </c>
      <c r="I519" s="4" t="str">
        <f>HYPERLINK("http://141.218.60.56/~jnz1568/getInfo.php?workbook=16_15.xlsx&amp;sheet=A0&amp;row=519&amp;col=9&amp;number=4.0341&amp;sourceID=54","4.0341")</f>
        <v>4.0341</v>
      </c>
      <c r="J519" s="4" t="str">
        <f>HYPERLINK("http://141.218.60.56/~jnz1568/getInfo.php?workbook=16_15.xlsx&amp;sheet=A0&amp;row=519&amp;col=10&amp;number=&amp;sourceID=54","")</f>
        <v/>
      </c>
      <c r="K519" s="4" t="str">
        <f>HYPERLINK("http://141.218.60.56/~jnz1568/getInfo.php?workbook=16_15.xlsx&amp;sheet=A0&amp;row=519&amp;col=11&amp;number=&amp;sourceID=54","")</f>
        <v/>
      </c>
      <c r="L519" s="4" t="str">
        <f>HYPERLINK("http://141.218.60.56/~jnz1568/getInfo.php?workbook=16_15.xlsx&amp;sheet=A0&amp;row=519&amp;col=12&amp;number=4.84307115085&amp;sourceID=53","4.84307115085")</f>
        <v>4.84307115085</v>
      </c>
      <c r="M519" s="4" t="str">
        <f>HYPERLINK("http://141.218.60.56/~jnz1568/getInfo.php?workbook=16_15.xlsx&amp;sheet=A0&amp;row=519&amp;col=13&amp;number=&amp;sourceID=53","")</f>
        <v/>
      </c>
      <c r="N519" s="4" t="str">
        <f>HYPERLINK("http://141.218.60.56/~jnz1568/getInfo.php?workbook=16_15.xlsx&amp;sheet=A0&amp;row=519&amp;col=14&amp;number=&amp;sourceID=53","")</f>
        <v/>
      </c>
      <c r="O519" s="4" t="str">
        <f>HYPERLINK("http://141.218.60.56/~jnz1568/getInfo.php?workbook=16_15.xlsx&amp;sheet=A0&amp;row=519&amp;col=15&amp;number=&amp;sourceID=55","")</f>
        <v/>
      </c>
      <c r="P519" s="4" t="str">
        <f>HYPERLINK("http://141.218.60.56/~jnz1568/getInfo.php?workbook=16_15.xlsx&amp;sheet=A0&amp;row=519&amp;col=16&amp;number=&amp;sourceID=55","")</f>
        <v/>
      </c>
      <c r="Q519" s="4" t="str">
        <f>HYPERLINK("http://141.218.60.56/~jnz1568/getInfo.php?workbook=16_15.xlsx&amp;sheet=A0&amp;row=519&amp;col=17&amp;number=&amp;sourceID=56","")</f>
        <v/>
      </c>
      <c r="R519" s="4" t="str">
        <f>HYPERLINK("http://141.218.60.56/~jnz1568/getInfo.php?workbook=16_15.xlsx&amp;sheet=A0&amp;row=519&amp;col=18&amp;number=&amp;sourceID=56","")</f>
        <v/>
      </c>
      <c r="S519" s="4" t="str">
        <f>HYPERLINK("http://141.218.60.56/~jnz1568/getInfo.php?workbook=16_15.xlsx&amp;sheet=A0&amp;row=519&amp;col=19&amp;number=&amp;sourceID=57","")</f>
        <v/>
      </c>
      <c r="T519" s="4" t="str">
        <f>HYPERLINK("http://141.218.60.56/~jnz1568/getInfo.php?workbook=16_15.xlsx&amp;sheet=A0&amp;row=519&amp;col=20&amp;number=&amp;sourceID=57","")</f>
        <v/>
      </c>
      <c r="U519" s="4" t="str">
        <f>HYPERLINK("http://141.218.60.56/~jnz1568/getInfo.php?workbook=16_15.xlsx&amp;sheet=A0&amp;row=519&amp;col=21&amp;number=&amp;sourceID=47","")</f>
        <v/>
      </c>
      <c r="V519" s="4" t="str">
        <f>HYPERLINK("http://141.218.60.56/~jnz1568/getInfo.php?workbook=16_15.xlsx&amp;sheet=A0&amp;row=519&amp;col=22&amp;number=&amp;sourceID=47","")</f>
        <v/>
      </c>
    </row>
    <row r="520" spans="1:22">
      <c r="A520" s="3">
        <v>16</v>
      </c>
      <c r="B520" s="3">
        <v>15</v>
      </c>
      <c r="C520" s="3">
        <v>37</v>
      </c>
      <c r="D520" s="3">
        <v>35</v>
      </c>
      <c r="E520" s="3">
        <f>((1/(INDEX(E0!J$4:J$73,C520,1)-INDEX(E0!J$4:J$73,D520,1))))*100000000</f>
        <v>0</v>
      </c>
      <c r="F520" s="4" t="str">
        <f>HYPERLINK("http://141.218.60.56/~jnz1568/getInfo.php?workbook=16_15.xlsx&amp;sheet=A0&amp;row=520&amp;col=6&amp;number=&amp;sourceID=54","")</f>
        <v/>
      </c>
      <c r="G520" s="4" t="str">
        <f>HYPERLINK("http://141.218.60.56/~jnz1568/getInfo.php?workbook=16_15.xlsx&amp;sheet=A0&amp;row=520&amp;col=7&amp;number=2.0741e-08&amp;sourceID=54","2.0741e-08")</f>
        <v>2.0741e-08</v>
      </c>
      <c r="H520" s="4" t="str">
        <f>HYPERLINK("http://141.218.60.56/~jnz1568/getInfo.php?workbook=16_15.xlsx&amp;sheet=A0&amp;row=520&amp;col=8&amp;number=&amp;sourceID=54","")</f>
        <v/>
      </c>
      <c r="I520" s="4" t="str">
        <f>HYPERLINK("http://141.218.60.56/~jnz1568/getInfo.php?workbook=16_15.xlsx&amp;sheet=A0&amp;row=520&amp;col=9&amp;number=&amp;sourceID=54","")</f>
        <v/>
      </c>
      <c r="J520" s="4" t="str">
        <f>HYPERLINK("http://141.218.60.56/~jnz1568/getInfo.php?workbook=16_15.xlsx&amp;sheet=A0&amp;row=520&amp;col=10&amp;number=2.0926e-08&amp;sourceID=54","2.0926e-08")</f>
        <v>2.0926e-08</v>
      </c>
      <c r="K520" s="4" t="str">
        <f>HYPERLINK("http://141.218.60.56/~jnz1568/getInfo.php?workbook=16_15.xlsx&amp;sheet=A0&amp;row=520&amp;col=11&amp;number=&amp;sourceID=54","")</f>
        <v/>
      </c>
      <c r="L520" s="4" t="str">
        <f>HYPERLINK("http://141.218.60.56/~jnz1568/getInfo.php?workbook=16_15.xlsx&amp;sheet=A0&amp;row=520&amp;col=12&amp;number=&amp;sourceID=53","")</f>
        <v/>
      </c>
      <c r="M520" s="4" t="str">
        <f>HYPERLINK("http://141.218.60.56/~jnz1568/getInfo.php?workbook=16_15.xlsx&amp;sheet=A0&amp;row=520&amp;col=13&amp;number=&amp;sourceID=53","")</f>
        <v/>
      </c>
      <c r="N520" s="4" t="str">
        <f>HYPERLINK("http://141.218.60.56/~jnz1568/getInfo.php?workbook=16_15.xlsx&amp;sheet=A0&amp;row=520&amp;col=14&amp;number=&amp;sourceID=53","")</f>
        <v/>
      </c>
      <c r="O520" s="4" t="str">
        <f>HYPERLINK("http://141.218.60.56/~jnz1568/getInfo.php?workbook=16_15.xlsx&amp;sheet=A0&amp;row=520&amp;col=15&amp;number=&amp;sourceID=55","")</f>
        <v/>
      </c>
      <c r="P520" s="4" t="str">
        <f>HYPERLINK("http://141.218.60.56/~jnz1568/getInfo.php?workbook=16_15.xlsx&amp;sheet=A0&amp;row=520&amp;col=16&amp;number=&amp;sourceID=55","")</f>
        <v/>
      </c>
      <c r="Q520" s="4" t="str">
        <f>HYPERLINK("http://141.218.60.56/~jnz1568/getInfo.php?workbook=16_15.xlsx&amp;sheet=A0&amp;row=520&amp;col=17&amp;number=&amp;sourceID=56","")</f>
        <v/>
      </c>
      <c r="R520" s="4" t="str">
        <f>HYPERLINK("http://141.218.60.56/~jnz1568/getInfo.php?workbook=16_15.xlsx&amp;sheet=A0&amp;row=520&amp;col=18&amp;number=&amp;sourceID=56","")</f>
        <v/>
      </c>
      <c r="S520" s="4" t="str">
        <f>HYPERLINK("http://141.218.60.56/~jnz1568/getInfo.php?workbook=16_15.xlsx&amp;sheet=A0&amp;row=520&amp;col=19&amp;number=&amp;sourceID=57","")</f>
        <v/>
      </c>
      <c r="T520" s="4" t="str">
        <f>HYPERLINK("http://141.218.60.56/~jnz1568/getInfo.php?workbook=16_15.xlsx&amp;sheet=A0&amp;row=520&amp;col=20&amp;number=&amp;sourceID=57","")</f>
        <v/>
      </c>
      <c r="U520" s="4" t="str">
        <f>HYPERLINK("http://141.218.60.56/~jnz1568/getInfo.php?workbook=16_15.xlsx&amp;sheet=A0&amp;row=520&amp;col=21&amp;number=&amp;sourceID=47","")</f>
        <v/>
      </c>
      <c r="V520" s="4" t="str">
        <f>HYPERLINK("http://141.218.60.56/~jnz1568/getInfo.php?workbook=16_15.xlsx&amp;sheet=A0&amp;row=520&amp;col=22&amp;number=&amp;sourceID=47","")</f>
        <v/>
      </c>
    </row>
    <row r="521" spans="1:22">
      <c r="A521" s="3">
        <v>16</v>
      </c>
      <c r="B521" s="3">
        <v>15</v>
      </c>
      <c r="C521" s="3">
        <v>37</v>
      </c>
      <c r="D521" s="3">
        <v>36</v>
      </c>
      <c r="E521" s="3">
        <f>((1/(INDEX(E0!J$4:J$73,C521,1)-INDEX(E0!J$4:J$73,D521,1))))*100000000</f>
        <v>0</v>
      </c>
      <c r="F521" s="4" t="str">
        <f>HYPERLINK("http://141.218.60.56/~jnz1568/getInfo.php?workbook=16_15.xlsx&amp;sheet=A0&amp;row=521&amp;col=6&amp;number=&amp;sourceID=54","")</f>
        <v/>
      </c>
      <c r="G521" s="4" t="str">
        <f>HYPERLINK("http://141.218.60.56/~jnz1568/getInfo.php?workbook=16_15.xlsx&amp;sheet=A0&amp;row=521&amp;col=7&amp;number=1.0817e-08&amp;sourceID=54","1.0817e-08")</f>
        <v>1.0817e-08</v>
      </c>
      <c r="H521" s="4" t="str">
        <f>HYPERLINK("http://141.218.60.56/~jnz1568/getInfo.php?workbook=16_15.xlsx&amp;sheet=A0&amp;row=521&amp;col=8&amp;number=0.00079394&amp;sourceID=54","0.00079394")</f>
        <v>0.00079394</v>
      </c>
      <c r="I521" s="4" t="str">
        <f>HYPERLINK("http://141.218.60.56/~jnz1568/getInfo.php?workbook=16_15.xlsx&amp;sheet=A0&amp;row=521&amp;col=9&amp;number=&amp;sourceID=54","")</f>
        <v/>
      </c>
      <c r="J521" s="4" t="str">
        <f>HYPERLINK("http://141.218.60.56/~jnz1568/getInfo.php?workbook=16_15.xlsx&amp;sheet=A0&amp;row=521&amp;col=10&amp;number=1.081e-08&amp;sourceID=54","1.081e-08")</f>
        <v>1.081e-08</v>
      </c>
      <c r="K521" s="4" t="str">
        <f>HYPERLINK("http://141.218.60.56/~jnz1568/getInfo.php?workbook=16_15.xlsx&amp;sheet=A0&amp;row=521&amp;col=11&amp;number=0.00078985&amp;sourceID=54","0.00078985")</f>
        <v>0.00078985</v>
      </c>
      <c r="L521" s="4" t="str">
        <f>HYPERLINK("http://141.218.60.56/~jnz1568/getInfo.php?workbook=16_15.xlsx&amp;sheet=A0&amp;row=521&amp;col=12&amp;number=&amp;sourceID=53","")</f>
        <v/>
      </c>
      <c r="M521" s="4" t="str">
        <f>HYPERLINK("http://141.218.60.56/~jnz1568/getInfo.php?workbook=16_15.xlsx&amp;sheet=A0&amp;row=521&amp;col=13&amp;number=&amp;sourceID=53","")</f>
        <v/>
      </c>
      <c r="N521" s="4" t="str">
        <f>HYPERLINK("http://141.218.60.56/~jnz1568/getInfo.php?workbook=16_15.xlsx&amp;sheet=A0&amp;row=521&amp;col=14&amp;number=&amp;sourceID=53","")</f>
        <v/>
      </c>
      <c r="O521" s="4" t="str">
        <f>HYPERLINK("http://141.218.60.56/~jnz1568/getInfo.php?workbook=16_15.xlsx&amp;sheet=A0&amp;row=521&amp;col=15&amp;number=&amp;sourceID=55","")</f>
        <v/>
      </c>
      <c r="P521" s="4" t="str">
        <f>HYPERLINK("http://141.218.60.56/~jnz1568/getInfo.php?workbook=16_15.xlsx&amp;sheet=A0&amp;row=521&amp;col=16&amp;number=&amp;sourceID=55","")</f>
        <v/>
      </c>
      <c r="Q521" s="4" t="str">
        <f>HYPERLINK("http://141.218.60.56/~jnz1568/getInfo.php?workbook=16_15.xlsx&amp;sheet=A0&amp;row=521&amp;col=17&amp;number=&amp;sourceID=56","")</f>
        <v/>
      </c>
      <c r="R521" s="4" t="str">
        <f>HYPERLINK("http://141.218.60.56/~jnz1568/getInfo.php?workbook=16_15.xlsx&amp;sheet=A0&amp;row=521&amp;col=18&amp;number=&amp;sourceID=56","")</f>
        <v/>
      </c>
      <c r="S521" s="4" t="str">
        <f>HYPERLINK("http://141.218.60.56/~jnz1568/getInfo.php?workbook=16_15.xlsx&amp;sheet=A0&amp;row=521&amp;col=19&amp;number=&amp;sourceID=57","")</f>
        <v/>
      </c>
      <c r="T521" s="4" t="str">
        <f>HYPERLINK("http://141.218.60.56/~jnz1568/getInfo.php?workbook=16_15.xlsx&amp;sheet=A0&amp;row=521&amp;col=20&amp;number=&amp;sourceID=57","")</f>
        <v/>
      </c>
      <c r="U521" s="4" t="str">
        <f>HYPERLINK("http://141.218.60.56/~jnz1568/getInfo.php?workbook=16_15.xlsx&amp;sheet=A0&amp;row=521&amp;col=21&amp;number=&amp;sourceID=47","")</f>
        <v/>
      </c>
      <c r="V521" s="4" t="str">
        <f>HYPERLINK("http://141.218.60.56/~jnz1568/getInfo.php?workbook=16_15.xlsx&amp;sheet=A0&amp;row=521&amp;col=22&amp;number=&amp;sourceID=47","")</f>
        <v/>
      </c>
    </row>
    <row r="522" spans="1:22">
      <c r="A522" s="3">
        <v>16</v>
      </c>
      <c r="B522" s="3">
        <v>15</v>
      </c>
      <c r="C522" s="3">
        <v>38</v>
      </c>
      <c r="D522" s="3">
        <v>1</v>
      </c>
      <c r="E522" s="3">
        <f>((1/(INDEX(E0!J$4:J$73,C522,1)-INDEX(E0!J$4:J$73,D522,1))))*100000000</f>
        <v>0</v>
      </c>
      <c r="F522" s="4" t="str">
        <f>HYPERLINK("http://141.218.60.56/~jnz1568/getInfo.php?workbook=16_15.xlsx&amp;sheet=A0&amp;row=522&amp;col=6&amp;number=&amp;sourceID=54","")</f>
        <v/>
      </c>
      <c r="G522" s="4" t="str">
        <f>HYPERLINK("http://141.218.60.56/~jnz1568/getInfo.php?workbook=16_15.xlsx&amp;sheet=A0&amp;row=522&amp;col=7&amp;number=17.015&amp;sourceID=54","17.015")</f>
        <v>17.015</v>
      </c>
      <c r="H522" s="4" t="str">
        <f>HYPERLINK("http://141.218.60.56/~jnz1568/getInfo.php?workbook=16_15.xlsx&amp;sheet=A0&amp;row=522&amp;col=8&amp;number=2.0436e-05&amp;sourceID=54","2.0436e-05")</f>
        <v>2.0436e-05</v>
      </c>
      <c r="I522" s="4" t="str">
        <f>HYPERLINK("http://141.218.60.56/~jnz1568/getInfo.php?workbook=16_15.xlsx&amp;sheet=A0&amp;row=522&amp;col=9&amp;number=&amp;sourceID=54","")</f>
        <v/>
      </c>
      <c r="J522" s="4" t="str">
        <f>HYPERLINK("http://141.218.60.56/~jnz1568/getInfo.php?workbook=16_15.xlsx&amp;sheet=A0&amp;row=522&amp;col=10&amp;number=16.537&amp;sourceID=54","16.537")</f>
        <v>16.537</v>
      </c>
      <c r="K522" s="4" t="str">
        <f>HYPERLINK("http://141.218.60.56/~jnz1568/getInfo.php?workbook=16_15.xlsx&amp;sheet=A0&amp;row=522&amp;col=11&amp;number=2.207e-05&amp;sourceID=54","2.207e-05")</f>
        <v>2.207e-05</v>
      </c>
      <c r="L522" s="4" t="str">
        <f>HYPERLINK("http://141.218.60.56/~jnz1568/getInfo.php?workbook=16_15.xlsx&amp;sheet=A0&amp;row=522&amp;col=12&amp;number=&amp;sourceID=53","")</f>
        <v/>
      </c>
      <c r="M522" s="4" t="str">
        <f>HYPERLINK("http://141.218.60.56/~jnz1568/getInfo.php?workbook=16_15.xlsx&amp;sheet=A0&amp;row=522&amp;col=13&amp;number=&amp;sourceID=53","")</f>
        <v/>
      </c>
      <c r="N522" s="4" t="str">
        <f>HYPERLINK("http://141.218.60.56/~jnz1568/getInfo.php?workbook=16_15.xlsx&amp;sheet=A0&amp;row=522&amp;col=14&amp;number=&amp;sourceID=53","")</f>
        <v/>
      </c>
      <c r="O522" s="4" t="str">
        <f>HYPERLINK("http://141.218.60.56/~jnz1568/getInfo.php?workbook=16_15.xlsx&amp;sheet=A0&amp;row=522&amp;col=15&amp;number=&amp;sourceID=55","")</f>
        <v/>
      </c>
      <c r="P522" s="4" t="str">
        <f>HYPERLINK("http://141.218.60.56/~jnz1568/getInfo.php?workbook=16_15.xlsx&amp;sheet=A0&amp;row=522&amp;col=16&amp;number=&amp;sourceID=55","")</f>
        <v/>
      </c>
      <c r="Q522" s="4" t="str">
        <f>HYPERLINK("http://141.218.60.56/~jnz1568/getInfo.php?workbook=16_15.xlsx&amp;sheet=A0&amp;row=522&amp;col=17&amp;number=&amp;sourceID=56","")</f>
        <v/>
      </c>
      <c r="R522" s="4" t="str">
        <f>HYPERLINK("http://141.218.60.56/~jnz1568/getInfo.php?workbook=16_15.xlsx&amp;sheet=A0&amp;row=522&amp;col=18&amp;number=&amp;sourceID=56","")</f>
        <v/>
      </c>
      <c r="S522" s="4" t="str">
        <f>HYPERLINK("http://141.218.60.56/~jnz1568/getInfo.php?workbook=16_15.xlsx&amp;sheet=A0&amp;row=522&amp;col=19&amp;number=&amp;sourceID=57","")</f>
        <v/>
      </c>
      <c r="T522" s="4" t="str">
        <f>HYPERLINK("http://141.218.60.56/~jnz1568/getInfo.php?workbook=16_15.xlsx&amp;sheet=A0&amp;row=522&amp;col=20&amp;number=&amp;sourceID=57","")</f>
        <v/>
      </c>
      <c r="U522" s="4" t="str">
        <f>HYPERLINK("http://141.218.60.56/~jnz1568/getInfo.php?workbook=16_15.xlsx&amp;sheet=A0&amp;row=522&amp;col=21&amp;number=&amp;sourceID=47","")</f>
        <v/>
      </c>
      <c r="V522" s="4" t="str">
        <f>HYPERLINK("http://141.218.60.56/~jnz1568/getInfo.php?workbook=16_15.xlsx&amp;sheet=A0&amp;row=522&amp;col=22&amp;number=&amp;sourceID=47","")</f>
        <v/>
      </c>
    </row>
    <row r="523" spans="1:22">
      <c r="A523" s="3">
        <v>16</v>
      </c>
      <c r="B523" s="3">
        <v>15</v>
      </c>
      <c r="C523" s="3">
        <v>38</v>
      </c>
      <c r="D523" s="3">
        <v>2</v>
      </c>
      <c r="E523" s="3">
        <f>((1/(INDEX(E0!J$4:J$73,C523,1)-INDEX(E0!J$4:J$73,D523,1))))*100000000</f>
        <v>0</v>
      </c>
      <c r="F523" s="4" t="str">
        <f>HYPERLINK("http://141.218.60.56/~jnz1568/getInfo.php?workbook=16_15.xlsx&amp;sheet=A0&amp;row=523&amp;col=6&amp;number=&amp;sourceID=54","")</f>
        <v/>
      </c>
      <c r="G523" s="4" t="str">
        <f>HYPERLINK("http://141.218.60.56/~jnz1568/getInfo.php?workbook=16_15.xlsx&amp;sheet=A0&amp;row=523&amp;col=7&amp;number=19.694&amp;sourceID=54","19.694")</f>
        <v>19.694</v>
      </c>
      <c r="H523" s="4" t="str">
        <f>HYPERLINK("http://141.218.60.56/~jnz1568/getInfo.php?workbook=16_15.xlsx&amp;sheet=A0&amp;row=523&amp;col=8&amp;number=3.8674e-06&amp;sourceID=54","3.8674e-06")</f>
        <v>3.8674e-06</v>
      </c>
      <c r="I523" s="4" t="str">
        <f>HYPERLINK("http://141.218.60.56/~jnz1568/getInfo.php?workbook=16_15.xlsx&amp;sheet=A0&amp;row=523&amp;col=9&amp;number=&amp;sourceID=54","")</f>
        <v/>
      </c>
      <c r="J523" s="4" t="str">
        <f>HYPERLINK("http://141.218.60.56/~jnz1568/getInfo.php?workbook=16_15.xlsx&amp;sheet=A0&amp;row=523&amp;col=10&amp;number=20.751&amp;sourceID=54","20.751")</f>
        <v>20.751</v>
      </c>
      <c r="K523" s="4" t="str">
        <f>HYPERLINK("http://141.218.60.56/~jnz1568/getInfo.php?workbook=16_15.xlsx&amp;sheet=A0&amp;row=523&amp;col=11&amp;number=3.7218e-06&amp;sourceID=54","3.7218e-06")</f>
        <v>3.7218e-06</v>
      </c>
      <c r="L523" s="4" t="str">
        <f>HYPERLINK("http://141.218.60.56/~jnz1568/getInfo.php?workbook=16_15.xlsx&amp;sheet=A0&amp;row=523&amp;col=12&amp;number=&amp;sourceID=53","")</f>
        <v/>
      </c>
      <c r="M523" s="4" t="str">
        <f>HYPERLINK("http://141.218.60.56/~jnz1568/getInfo.php?workbook=16_15.xlsx&amp;sheet=A0&amp;row=523&amp;col=13&amp;number=&amp;sourceID=53","")</f>
        <v/>
      </c>
      <c r="N523" s="4" t="str">
        <f>HYPERLINK("http://141.218.60.56/~jnz1568/getInfo.php?workbook=16_15.xlsx&amp;sheet=A0&amp;row=523&amp;col=14&amp;number=&amp;sourceID=53","")</f>
        <v/>
      </c>
      <c r="O523" s="4" t="str">
        <f>HYPERLINK("http://141.218.60.56/~jnz1568/getInfo.php?workbook=16_15.xlsx&amp;sheet=A0&amp;row=523&amp;col=15&amp;number=&amp;sourceID=55","")</f>
        <v/>
      </c>
      <c r="P523" s="4" t="str">
        <f>HYPERLINK("http://141.218.60.56/~jnz1568/getInfo.php?workbook=16_15.xlsx&amp;sheet=A0&amp;row=523&amp;col=16&amp;number=&amp;sourceID=55","")</f>
        <v/>
      </c>
      <c r="Q523" s="4" t="str">
        <f>HYPERLINK("http://141.218.60.56/~jnz1568/getInfo.php?workbook=16_15.xlsx&amp;sheet=A0&amp;row=523&amp;col=17&amp;number=&amp;sourceID=56","")</f>
        <v/>
      </c>
      <c r="R523" s="4" t="str">
        <f>HYPERLINK("http://141.218.60.56/~jnz1568/getInfo.php?workbook=16_15.xlsx&amp;sheet=A0&amp;row=523&amp;col=18&amp;number=&amp;sourceID=56","")</f>
        <v/>
      </c>
      <c r="S523" s="4" t="str">
        <f>HYPERLINK("http://141.218.60.56/~jnz1568/getInfo.php?workbook=16_15.xlsx&amp;sheet=A0&amp;row=523&amp;col=19&amp;number=&amp;sourceID=57","")</f>
        <v/>
      </c>
      <c r="T523" s="4" t="str">
        <f>HYPERLINK("http://141.218.60.56/~jnz1568/getInfo.php?workbook=16_15.xlsx&amp;sheet=A0&amp;row=523&amp;col=20&amp;number=&amp;sourceID=57","")</f>
        <v/>
      </c>
      <c r="U523" s="4" t="str">
        <f>HYPERLINK("http://141.218.60.56/~jnz1568/getInfo.php?workbook=16_15.xlsx&amp;sheet=A0&amp;row=523&amp;col=21&amp;number=&amp;sourceID=47","")</f>
        <v/>
      </c>
      <c r="V523" s="4" t="str">
        <f>HYPERLINK("http://141.218.60.56/~jnz1568/getInfo.php?workbook=16_15.xlsx&amp;sheet=A0&amp;row=523&amp;col=22&amp;number=&amp;sourceID=47","")</f>
        <v/>
      </c>
    </row>
    <row r="524" spans="1:22">
      <c r="A524" s="3">
        <v>16</v>
      </c>
      <c r="B524" s="3">
        <v>15</v>
      </c>
      <c r="C524" s="3">
        <v>38</v>
      </c>
      <c r="D524" s="3">
        <v>3</v>
      </c>
      <c r="E524" s="3">
        <f>((1/(INDEX(E0!J$4:J$73,C524,1)-INDEX(E0!J$4:J$73,D524,1))))*100000000</f>
        <v>0</v>
      </c>
      <c r="F524" s="4" t="str">
        <f>HYPERLINK("http://141.218.60.56/~jnz1568/getInfo.php?workbook=16_15.xlsx&amp;sheet=A0&amp;row=524&amp;col=6&amp;number=&amp;sourceID=54","")</f>
        <v/>
      </c>
      <c r="G524" s="4" t="str">
        <f>HYPERLINK("http://141.218.60.56/~jnz1568/getInfo.php?workbook=16_15.xlsx&amp;sheet=A0&amp;row=524&amp;col=7&amp;number=14.339&amp;sourceID=54","14.339")</f>
        <v>14.339</v>
      </c>
      <c r="H524" s="4" t="str">
        <f>HYPERLINK("http://141.218.60.56/~jnz1568/getInfo.php?workbook=16_15.xlsx&amp;sheet=A0&amp;row=524&amp;col=8&amp;number=&amp;sourceID=54","")</f>
        <v/>
      </c>
      <c r="I524" s="4" t="str">
        <f>HYPERLINK("http://141.218.60.56/~jnz1568/getInfo.php?workbook=16_15.xlsx&amp;sheet=A0&amp;row=524&amp;col=9&amp;number=&amp;sourceID=54","")</f>
        <v/>
      </c>
      <c r="J524" s="4" t="str">
        <f>HYPERLINK("http://141.218.60.56/~jnz1568/getInfo.php?workbook=16_15.xlsx&amp;sheet=A0&amp;row=524&amp;col=10&amp;number=14.551&amp;sourceID=54","14.551")</f>
        <v>14.551</v>
      </c>
      <c r="K524" s="4" t="str">
        <f>HYPERLINK("http://141.218.60.56/~jnz1568/getInfo.php?workbook=16_15.xlsx&amp;sheet=A0&amp;row=524&amp;col=11&amp;number=&amp;sourceID=54","")</f>
        <v/>
      </c>
      <c r="L524" s="4" t="str">
        <f>HYPERLINK("http://141.218.60.56/~jnz1568/getInfo.php?workbook=16_15.xlsx&amp;sheet=A0&amp;row=524&amp;col=12&amp;number=&amp;sourceID=53","")</f>
        <v/>
      </c>
      <c r="M524" s="4" t="str">
        <f>HYPERLINK("http://141.218.60.56/~jnz1568/getInfo.php?workbook=16_15.xlsx&amp;sheet=A0&amp;row=524&amp;col=13&amp;number=&amp;sourceID=53","")</f>
        <v/>
      </c>
      <c r="N524" s="4" t="str">
        <f>HYPERLINK("http://141.218.60.56/~jnz1568/getInfo.php?workbook=16_15.xlsx&amp;sheet=A0&amp;row=524&amp;col=14&amp;number=&amp;sourceID=53","")</f>
        <v/>
      </c>
      <c r="O524" s="4" t="str">
        <f>HYPERLINK("http://141.218.60.56/~jnz1568/getInfo.php?workbook=16_15.xlsx&amp;sheet=A0&amp;row=524&amp;col=15&amp;number=&amp;sourceID=55","")</f>
        <v/>
      </c>
      <c r="P524" s="4" t="str">
        <f>HYPERLINK("http://141.218.60.56/~jnz1568/getInfo.php?workbook=16_15.xlsx&amp;sheet=A0&amp;row=524&amp;col=16&amp;number=&amp;sourceID=55","")</f>
        <v/>
      </c>
      <c r="Q524" s="4" t="str">
        <f>HYPERLINK("http://141.218.60.56/~jnz1568/getInfo.php?workbook=16_15.xlsx&amp;sheet=A0&amp;row=524&amp;col=17&amp;number=&amp;sourceID=56","")</f>
        <v/>
      </c>
      <c r="R524" s="4" t="str">
        <f>HYPERLINK("http://141.218.60.56/~jnz1568/getInfo.php?workbook=16_15.xlsx&amp;sheet=A0&amp;row=524&amp;col=18&amp;number=&amp;sourceID=56","")</f>
        <v/>
      </c>
      <c r="S524" s="4" t="str">
        <f>HYPERLINK("http://141.218.60.56/~jnz1568/getInfo.php?workbook=16_15.xlsx&amp;sheet=A0&amp;row=524&amp;col=19&amp;number=&amp;sourceID=57","")</f>
        <v/>
      </c>
      <c r="T524" s="4" t="str">
        <f>HYPERLINK("http://141.218.60.56/~jnz1568/getInfo.php?workbook=16_15.xlsx&amp;sheet=A0&amp;row=524&amp;col=20&amp;number=&amp;sourceID=57","")</f>
        <v/>
      </c>
      <c r="U524" s="4" t="str">
        <f>HYPERLINK("http://141.218.60.56/~jnz1568/getInfo.php?workbook=16_15.xlsx&amp;sheet=A0&amp;row=524&amp;col=21&amp;number=&amp;sourceID=47","")</f>
        <v/>
      </c>
      <c r="V524" s="4" t="str">
        <f>HYPERLINK("http://141.218.60.56/~jnz1568/getInfo.php?workbook=16_15.xlsx&amp;sheet=A0&amp;row=524&amp;col=22&amp;number=&amp;sourceID=47","")</f>
        <v/>
      </c>
    </row>
    <row r="525" spans="1:22">
      <c r="A525" s="3">
        <v>16</v>
      </c>
      <c r="B525" s="3">
        <v>15</v>
      </c>
      <c r="C525" s="3">
        <v>38</v>
      </c>
      <c r="D525" s="3">
        <v>4</v>
      </c>
      <c r="E525" s="3">
        <f>((1/(INDEX(E0!J$4:J$73,C525,1)-INDEX(E0!J$4:J$73,D525,1))))*100000000</f>
        <v>0</v>
      </c>
      <c r="F525" s="4" t="str">
        <f>HYPERLINK("http://141.218.60.56/~jnz1568/getInfo.php?workbook=16_15.xlsx&amp;sheet=A0&amp;row=525&amp;col=6&amp;number=&amp;sourceID=54","")</f>
        <v/>
      </c>
      <c r="G525" s="4" t="str">
        <f>HYPERLINK("http://141.218.60.56/~jnz1568/getInfo.php?workbook=16_15.xlsx&amp;sheet=A0&amp;row=525&amp;col=7&amp;number=&amp;sourceID=54","")</f>
        <v/>
      </c>
      <c r="H525" s="4" t="str">
        <f>HYPERLINK("http://141.218.60.56/~jnz1568/getInfo.php?workbook=16_15.xlsx&amp;sheet=A0&amp;row=525&amp;col=8&amp;number=0.0024497&amp;sourceID=54","0.0024497")</f>
        <v>0.0024497</v>
      </c>
      <c r="I525" s="4" t="str">
        <f>HYPERLINK("http://141.218.60.56/~jnz1568/getInfo.php?workbook=16_15.xlsx&amp;sheet=A0&amp;row=525&amp;col=9&amp;number=&amp;sourceID=54","")</f>
        <v/>
      </c>
      <c r="J525" s="4" t="str">
        <f>HYPERLINK("http://141.218.60.56/~jnz1568/getInfo.php?workbook=16_15.xlsx&amp;sheet=A0&amp;row=525&amp;col=10&amp;number=&amp;sourceID=54","")</f>
        <v/>
      </c>
      <c r="K525" s="4" t="str">
        <f>HYPERLINK("http://141.218.60.56/~jnz1568/getInfo.php?workbook=16_15.xlsx&amp;sheet=A0&amp;row=525&amp;col=11&amp;number=0.0025411&amp;sourceID=54","0.0025411")</f>
        <v>0.0025411</v>
      </c>
      <c r="L525" s="4" t="str">
        <f>HYPERLINK("http://141.218.60.56/~jnz1568/getInfo.php?workbook=16_15.xlsx&amp;sheet=A0&amp;row=525&amp;col=12&amp;number=&amp;sourceID=53","")</f>
        <v/>
      </c>
      <c r="M525" s="4" t="str">
        <f>HYPERLINK("http://141.218.60.56/~jnz1568/getInfo.php?workbook=16_15.xlsx&amp;sheet=A0&amp;row=525&amp;col=13&amp;number=&amp;sourceID=53","")</f>
        <v/>
      </c>
      <c r="N525" s="4" t="str">
        <f>HYPERLINK("http://141.218.60.56/~jnz1568/getInfo.php?workbook=16_15.xlsx&amp;sheet=A0&amp;row=525&amp;col=14&amp;number=&amp;sourceID=53","")</f>
        <v/>
      </c>
      <c r="O525" s="4" t="str">
        <f>HYPERLINK("http://141.218.60.56/~jnz1568/getInfo.php?workbook=16_15.xlsx&amp;sheet=A0&amp;row=525&amp;col=15&amp;number=&amp;sourceID=55","")</f>
        <v/>
      </c>
      <c r="P525" s="4" t="str">
        <f>HYPERLINK("http://141.218.60.56/~jnz1568/getInfo.php?workbook=16_15.xlsx&amp;sheet=A0&amp;row=525&amp;col=16&amp;number=&amp;sourceID=55","")</f>
        <v/>
      </c>
      <c r="Q525" s="4" t="str">
        <f>HYPERLINK("http://141.218.60.56/~jnz1568/getInfo.php?workbook=16_15.xlsx&amp;sheet=A0&amp;row=525&amp;col=17&amp;number=&amp;sourceID=56","")</f>
        <v/>
      </c>
      <c r="R525" s="4" t="str">
        <f>HYPERLINK("http://141.218.60.56/~jnz1568/getInfo.php?workbook=16_15.xlsx&amp;sheet=A0&amp;row=525&amp;col=18&amp;number=&amp;sourceID=56","")</f>
        <v/>
      </c>
      <c r="S525" s="4" t="str">
        <f>HYPERLINK("http://141.218.60.56/~jnz1568/getInfo.php?workbook=16_15.xlsx&amp;sheet=A0&amp;row=525&amp;col=19&amp;number=&amp;sourceID=57","")</f>
        <v/>
      </c>
      <c r="T525" s="4" t="str">
        <f>HYPERLINK("http://141.218.60.56/~jnz1568/getInfo.php?workbook=16_15.xlsx&amp;sheet=A0&amp;row=525&amp;col=20&amp;number=&amp;sourceID=57","")</f>
        <v/>
      </c>
      <c r="U525" s="4" t="str">
        <f>HYPERLINK("http://141.218.60.56/~jnz1568/getInfo.php?workbook=16_15.xlsx&amp;sheet=A0&amp;row=525&amp;col=21&amp;number=&amp;sourceID=47","")</f>
        <v/>
      </c>
      <c r="V525" s="4" t="str">
        <f>HYPERLINK("http://141.218.60.56/~jnz1568/getInfo.php?workbook=16_15.xlsx&amp;sheet=A0&amp;row=525&amp;col=22&amp;number=&amp;sourceID=47","")</f>
        <v/>
      </c>
    </row>
    <row r="526" spans="1:22">
      <c r="A526" s="3">
        <v>16</v>
      </c>
      <c r="B526" s="3">
        <v>15</v>
      </c>
      <c r="C526" s="3">
        <v>38</v>
      </c>
      <c r="D526" s="3">
        <v>5</v>
      </c>
      <c r="E526" s="3">
        <f>((1/(INDEX(E0!J$4:J$73,C526,1)-INDEX(E0!J$4:J$73,D526,1))))*100000000</f>
        <v>0</v>
      </c>
      <c r="F526" s="4" t="str">
        <f>HYPERLINK("http://141.218.60.56/~jnz1568/getInfo.php?workbook=16_15.xlsx&amp;sheet=A0&amp;row=526&amp;col=6&amp;number=&amp;sourceID=54","")</f>
        <v/>
      </c>
      <c r="G526" s="4" t="str">
        <f>HYPERLINK("http://141.218.60.56/~jnz1568/getInfo.php?workbook=16_15.xlsx&amp;sheet=A0&amp;row=526&amp;col=7&amp;number=0.24758&amp;sourceID=54","0.24758")</f>
        <v>0.24758</v>
      </c>
      <c r="H526" s="4" t="str">
        <f>HYPERLINK("http://141.218.60.56/~jnz1568/getInfo.php?workbook=16_15.xlsx&amp;sheet=A0&amp;row=526&amp;col=8&amp;number=0.004688&amp;sourceID=54","0.004688")</f>
        <v>0.004688</v>
      </c>
      <c r="I526" s="4" t="str">
        <f>HYPERLINK("http://141.218.60.56/~jnz1568/getInfo.php?workbook=16_15.xlsx&amp;sheet=A0&amp;row=526&amp;col=9&amp;number=&amp;sourceID=54","")</f>
        <v/>
      </c>
      <c r="J526" s="4" t="str">
        <f>HYPERLINK("http://141.218.60.56/~jnz1568/getInfo.php?workbook=16_15.xlsx&amp;sheet=A0&amp;row=526&amp;col=10&amp;number=0.29928&amp;sourceID=54","0.29928")</f>
        <v>0.29928</v>
      </c>
      <c r="K526" s="4" t="str">
        <f>HYPERLINK("http://141.218.60.56/~jnz1568/getInfo.php?workbook=16_15.xlsx&amp;sheet=A0&amp;row=526&amp;col=11&amp;number=0.0048672&amp;sourceID=54","0.0048672")</f>
        <v>0.0048672</v>
      </c>
      <c r="L526" s="4" t="str">
        <f>HYPERLINK("http://141.218.60.56/~jnz1568/getInfo.php?workbook=16_15.xlsx&amp;sheet=A0&amp;row=526&amp;col=12&amp;number=&amp;sourceID=53","")</f>
        <v/>
      </c>
      <c r="M526" s="4" t="str">
        <f>HYPERLINK("http://141.218.60.56/~jnz1568/getInfo.php?workbook=16_15.xlsx&amp;sheet=A0&amp;row=526&amp;col=13&amp;number=&amp;sourceID=53","")</f>
        <v/>
      </c>
      <c r="N526" s="4" t="str">
        <f>HYPERLINK("http://141.218.60.56/~jnz1568/getInfo.php?workbook=16_15.xlsx&amp;sheet=A0&amp;row=526&amp;col=14&amp;number=&amp;sourceID=53","")</f>
        <v/>
      </c>
      <c r="O526" s="4" t="str">
        <f>HYPERLINK("http://141.218.60.56/~jnz1568/getInfo.php?workbook=16_15.xlsx&amp;sheet=A0&amp;row=526&amp;col=15&amp;number=&amp;sourceID=55","")</f>
        <v/>
      </c>
      <c r="P526" s="4" t="str">
        <f>HYPERLINK("http://141.218.60.56/~jnz1568/getInfo.php?workbook=16_15.xlsx&amp;sheet=A0&amp;row=526&amp;col=16&amp;number=&amp;sourceID=55","")</f>
        <v/>
      </c>
      <c r="Q526" s="4" t="str">
        <f>HYPERLINK("http://141.218.60.56/~jnz1568/getInfo.php?workbook=16_15.xlsx&amp;sheet=A0&amp;row=526&amp;col=17&amp;number=&amp;sourceID=56","")</f>
        <v/>
      </c>
      <c r="R526" s="4" t="str">
        <f>HYPERLINK("http://141.218.60.56/~jnz1568/getInfo.php?workbook=16_15.xlsx&amp;sheet=A0&amp;row=526&amp;col=18&amp;number=&amp;sourceID=56","")</f>
        <v/>
      </c>
      <c r="S526" s="4" t="str">
        <f>HYPERLINK("http://141.218.60.56/~jnz1568/getInfo.php?workbook=16_15.xlsx&amp;sheet=A0&amp;row=526&amp;col=19&amp;number=&amp;sourceID=57","")</f>
        <v/>
      </c>
      <c r="T526" s="4" t="str">
        <f>HYPERLINK("http://141.218.60.56/~jnz1568/getInfo.php?workbook=16_15.xlsx&amp;sheet=A0&amp;row=526&amp;col=20&amp;number=&amp;sourceID=57","")</f>
        <v/>
      </c>
      <c r="U526" s="4" t="str">
        <f>HYPERLINK("http://141.218.60.56/~jnz1568/getInfo.php?workbook=16_15.xlsx&amp;sheet=A0&amp;row=526&amp;col=21&amp;number=&amp;sourceID=47","")</f>
        <v/>
      </c>
      <c r="V526" s="4" t="str">
        <f>HYPERLINK("http://141.218.60.56/~jnz1568/getInfo.php?workbook=16_15.xlsx&amp;sheet=A0&amp;row=526&amp;col=22&amp;number=&amp;sourceID=47","")</f>
        <v/>
      </c>
    </row>
    <row r="527" spans="1:22">
      <c r="A527" s="3">
        <v>16</v>
      </c>
      <c r="B527" s="3">
        <v>15</v>
      </c>
      <c r="C527" s="3">
        <v>38</v>
      </c>
      <c r="D527" s="3">
        <v>7</v>
      </c>
      <c r="E527" s="3">
        <f>((1/(INDEX(E0!J$4:J$73,C527,1)-INDEX(E0!J$4:J$73,D527,1))))*100000000</f>
        <v>0</v>
      </c>
      <c r="F527" s="4" t="str">
        <f>HYPERLINK("http://141.218.60.56/~jnz1568/getInfo.php?workbook=16_15.xlsx&amp;sheet=A0&amp;row=527&amp;col=6&amp;number=21147000&amp;sourceID=54","21147000")</f>
        <v>21147000</v>
      </c>
      <c r="G527" s="4" t="str">
        <f>HYPERLINK("http://141.218.60.56/~jnz1568/getInfo.php?workbook=16_15.xlsx&amp;sheet=A0&amp;row=527&amp;col=7&amp;number=&amp;sourceID=54","")</f>
        <v/>
      </c>
      <c r="H527" s="4" t="str">
        <f>HYPERLINK("http://141.218.60.56/~jnz1568/getInfo.php?workbook=16_15.xlsx&amp;sheet=A0&amp;row=527&amp;col=8&amp;number=&amp;sourceID=54","")</f>
        <v/>
      </c>
      <c r="I527" s="4" t="str">
        <f>HYPERLINK("http://141.218.60.56/~jnz1568/getInfo.php?workbook=16_15.xlsx&amp;sheet=A0&amp;row=527&amp;col=9&amp;number=20536000&amp;sourceID=54","20536000")</f>
        <v>20536000</v>
      </c>
      <c r="J527" s="4" t="str">
        <f>HYPERLINK("http://141.218.60.56/~jnz1568/getInfo.php?workbook=16_15.xlsx&amp;sheet=A0&amp;row=527&amp;col=10&amp;number=&amp;sourceID=54","")</f>
        <v/>
      </c>
      <c r="K527" s="4" t="str">
        <f>HYPERLINK("http://141.218.60.56/~jnz1568/getInfo.php?workbook=16_15.xlsx&amp;sheet=A0&amp;row=527&amp;col=11&amp;number=&amp;sourceID=54","")</f>
        <v/>
      </c>
      <c r="L527" s="4" t="str">
        <f>HYPERLINK("http://141.218.60.56/~jnz1568/getInfo.php?workbook=16_15.xlsx&amp;sheet=A0&amp;row=527&amp;col=12&amp;number=25246854.2985&amp;sourceID=53","25246854.2985")</f>
        <v>25246854.2985</v>
      </c>
      <c r="M527" s="4" t="str">
        <f>HYPERLINK("http://141.218.60.56/~jnz1568/getInfo.php?workbook=16_15.xlsx&amp;sheet=A0&amp;row=527&amp;col=13&amp;number=&amp;sourceID=53","")</f>
        <v/>
      </c>
      <c r="N527" s="4" t="str">
        <f>HYPERLINK("http://141.218.60.56/~jnz1568/getInfo.php?workbook=16_15.xlsx&amp;sheet=A0&amp;row=527&amp;col=14&amp;number=&amp;sourceID=53","")</f>
        <v/>
      </c>
      <c r="O527" s="4" t="str">
        <f>HYPERLINK("http://141.218.60.56/~jnz1568/getInfo.php?workbook=16_15.xlsx&amp;sheet=A0&amp;row=527&amp;col=15&amp;number=&amp;sourceID=55","")</f>
        <v/>
      </c>
      <c r="P527" s="4" t="str">
        <f>HYPERLINK("http://141.218.60.56/~jnz1568/getInfo.php?workbook=16_15.xlsx&amp;sheet=A0&amp;row=527&amp;col=16&amp;number=&amp;sourceID=55","")</f>
        <v/>
      </c>
      <c r="Q527" s="4" t="str">
        <f>HYPERLINK("http://141.218.60.56/~jnz1568/getInfo.php?workbook=16_15.xlsx&amp;sheet=A0&amp;row=527&amp;col=17&amp;number=&amp;sourceID=56","")</f>
        <v/>
      </c>
      <c r="R527" s="4" t="str">
        <f>HYPERLINK("http://141.218.60.56/~jnz1568/getInfo.php?workbook=16_15.xlsx&amp;sheet=A0&amp;row=527&amp;col=18&amp;number=&amp;sourceID=56","")</f>
        <v/>
      </c>
      <c r="S527" s="4" t="str">
        <f>HYPERLINK("http://141.218.60.56/~jnz1568/getInfo.php?workbook=16_15.xlsx&amp;sheet=A0&amp;row=527&amp;col=19&amp;number=&amp;sourceID=57","")</f>
        <v/>
      </c>
      <c r="T527" s="4" t="str">
        <f>HYPERLINK("http://141.218.60.56/~jnz1568/getInfo.php?workbook=16_15.xlsx&amp;sheet=A0&amp;row=527&amp;col=20&amp;number=&amp;sourceID=57","")</f>
        <v/>
      </c>
      <c r="U527" s="4" t="str">
        <f>HYPERLINK("http://141.218.60.56/~jnz1568/getInfo.php?workbook=16_15.xlsx&amp;sheet=A0&amp;row=527&amp;col=21&amp;number=&amp;sourceID=47","")</f>
        <v/>
      </c>
      <c r="V527" s="4" t="str">
        <f>HYPERLINK("http://141.218.60.56/~jnz1568/getInfo.php?workbook=16_15.xlsx&amp;sheet=A0&amp;row=527&amp;col=22&amp;number=&amp;sourceID=47","")</f>
        <v/>
      </c>
    </row>
    <row r="528" spans="1:22">
      <c r="A528" s="3">
        <v>16</v>
      </c>
      <c r="B528" s="3">
        <v>15</v>
      </c>
      <c r="C528" s="3">
        <v>38</v>
      </c>
      <c r="D528" s="3">
        <v>8</v>
      </c>
      <c r="E528" s="3">
        <f>((1/(INDEX(E0!J$4:J$73,C528,1)-INDEX(E0!J$4:J$73,D528,1))))*100000000</f>
        <v>0</v>
      </c>
      <c r="F528" s="4" t="str">
        <f>HYPERLINK("http://141.218.60.56/~jnz1568/getInfo.php?workbook=16_15.xlsx&amp;sheet=A0&amp;row=528&amp;col=6&amp;number=4245800&amp;sourceID=54","4245800")</f>
        <v>4245800</v>
      </c>
      <c r="G528" s="4" t="str">
        <f>HYPERLINK("http://141.218.60.56/~jnz1568/getInfo.php?workbook=16_15.xlsx&amp;sheet=A0&amp;row=528&amp;col=7&amp;number=&amp;sourceID=54","")</f>
        <v/>
      </c>
      <c r="H528" s="4" t="str">
        <f>HYPERLINK("http://141.218.60.56/~jnz1568/getInfo.php?workbook=16_15.xlsx&amp;sheet=A0&amp;row=528&amp;col=8&amp;number=&amp;sourceID=54","")</f>
        <v/>
      </c>
      <c r="I528" s="4" t="str">
        <f>HYPERLINK("http://141.218.60.56/~jnz1568/getInfo.php?workbook=16_15.xlsx&amp;sheet=A0&amp;row=528&amp;col=9&amp;number=4122100&amp;sourceID=54","4122100")</f>
        <v>4122100</v>
      </c>
      <c r="J528" s="4" t="str">
        <f>HYPERLINK("http://141.218.60.56/~jnz1568/getInfo.php?workbook=16_15.xlsx&amp;sheet=A0&amp;row=528&amp;col=10&amp;number=&amp;sourceID=54","")</f>
        <v/>
      </c>
      <c r="K528" s="4" t="str">
        <f>HYPERLINK("http://141.218.60.56/~jnz1568/getInfo.php?workbook=16_15.xlsx&amp;sheet=A0&amp;row=528&amp;col=11&amp;number=&amp;sourceID=54","")</f>
        <v/>
      </c>
      <c r="L528" s="4" t="str">
        <f>HYPERLINK("http://141.218.60.56/~jnz1568/getInfo.php?workbook=16_15.xlsx&amp;sheet=A0&amp;row=528&amp;col=12&amp;number=5075038.54422&amp;sourceID=53","5075038.54422")</f>
        <v>5075038.54422</v>
      </c>
      <c r="M528" s="4" t="str">
        <f>HYPERLINK("http://141.218.60.56/~jnz1568/getInfo.php?workbook=16_15.xlsx&amp;sheet=A0&amp;row=528&amp;col=13&amp;number=&amp;sourceID=53","")</f>
        <v/>
      </c>
      <c r="N528" s="4" t="str">
        <f>HYPERLINK("http://141.218.60.56/~jnz1568/getInfo.php?workbook=16_15.xlsx&amp;sheet=A0&amp;row=528&amp;col=14&amp;number=&amp;sourceID=53","")</f>
        <v/>
      </c>
      <c r="O528" s="4" t="str">
        <f>HYPERLINK("http://141.218.60.56/~jnz1568/getInfo.php?workbook=16_15.xlsx&amp;sheet=A0&amp;row=528&amp;col=15&amp;number=&amp;sourceID=55","")</f>
        <v/>
      </c>
      <c r="P528" s="4" t="str">
        <f>HYPERLINK("http://141.218.60.56/~jnz1568/getInfo.php?workbook=16_15.xlsx&amp;sheet=A0&amp;row=528&amp;col=16&amp;number=&amp;sourceID=55","")</f>
        <v/>
      </c>
      <c r="Q528" s="4" t="str">
        <f>HYPERLINK("http://141.218.60.56/~jnz1568/getInfo.php?workbook=16_15.xlsx&amp;sheet=A0&amp;row=528&amp;col=17&amp;number=&amp;sourceID=56","")</f>
        <v/>
      </c>
      <c r="R528" s="4" t="str">
        <f>HYPERLINK("http://141.218.60.56/~jnz1568/getInfo.php?workbook=16_15.xlsx&amp;sheet=A0&amp;row=528&amp;col=18&amp;number=&amp;sourceID=56","")</f>
        <v/>
      </c>
      <c r="S528" s="4" t="str">
        <f>HYPERLINK("http://141.218.60.56/~jnz1568/getInfo.php?workbook=16_15.xlsx&amp;sheet=A0&amp;row=528&amp;col=19&amp;number=&amp;sourceID=57","")</f>
        <v/>
      </c>
      <c r="T528" s="4" t="str">
        <f>HYPERLINK("http://141.218.60.56/~jnz1568/getInfo.php?workbook=16_15.xlsx&amp;sheet=A0&amp;row=528&amp;col=20&amp;number=&amp;sourceID=57","")</f>
        <v/>
      </c>
      <c r="U528" s="4" t="str">
        <f>HYPERLINK("http://141.218.60.56/~jnz1568/getInfo.php?workbook=16_15.xlsx&amp;sheet=A0&amp;row=528&amp;col=21&amp;number=&amp;sourceID=47","")</f>
        <v/>
      </c>
      <c r="V528" s="4" t="str">
        <f>HYPERLINK("http://141.218.60.56/~jnz1568/getInfo.php?workbook=16_15.xlsx&amp;sheet=A0&amp;row=528&amp;col=22&amp;number=&amp;sourceID=47","")</f>
        <v/>
      </c>
    </row>
    <row r="529" spans="1:22">
      <c r="A529" s="3">
        <v>16</v>
      </c>
      <c r="B529" s="3">
        <v>15</v>
      </c>
      <c r="C529" s="3">
        <v>38</v>
      </c>
      <c r="D529" s="3">
        <v>9</v>
      </c>
      <c r="E529" s="3">
        <f>((1/(INDEX(E0!J$4:J$73,C529,1)-INDEX(E0!J$4:J$73,D529,1))))*100000000</f>
        <v>0</v>
      </c>
      <c r="F529" s="4" t="str">
        <f>HYPERLINK("http://141.218.60.56/~jnz1568/getInfo.php?workbook=16_15.xlsx&amp;sheet=A0&amp;row=529&amp;col=6&amp;number=7609.3&amp;sourceID=54","7609.3")</f>
        <v>7609.3</v>
      </c>
      <c r="G529" s="4" t="str">
        <f>HYPERLINK("http://141.218.60.56/~jnz1568/getInfo.php?workbook=16_15.xlsx&amp;sheet=A0&amp;row=529&amp;col=7&amp;number=&amp;sourceID=54","")</f>
        <v/>
      </c>
      <c r="H529" s="4" t="str">
        <f>HYPERLINK("http://141.218.60.56/~jnz1568/getInfo.php?workbook=16_15.xlsx&amp;sheet=A0&amp;row=529&amp;col=8&amp;number=&amp;sourceID=54","")</f>
        <v/>
      </c>
      <c r="I529" s="4" t="str">
        <f>HYPERLINK("http://141.218.60.56/~jnz1568/getInfo.php?workbook=16_15.xlsx&amp;sheet=A0&amp;row=529&amp;col=9&amp;number=8389.5&amp;sourceID=54","8389.5")</f>
        <v>8389.5</v>
      </c>
      <c r="J529" s="4" t="str">
        <f>HYPERLINK("http://141.218.60.56/~jnz1568/getInfo.php?workbook=16_15.xlsx&amp;sheet=A0&amp;row=529&amp;col=10&amp;number=&amp;sourceID=54","")</f>
        <v/>
      </c>
      <c r="K529" s="4" t="str">
        <f>HYPERLINK("http://141.218.60.56/~jnz1568/getInfo.php?workbook=16_15.xlsx&amp;sheet=A0&amp;row=529&amp;col=11&amp;number=&amp;sourceID=54","")</f>
        <v/>
      </c>
      <c r="L529" s="4" t="str">
        <f>HYPERLINK("http://141.218.60.56/~jnz1568/getInfo.php?workbook=16_15.xlsx&amp;sheet=A0&amp;row=529&amp;col=12&amp;number=18575.4047685&amp;sourceID=53","18575.4047685")</f>
        <v>18575.4047685</v>
      </c>
      <c r="M529" s="4" t="str">
        <f>HYPERLINK("http://141.218.60.56/~jnz1568/getInfo.php?workbook=16_15.xlsx&amp;sheet=A0&amp;row=529&amp;col=13&amp;number=&amp;sourceID=53","")</f>
        <v/>
      </c>
      <c r="N529" s="4" t="str">
        <f>HYPERLINK("http://141.218.60.56/~jnz1568/getInfo.php?workbook=16_15.xlsx&amp;sheet=A0&amp;row=529&amp;col=14&amp;number=&amp;sourceID=53","")</f>
        <v/>
      </c>
      <c r="O529" s="4" t="str">
        <f>HYPERLINK("http://141.218.60.56/~jnz1568/getInfo.php?workbook=16_15.xlsx&amp;sheet=A0&amp;row=529&amp;col=15&amp;number=&amp;sourceID=55","")</f>
        <v/>
      </c>
      <c r="P529" s="4" t="str">
        <f>HYPERLINK("http://141.218.60.56/~jnz1568/getInfo.php?workbook=16_15.xlsx&amp;sheet=A0&amp;row=529&amp;col=16&amp;number=&amp;sourceID=55","")</f>
        <v/>
      </c>
      <c r="Q529" s="4" t="str">
        <f>HYPERLINK("http://141.218.60.56/~jnz1568/getInfo.php?workbook=16_15.xlsx&amp;sheet=A0&amp;row=529&amp;col=17&amp;number=&amp;sourceID=56","")</f>
        <v/>
      </c>
      <c r="R529" s="4" t="str">
        <f>HYPERLINK("http://141.218.60.56/~jnz1568/getInfo.php?workbook=16_15.xlsx&amp;sheet=A0&amp;row=529&amp;col=18&amp;number=&amp;sourceID=56","")</f>
        <v/>
      </c>
      <c r="S529" s="4" t="str">
        <f>HYPERLINK("http://141.218.60.56/~jnz1568/getInfo.php?workbook=16_15.xlsx&amp;sheet=A0&amp;row=529&amp;col=19&amp;number=&amp;sourceID=57","")</f>
        <v/>
      </c>
      <c r="T529" s="4" t="str">
        <f>HYPERLINK("http://141.218.60.56/~jnz1568/getInfo.php?workbook=16_15.xlsx&amp;sheet=A0&amp;row=529&amp;col=20&amp;number=&amp;sourceID=57","")</f>
        <v/>
      </c>
      <c r="U529" s="4" t="str">
        <f>HYPERLINK("http://141.218.60.56/~jnz1568/getInfo.php?workbook=16_15.xlsx&amp;sheet=A0&amp;row=529&amp;col=21&amp;number=&amp;sourceID=47","")</f>
        <v/>
      </c>
      <c r="V529" s="4" t="str">
        <f>HYPERLINK("http://141.218.60.56/~jnz1568/getInfo.php?workbook=16_15.xlsx&amp;sheet=A0&amp;row=529&amp;col=22&amp;number=&amp;sourceID=47","")</f>
        <v/>
      </c>
    </row>
    <row r="530" spans="1:22">
      <c r="A530" s="3">
        <v>16</v>
      </c>
      <c r="B530" s="3">
        <v>15</v>
      </c>
      <c r="C530" s="3">
        <v>38</v>
      </c>
      <c r="D530" s="3">
        <v>11</v>
      </c>
      <c r="E530" s="3">
        <f>((1/(INDEX(E0!J$4:J$73,C530,1)-INDEX(E0!J$4:J$73,D530,1))))*100000000</f>
        <v>0</v>
      </c>
      <c r="F530" s="4" t="str">
        <f>HYPERLINK("http://141.218.60.56/~jnz1568/getInfo.php?workbook=16_15.xlsx&amp;sheet=A0&amp;row=530&amp;col=6&amp;number=69505&amp;sourceID=54","69505")</f>
        <v>69505</v>
      </c>
      <c r="G530" s="4" t="str">
        <f>HYPERLINK("http://141.218.60.56/~jnz1568/getInfo.php?workbook=16_15.xlsx&amp;sheet=A0&amp;row=530&amp;col=7&amp;number=&amp;sourceID=54","")</f>
        <v/>
      </c>
      <c r="H530" s="4" t="str">
        <f>HYPERLINK("http://141.218.60.56/~jnz1568/getInfo.php?workbook=16_15.xlsx&amp;sheet=A0&amp;row=530&amp;col=8&amp;number=&amp;sourceID=54","")</f>
        <v/>
      </c>
      <c r="I530" s="4" t="str">
        <f>HYPERLINK("http://141.218.60.56/~jnz1568/getInfo.php?workbook=16_15.xlsx&amp;sheet=A0&amp;row=530&amp;col=9&amp;number=73672&amp;sourceID=54","73672")</f>
        <v>73672</v>
      </c>
      <c r="J530" s="4" t="str">
        <f>HYPERLINK("http://141.218.60.56/~jnz1568/getInfo.php?workbook=16_15.xlsx&amp;sheet=A0&amp;row=530&amp;col=10&amp;number=&amp;sourceID=54","")</f>
        <v/>
      </c>
      <c r="K530" s="4" t="str">
        <f>HYPERLINK("http://141.218.60.56/~jnz1568/getInfo.php?workbook=16_15.xlsx&amp;sheet=A0&amp;row=530&amp;col=11&amp;number=&amp;sourceID=54","")</f>
        <v/>
      </c>
      <c r="L530" s="4" t="str">
        <f>HYPERLINK("http://141.218.60.56/~jnz1568/getInfo.php?workbook=16_15.xlsx&amp;sheet=A0&amp;row=530&amp;col=12&amp;number=63945.9230412&amp;sourceID=53","63945.9230412")</f>
        <v>63945.9230412</v>
      </c>
      <c r="M530" s="4" t="str">
        <f>HYPERLINK("http://141.218.60.56/~jnz1568/getInfo.php?workbook=16_15.xlsx&amp;sheet=A0&amp;row=530&amp;col=13&amp;number=&amp;sourceID=53","")</f>
        <v/>
      </c>
      <c r="N530" s="4" t="str">
        <f>HYPERLINK("http://141.218.60.56/~jnz1568/getInfo.php?workbook=16_15.xlsx&amp;sheet=A0&amp;row=530&amp;col=14&amp;number=&amp;sourceID=53","")</f>
        <v/>
      </c>
      <c r="O530" s="4" t="str">
        <f>HYPERLINK("http://141.218.60.56/~jnz1568/getInfo.php?workbook=16_15.xlsx&amp;sheet=A0&amp;row=530&amp;col=15&amp;number=&amp;sourceID=55","")</f>
        <v/>
      </c>
      <c r="P530" s="4" t="str">
        <f>HYPERLINK("http://141.218.60.56/~jnz1568/getInfo.php?workbook=16_15.xlsx&amp;sheet=A0&amp;row=530&amp;col=16&amp;number=&amp;sourceID=55","")</f>
        <v/>
      </c>
      <c r="Q530" s="4" t="str">
        <f>HYPERLINK("http://141.218.60.56/~jnz1568/getInfo.php?workbook=16_15.xlsx&amp;sheet=A0&amp;row=530&amp;col=17&amp;number=&amp;sourceID=56","")</f>
        <v/>
      </c>
      <c r="R530" s="4" t="str">
        <f>HYPERLINK("http://141.218.60.56/~jnz1568/getInfo.php?workbook=16_15.xlsx&amp;sheet=A0&amp;row=530&amp;col=18&amp;number=&amp;sourceID=56","")</f>
        <v/>
      </c>
      <c r="S530" s="4" t="str">
        <f>HYPERLINK("http://141.218.60.56/~jnz1568/getInfo.php?workbook=16_15.xlsx&amp;sheet=A0&amp;row=530&amp;col=19&amp;number=&amp;sourceID=57","")</f>
        <v/>
      </c>
      <c r="T530" s="4" t="str">
        <f>HYPERLINK("http://141.218.60.56/~jnz1568/getInfo.php?workbook=16_15.xlsx&amp;sheet=A0&amp;row=530&amp;col=20&amp;number=&amp;sourceID=57","")</f>
        <v/>
      </c>
      <c r="U530" s="4" t="str">
        <f>HYPERLINK("http://141.218.60.56/~jnz1568/getInfo.php?workbook=16_15.xlsx&amp;sheet=A0&amp;row=530&amp;col=21&amp;number=&amp;sourceID=47","")</f>
        <v/>
      </c>
      <c r="V530" s="4" t="str">
        <f>HYPERLINK("http://141.218.60.56/~jnz1568/getInfo.php?workbook=16_15.xlsx&amp;sheet=A0&amp;row=530&amp;col=22&amp;number=&amp;sourceID=47","")</f>
        <v/>
      </c>
    </row>
    <row r="531" spans="1:22">
      <c r="A531" s="3">
        <v>16</v>
      </c>
      <c r="B531" s="3">
        <v>15</v>
      </c>
      <c r="C531" s="3">
        <v>38</v>
      </c>
      <c r="D531" s="3">
        <v>12</v>
      </c>
      <c r="E531" s="3">
        <f>((1/(INDEX(E0!J$4:J$73,C531,1)-INDEX(E0!J$4:J$73,D531,1))))*100000000</f>
        <v>0</v>
      </c>
      <c r="F531" s="4" t="str">
        <f>HYPERLINK("http://141.218.60.56/~jnz1568/getInfo.php?workbook=16_15.xlsx&amp;sheet=A0&amp;row=531&amp;col=6&amp;number=10.67&amp;sourceID=54","10.67")</f>
        <v>10.67</v>
      </c>
      <c r="G531" s="4" t="str">
        <f>HYPERLINK("http://141.218.60.56/~jnz1568/getInfo.php?workbook=16_15.xlsx&amp;sheet=A0&amp;row=531&amp;col=7&amp;number=&amp;sourceID=54","")</f>
        <v/>
      </c>
      <c r="H531" s="4" t="str">
        <f>HYPERLINK("http://141.218.60.56/~jnz1568/getInfo.php?workbook=16_15.xlsx&amp;sheet=A0&amp;row=531&amp;col=8&amp;number=&amp;sourceID=54","")</f>
        <v/>
      </c>
      <c r="I531" s="4" t="str">
        <f>HYPERLINK("http://141.218.60.56/~jnz1568/getInfo.php?workbook=16_15.xlsx&amp;sheet=A0&amp;row=531&amp;col=9&amp;number=27.251&amp;sourceID=54","27.251")</f>
        <v>27.251</v>
      </c>
      <c r="J531" s="4" t="str">
        <f>HYPERLINK("http://141.218.60.56/~jnz1568/getInfo.php?workbook=16_15.xlsx&amp;sheet=A0&amp;row=531&amp;col=10&amp;number=&amp;sourceID=54","")</f>
        <v/>
      </c>
      <c r="K531" s="4" t="str">
        <f>HYPERLINK("http://141.218.60.56/~jnz1568/getInfo.php?workbook=16_15.xlsx&amp;sheet=A0&amp;row=531&amp;col=11&amp;number=&amp;sourceID=54","")</f>
        <v/>
      </c>
      <c r="L531" s="4" t="str">
        <f>HYPERLINK("http://141.218.60.56/~jnz1568/getInfo.php?workbook=16_15.xlsx&amp;sheet=A0&amp;row=531&amp;col=12&amp;number=210.187796875&amp;sourceID=53","210.187796875")</f>
        <v>210.187796875</v>
      </c>
      <c r="M531" s="4" t="str">
        <f>HYPERLINK("http://141.218.60.56/~jnz1568/getInfo.php?workbook=16_15.xlsx&amp;sheet=A0&amp;row=531&amp;col=13&amp;number=&amp;sourceID=53","")</f>
        <v/>
      </c>
      <c r="N531" s="4" t="str">
        <f>HYPERLINK("http://141.218.60.56/~jnz1568/getInfo.php?workbook=16_15.xlsx&amp;sheet=A0&amp;row=531&amp;col=14&amp;number=&amp;sourceID=53","")</f>
        <v/>
      </c>
      <c r="O531" s="4" t="str">
        <f>HYPERLINK("http://141.218.60.56/~jnz1568/getInfo.php?workbook=16_15.xlsx&amp;sheet=A0&amp;row=531&amp;col=15&amp;number=&amp;sourceID=55","")</f>
        <v/>
      </c>
      <c r="P531" s="4" t="str">
        <f>HYPERLINK("http://141.218.60.56/~jnz1568/getInfo.php?workbook=16_15.xlsx&amp;sheet=A0&amp;row=531&amp;col=16&amp;number=&amp;sourceID=55","")</f>
        <v/>
      </c>
      <c r="Q531" s="4" t="str">
        <f>HYPERLINK("http://141.218.60.56/~jnz1568/getInfo.php?workbook=16_15.xlsx&amp;sheet=A0&amp;row=531&amp;col=17&amp;number=&amp;sourceID=56","")</f>
        <v/>
      </c>
      <c r="R531" s="4" t="str">
        <f>HYPERLINK("http://141.218.60.56/~jnz1568/getInfo.php?workbook=16_15.xlsx&amp;sheet=A0&amp;row=531&amp;col=18&amp;number=&amp;sourceID=56","")</f>
        <v/>
      </c>
      <c r="S531" s="4" t="str">
        <f>HYPERLINK("http://141.218.60.56/~jnz1568/getInfo.php?workbook=16_15.xlsx&amp;sheet=A0&amp;row=531&amp;col=19&amp;number=&amp;sourceID=57","")</f>
        <v/>
      </c>
      <c r="T531" s="4" t="str">
        <f>HYPERLINK("http://141.218.60.56/~jnz1568/getInfo.php?workbook=16_15.xlsx&amp;sheet=A0&amp;row=531&amp;col=20&amp;number=&amp;sourceID=57","")</f>
        <v/>
      </c>
      <c r="U531" s="4" t="str">
        <f>HYPERLINK("http://141.218.60.56/~jnz1568/getInfo.php?workbook=16_15.xlsx&amp;sheet=A0&amp;row=531&amp;col=21&amp;number=&amp;sourceID=47","")</f>
        <v/>
      </c>
      <c r="V531" s="4" t="str">
        <f>HYPERLINK("http://141.218.60.56/~jnz1568/getInfo.php?workbook=16_15.xlsx&amp;sheet=A0&amp;row=531&amp;col=22&amp;number=&amp;sourceID=47","")</f>
        <v/>
      </c>
    </row>
    <row r="532" spans="1:22">
      <c r="A532" s="3">
        <v>16</v>
      </c>
      <c r="B532" s="3">
        <v>15</v>
      </c>
      <c r="C532" s="3">
        <v>38</v>
      </c>
      <c r="D532" s="3">
        <v>13</v>
      </c>
      <c r="E532" s="3">
        <f>((1/(INDEX(E0!J$4:J$73,C532,1)-INDEX(E0!J$4:J$73,D532,1))))*100000000</f>
        <v>0</v>
      </c>
      <c r="F532" s="4" t="str">
        <f>HYPERLINK("http://141.218.60.56/~jnz1568/getInfo.php?workbook=16_15.xlsx&amp;sheet=A0&amp;row=532&amp;col=6&amp;number=12996000&amp;sourceID=54","12996000")</f>
        <v>12996000</v>
      </c>
      <c r="G532" s="4" t="str">
        <f>HYPERLINK("http://141.218.60.56/~jnz1568/getInfo.php?workbook=16_15.xlsx&amp;sheet=A0&amp;row=532&amp;col=7&amp;number=&amp;sourceID=54","")</f>
        <v/>
      </c>
      <c r="H532" s="4" t="str">
        <f>HYPERLINK("http://141.218.60.56/~jnz1568/getInfo.php?workbook=16_15.xlsx&amp;sheet=A0&amp;row=532&amp;col=8&amp;number=&amp;sourceID=54","")</f>
        <v/>
      </c>
      <c r="I532" s="4" t="str">
        <f>HYPERLINK("http://141.218.60.56/~jnz1568/getInfo.php?workbook=16_15.xlsx&amp;sheet=A0&amp;row=532&amp;col=9&amp;number=12532000&amp;sourceID=54","12532000")</f>
        <v>12532000</v>
      </c>
      <c r="J532" s="4" t="str">
        <f>HYPERLINK("http://141.218.60.56/~jnz1568/getInfo.php?workbook=16_15.xlsx&amp;sheet=A0&amp;row=532&amp;col=10&amp;number=&amp;sourceID=54","")</f>
        <v/>
      </c>
      <c r="K532" s="4" t="str">
        <f>HYPERLINK("http://141.218.60.56/~jnz1568/getInfo.php?workbook=16_15.xlsx&amp;sheet=A0&amp;row=532&amp;col=11&amp;number=&amp;sourceID=54","")</f>
        <v/>
      </c>
      <c r="L532" s="4" t="str">
        <f>HYPERLINK("http://141.218.60.56/~jnz1568/getInfo.php?workbook=16_15.xlsx&amp;sheet=A0&amp;row=532&amp;col=12&amp;number=13665568.1542&amp;sourceID=53","13665568.1542")</f>
        <v>13665568.1542</v>
      </c>
      <c r="M532" s="4" t="str">
        <f>HYPERLINK("http://141.218.60.56/~jnz1568/getInfo.php?workbook=16_15.xlsx&amp;sheet=A0&amp;row=532&amp;col=13&amp;number=&amp;sourceID=53","")</f>
        <v/>
      </c>
      <c r="N532" s="4" t="str">
        <f>HYPERLINK("http://141.218.60.56/~jnz1568/getInfo.php?workbook=16_15.xlsx&amp;sheet=A0&amp;row=532&amp;col=14&amp;number=&amp;sourceID=53","")</f>
        <v/>
      </c>
      <c r="O532" s="4" t="str">
        <f>HYPERLINK("http://141.218.60.56/~jnz1568/getInfo.php?workbook=16_15.xlsx&amp;sheet=A0&amp;row=532&amp;col=15&amp;number=&amp;sourceID=55","")</f>
        <v/>
      </c>
      <c r="P532" s="4" t="str">
        <f>HYPERLINK("http://141.218.60.56/~jnz1568/getInfo.php?workbook=16_15.xlsx&amp;sheet=A0&amp;row=532&amp;col=16&amp;number=&amp;sourceID=55","")</f>
        <v/>
      </c>
      <c r="Q532" s="4" t="str">
        <f>HYPERLINK("http://141.218.60.56/~jnz1568/getInfo.php?workbook=16_15.xlsx&amp;sheet=A0&amp;row=532&amp;col=17&amp;number=&amp;sourceID=56","")</f>
        <v/>
      </c>
      <c r="R532" s="4" t="str">
        <f>HYPERLINK("http://141.218.60.56/~jnz1568/getInfo.php?workbook=16_15.xlsx&amp;sheet=A0&amp;row=532&amp;col=18&amp;number=&amp;sourceID=56","")</f>
        <v/>
      </c>
      <c r="S532" s="4" t="str">
        <f>HYPERLINK("http://141.218.60.56/~jnz1568/getInfo.php?workbook=16_15.xlsx&amp;sheet=A0&amp;row=532&amp;col=19&amp;number=&amp;sourceID=57","")</f>
        <v/>
      </c>
      <c r="T532" s="4" t="str">
        <f>HYPERLINK("http://141.218.60.56/~jnz1568/getInfo.php?workbook=16_15.xlsx&amp;sheet=A0&amp;row=532&amp;col=20&amp;number=&amp;sourceID=57","")</f>
        <v/>
      </c>
      <c r="U532" s="4" t="str">
        <f>HYPERLINK("http://141.218.60.56/~jnz1568/getInfo.php?workbook=16_15.xlsx&amp;sheet=A0&amp;row=532&amp;col=21&amp;number=&amp;sourceID=47","")</f>
        <v/>
      </c>
      <c r="V532" s="4" t="str">
        <f>HYPERLINK("http://141.218.60.56/~jnz1568/getInfo.php?workbook=16_15.xlsx&amp;sheet=A0&amp;row=532&amp;col=22&amp;number=&amp;sourceID=47","")</f>
        <v/>
      </c>
    </row>
    <row r="533" spans="1:22">
      <c r="A533" s="3">
        <v>16</v>
      </c>
      <c r="B533" s="3">
        <v>15</v>
      </c>
      <c r="C533" s="3">
        <v>38</v>
      </c>
      <c r="D533" s="3">
        <v>14</v>
      </c>
      <c r="E533" s="3">
        <f>((1/(INDEX(E0!J$4:J$73,C533,1)-INDEX(E0!J$4:J$73,D533,1))))*100000000</f>
        <v>0</v>
      </c>
      <c r="F533" s="4" t="str">
        <f>HYPERLINK("http://141.218.60.56/~jnz1568/getInfo.php?workbook=16_15.xlsx&amp;sheet=A0&amp;row=533&amp;col=6&amp;number=80398000&amp;sourceID=54","80398000")</f>
        <v>80398000</v>
      </c>
      <c r="G533" s="4" t="str">
        <f>HYPERLINK("http://141.218.60.56/~jnz1568/getInfo.php?workbook=16_15.xlsx&amp;sheet=A0&amp;row=533&amp;col=7&amp;number=&amp;sourceID=54","")</f>
        <v/>
      </c>
      <c r="H533" s="4" t="str">
        <f>HYPERLINK("http://141.218.60.56/~jnz1568/getInfo.php?workbook=16_15.xlsx&amp;sheet=A0&amp;row=533&amp;col=8&amp;number=&amp;sourceID=54","")</f>
        <v/>
      </c>
      <c r="I533" s="4" t="str">
        <f>HYPERLINK("http://141.218.60.56/~jnz1568/getInfo.php?workbook=16_15.xlsx&amp;sheet=A0&amp;row=533&amp;col=9&amp;number=77118000&amp;sourceID=54","77118000")</f>
        <v>77118000</v>
      </c>
      <c r="J533" s="4" t="str">
        <f>HYPERLINK("http://141.218.60.56/~jnz1568/getInfo.php?workbook=16_15.xlsx&amp;sheet=A0&amp;row=533&amp;col=10&amp;number=&amp;sourceID=54","")</f>
        <v/>
      </c>
      <c r="K533" s="4" t="str">
        <f>HYPERLINK("http://141.218.60.56/~jnz1568/getInfo.php?workbook=16_15.xlsx&amp;sheet=A0&amp;row=533&amp;col=11&amp;number=&amp;sourceID=54","")</f>
        <v/>
      </c>
      <c r="L533" s="4" t="str">
        <f>HYPERLINK("http://141.218.60.56/~jnz1568/getInfo.php?workbook=16_15.xlsx&amp;sheet=A0&amp;row=533&amp;col=12&amp;number=83734829.614&amp;sourceID=53","83734829.614")</f>
        <v>83734829.614</v>
      </c>
      <c r="M533" s="4" t="str">
        <f>HYPERLINK("http://141.218.60.56/~jnz1568/getInfo.php?workbook=16_15.xlsx&amp;sheet=A0&amp;row=533&amp;col=13&amp;number=&amp;sourceID=53","")</f>
        <v/>
      </c>
      <c r="N533" s="4" t="str">
        <f>HYPERLINK("http://141.218.60.56/~jnz1568/getInfo.php?workbook=16_15.xlsx&amp;sheet=A0&amp;row=533&amp;col=14&amp;number=&amp;sourceID=53","")</f>
        <v/>
      </c>
      <c r="O533" s="4" t="str">
        <f>HYPERLINK("http://141.218.60.56/~jnz1568/getInfo.php?workbook=16_15.xlsx&amp;sheet=A0&amp;row=533&amp;col=15&amp;number=&amp;sourceID=55","")</f>
        <v/>
      </c>
      <c r="P533" s="4" t="str">
        <f>HYPERLINK("http://141.218.60.56/~jnz1568/getInfo.php?workbook=16_15.xlsx&amp;sheet=A0&amp;row=533&amp;col=16&amp;number=&amp;sourceID=55","")</f>
        <v/>
      </c>
      <c r="Q533" s="4" t="str">
        <f>HYPERLINK("http://141.218.60.56/~jnz1568/getInfo.php?workbook=16_15.xlsx&amp;sheet=A0&amp;row=533&amp;col=17&amp;number=&amp;sourceID=56","")</f>
        <v/>
      </c>
      <c r="R533" s="4" t="str">
        <f>HYPERLINK("http://141.218.60.56/~jnz1568/getInfo.php?workbook=16_15.xlsx&amp;sheet=A0&amp;row=533&amp;col=18&amp;number=&amp;sourceID=56","")</f>
        <v/>
      </c>
      <c r="S533" s="4" t="str">
        <f>HYPERLINK("http://141.218.60.56/~jnz1568/getInfo.php?workbook=16_15.xlsx&amp;sheet=A0&amp;row=533&amp;col=19&amp;number=&amp;sourceID=57","")</f>
        <v/>
      </c>
      <c r="T533" s="4" t="str">
        <f>HYPERLINK("http://141.218.60.56/~jnz1568/getInfo.php?workbook=16_15.xlsx&amp;sheet=A0&amp;row=533&amp;col=20&amp;number=&amp;sourceID=57","")</f>
        <v/>
      </c>
      <c r="U533" s="4" t="str">
        <f>HYPERLINK("http://141.218.60.56/~jnz1568/getInfo.php?workbook=16_15.xlsx&amp;sheet=A0&amp;row=533&amp;col=21&amp;number=&amp;sourceID=47","")</f>
        <v/>
      </c>
      <c r="V533" s="4" t="str">
        <f>HYPERLINK("http://141.218.60.56/~jnz1568/getInfo.php?workbook=16_15.xlsx&amp;sheet=A0&amp;row=533&amp;col=22&amp;number=&amp;sourceID=47","")</f>
        <v/>
      </c>
    </row>
    <row r="534" spans="1:22">
      <c r="A534" s="3">
        <v>16</v>
      </c>
      <c r="B534" s="3">
        <v>15</v>
      </c>
      <c r="C534" s="3">
        <v>38</v>
      </c>
      <c r="D534" s="3">
        <v>15</v>
      </c>
      <c r="E534" s="3">
        <f>((1/(INDEX(E0!J$4:J$73,C534,1)-INDEX(E0!J$4:J$73,D534,1))))*100000000</f>
        <v>0</v>
      </c>
      <c r="F534" s="4" t="str">
        <f>HYPERLINK("http://141.218.60.56/~jnz1568/getInfo.php?workbook=16_15.xlsx&amp;sheet=A0&amp;row=534&amp;col=6&amp;number=15816&amp;sourceID=54","15816")</f>
        <v>15816</v>
      </c>
      <c r="G534" s="4" t="str">
        <f>HYPERLINK("http://141.218.60.56/~jnz1568/getInfo.php?workbook=16_15.xlsx&amp;sheet=A0&amp;row=534&amp;col=7&amp;number=&amp;sourceID=54","")</f>
        <v/>
      </c>
      <c r="H534" s="4" t="str">
        <f>HYPERLINK("http://141.218.60.56/~jnz1568/getInfo.php?workbook=16_15.xlsx&amp;sheet=A0&amp;row=534&amp;col=8&amp;number=&amp;sourceID=54","")</f>
        <v/>
      </c>
      <c r="I534" s="4" t="str">
        <f>HYPERLINK("http://141.218.60.56/~jnz1568/getInfo.php?workbook=16_15.xlsx&amp;sheet=A0&amp;row=534&amp;col=9&amp;number=14142&amp;sourceID=54","14142")</f>
        <v>14142</v>
      </c>
      <c r="J534" s="4" t="str">
        <f>HYPERLINK("http://141.218.60.56/~jnz1568/getInfo.php?workbook=16_15.xlsx&amp;sheet=A0&amp;row=534&amp;col=10&amp;number=&amp;sourceID=54","")</f>
        <v/>
      </c>
      <c r="K534" s="4" t="str">
        <f>HYPERLINK("http://141.218.60.56/~jnz1568/getInfo.php?workbook=16_15.xlsx&amp;sheet=A0&amp;row=534&amp;col=11&amp;number=&amp;sourceID=54","")</f>
        <v/>
      </c>
      <c r="L534" s="4" t="str">
        <f>HYPERLINK("http://141.218.60.56/~jnz1568/getInfo.php?workbook=16_15.xlsx&amp;sheet=A0&amp;row=534&amp;col=12&amp;number=13905.7568405&amp;sourceID=53","13905.7568405")</f>
        <v>13905.7568405</v>
      </c>
      <c r="M534" s="4" t="str">
        <f>HYPERLINK("http://141.218.60.56/~jnz1568/getInfo.php?workbook=16_15.xlsx&amp;sheet=A0&amp;row=534&amp;col=13&amp;number=&amp;sourceID=53","")</f>
        <v/>
      </c>
      <c r="N534" s="4" t="str">
        <f>HYPERLINK("http://141.218.60.56/~jnz1568/getInfo.php?workbook=16_15.xlsx&amp;sheet=A0&amp;row=534&amp;col=14&amp;number=&amp;sourceID=53","")</f>
        <v/>
      </c>
      <c r="O534" s="4" t="str">
        <f>HYPERLINK("http://141.218.60.56/~jnz1568/getInfo.php?workbook=16_15.xlsx&amp;sheet=A0&amp;row=534&amp;col=15&amp;number=&amp;sourceID=55","")</f>
        <v/>
      </c>
      <c r="P534" s="4" t="str">
        <f>HYPERLINK("http://141.218.60.56/~jnz1568/getInfo.php?workbook=16_15.xlsx&amp;sheet=A0&amp;row=534&amp;col=16&amp;number=&amp;sourceID=55","")</f>
        <v/>
      </c>
      <c r="Q534" s="4" t="str">
        <f>HYPERLINK("http://141.218.60.56/~jnz1568/getInfo.php?workbook=16_15.xlsx&amp;sheet=A0&amp;row=534&amp;col=17&amp;number=&amp;sourceID=56","")</f>
        <v/>
      </c>
      <c r="R534" s="4" t="str">
        <f>HYPERLINK("http://141.218.60.56/~jnz1568/getInfo.php?workbook=16_15.xlsx&amp;sheet=A0&amp;row=534&amp;col=18&amp;number=&amp;sourceID=56","")</f>
        <v/>
      </c>
      <c r="S534" s="4" t="str">
        <f>HYPERLINK("http://141.218.60.56/~jnz1568/getInfo.php?workbook=16_15.xlsx&amp;sheet=A0&amp;row=534&amp;col=19&amp;number=&amp;sourceID=57","")</f>
        <v/>
      </c>
      <c r="T534" s="4" t="str">
        <f>HYPERLINK("http://141.218.60.56/~jnz1568/getInfo.php?workbook=16_15.xlsx&amp;sheet=A0&amp;row=534&amp;col=20&amp;number=&amp;sourceID=57","")</f>
        <v/>
      </c>
      <c r="U534" s="4" t="str">
        <f>HYPERLINK("http://141.218.60.56/~jnz1568/getInfo.php?workbook=16_15.xlsx&amp;sheet=A0&amp;row=534&amp;col=21&amp;number=&amp;sourceID=47","")</f>
        <v/>
      </c>
      <c r="V534" s="4" t="str">
        <f>HYPERLINK("http://141.218.60.56/~jnz1568/getInfo.php?workbook=16_15.xlsx&amp;sheet=A0&amp;row=534&amp;col=22&amp;number=&amp;sourceID=47","")</f>
        <v/>
      </c>
    </row>
    <row r="535" spans="1:22">
      <c r="A535" s="3">
        <v>16</v>
      </c>
      <c r="B535" s="3">
        <v>15</v>
      </c>
      <c r="C535" s="3">
        <v>38</v>
      </c>
      <c r="D535" s="3">
        <v>20</v>
      </c>
      <c r="E535" s="3">
        <f>((1/(INDEX(E0!J$4:J$73,C535,1)-INDEX(E0!J$4:J$73,D535,1))))*100000000</f>
        <v>0</v>
      </c>
      <c r="F535" s="4" t="str">
        <f>HYPERLINK("http://141.218.60.56/~jnz1568/getInfo.php?workbook=16_15.xlsx&amp;sheet=A0&amp;row=535&amp;col=6&amp;number=185140&amp;sourceID=54","185140")</f>
        <v>185140</v>
      </c>
      <c r="G535" s="4" t="str">
        <f>HYPERLINK("http://141.218.60.56/~jnz1568/getInfo.php?workbook=16_15.xlsx&amp;sheet=A0&amp;row=535&amp;col=7&amp;number=&amp;sourceID=54","")</f>
        <v/>
      </c>
      <c r="H535" s="4" t="str">
        <f>HYPERLINK("http://141.218.60.56/~jnz1568/getInfo.php?workbook=16_15.xlsx&amp;sheet=A0&amp;row=535&amp;col=8&amp;number=&amp;sourceID=54","")</f>
        <v/>
      </c>
      <c r="I535" s="4" t="str">
        <f>HYPERLINK("http://141.218.60.56/~jnz1568/getInfo.php?workbook=16_15.xlsx&amp;sheet=A0&amp;row=535&amp;col=9&amp;number=170630&amp;sourceID=54","170630")</f>
        <v>170630</v>
      </c>
      <c r="J535" s="4" t="str">
        <f>HYPERLINK("http://141.218.60.56/~jnz1568/getInfo.php?workbook=16_15.xlsx&amp;sheet=A0&amp;row=535&amp;col=10&amp;number=&amp;sourceID=54","")</f>
        <v/>
      </c>
      <c r="K535" s="4" t="str">
        <f>HYPERLINK("http://141.218.60.56/~jnz1568/getInfo.php?workbook=16_15.xlsx&amp;sheet=A0&amp;row=535&amp;col=11&amp;number=&amp;sourceID=54","")</f>
        <v/>
      </c>
      <c r="L535" s="4" t="str">
        <f>HYPERLINK("http://141.218.60.56/~jnz1568/getInfo.php?workbook=16_15.xlsx&amp;sheet=A0&amp;row=535&amp;col=12&amp;number=188541.113436&amp;sourceID=53","188541.113436")</f>
        <v>188541.113436</v>
      </c>
      <c r="M535" s="4" t="str">
        <f>HYPERLINK("http://141.218.60.56/~jnz1568/getInfo.php?workbook=16_15.xlsx&amp;sheet=A0&amp;row=535&amp;col=13&amp;number=&amp;sourceID=53","")</f>
        <v/>
      </c>
      <c r="N535" s="4" t="str">
        <f>HYPERLINK("http://141.218.60.56/~jnz1568/getInfo.php?workbook=16_15.xlsx&amp;sheet=A0&amp;row=535&amp;col=14&amp;number=&amp;sourceID=53","")</f>
        <v/>
      </c>
      <c r="O535" s="4" t="str">
        <f>HYPERLINK("http://141.218.60.56/~jnz1568/getInfo.php?workbook=16_15.xlsx&amp;sheet=A0&amp;row=535&amp;col=15&amp;number=&amp;sourceID=55","")</f>
        <v/>
      </c>
      <c r="P535" s="4" t="str">
        <f>HYPERLINK("http://141.218.60.56/~jnz1568/getInfo.php?workbook=16_15.xlsx&amp;sheet=A0&amp;row=535&amp;col=16&amp;number=&amp;sourceID=55","")</f>
        <v/>
      </c>
      <c r="Q535" s="4" t="str">
        <f>HYPERLINK("http://141.218.60.56/~jnz1568/getInfo.php?workbook=16_15.xlsx&amp;sheet=A0&amp;row=535&amp;col=17&amp;number=&amp;sourceID=56","")</f>
        <v/>
      </c>
      <c r="R535" s="4" t="str">
        <f>HYPERLINK("http://141.218.60.56/~jnz1568/getInfo.php?workbook=16_15.xlsx&amp;sheet=A0&amp;row=535&amp;col=18&amp;number=&amp;sourceID=56","")</f>
        <v/>
      </c>
      <c r="S535" s="4" t="str">
        <f>HYPERLINK("http://141.218.60.56/~jnz1568/getInfo.php?workbook=16_15.xlsx&amp;sheet=A0&amp;row=535&amp;col=19&amp;number=&amp;sourceID=57","")</f>
        <v/>
      </c>
      <c r="T535" s="4" t="str">
        <f>HYPERLINK("http://141.218.60.56/~jnz1568/getInfo.php?workbook=16_15.xlsx&amp;sheet=A0&amp;row=535&amp;col=20&amp;number=&amp;sourceID=57","")</f>
        <v/>
      </c>
      <c r="U535" s="4" t="str">
        <f>HYPERLINK("http://141.218.60.56/~jnz1568/getInfo.php?workbook=16_15.xlsx&amp;sheet=A0&amp;row=535&amp;col=21&amp;number=&amp;sourceID=47","")</f>
        <v/>
      </c>
      <c r="V535" s="4" t="str">
        <f>HYPERLINK("http://141.218.60.56/~jnz1568/getInfo.php?workbook=16_15.xlsx&amp;sheet=A0&amp;row=535&amp;col=22&amp;number=&amp;sourceID=47","")</f>
        <v/>
      </c>
    </row>
    <row r="536" spans="1:22">
      <c r="A536" s="3">
        <v>16</v>
      </c>
      <c r="B536" s="3">
        <v>15</v>
      </c>
      <c r="C536" s="3">
        <v>38</v>
      </c>
      <c r="D536" s="3">
        <v>21</v>
      </c>
      <c r="E536" s="3">
        <f>((1/(INDEX(E0!J$4:J$73,C536,1)-INDEX(E0!J$4:J$73,D536,1))))*100000000</f>
        <v>0</v>
      </c>
      <c r="F536" s="4" t="str">
        <f>HYPERLINK("http://141.218.60.56/~jnz1568/getInfo.php?workbook=16_15.xlsx&amp;sheet=A0&amp;row=536&amp;col=6&amp;number=265380&amp;sourceID=54","265380")</f>
        <v>265380</v>
      </c>
      <c r="G536" s="4" t="str">
        <f>HYPERLINK("http://141.218.60.56/~jnz1568/getInfo.php?workbook=16_15.xlsx&amp;sheet=A0&amp;row=536&amp;col=7&amp;number=&amp;sourceID=54","")</f>
        <v/>
      </c>
      <c r="H536" s="4" t="str">
        <f>HYPERLINK("http://141.218.60.56/~jnz1568/getInfo.php?workbook=16_15.xlsx&amp;sheet=A0&amp;row=536&amp;col=8&amp;number=&amp;sourceID=54","")</f>
        <v/>
      </c>
      <c r="I536" s="4" t="str">
        <f>HYPERLINK("http://141.218.60.56/~jnz1568/getInfo.php?workbook=16_15.xlsx&amp;sheet=A0&amp;row=536&amp;col=9&amp;number=197930&amp;sourceID=54","197930")</f>
        <v>197930</v>
      </c>
      <c r="J536" s="4" t="str">
        <f>HYPERLINK("http://141.218.60.56/~jnz1568/getInfo.php?workbook=16_15.xlsx&amp;sheet=A0&amp;row=536&amp;col=10&amp;number=&amp;sourceID=54","")</f>
        <v/>
      </c>
      <c r="K536" s="4" t="str">
        <f>HYPERLINK("http://141.218.60.56/~jnz1568/getInfo.php?workbook=16_15.xlsx&amp;sheet=A0&amp;row=536&amp;col=11&amp;number=&amp;sourceID=54","")</f>
        <v/>
      </c>
      <c r="L536" s="4" t="str">
        <f>HYPERLINK("http://141.218.60.56/~jnz1568/getInfo.php?workbook=16_15.xlsx&amp;sheet=A0&amp;row=536&amp;col=12&amp;number=251730.173194&amp;sourceID=53","251730.173194")</f>
        <v>251730.173194</v>
      </c>
      <c r="M536" s="4" t="str">
        <f>HYPERLINK("http://141.218.60.56/~jnz1568/getInfo.php?workbook=16_15.xlsx&amp;sheet=A0&amp;row=536&amp;col=13&amp;number=&amp;sourceID=53","")</f>
        <v/>
      </c>
      <c r="N536" s="4" t="str">
        <f>HYPERLINK("http://141.218.60.56/~jnz1568/getInfo.php?workbook=16_15.xlsx&amp;sheet=A0&amp;row=536&amp;col=14&amp;number=&amp;sourceID=53","")</f>
        <v/>
      </c>
      <c r="O536" s="4" t="str">
        <f>HYPERLINK("http://141.218.60.56/~jnz1568/getInfo.php?workbook=16_15.xlsx&amp;sheet=A0&amp;row=536&amp;col=15&amp;number=&amp;sourceID=55","")</f>
        <v/>
      </c>
      <c r="P536" s="4" t="str">
        <f>HYPERLINK("http://141.218.60.56/~jnz1568/getInfo.php?workbook=16_15.xlsx&amp;sheet=A0&amp;row=536&amp;col=16&amp;number=&amp;sourceID=55","")</f>
        <v/>
      </c>
      <c r="Q536" s="4" t="str">
        <f>HYPERLINK("http://141.218.60.56/~jnz1568/getInfo.php?workbook=16_15.xlsx&amp;sheet=A0&amp;row=536&amp;col=17&amp;number=&amp;sourceID=56","")</f>
        <v/>
      </c>
      <c r="R536" s="4" t="str">
        <f>HYPERLINK("http://141.218.60.56/~jnz1568/getInfo.php?workbook=16_15.xlsx&amp;sheet=A0&amp;row=536&amp;col=18&amp;number=&amp;sourceID=56","")</f>
        <v/>
      </c>
      <c r="S536" s="4" t="str">
        <f>HYPERLINK("http://141.218.60.56/~jnz1568/getInfo.php?workbook=16_15.xlsx&amp;sheet=A0&amp;row=536&amp;col=19&amp;number=&amp;sourceID=57","")</f>
        <v/>
      </c>
      <c r="T536" s="4" t="str">
        <f>HYPERLINK("http://141.218.60.56/~jnz1568/getInfo.php?workbook=16_15.xlsx&amp;sheet=A0&amp;row=536&amp;col=20&amp;number=&amp;sourceID=57","")</f>
        <v/>
      </c>
      <c r="U536" s="4" t="str">
        <f>HYPERLINK("http://141.218.60.56/~jnz1568/getInfo.php?workbook=16_15.xlsx&amp;sheet=A0&amp;row=536&amp;col=21&amp;number=&amp;sourceID=47","")</f>
        <v/>
      </c>
      <c r="V536" s="4" t="str">
        <f>HYPERLINK("http://141.218.60.56/~jnz1568/getInfo.php?workbook=16_15.xlsx&amp;sheet=A0&amp;row=536&amp;col=22&amp;number=&amp;sourceID=47","")</f>
        <v/>
      </c>
    </row>
    <row r="537" spans="1:22">
      <c r="A537" s="3">
        <v>16</v>
      </c>
      <c r="B537" s="3">
        <v>15</v>
      </c>
      <c r="C537" s="3">
        <v>38</v>
      </c>
      <c r="D537" s="3">
        <v>22</v>
      </c>
      <c r="E537" s="3">
        <f>((1/(INDEX(E0!J$4:J$73,C537,1)-INDEX(E0!J$4:J$73,D537,1))))*100000000</f>
        <v>0</v>
      </c>
      <c r="F537" s="4" t="str">
        <f>HYPERLINK("http://141.218.60.56/~jnz1568/getInfo.php?workbook=16_15.xlsx&amp;sheet=A0&amp;row=537&amp;col=6&amp;number=12613000&amp;sourceID=54","12613000")</f>
        <v>12613000</v>
      </c>
      <c r="G537" s="4" t="str">
        <f>HYPERLINK("http://141.218.60.56/~jnz1568/getInfo.php?workbook=16_15.xlsx&amp;sheet=A0&amp;row=537&amp;col=7&amp;number=&amp;sourceID=54","")</f>
        <v/>
      </c>
      <c r="H537" s="4" t="str">
        <f>HYPERLINK("http://141.218.60.56/~jnz1568/getInfo.php?workbook=16_15.xlsx&amp;sheet=A0&amp;row=537&amp;col=8&amp;number=&amp;sourceID=54","")</f>
        <v/>
      </c>
      <c r="I537" s="4" t="str">
        <f>HYPERLINK("http://141.218.60.56/~jnz1568/getInfo.php?workbook=16_15.xlsx&amp;sheet=A0&amp;row=537&amp;col=9&amp;number=13242000&amp;sourceID=54","13242000")</f>
        <v>13242000</v>
      </c>
      <c r="J537" s="4" t="str">
        <f>HYPERLINK("http://141.218.60.56/~jnz1568/getInfo.php?workbook=16_15.xlsx&amp;sheet=A0&amp;row=537&amp;col=10&amp;number=&amp;sourceID=54","")</f>
        <v/>
      </c>
      <c r="K537" s="4" t="str">
        <f>HYPERLINK("http://141.218.60.56/~jnz1568/getInfo.php?workbook=16_15.xlsx&amp;sheet=A0&amp;row=537&amp;col=11&amp;number=&amp;sourceID=54","")</f>
        <v/>
      </c>
      <c r="L537" s="4" t="str">
        <f>HYPERLINK("http://141.218.60.56/~jnz1568/getInfo.php?workbook=16_15.xlsx&amp;sheet=A0&amp;row=537&amp;col=12&amp;number=12561001.8319&amp;sourceID=53","12561001.8319")</f>
        <v>12561001.8319</v>
      </c>
      <c r="M537" s="4" t="str">
        <f>HYPERLINK("http://141.218.60.56/~jnz1568/getInfo.php?workbook=16_15.xlsx&amp;sheet=A0&amp;row=537&amp;col=13&amp;number=&amp;sourceID=53","")</f>
        <v/>
      </c>
      <c r="N537" s="4" t="str">
        <f>HYPERLINK("http://141.218.60.56/~jnz1568/getInfo.php?workbook=16_15.xlsx&amp;sheet=A0&amp;row=537&amp;col=14&amp;number=&amp;sourceID=53","")</f>
        <v/>
      </c>
      <c r="O537" s="4" t="str">
        <f>HYPERLINK("http://141.218.60.56/~jnz1568/getInfo.php?workbook=16_15.xlsx&amp;sheet=A0&amp;row=537&amp;col=15&amp;number=&amp;sourceID=55","")</f>
        <v/>
      </c>
      <c r="P537" s="4" t="str">
        <f>HYPERLINK("http://141.218.60.56/~jnz1568/getInfo.php?workbook=16_15.xlsx&amp;sheet=A0&amp;row=537&amp;col=16&amp;number=&amp;sourceID=55","")</f>
        <v/>
      </c>
      <c r="Q537" s="4" t="str">
        <f>HYPERLINK("http://141.218.60.56/~jnz1568/getInfo.php?workbook=16_15.xlsx&amp;sheet=A0&amp;row=537&amp;col=17&amp;number=&amp;sourceID=56","")</f>
        <v/>
      </c>
      <c r="R537" s="4" t="str">
        <f>HYPERLINK("http://141.218.60.56/~jnz1568/getInfo.php?workbook=16_15.xlsx&amp;sheet=A0&amp;row=537&amp;col=18&amp;number=&amp;sourceID=56","")</f>
        <v/>
      </c>
      <c r="S537" s="4" t="str">
        <f>HYPERLINK("http://141.218.60.56/~jnz1568/getInfo.php?workbook=16_15.xlsx&amp;sheet=A0&amp;row=537&amp;col=19&amp;number=&amp;sourceID=57","")</f>
        <v/>
      </c>
      <c r="T537" s="4" t="str">
        <f>HYPERLINK("http://141.218.60.56/~jnz1568/getInfo.php?workbook=16_15.xlsx&amp;sheet=A0&amp;row=537&amp;col=20&amp;number=&amp;sourceID=57","")</f>
        <v/>
      </c>
      <c r="U537" s="4" t="str">
        <f>HYPERLINK("http://141.218.60.56/~jnz1568/getInfo.php?workbook=16_15.xlsx&amp;sheet=A0&amp;row=537&amp;col=21&amp;number=&amp;sourceID=47","")</f>
        <v/>
      </c>
      <c r="V537" s="4" t="str">
        <f>HYPERLINK("http://141.218.60.56/~jnz1568/getInfo.php?workbook=16_15.xlsx&amp;sheet=A0&amp;row=537&amp;col=22&amp;number=&amp;sourceID=47","")</f>
        <v/>
      </c>
    </row>
    <row r="538" spans="1:22">
      <c r="A538" s="3">
        <v>16</v>
      </c>
      <c r="B538" s="3">
        <v>15</v>
      </c>
      <c r="C538" s="3">
        <v>38</v>
      </c>
      <c r="D538" s="3">
        <v>23</v>
      </c>
      <c r="E538" s="3">
        <f>((1/(INDEX(E0!J$4:J$73,C538,1)-INDEX(E0!J$4:J$73,D538,1))))*100000000</f>
        <v>0</v>
      </c>
      <c r="F538" s="4" t="str">
        <f>HYPERLINK("http://141.218.60.56/~jnz1568/getInfo.php?workbook=16_15.xlsx&amp;sheet=A0&amp;row=538&amp;col=6&amp;number=11983000&amp;sourceID=54","11983000")</f>
        <v>11983000</v>
      </c>
      <c r="G538" s="4" t="str">
        <f>HYPERLINK("http://141.218.60.56/~jnz1568/getInfo.php?workbook=16_15.xlsx&amp;sheet=A0&amp;row=538&amp;col=7&amp;number=&amp;sourceID=54","")</f>
        <v/>
      </c>
      <c r="H538" s="4" t="str">
        <f>HYPERLINK("http://141.218.60.56/~jnz1568/getInfo.php?workbook=16_15.xlsx&amp;sheet=A0&amp;row=538&amp;col=8&amp;number=&amp;sourceID=54","")</f>
        <v/>
      </c>
      <c r="I538" s="4" t="str">
        <f>HYPERLINK("http://141.218.60.56/~jnz1568/getInfo.php?workbook=16_15.xlsx&amp;sheet=A0&amp;row=538&amp;col=9&amp;number=12607000&amp;sourceID=54","12607000")</f>
        <v>12607000</v>
      </c>
      <c r="J538" s="4" t="str">
        <f>HYPERLINK("http://141.218.60.56/~jnz1568/getInfo.php?workbook=16_15.xlsx&amp;sheet=A0&amp;row=538&amp;col=10&amp;number=&amp;sourceID=54","")</f>
        <v/>
      </c>
      <c r="K538" s="4" t="str">
        <f>HYPERLINK("http://141.218.60.56/~jnz1568/getInfo.php?workbook=16_15.xlsx&amp;sheet=A0&amp;row=538&amp;col=11&amp;number=&amp;sourceID=54","")</f>
        <v/>
      </c>
      <c r="L538" s="4" t="str">
        <f>HYPERLINK("http://141.218.60.56/~jnz1568/getInfo.php?workbook=16_15.xlsx&amp;sheet=A0&amp;row=538&amp;col=12&amp;number=11931880.1477&amp;sourceID=53","11931880.1477")</f>
        <v>11931880.1477</v>
      </c>
      <c r="M538" s="4" t="str">
        <f>HYPERLINK("http://141.218.60.56/~jnz1568/getInfo.php?workbook=16_15.xlsx&amp;sheet=A0&amp;row=538&amp;col=13&amp;number=&amp;sourceID=53","")</f>
        <v/>
      </c>
      <c r="N538" s="4" t="str">
        <f>HYPERLINK("http://141.218.60.56/~jnz1568/getInfo.php?workbook=16_15.xlsx&amp;sheet=A0&amp;row=538&amp;col=14&amp;number=&amp;sourceID=53","")</f>
        <v/>
      </c>
      <c r="O538" s="4" t="str">
        <f>HYPERLINK("http://141.218.60.56/~jnz1568/getInfo.php?workbook=16_15.xlsx&amp;sheet=A0&amp;row=538&amp;col=15&amp;number=&amp;sourceID=55","")</f>
        <v/>
      </c>
      <c r="P538" s="4" t="str">
        <f>HYPERLINK("http://141.218.60.56/~jnz1568/getInfo.php?workbook=16_15.xlsx&amp;sheet=A0&amp;row=538&amp;col=16&amp;number=&amp;sourceID=55","")</f>
        <v/>
      </c>
      <c r="Q538" s="4" t="str">
        <f>HYPERLINK("http://141.218.60.56/~jnz1568/getInfo.php?workbook=16_15.xlsx&amp;sheet=A0&amp;row=538&amp;col=17&amp;number=&amp;sourceID=56","")</f>
        <v/>
      </c>
      <c r="R538" s="4" t="str">
        <f>HYPERLINK("http://141.218.60.56/~jnz1568/getInfo.php?workbook=16_15.xlsx&amp;sheet=A0&amp;row=538&amp;col=18&amp;number=&amp;sourceID=56","")</f>
        <v/>
      </c>
      <c r="S538" s="4" t="str">
        <f>HYPERLINK("http://141.218.60.56/~jnz1568/getInfo.php?workbook=16_15.xlsx&amp;sheet=A0&amp;row=538&amp;col=19&amp;number=&amp;sourceID=57","")</f>
        <v/>
      </c>
      <c r="T538" s="4" t="str">
        <f>HYPERLINK("http://141.218.60.56/~jnz1568/getInfo.php?workbook=16_15.xlsx&amp;sheet=A0&amp;row=538&amp;col=20&amp;number=&amp;sourceID=57","")</f>
        <v/>
      </c>
      <c r="U538" s="4" t="str">
        <f>HYPERLINK("http://141.218.60.56/~jnz1568/getInfo.php?workbook=16_15.xlsx&amp;sheet=A0&amp;row=538&amp;col=21&amp;number=&amp;sourceID=47","")</f>
        <v/>
      </c>
      <c r="V538" s="4" t="str">
        <f>HYPERLINK("http://141.218.60.56/~jnz1568/getInfo.php?workbook=16_15.xlsx&amp;sheet=A0&amp;row=538&amp;col=22&amp;number=&amp;sourceID=47","")</f>
        <v/>
      </c>
    </row>
    <row r="539" spans="1:22">
      <c r="A539" s="3">
        <v>16</v>
      </c>
      <c r="B539" s="3">
        <v>15</v>
      </c>
      <c r="C539" s="3">
        <v>38</v>
      </c>
      <c r="D539" s="3">
        <v>28</v>
      </c>
      <c r="E539" s="3">
        <f>((1/(INDEX(E0!J$4:J$73,C539,1)-INDEX(E0!J$4:J$73,D539,1))))*100000000</f>
        <v>0</v>
      </c>
      <c r="F539" s="4" t="str">
        <f>HYPERLINK("http://141.218.60.56/~jnz1568/getInfo.php?workbook=16_15.xlsx&amp;sheet=A0&amp;row=539&amp;col=6&amp;number=60.291&amp;sourceID=54","60.291")</f>
        <v>60.291</v>
      </c>
      <c r="G539" s="4" t="str">
        <f>HYPERLINK("http://141.218.60.56/~jnz1568/getInfo.php?workbook=16_15.xlsx&amp;sheet=A0&amp;row=539&amp;col=7&amp;number=&amp;sourceID=54","")</f>
        <v/>
      </c>
      <c r="H539" s="4" t="str">
        <f>HYPERLINK("http://141.218.60.56/~jnz1568/getInfo.php?workbook=16_15.xlsx&amp;sheet=A0&amp;row=539&amp;col=8&amp;number=&amp;sourceID=54","")</f>
        <v/>
      </c>
      <c r="I539" s="4" t="str">
        <f>HYPERLINK("http://141.218.60.56/~jnz1568/getInfo.php?workbook=16_15.xlsx&amp;sheet=A0&amp;row=539&amp;col=9&amp;number=89.653&amp;sourceID=54","89.653")</f>
        <v>89.653</v>
      </c>
      <c r="J539" s="4" t="str">
        <f>HYPERLINK("http://141.218.60.56/~jnz1568/getInfo.php?workbook=16_15.xlsx&amp;sheet=A0&amp;row=539&amp;col=10&amp;number=&amp;sourceID=54","")</f>
        <v/>
      </c>
      <c r="K539" s="4" t="str">
        <f>HYPERLINK("http://141.218.60.56/~jnz1568/getInfo.php?workbook=16_15.xlsx&amp;sheet=A0&amp;row=539&amp;col=11&amp;number=&amp;sourceID=54","")</f>
        <v/>
      </c>
      <c r="L539" s="4" t="str">
        <f>HYPERLINK("http://141.218.60.56/~jnz1568/getInfo.php?workbook=16_15.xlsx&amp;sheet=A0&amp;row=539&amp;col=12&amp;number=66.943658913&amp;sourceID=53","66.943658913")</f>
        <v>66.943658913</v>
      </c>
      <c r="M539" s="4" t="str">
        <f>HYPERLINK("http://141.218.60.56/~jnz1568/getInfo.php?workbook=16_15.xlsx&amp;sheet=A0&amp;row=539&amp;col=13&amp;number=&amp;sourceID=53","")</f>
        <v/>
      </c>
      <c r="N539" s="4" t="str">
        <f>HYPERLINK("http://141.218.60.56/~jnz1568/getInfo.php?workbook=16_15.xlsx&amp;sheet=A0&amp;row=539&amp;col=14&amp;number=&amp;sourceID=53","")</f>
        <v/>
      </c>
      <c r="O539" s="4" t="str">
        <f>HYPERLINK("http://141.218.60.56/~jnz1568/getInfo.php?workbook=16_15.xlsx&amp;sheet=A0&amp;row=539&amp;col=15&amp;number=&amp;sourceID=55","")</f>
        <v/>
      </c>
      <c r="P539" s="4" t="str">
        <f>HYPERLINK("http://141.218.60.56/~jnz1568/getInfo.php?workbook=16_15.xlsx&amp;sheet=A0&amp;row=539&amp;col=16&amp;number=&amp;sourceID=55","")</f>
        <v/>
      </c>
      <c r="Q539" s="4" t="str">
        <f>HYPERLINK("http://141.218.60.56/~jnz1568/getInfo.php?workbook=16_15.xlsx&amp;sheet=A0&amp;row=539&amp;col=17&amp;number=&amp;sourceID=56","")</f>
        <v/>
      </c>
      <c r="R539" s="4" t="str">
        <f>HYPERLINK("http://141.218.60.56/~jnz1568/getInfo.php?workbook=16_15.xlsx&amp;sheet=A0&amp;row=539&amp;col=18&amp;number=&amp;sourceID=56","")</f>
        <v/>
      </c>
      <c r="S539" s="4" t="str">
        <f>HYPERLINK("http://141.218.60.56/~jnz1568/getInfo.php?workbook=16_15.xlsx&amp;sheet=A0&amp;row=539&amp;col=19&amp;number=&amp;sourceID=57","")</f>
        <v/>
      </c>
      <c r="T539" s="4" t="str">
        <f>HYPERLINK("http://141.218.60.56/~jnz1568/getInfo.php?workbook=16_15.xlsx&amp;sheet=A0&amp;row=539&amp;col=20&amp;number=&amp;sourceID=57","")</f>
        <v/>
      </c>
      <c r="U539" s="4" t="str">
        <f>HYPERLINK("http://141.218.60.56/~jnz1568/getInfo.php?workbook=16_15.xlsx&amp;sheet=A0&amp;row=539&amp;col=21&amp;number=&amp;sourceID=47","")</f>
        <v/>
      </c>
      <c r="V539" s="4" t="str">
        <f>HYPERLINK("http://141.218.60.56/~jnz1568/getInfo.php?workbook=16_15.xlsx&amp;sheet=A0&amp;row=539&amp;col=22&amp;number=&amp;sourceID=47","")</f>
        <v/>
      </c>
    </row>
    <row r="540" spans="1:22">
      <c r="A540" s="3">
        <v>16</v>
      </c>
      <c r="B540" s="3">
        <v>15</v>
      </c>
      <c r="C540" s="3">
        <v>38</v>
      </c>
      <c r="D540" s="3">
        <v>29</v>
      </c>
      <c r="E540" s="3">
        <f>((1/(INDEX(E0!J$4:J$73,C540,1)-INDEX(E0!J$4:J$73,D540,1))))*100000000</f>
        <v>0</v>
      </c>
      <c r="F540" s="4" t="str">
        <f>HYPERLINK("http://141.218.60.56/~jnz1568/getInfo.php?workbook=16_15.xlsx&amp;sheet=A0&amp;row=540&amp;col=6&amp;number=96.124&amp;sourceID=54","96.124")</f>
        <v>96.124</v>
      </c>
      <c r="G540" s="4" t="str">
        <f>HYPERLINK("http://141.218.60.56/~jnz1568/getInfo.php?workbook=16_15.xlsx&amp;sheet=A0&amp;row=540&amp;col=7&amp;number=&amp;sourceID=54","")</f>
        <v/>
      </c>
      <c r="H540" s="4" t="str">
        <f>HYPERLINK("http://141.218.60.56/~jnz1568/getInfo.php?workbook=16_15.xlsx&amp;sheet=A0&amp;row=540&amp;col=8&amp;number=&amp;sourceID=54","")</f>
        <v/>
      </c>
      <c r="I540" s="4" t="str">
        <f>HYPERLINK("http://141.218.60.56/~jnz1568/getInfo.php?workbook=16_15.xlsx&amp;sheet=A0&amp;row=540&amp;col=9&amp;number=96.06&amp;sourceID=54","96.06")</f>
        <v>96.06</v>
      </c>
      <c r="J540" s="4" t="str">
        <f>HYPERLINK("http://141.218.60.56/~jnz1568/getInfo.php?workbook=16_15.xlsx&amp;sheet=A0&amp;row=540&amp;col=10&amp;number=&amp;sourceID=54","")</f>
        <v/>
      </c>
      <c r="K540" s="4" t="str">
        <f>HYPERLINK("http://141.218.60.56/~jnz1568/getInfo.php?workbook=16_15.xlsx&amp;sheet=A0&amp;row=540&amp;col=11&amp;number=&amp;sourceID=54","")</f>
        <v/>
      </c>
      <c r="L540" s="4" t="str">
        <f>HYPERLINK("http://141.218.60.56/~jnz1568/getInfo.php?workbook=16_15.xlsx&amp;sheet=A0&amp;row=540&amp;col=12&amp;number=141.542896533&amp;sourceID=53","141.542896533")</f>
        <v>141.542896533</v>
      </c>
      <c r="M540" s="4" t="str">
        <f>HYPERLINK("http://141.218.60.56/~jnz1568/getInfo.php?workbook=16_15.xlsx&amp;sheet=A0&amp;row=540&amp;col=13&amp;number=&amp;sourceID=53","")</f>
        <v/>
      </c>
      <c r="N540" s="4" t="str">
        <f>HYPERLINK("http://141.218.60.56/~jnz1568/getInfo.php?workbook=16_15.xlsx&amp;sheet=A0&amp;row=540&amp;col=14&amp;number=&amp;sourceID=53","")</f>
        <v/>
      </c>
      <c r="O540" s="4" t="str">
        <f>HYPERLINK("http://141.218.60.56/~jnz1568/getInfo.php?workbook=16_15.xlsx&amp;sheet=A0&amp;row=540&amp;col=15&amp;number=&amp;sourceID=55","")</f>
        <v/>
      </c>
      <c r="P540" s="4" t="str">
        <f>HYPERLINK("http://141.218.60.56/~jnz1568/getInfo.php?workbook=16_15.xlsx&amp;sheet=A0&amp;row=540&amp;col=16&amp;number=&amp;sourceID=55","")</f>
        <v/>
      </c>
      <c r="Q540" s="4" t="str">
        <f>HYPERLINK("http://141.218.60.56/~jnz1568/getInfo.php?workbook=16_15.xlsx&amp;sheet=A0&amp;row=540&amp;col=17&amp;number=&amp;sourceID=56","")</f>
        <v/>
      </c>
      <c r="R540" s="4" t="str">
        <f>HYPERLINK("http://141.218.60.56/~jnz1568/getInfo.php?workbook=16_15.xlsx&amp;sheet=A0&amp;row=540&amp;col=18&amp;number=&amp;sourceID=56","")</f>
        <v/>
      </c>
      <c r="S540" s="4" t="str">
        <f>HYPERLINK("http://141.218.60.56/~jnz1568/getInfo.php?workbook=16_15.xlsx&amp;sheet=A0&amp;row=540&amp;col=19&amp;number=&amp;sourceID=57","")</f>
        <v/>
      </c>
      <c r="T540" s="4" t="str">
        <f>HYPERLINK("http://141.218.60.56/~jnz1568/getInfo.php?workbook=16_15.xlsx&amp;sheet=A0&amp;row=540&amp;col=20&amp;number=&amp;sourceID=57","")</f>
        <v/>
      </c>
      <c r="U540" s="4" t="str">
        <f>HYPERLINK("http://141.218.60.56/~jnz1568/getInfo.php?workbook=16_15.xlsx&amp;sheet=A0&amp;row=540&amp;col=21&amp;number=&amp;sourceID=47","")</f>
        <v/>
      </c>
      <c r="V540" s="4" t="str">
        <f>HYPERLINK("http://141.218.60.56/~jnz1568/getInfo.php?workbook=16_15.xlsx&amp;sheet=A0&amp;row=540&amp;col=22&amp;number=&amp;sourceID=47","")</f>
        <v/>
      </c>
    </row>
    <row r="541" spans="1:22">
      <c r="A541" s="3">
        <v>16</v>
      </c>
      <c r="B541" s="3">
        <v>15</v>
      </c>
      <c r="C541" s="3">
        <v>38</v>
      </c>
      <c r="D541" s="3">
        <v>31</v>
      </c>
      <c r="E541" s="3">
        <f>((1/(INDEX(E0!J$4:J$73,C541,1)-INDEX(E0!J$4:J$73,D541,1))))*100000000</f>
        <v>0</v>
      </c>
      <c r="F541" s="4" t="str">
        <f>HYPERLINK("http://141.218.60.56/~jnz1568/getInfo.php?workbook=16_15.xlsx&amp;sheet=A0&amp;row=541&amp;col=6&amp;number=&amp;sourceID=54","")</f>
        <v/>
      </c>
      <c r="G541" s="4" t="str">
        <f>HYPERLINK("http://141.218.60.56/~jnz1568/getInfo.php?workbook=16_15.xlsx&amp;sheet=A0&amp;row=541&amp;col=7&amp;number=&amp;sourceID=54","")</f>
        <v/>
      </c>
      <c r="H541" s="4" t="str">
        <f>HYPERLINK("http://141.218.60.56/~jnz1568/getInfo.php?workbook=16_15.xlsx&amp;sheet=A0&amp;row=541&amp;col=8&amp;number=0.0017641&amp;sourceID=54","0.0017641")</f>
        <v>0.0017641</v>
      </c>
      <c r="I541" s="4" t="str">
        <f>HYPERLINK("http://141.218.60.56/~jnz1568/getInfo.php?workbook=16_15.xlsx&amp;sheet=A0&amp;row=541&amp;col=9&amp;number=&amp;sourceID=54","")</f>
        <v/>
      </c>
      <c r="J541" s="4" t="str">
        <f>HYPERLINK("http://141.218.60.56/~jnz1568/getInfo.php?workbook=16_15.xlsx&amp;sheet=A0&amp;row=541&amp;col=10&amp;number=&amp;sourceID=54","")</f>
        <v/>
      </c>
      <c r="K541" s="4" t="str">
        <f>HYPERLINK("http://141.218.60.56/~jnz1568/getInfo.php?workbook=16_15.xlsx&amp;sheet=A0&amp;row=541&amp;col=11&amp;number=0.0017728&amp;sourceID=54","0.0017728")</f>
        <v>0.0017728</v>
      </c>
      <c r="L541" s="4" t="str">
        <f>HYPERLINK("http://141.218.60.56/~jnz1568/getInfo.php?workbook=16_15.xlsx&amp;sheet=A0&amp;row=541&amp;col=12&amp;number=&amp;sourceID=53","")</f>
        <v/>
      </c>
      <c r="M541" s="4" t="str">
        <f>HYPERLINK("http://141.218.60.56/~jnz1568/getInfo.php?workbook=16_15.xlsx&amp;sheet=A0&amp;row=541&amp;col=13&amp;number=&amp;sourceID=53","")</f>
        <v/>
      </c>
      <c r="N541" s="4" t="str">
        <f>HYPERLINK("http://141.218.60.56/~jnz1568/getInfo.php?workbook=16_15.xlsx&amp;sheet=A0&amp;row=541&amp;col=14&amp;number=&amp;sourceID=53","")</f>
        <v/>
      </c>
      <c r="O541" s="4" t="str">
        <f>HYPERLINK("http://141.218.60.56/~jnz1568/getInfo.php?workbook=16_15.xlsx&amp;sheet=A0&amp;row=541&amp;col=15&amp;number=&amp;sourceID=55","")</f>
        <v/>
      </c>
      <c r="P541" s="4" t="str">
        <f>HYPERLINK("http://141.218.60.56/~jnz1568/getInfo.php?workbook=16_15.xlsx&amp;sheet=A0&amp;row=541&amp;col=16&amp;number=&amp;sourceID=55","")</f>
        <v/>
      </c>
      <c r="Q541" s="4" t="str">
        <f>HYPERLINK("http://141.218.60.56/~jnz1568/getInfo.php?workbook=16_15.xlsx&amp;sheet=A0&amp;row=541&amp;col=17&amp;number=&amp;sourceID=56","")</f>
        <v/>
      </c>
      <c r="R541" s="4" t="str">
        <f>HYPERLINK("http://141.218.60.56/~jnz1568/getInfo.php?workbook=16_15.xlsx&amp;sheet=A0&amp;row=541&amp;col=18&amp;number=&amp;sourceID=56","")</f>
        <v/>
      </c>
      <c r="S541" s="4" t="str">
        <f>HYPERLINK("http://141.218.60.56/~jnz1568/getInfo.php?workbook=16_15.xlsx&amp;sheet=A0&amp;row=541&amp;col=19&amp;number=&amp;sourceID=57","")</f>
        <v/>
      </c>
      <c r="T541" s="4" t="str">
        <f>HYPERLINK("http://141.218.60.56/~jnz1568/getInfo.php?workbook=16_15.xlsx&amp;sheet=A0&amp;row=541&amp;col=20&amp;number=&amp;sourceID=57","")</f>
        <v/>
      </c>
      <c r="U541" s="4" t="str">
        <f>HYPERLINK("http://141.218.60.56/~jnz1568/getInfo.php?workbook=16_15.xlsx&amp;sheet=A0&amp;row=541&amp;col=21&amp;number=&amp;sourceID=47","")</f>
        <v/>
      </c>
      <c r="V541" s="4" t="str">
        <f>HYPERLINK("http://141.218.60.56/~jnz1568/getInfo.php?workbook=16_15.xlsx&amp;sheet=A0&amp;row=541&amp;col=22&amp;number=&amp;sourceID=47","")</f>
        <v/>
      </c>
    </row>
    <row r="542" spans="1:22">
      <c r="A542" s="3">
        <v>16</v>
      </c>
      <c r="B542" s="3">
        <v>15</v>
      </c>
      <c r="C542" s="3">
        <v>38</v>
      </c>
      <c r="D542" s="3">
        <v>34</v>
      </c>
      <c r="E542" s="3">
        <f>((1/(INDEX(E0!J$4:J$73,C542,1)-INDEX(E0!J$4:J$73,D542,1))))*100000000</f>
        <v>0</v>
      </c>
      <c r="F542" s="4" t="str">
        <f>HYPERLINK("http://141.218.60.56/~jnz1568/getInfo.php?workbook=16_15.xlsx&amp;sheet=A0&amp;row=542&amp;col=6&amp;number=&amp;sourceID=54","")</f>
        <v/>
      </c>
      <c r="G542" s="4" t="str">
        <f>HYPERLINK("http://141.218.60.56/~jnz1568/getInfo.php?workbook=16_15.xlsx&amp;sheet=A0&amp;row=542&amp;col=7&amp;number=&amp;sourceID=54","")</f>
        <v/>
      </c>
      <c r="H542" s="4" t="str">
        <f>HYPERLINK("http://141.218.60.56/~jnz1568/getInfo.php?workbook=16_15.xlsx&amp;sheet=A0&amp;row=542&amp;col=8&amp;number=0.0016577&amp;sourceID=54","0.0016577")</f>
        <v>0.0016577</v>
      </c>
      <c r="I542" s="4" t="str">
        <f>HYPERLINK("http://141.218.60.56/~jnz1568/getInfo.php?workbook=16_15.xlsx&amp;sheet=A0&amp;row=542&amp;col=9&amp;number=&amp;sourceID=54","")</f>
        <v/>
      </c>
      <c r="J542" s="4" t="str">
        <f>HYPERLINK("http://141.218.60.56/~jnz1568/getInfo.php?workbook=16_15.xlsx&amp;sheet=A0&amp;row=542&amp;col=10&amp;number=&amp;sourceID=54","")</f>
        <v/>
      </c>
      <c r="K542" s="4" t="str">
        <f>HYPERLINK("http://141.218.60.56/~jnz1568/getInfo.php?workbook=16_15.xlsx&amp;sheet=A0&amp;row=542&amp;col=11&amp;number=0.0016901&amp;sourceID=54","0.0016901")</f>
        <v>0.0016901</v>
      </c>
      <c r="L542" s="4" t="str">
        <f>HYPERLINK("http://141.218.60.56/~jnz1568/getInfo.php?workbook=16_15.xlsx&amp;sheet=A0&amp;row=542&amp;col=12&amp;number=&amp;sourceID=53","")</f>
        <v/>
      </c>
      <c r="M542" s="4" t="str">
        <f>HYPERLINK("http://141.218.60.56/~jnz1568/getInfo.php?workbook=16_15.xlsx&amp;sheet=A0&amp;row=542&amp;col=13&amp;number=&amp;sourceID=53","")</f>
        <v/>
      </c>
      <c r="N542" s="4" t="str">
        <f>HYPERLINK("http://141.218.60.56/~jnz1568/getInfo.php?workbook=16_15.xlsx&amp;sheet=A0&amp;row=542&amp;col=14&amp;number=&amp;sourceID=53","")</f>
        <v/>
      </c>
      <c r="O542" s="4" t="str">
        <f>HYPERLINK("http://141.218.60.56/~jnz1568/getInfo.php?workbook=16_15.xlsx&amp;sheet=A0&amp;row=542&amp;col=15&amp;number=&amp;sourceID=55","")</f>
        <v/>
      </c>
      <c r="P542" s="4" t="str">
        <f>HYPERLINK("http://141.218.60.56/~jnz1568/getInfo.php?workbook=16_15.xlsx&amp;sheet=A0&amp;row=542&amp;col=16&amp;number=&amp;sourceID=55","")</f>
        <v/>
      </c>
      <c r="Q542" s="4" t="str">
        <f>HYPERLINK("http://141.218.60.56/~jnz1568/getInfo.php?workbook=16_15.xlsx&amp;sheet=A0&amp;row=542&amp;col=17&amp;number=&amp;sourceID=56","")</f>
        <v/>
      </c>
      <c r="R542" s="4" t="str">
        <f>HYPERLINK("http://141.218.60.56/~jnz1568/getInfo.php?workbook=16_15.xlsx&amp;sheet=A0&amp;row=542&amp;col=18&amp;number=&amp;sourceID=56","")</f>
        <v/>
      </c>
      <c r="S542" s="4" t="str">
        <f>HYPERLINK("http://141.218.60.56/~jnz1568/getInfo.php?workbook=16_15.xlsx&amp;sheet=A0&amp;row=542&amp;col=19&amp;number=&amp;sourceID=57","")</f>
        <v/>
      </c>
      <c r="T542" s="4" t="str">
        <f>HYPERLINK("http://141.218.60.56/~jnz1568/getInfo.php?workbook=16_15.xlsx&amp;sheet=A0&amp;row=542&amp;col=20&amp;number=&amp;sourceID=57","")</f>
        <v/>
      </c>
      <c r="U542" s="4" t="str">
        <f>HYPERLINK("http://141.218.60.56/~jnz1568/getInfo.php?workbook=16_15.xlsx&amp;sheet=A0&amp;row=542&amp;col=21&amp;number=&amp;sourceID=47","")</f>
        <v/>
      </c>
      <c r="V542" s="4" t="str">
        <f>HYPERLINK("http://141.218.60.56/~jnz1568/getInfo.php?workbook=16_15.xlsx&amp;sheet=A0&amp;row=542&amp;col=22&amp;number=&amp;sourceID=47","")</f>
        <v/>
      </c>
    </row>
    <row r="543" spans="1:22">
      <c r="A543" s="3">
        <v>16</v>
      </c>
      <c r="B543" s="3">
        <v>15</v>
      </c>
      <c r="C543" s="3">
        <v>38</v>
      </c>
      <c r="D543" s="3">
        <v>35</v>
      </c>
      <c r="E543" s="3">
        <f>((1/(INDEX(E0!J$4:J$73,C543,1)-INDEX(E0!J$4:J$73,D543,1))))*100000000</f>
        <v>0</v>
      </c>
      <c r="F543" s="4" t="str">
        <f>HYPERLINK("http://141.218.60.56/~jnz1568/getInfo.php?workbook=16_15.xlsx&amp;sheet=A0&amp;row=543&amp;col=6&amp;number=&amp;sourceID=54","")</f>
        <v/>
      </c>
      <c r="G543" s="4" t="str">
        <f>HYPERLINK("http://141.218.60.56/~jnz1568/getInfo.php?workbook=16_15.xlsx&amp;sheet=A0&amp;row=543&amp;col=7&amp;number=0.00017929&amp;sourceID=54","0.00017929")</f>
        <v>0.00017929</v>
      </c>
      <c r="H543" s="4" t="str">
        <f>HYPERLINK("http://141.218.60.56/~jnz1568/getInfo.php?workbook=16_15.xlsx&amp;sheet=A0&amp;row=543&amp;col=8&amp;number=0.00010657&amp;sourceID=54","0.00010657")</f>
        <v>0.00010657</v>
      </c>
      <c r="I543" s="4" t="str">
        <f>HYPERLINK("http://141.218.60.56/~jnz1568/getInfo.php?workbook=16_15.xlsx&amp;sheet=A0&amp;row=543&amp;col=9&amp;number=&amp;sourceID=54","")</f>
        <v/>
      </c>
      <c r="J543" s="4" t="str">
        <f>HYPERLINK("http://141.218.60.56/~jnz1568/getInfo.php?workbook=16_15.xlsx&amp;sheet=A0&amp;row=543&amp;col=10&amp;number=0.00020124&amp;sourceID=54","0.00020124")</f>
        <v>0.00020124</v>
      </c>
      <c r="K543" s="4" t="str">
        <f>HYPERLINK("http://141.218.60.56/~jnz1568/getInfo.php?workbook=16_15.xlsx&amp;sheet=A0&amp;row=543&amp;col=11&amp;number=0.00010972&amp;sourceID=54","0.00010972")</f>
        <v>0.00010972</v>
      </c>
      <c r="L543" s="4" t="str">
        <f>HYPERLINK("http://141.218.60.56/~jnz1568/getInfo.php?workbook=16_15.xlsx&amp;sheet=A0&amp;row=543&amp;col=12&amp;number=&amp;sourceID=53","")</f>
        <v/>
      </c>
      <c r="M543" s="4" t="str">
        <f>HYPERLINK("http://141.218.60.56/~jnz1568/getInfo.php?workbook=16_15.xlsx&amp;sheet=A0&amp;row=543&amp;col=13&amp;number=&amp;sourceID=53","")</f>
        <v/>
      </c>
      <c r="N543" s="4" t="str">
        <f>HYPERLINK("http://141.218.60.56/~jnz1568/getInfo.php?workbook=16_15.xlsx&amp;sheet=A0&amp;row=543&amp;col=14&amp;number=&amp;sourceID=53","")</f>
        <v/>
      </c>
      <c r="O543" s="4" t="str">
        <f>HYPERLINK("http://141.218.60.56/~jnz1568/getInfo.php?workbook=16_15.xlsx&amp;sheet=A0&amp;row=543&amp;col=15&amp;number=&amp;sourceID=55","")</f>
        <v/>
      </c>
      <c r="P543" s="4" t="str">
        <f>HYPERLINK("http://141.218.60.56/~jnz1568/getInfo.php?workbook=16_15.xlsx&amp;sheet=A0&amp;row=543&amp;col=16&amp;number=&amp;sourceID=55","")</f>
        <v/>
      </c>
      <c r="Q543" s="4" t="str">
        <f>HYPERLINK("http://141.218.60.56/~jnz1568/getInfo.php?workbook=16_15.xlsx&amp;sheet=A0&amp;row=543&amp;col=17&amp;number=&amp;sourceID=56","")</f>
        <v/>
      </c>
      <c r="R543" s="4" t="str">
        <f>HYPERLINK("http://141.218.60.56/~jnz1568/getInfo.php?workbook=16_15.xlsx&amp;sheet=A0&amp;row=543&amp;col=18&amp;number=&amp;sourceID=56","")</f>
        <v/>
      </c>
      <c r="S543" s="4" t="str">
        <f>HYPERLINK("http://141.218.60.56/~jnz1568/getInfo.php?workbook=16_15.xlsx&amp;sheet=A0&amp;row=543&amp;col=19&amp;number=&amp;sourceID=57","")</f>
        <v/>
      </c>
      <c r="T543" s="4" t="str">
        <f>HYPERLINK("http://141.218.60.56/~jnz1568/getInfo.php?workbook=16_15.xlsx&amp;sheet=A0&amp;row=543&amp;col=20&amp;number=&amp;sourceID=57","")</f>
        <v/>
      </c>
      <c r="U543" s="4" t="str">
        <f>HYPERLINK("http://141.218.60.56/~jnz1568/getInfo.php?workbook=16_15.xlsx&amp;sheet=A0&amp;row=543&amp;col=21&amp;number=&amp;sourceID=47","")</f>
        <v/>
      </c>
      <c r="V543" s="4" t="str">
        <f>HYPERLINK("http://141.218.60.56/~jnz1568/getInfo.php?workbook=16_15.xlsx&amp;sheet=A0&amp;row=543&amp;col=22&amp;number=&amp;sourceID=47","")</f>
        <v/>
      </c>
    </row>
    <row r="544" spans="1:22">
      <c r="A544" s="3">
        <v>16</v>
      </c>
      <c r="B544" s="3">
        <v>15</v>
      </c>
      <c r="C544" s="3">
        <v>38</v>
      </c>
      <c r="D544" s="3">
        <v>36</v>
      </c>
      <c r="E544" s="3">
        <f>((1/(INDEX(E0!J$4:J$73,C544,1)-INDEX(E0!J$4:J$73,D544,1))))*100000000</f>
        <v>0</v>
      </c>
      <c r="F544" s="4" t="str">
        <f>HYPERLINK("http://141.218.60.56/~jnz1568/getInfo.php?workbook=16_15.xlsx&amp;sheet=A0&amp;row=544&amp;col=6&amp;number=&amp;sourceID=54","")</f>
        <v/>
      </c>
      <c r="G544" s="4" t="str">
        <f>HYPERLINK("http://141.218.60.56/~jnz1568/getInfo.php?workbook=16_15.xlsx&amp;sheet=A0&amp;row=544&amp;col=7&amp;number=0.00024243&amp;sourceID=54","0.00024243")</f>
        <v>0.00024243</v>
      </c>
      <c r="H544" s="4" t="str">
        <f>HYPERLINK("http://141.218.60.56/~jnz1568/getInfo.php?workbook=16_15.xlsx&amp;sheet=A0&amp;row=544&amp;col=8&amp;number=&amp;sourceID=54","")</f>
        <v/>
      </c>
      <c r="I544" s="4" t="str">
        <f>HYPERLINK("http://141.218.60.56/~jnz1568/getInfo.php?workbook=16_15.xlsx&amp;sheet=A0&amp;row=544&amp;col=9&amp;number=&amp;sourceID=54","")</f>
        <v/>
      </c>
      <c r="J544" s="4" t="str">
        <f>HYPERLINK("http://141.218.60.56/~jnz1568/getInfo.php?workbook=16_15.xlsx&amp;sheet=A0&amp;row=544&amp;col=10&amp;number=0.00027578&amp;sourceID=54","0.00027578")</f>
        <v>0.00027578</v>
      </c>
      <c r="K544" s="4" t="str">
        <f>HYPERLINK("http://141.218.60.56/~jnz1568/getInfo.php?workbook=16_15.xlsx&amp;sheet=A0&amp;row=544&amp;col=11&amp;number=&amp;sourceID=54","")</f>
        <v/>
      </c>
      <c r="L544" s="4" t="str">
        <f>HYPERLINK("http://141.218.60.56/~jnz1568/getInfo.php?workbook=16_15.xlsx&amp;sheet=A0&amp;row=544&amp;col=12&amp;number=&amp;sourceID=53","")</f>
        <v/>
      </c>
      <c r="M544" s="4" t="str">
        <f>HYPERLINK("http://141.218.60.56/~jnz1568/getInfo.php?workbook=16_15.xlsx&amp;sheet=A0&amp;row=544&amp;col=13&amp;number=&amp;sourceID=53","")</f>
        <v/>
      </c>
      <c r="N544" s="4" t="str">
        <f>HYPERLINK("http://141.218.60.56/~jnz1568/getInfo.php?workbook=16_15.xlsx&amp;sheet=A0&amp;row=544&amp;col=14&amp;number=&amp;sourceID=53","")</f>
        <v/>
      </c>
      <c r="O544" s="4" t="str">
        <f>HYPERLINK("http://141.218.60.56/~jnz1568/getInfo.php?workbook=16_15.xlsx&amp;sheet=A0&amp;row=544&amp;col=15&amp;number=&amp;sourceID=55","")</f>
        <v/>
      </c>
      <c r="P544" s="4" t="str">
        <f>HYPERLINK("http://141.218.60.56/~jnz1568/getInfo.php?workbook=16_15.xlsx&amp;sheet=A0&amp;row=544&amp;col=16&amp;number=&amp;sourceID=55","")</f>
        <v/>
      </c>
      <c r="Q544" s="4" t="str">
        <f>HYPERLINK("http://141.218.60.56/~jnz1568/getInfo.php?workbook=16_15.xlsx&amp;sheet=A0&amp;row=544&amp;col=17&amp;number=&amp;sourceID=56","")</f>
        <v/>
      </c>
      <c r="R544" s="4" t="str">
        <f>HYPERLINK("http://141.218.60.56/~jnz1568/getInfo.php?workbook=16_15.xlsx&amp;sheet=A0&amp;row=544&amp;col=18&amp;number=&amp;sourceID=56","")</f>
        <v/>
      </c>
      <c r="S544" s="4" t="str">
        <f>HYPERLINK("http://141.218.60.56/~jnz1568/getInfo.php?workbook=16_15.xlsx&amp;sheet=A0&amp;row=544&amp;col=19&amp;number=&amp;sourceID=57","")</f>
        <v/>
      </c>
      <c r="T544" s="4" t="str">
        <f>HYPERLINK("http://141.218.60.56/~jnz1568/getInfo.php?workbook=16_15.xlsx&amp;sheet=A0&amp;row=544&amp;col=20&amp;number=&amp;sourceID=57","")</f>
        <v/>
      </c>
      <c r="U544" s="4" t="str">
        <f>HYPERLINK("http://141.218.60.56/~jnz1568/getInfo.php?workbook=16_15.xlsx&amp;sheet=A0&amp;row=544&amp;col=21&amp;number=&amp;sourceID=47","")</f>
        <v/>
      </c>
      <c r="V544" s="4" t="str">
        <f>HYPERLINK("http://141.218.60.56/~jnz1568/getInfo.php?workbook=16_15.xlsx&amp;sheet=A0&amp;row=544&amp;col=22&amp;number=&amp;sourceID=47","")</f>
        <v/>
      </c>
    </row>
    <row r="545" spans="1:22">
      <c r="A545" s="3">
        <v>16</v>
      </c>
      <c r="B545" s="3">
        <v>15</v>
      </c>
      <c r="C545" s="3">
        <v>39</v>
      </c>
      <c r="D545" s="3">
        <v>1</v>
      </c>
      <c r="E545" s="3">
        <f>((1/(INDEX(E0!J$4:J$73,C545,1)-INDEX(E0!J$4:J$73,D545,1))))*100000000</f>
        <v>0</v>
      </c>
      <c r="F545" s="4" t="str">
        <f>HYPERLINK("http://141.218.60.56/~jnz1568/getInfo.php?workbook=16_15.xlsx&amp;sheet=A0&amp;row=545&amp;col=6&amp;number=&amp;sourceID=54","")</f>
        <v/>
      </c>
      <c r="G545" s="4" t="str">
        <f>HYPERLINK("http://141.218.60.56/~jnz1568/getInfo.php?workbook=16_15.xlsx&amp;sheet=A0&amp;row=545&amp;col=7&amp;number=58.288&amp;sourceID=54","58.288")</f>
        <v>58.288</v>
      </c>
      <c r="H545" s="4" t="str">
        <f>HYPERLINK("http://141.218.60.56/~jnz1568/getInfo.php?workbook=16_15.xlsx&amp;sheet=A0&amp;row=545&amp;col=8&amp;number=0.76468&amp;sourceID=54","0.76468")</f>
        <v>0.76468</v>
      </c>
      <c r="I545" s="4" t="str">
        <f>HYPERLINK("http://141.218.60.56/~jnz1568/getInfo.php?workbook=16_15.xlsx&amp;sheet=A0&amp;row=545&amp;col=9&amp;number=&amp;sourceID=54","")</f>
        <v/>
      </c>
      <c r="J545" s="4" t="str">
        <f>HYPERLINK("http://141.218.60.56/~jnz1568/getInfo.php?workbook=16_15.xlsx&amp;sheet=A0&amp;row=545&amp;col=10&amp;number=56.914&amp;sourceID=54","56.914")</f>
        <v>56.914</v>
      </c>
      <c r="K545" s="4" t="str">
        <f>HYPERLINK("http://141.218.60.56/~jnz1568/getInfo.php?workbook=16_15.xlsx&amp;sheet=A0&amp;row=545&amp;col=11&amp;number=0.79831&amp;sourceID=54","0.79831")</f>
        <v>0.79831</v>
      </c>
      <c r="L545" s="4" t="str">
        <f>HYPERLINK("http://141.218.60.56/~jnz1568/getInfo.php?workbook=16_15.xlsx&amp;sheet=A0&amp;row=545&amp;col=12&amp;number=&amp;sourceID=53","")</f>
        <v/>
      </c>
      <c r="M545" s="4" t="str">
        <f>HYPERLINK("http://141.218.60.56/~jnz1568/getInfo.php?workbook=16_15.xlsx&amp;sheet=A0&amp;row=545&amp;col=13&amp;number=&amp;sourceID=53","")</f>
        <v/>
      </c>
      <c r="N545" s="4" t="str">
        <f>HYPERLINK("http://141.218.60.56/~jnz1568/getInfo.php?workbook=16_15.xlsx&amp;sheet=A0&amp;row=545&amp;col=14&amp;number=&amp;sourceID=53","")</f>
        <v/>
      </c>
      <c r="O545" s="4" t="str">
        <f>HYPERLINK("http://141.218.60.56/~jnz1568/getInfo.php?workbook=16_15.xlsx&amp;sheet=A0&amp;row=545&amp;col=15&amp;number=&amp;sourceID=55","")</f>
        <v/>
      </c>
      <c r="P545" s="4" t="str">
        <f>HYPERLINK("http://141.218.60.56/~jnz1568/getInfo.php?workbook=16_15.xlsx&amp;sheet=A0&amp;row=545&amp;col=16&amp;number=&amp;sourceID=55","")</f>
        <v/>
      </c>
      <c r="Q545" s="4" t="str">
        <f>HYPERLINK("http://141.218.60.56/~jnz1568/getInfo.php?workbook=16_15.xlsx&amp;sheet=A0&amp;row=545&amp;col=17&amp;number=&amp;sourceID=56","")</f>
        <v/>
      </c>
      <c r="R545" s="4" t="str">
        <f>HYPERLINK("http://141.218.60.56/~jnz1568/getInfo.php?workbook=16_15.xlsx&amp;sheet=A0&amp;row=545&amp;col=18&amp;number=&amp;sourceID=56","")</f>
        <v/>
      </c>
      <c r="S545" s="4" t="str">
        <f>HYPERLINK("http://141.218.60.56/~jnz1568/getInfo.php?workbook=16_15.xlsx&amp;sheet=A0&amp;row=545&amp;col=19&amp;number=&amp;sourceID=57","")</f>
        <v/>
      </c>
      <c r="T545" s="4" t="str">
        <f>HYPERLINK("http://141.218.60.56/~jnz1568/getInfo.php?workbook=16_15.xlsx&amp;sheet=A0&amp;row=545&amp;col=20&amp;number=&amp;sourceID=57","")</f>
        <v/>
      </c>
      <c r="U545" s="4" t="str">
        <f>HYPERLINK("http://141.218.60.56/~jnz1568/getInfo.php?workbook=16_15.xlsx&amp;sheet=A0&amp;row=545&amp;col=21&amp;number=&amp;sourceID=47","")</f>
        <v/>
      </c>
      <c r="V545" s="4" t="str">
        <f>HYPERLINK("http://141.218.60.56/~jnz1568/getInfo.php?workbook=16_15.xlsx&amp;sheet=A0&amp;row=545&amp;col=22&amp;number=&amp;sourceID=47","")</f>
        <v/>
      </c>
    </row>
    <row r="546" spans="1:22">
      <c r="A546" s="3">
        <v>16</v>
      </c>
      <c r="B546" s="3">
        <v>15</v>
      </c>
      <c r="C546" s="3">
        <v>39</v>
      </c>
      <c r="D546" s="3">
        <v>2</v>
      </c>
      <c r="E546" s="3">
        <f>((1/(INDEX(E0!J$4:J$73,C546,1)-INDEX(E0!J$4:J$73,D546,1))))*100000000</f>
        <v>0</v>
      </c>
      <c r="F546" s="4" t="str">
        <f>HYPERLINK("http://141.218.60.56/~jnz1568/getInfo.php?workbook=16_15.xlsx&amp;sheet=A0&amp;row=546&amp;col=6&amp;number=&amp;sourceID=54","")</f>
        <v/>
      </c>
      <c r="G546" s="4" t="str">
        <f>HYPERLINK("http://141.218.60.56/~jnz1568/getInfo.php?workbook=16_15.xlsx&amp;sheet=A0&amp;row=546&amp;col=7&amp;number=72.81&amp;sourceID=54","72.81")</f>
        <v>72.81</v>
      </c>
      <c r="H546" s="4" t="str">
        <f>HYPERLINK("http://141.218.60.56/~jnz1568/getInfo.php?workbook=16_15.xlsx&amp;sheet=A0&amp;row=546&amp;col=8&amp;number=0.0017221&amp;sourceID=54","0.0017221")</f>
        <v>0.0017221</v>
      </c>
      <c r="I546" s="4" t="str">
        <f>HYPERLINK("http://141.218.60.56/~jnz1568/getInfo.php?workbook=16_15.xlsx&amp;sheet=A0&amp;row=546&amp;col=9&amp;number=&amp;sourceID=54","")</f>
        <v/>
      </c>
      <c r="J546" s="4" t="str">
        <f>HYPERLINK("http://141.218.60.56/~jnz1568/getInfo.php?workbook=16_15.xlsx&amp;sheet=A0&amp;row=546&amp;col=10&amp;number=92.9&amp;sourceID=54","92.9")</f>
        <v>92.9</v>
      </c>
      <c r="K546" s="4" t="str">
        <f>HYPERLINK("http://141.218.60.56/~jnz1568/getInfo.php?workbook=16_15.xlsx&amp;sheet=A0&amp;row=546&amp;col=11&amp;number=0.0011917&amp;sourceID=54","0.0011917")</f>
        <v>0.0011917</v>
      </c>
      <c r="L546" s="4" t="str">
        <f>HYPERLINK("http://141.218.60.56/~jnz1568/getInfo.php?workbook=16_15.xlsx&amp;sheet=A0&amp;row=546&amp;col=12&amp;number=&amp;sourceID=53","")</f>
        <v/>
      </c>
      <c r="M546" s="4" t="str">
        <f>HYPERLINK("http://141.218.60.56/~jnz1568/getInfo.php?workbook=16_15.xlsx&amp;sheet=A0&amp;row=546&amp;col=13&amp;number=&amp;sourceID=53","")</f>
        <v/>
      </c>
      <c r="N546" s="4" t="str">
        <f>HYPERLINK("http://141.218.60.56/~jnz1568/getInfo.php?workbook=16_15.xlsx&amp;sheet=A0&amp;row=546&amp;col=14&amp;number=&amp;sourceID=53","")</f>
        <v/>
      </c>
      <c r="O546" s="4" t="str">
        <f>HYPERLINK("http://141.218.60.56/~jnz1568/getInfo.php?workbook=16_15.xlsx&amp;sheet=A0&amp;row=546&amp;col=15&amp;number=&amp;sourceID=55","")</f>
        <v/>
      </c>
      <c r="P546" s="4" t="str">
        <f>HYPERLINK("http://141.218.60.56/~jnz1568/getInfo.php?workbook=16_15.xlsx&amp;sheet=A0&amp;row=546&amp;col=16&amp;number=&amp;sourceID=55","")</f>
        <v/>
      </c>
      <c r="Q546" s="4" t="str">
        <f>HYPERLINK("http://141.218.60.56/~jnz1568/getInfo.php?workbook=16_15.xlsx&amp;sheet=A0&amp;row=546&amp;col=17&amp;number=&amp;sourceID=56","")</f>
        <v/>
      </c>
      <c r="R546" s="4" t="str">
        <f>HYPERLINK("http://141.218.60.56/~jnz1568/getInfo.php?workbook=16_15.xlsx&amp;sheet=A0&amp;row=546&amp;col=18&amp;number=&amp;sourceID=56","")</f>
        <v/>
      </c>
      <c r="S546" s="4" t="str">
        <f>HYPERLINK("http://141.218.60.56/~jnz1568/getInfo.php?workbook=16_15.xlsx&amp;sheet=A0&amp;row=546&amp;col=19&amp;number=&amp;sourceID=57","")</f>
        <v/>
      </c>
      <c r="T546" s="4" t="str">
        <f>HYPERLINK("http://141.218.60.56/~jnz1568/getInfo.php?workbook=16_15.xlsx&amp;sheet=A0&amp;row=546&amp;col=20&amp;number=&amp;sourceID=57","")</f>
        <v/>
      </c>
      <c r="U546" s="4" t="str">
        <f>HYPERLINK("http://141.218.60.56/~jnz1568/getInfo.php?workbook=16_15.xlsx&amp;sheet=A0&amp;row=546&amp;col=21&amp;number=&amp;sourceID=47","")</f>
        <v/>
      </c>
      <c r="V546" s="4" t="str">
        <f>HYPERLINK("http://141.218.60.56/~jnz1568/getInfo.php?workbook=16_15.xlsx&amp;sheet=A0&amp;row=546&amp;col=22&amp;number=&amp;sourceID=47","")</f>
        <v/>
      </c>
    </row>
    <row r="547" spans="1:22">
      <c r="A547" s="3">
        <v>16</v>
      </c>
      <c r="B547" s="3">
        <v>15</v>
      </c>
      <c r="C547" s="3">
        <v>39</v>
      </c>
      <c r="D547" s="3">
        <v>3</v>
      </c>
      <c r="E547" s="3">
        <f>((1/(INDEX(E0!J$4:J$73,C547,1)-INDEX(E0!J$4:J$73,D547,1))))*100000000</f>
        <v>0</v>
      </c>
      <c r="F547" s="4" t="str">
        <f>HYPERLINK("http://141.218.60.56/~jnz1568/getInfo.php?workbook=16_15.xlsx&amp;sheet=A0&amp;row=547&amp;col=6&amp;number=&amp;sourceID=54","")</f>
        <v/>
      </c>
      <c r="G547" s="4" t="str">
        <f>HYPERLINK("http://141.218.60.56/~jnz1568/getInfo.php?workbook=16_15.xlsx&amp;sheet=A0&amp;row=547&amp;col=7&amp;number=11.421&amp;sourceID=54","11.421")</f>
        <v>11.421</v>
      </c>
      <c r="H547" s="4" t="str">
        <f>HYPERLINK("http://141.218.60.56/~jnz1568/getInfo.php?workbook=16_15.xlsx&amp;sheet=A0&amp;row=547&amp;col=8&amp;number=0.00017268&amp;sourceID=54","0.00017268")</f>
        <v>0.00017268</v>
      </c>
      <c r="I547" s="4" t="str">
        <f>HYPERLINK("http://141.218.60.56/~jnz1568/getInfo.php?workbook=16_15.xlsx&amp;sheet=A0&amp;row=547&amp;col=9&amp;number=&amp;sourceID=54","")</f>
        <v/>
      </c>
      <c r="J547" s="4" t="str">
        <f>HYPERLINK("http://141.218.60.56/~jnz1568/getInfo.php?workbook=16_15.xlsx&amp;sheet=A0&amp;row=547&amp;col=10&amp;number=15.652&amp;sourceID=54","15.652")</f>
        <v>15.652</v>
      </c>
      <c r="K547" s="4" t="str">
        <f>HYPERLINK("http://141.218.60.56/~jnz1568/getInfo.php?workbook=16_15.xlsx&amp;sheet=A0&amp;row=547&amp;col=11&amp;number=5.7835e-05&amp;sourceID=54","5.7835e-05")</f>
        <v>5.7835e-05</v>
      </c>
      <c r="L547" s="4" t="str">
        <f>HYPERLINK("http://141.218.60.56/~jnz1568/getInfo.php?workbook=16_15.xlsx&amp;sheet=A0&amp;row=547&amp;col=12&amp;number=&amp;sourceID=53","")</f>
        <v/>
      </c>
      <c r="M547" s="4" t="str">
        <f>HYPERLINK("http://141.218.60.56/~jnz1568/getInfo.php?workbook=16_15.xlsx&amp;sheet=A0&amp;row=547&amp;col=13&amp;number=&amp;sourceID=53","")</f>
        <v/>
      </c>
      <c r="N547" s="4" t="str">
        <f>HYPERLINK("http://141.218.60.56/~jnz1568/getInfo.php?workbook=16_15.xlsx&amp;sheet=A0&amp;row=547&amp;col=14&amp;number=&amp;sourceID=53","")</f>
        <v/>
      </c>
      <c r="O547" s="4" t="str">
        <f>HYPERLINK("http://141.218.60.56/~jnz1568/getInfo.php?workbook=16_15.xlsx&amp;sheet=A0&amp;row=547&amp;col=15&amp;number=&amp;sourceID=55","")</f>
        <v/>
      </c>
      <c r="P547" s="4" t="str">
        <f>HYPERLINK("http://141.218.60.56/~jnz1568/getInfo.php?workbook=16_15.xlsx&amp;sheet=A0&amp;row=547&amp;col=16&amp;number=&amp;sourceID=55","")</f>
        <v/>
      </c>
      <c r="Q547" s="4" t="str">
        <f>HYPERLINK("http://141.218.60.56/~jnz1568/getInfo.php?workbook=16_15.xlsx&amp;sheet=A0&amp;row=547&amp;col=17&amp;number=&amp;sourceID=56","")</f>
        <v/>
      </c>
      <c r="R547" s="4" t="str">
        <f>HYPERLINK("http://141.218.60.56/~jnz1568/getInfo.php?workbook=16_15.xlsx&amp;sheet=A0&amp;row=547&amp;col=18&amp;number=&amp;sourceID=56","")</f>
        <v/>
      </c>
      <c r="S547" s="4" t="str">
        <f>HYPERLINK("http://141.218.60.56/~jnz1568/getInfo.php?workbook=16_15.xlsx&amp;sheet=A0&amp;row=547&amp;col=19&amp;number=&amp;sourceID=57","")</f>
        <v/>
      </c>
      <c r="T547" s="4" t="str">
        <f>HYPERLINK("http://141.218.60.56/~jnz1568/getInfo.php?workbook=16_15.xlsx&amp;sheet=A0&amp;row=547&amp;col=20&amp;number=&amp;sourceID=57","")</f>
        <v/>
      </c>
      <c r="U547" s="4" t="str">
        <f>HYPERLINK("http://141.218.60.56/~jnz1568/getInfo.php?workbook=16_15.xlsx&amp;sheet=A0&amp;row=547&amp;col=21&amp;number=&amp;sourceID=47","")</f>
        <v/>
      </c>
      <c r="V547" s="4" t="str">
        <f>HYPERLINK("http://141.218.60.56/~jnz1568/getInfo.php?workbook=16_15.xlsx&amp;sheet=A0&amp;row=547&amp;col=22&amp;number=&amp;sourceID=47","")</f>
        <v/>
      </c>
    </row>
    <row r="548" spans="1:22">
      <c r="A548" s="3">
        <v>16</v>
      </c>
      <c r="B548" s="3">
        <v>15</v>
      </c>
      <c r="C548" s="3">
        <v>39</v>
      </c>
      <c r="D548" s="3">
        <v>4</v>
      </c>
      <c r="E548" s="3">
        <f>((1/(INDEX(E0!J$4:J$73,C548,1)-INDEX(E0!J$4:J$73,D548,1))))*100000000</f>
        <v>0</v>
      </c>
      <c r="F548" s="4" t="str">
        <f>HYPERLINK("http://141.218.60.56/~jnz1568/getInfo.php?workbook=16_15.xlsx&amp;sheet=A0&amp;row=548&amp;col=6&amp;number=&amp;sourceID=54","")</f>
        <v/>
      </c>
      <c r="G548" s="4" t="str">
        <f>HYPERLINK("http://141.218.60.56/~jnz1568/getInfo.php?workbook=16_15.xlsx&amp;sheet=A0&amp;row=548&amp;col=7&amp;number=15.696&amp;sourceID=54","15.696")</f>
        <v>15.696</v>
      </c>
      <c r="H548" s="4" t="str">
        <f>HYPERLINK("http://141.218.60.56/~jnz1568/getInfo.php?workbook=16_15.xlsx&amp;sheet=A0&amp;row=548&amp;col=8&amp;number=0.0053166&amp;sourceID=54","0.0053166")</f>
        <v>0.0053166</v>
      </c>
      <c r="I548" s="4" t="str">
        <f>HYPERLINK("http://141.218.60.56/~jnz1568/getInfo.php?workbook=16_15.xlsx&amp;sheet=A0&amp;row=548&amp;col=9&amp;number=&amp;sourceID=54","")</f>
        <v/>
      </c>
      <c r="J548" s="4" t="str">
        <f>HYPERLINK("http://141.218.60.56/~jnz1568/getInfo.php?workbook=16_15.xlsx&amp;sheet=A0&amp;row=548&amp;col=10&amp;number=20.341&amp;sourceID=54","20.341")</f>
        <v>20.341</v>
      </c>
      <c r="K548" s="4" t="str">
        <f>HYPERLINK("http://141.218.60.56/~jnz1568/getInfo.php?workbook=16_15.xlsx&amp;sheet=A0&amp;row=548&amp;col=11&amp;number=0.0056431&amp;sourceID=54","0.0056431")</f>
        <v>0.0056431</v>
      </c>
      <c r="L548" s="4" t="str">
        <f>HYPERLINK("http://141.218.60.56/~jnz1568/getInfo.php?workbook=16_15.xlsx&amp;sheet=A0&amp;row=548&amp;col=12&amp;number=&amp;sourceID=53","")</f>
        <v/>
      </c>
      <c r="M548" s="4" t="str">
        <f>HYPERLINK("http://141.218.60.56/~jnz1568/getInfo.php?workbook=16_15.xlsx&amp;sheet=A0&amp;row=548&amp;col=13&amp;number=&amp;sourceID=53","")</f>
        <v/>
      </c>
      <c r="N548" s="4" t="str">
        <f>HYPERLINK("http://141.218.60.56/~jnz1568/getInfo.php?workbook=16_15.xlsx&amp;sheet=A0&amp;row=548&amp;col=14&amp;number=&amp;sourceID=53","")</f>
        <v/>
      </c>
      <c r="O548" s="4" t="str">
        <f>HYPERLINK("http://141.218.60.56/~jnz1568/getInfo.php?workbook=16_15.xlsx&amp;sheet=A0&amp;row=548&amp;col=15&amp;number=&amp;sourceID=55","")</f>
        <v/>
      </c>
      <c r="P548" s="4" t="str">
        <f>HYPERLINK("http://141.218.60.56/~jnz1568/getInfo.php?workbook=16_15.xlsx&amp;sheet=A0&amp;row=548&amp;col=16&amp;number=&amp;sourceID=55","")</f>
        <v/>
      </c>
      <c r="Q548" s="4" t="str">
        <f>HYPERLINK("http://141.218.60.56/~jnz1568/getInfo.php?workbook=16_15.xlsx&amp;sheet=A0&amp;row=548&amp;col=17&amp;number=&amp;sourceID=56","")</f>
        <v/>
      </c>
      <c r="R548" s="4" t="str">
        <f>HYPERLINK("http://141.218.60.56/~jnz1568/getInfo.php?workbook=16_15.xlsx&amp;sheet=A0&amp;row=548&amp;col=18&amp;number=&amp;sourceID=56","")</f>
        <v/>
      </c>
      <c r="S548" s="4" t="str">
        <f>HYPERLINK("http://141.218.60.56/~jnz1568/getInfo.php?workbook=16_15.xlsx&amp;sheet=A0&amp;row=548&amp;col=19&amp;number=&amp;sourceID=57","")</f>
        <v/>
      </c>
      <c r="T548" s="4" t="str">
        <f>HYPERLINK("http://141.218.60.56/~jnz1568/getInfo.php?workbook=16_15.xlsx&amp;sheet=A0&amp;row=548&amp;col=20&amp;number=&amp;sourceID=57","")</f>
        <v/>
      </c>
      <c r="U548" s="4" t="str">
        <f>HYPERLINK("http://141.218.60.56/~jnz1568/getInfo.php?workbook=16_15.xlsx&amp;sheet=A0&amp;row=548&amp;col=21&amp;number=&amp;sourceID=47","")</f>
        <v/>
      </c>
      <c r="V548" s="4" t="str">
        <f>HYPERLINK("http://141.218.60.56/~jnz1568/getInfo.php?workbook=16_15.xlsx&amp;sheet=A0&amp;row=548&amp;col=22&amp;number=&amp;sourceID=47","")</f>
        <v/>
      </c>
    </row>
    <row r="549" spans="1:22">
      <c r="A549" s="3">
        <v>16</v>
      </c>
      <c r="B549" s="3">
        <v>15</v>
      </c>
      <c r="C549" s="3">
        <v>39</v>
      </c>
      <c r="D549" s="3">
        <v>5</v>
      </c>
      <c r="E549" s="3">
        <f>((1/(INDEX(E0!J$4:J$73,C549,1)-INDEX(E0!J$4:J$73,D549,1))))*100000000</f>
        <v>0</v>
      </c>
      <c r="F549" s="4" t="str">
        <f>HYPERLINK("http://141.218.60.56/~jnz1568/getInfo.php?workbook=16_15.xlsx&amp;sheet=A0&amp;row=549&amp;col=6&amp;number=&amp;sourceID=54","")</f>
        <v/>
      </c>
      <c r="G549" s="4" t="str">
        <f>HYPERLINK("http://141.218.60.56/~jnz1568/getInfo.php?workbook=16_15.xlsx&amp;sheet=A0&amp;row=549&amp;col=7&amp;number=6.4196&amp;sourceID=54","6.4196")</f>
        <v>6.4196</v>
      </c>
      <c r="H549" s="4" t="str">
        <f>HYPERLINK("http://141.218.60.56/~jnz1568/getInfo.php?workbook=16_15.xlsx&amp;sheet=A0&amp;row=549&amp;col=8&amp;number=0.13934&amp;sourceID=54","0.13934")</f>
        <v>0.13934</v>
      </c>
      <c r="I549" s="4" t="str">
        <f>HYPERLINK("http://141.218.60.56/~jnz1568/getInfo.php?workbook=16_15.xlsx&amp;sheet=A0&amp;row=549&amp;col=9&amp;number=&amp;sourceID=54","")</f>
        <v/>
      </c>
      <c r="J549" s="4" t="str">
        <f>HYPERLINK("http://141.218.60.56/~jnz1568/getInfo.php?workbook=16_15.xlsx&amp;sheet=A0&amp;row=549&amp;col=10&amp;number=8.6525&amp;sourceID=54","8.6525")</f>
        <v>8.6525</v>
      </c>
      <c r="K549" s="4" t="str">
        <f>HYPERLINK("http://141.218.60.56/~jnz1568/getInfo.php?workbook=16_15.xlsx&amp;sheet=A0&amp;row=549&amp;col=11&amp;number=0.14342&amp;sourceID=54","0.14342")</f>
        <v>0.14342</v>
      </c>
      <c r="L549" s="4" t="str">
        <f>HYPERLINK("http://141.218.60.56/~jnz1568/getInfo.php?workbook=16_15.xlsx&amp;sheet=A0&amp;row=549&amp;col=12&amp;number=&amp;sourceID=53","")</f>
        <v/>
      </c>
      <c r="M549" s="4" t="str">
        <f>HYPERLINK("http://141.218.60.56/~jnz1568/getInfo.php?workbook=16_15.xlsx&amp;sheet=A0&amp;row=549&amp;col=13&amp;number=&amp;sourceID=53","")</f>
        <v/>
      </c>
      <c r="N549" s="4" t="str">
        <f>HYPERLINK("http://141.218.60.56/~jnz1568/getInfo.php?workbook=16_15.xlsx&amp;sheet=A0&amp;row=549&amp;col=14&amp;number=&amp;sourceID=53","")</f>
        <v/>
      </c>
      <c r="O549" s="4" t="str">
        <f>HYPERLINK("http://141.218.60.56/~jnz1568/getInfo.php?workbook=16_15.xlsx&amp;sheet=A0&amp;row=549&amp;col=15&amp;number=&amp;sourceID=55","")</f>
        <v/>
      </c>
      <c r="P549" s="4" t="str">
        <f>HYPERLINK("http://141.218.60.56/~jnz1568/getInfo.php?workbook=16_15.xlsx&amp;sheet=A0&amp;row=549&amp;col=16&amp;number=&amp;sourceID=55","")</f>
        <v/>
      </c>
      <c r="Q549" s="4" t="str">
        <f>HYPERLINK("http://141.218.60.56/~jnz1568/getInfo.php?workbook=16_15.xlsx&amp;sheet=A0&amp;row=549&amp;col=17&amp;number=&amp;sourceID=56","")</f>
        <v/>
      </c>
      <c r="R549" s="4" t="str">
        <f>HYPERLINK("http://141.218.60.56/~jnz1568/getInfo.php?workbook=16_15.xlsx&amp;sheet=A0&amp;row=549&amp;col=18&amp;number=&amp;sourceID=56","")</f>
        <v/>
      </c>
      <c r="S549" s="4" t="str">
        <f>HYPERLINK("http://141.218.60.56/~jnz1568/getInfo.php?workbook=16_15.xlsx&amp;sheet=A0&amp;row=549&amp;col=19&amp;number=&amp;sourceID=57","")</f>
        <v/>
      </c>
      <c r="T549" s="4" t="str">
        <f>HYPERLINK("http://141.218.60.56/~jnz1568/getInfo.php?workbook=16_15.xlsx&amp;sheet=A0&amp;row=549&amp;col=20&amp;number=&amp;sourceID=57","")</f>
        <v/>
      </c>
      <c r="U549" s="4" t="str">
        <f>HYPERLINK("http://141.218.60.56/~jnz1568/getInfo.php?workbook=16_15.xlsx&amp;sheet=A0&amp;row=549&amp;col=21&amp;number=&amp;sourceID=47","")</f>
        <v/>
      </c>
      <c r="V549" s="4" t="str">
        <f>HYPERLINK("http://141.218.60.56/~jnz1568/getInfo.php?workbook=16_15.xlsx&amp;sheet=A0&amp;row=549&amp;col=22&amp;number=&amp;sourceID=47","")</f>
        <v/>
      </c>
    </row>
    <row r="550" spans="1:22">
      <c r="A550" s="3">
        <v>16</v>
      </c>
      <c r="B550" s="3">
        <v>15</v>
      </c>
      <c r="C550" s="3">
        <v>39</v>
      </c>
      <c r="D550" s="3">
        <v>6</v>
      </c>
      <c r="E550" s="3">
        <f>((1/(INDEX(E0!J$4:J$73,C550,1)-INDEX(E0!J$4:J$73,D550,1))))*100000000</f>
        <v>0</v>
      </c>
      <c r="F550" s="4" t="str">
        <f>HYPERLINK("http://141.218.60.56/~jnz1568/getInfo.php?workbook=16_15.xlsx&amp;sheet=A0&amp;row=550&amp;col=6&amp;number=20395000&amp;sourceID=54","20395000")</f>
        <v>20395000</v>
      </c>
      <c r="G550" s="4" t="str">
        <f>HYPERLINK("http://141.218.60.56/~jnz1568/getInfo.php?workbook=16_15.xlsx&amp;sheet=A0&amp;row=550&amp;col=7&amp;number=&amp;sourceID=54","")</f>
        <v/>
      </c>
      <c r="H550" s="4" t="str">
        <f>HYPERLINK("http://141.218.60.56/~jnz1568/getInfo.php?workbook=16_15.xlsx&amp;sheet=A0&amp;row=550&amp;col=8&amp;number=&amp;sourceID=54","")</f>
        <v/>
      </c>
      <c r="I550" s="4" t="str">
        <f>HYPERLINK("http://141.218.60.56/~jnz1568/getInfo.php?workbook=16_15.xlsx&amp;sheet=A0&amp;row=550&amp;col=9&amp;number=19302000&amp;sourceID=54","19302000")</f>
        <v>19302000</v>
      </c>
      <c r="J550" s="4" t="str">
        <f>HYPERLINK("http://141.218.60.56/~jnz1568/getInfo.php?workbook=16_15.xlsx&amp;sheet=A0&amp;row=550&amp;col=10&amp;number=&amp;sourceID=54","")</f>
        <v/>
      </c>
      <c r="K550" s="4" t="str">
        <f>HYPERLINK("http://141.218.60.56/~jnz1568/getInfo.php?workbook=16_15.xlsx&amp;sheet=A0&amp;row=550&amp;col=11&amp;number=&amp;sourceID=54","")</f>
        <v/>
      </c>
      <c r="L550" s="4" t="str">
        <f>HYPERLINK("http://141.218.60.56/~jnz1568/getInfo.php?workbook=16_15.xlsx&amp;sheet=A0&amp;row=550&amp;col=12&amp;number=20308367.7864&amp;sourceID=53","20308367.7864")</f>
        <v>20308367.7864</v>
      </c>
      <c r="M550" s="4" t="str">
        <f>HYPERLINK("http://141.218.60.56/~jnz1568/getInfo.php?workbook=16_15.xlsx&amp;sheet=A0&amp;row=550&amp;col=13&amp;number=&amp;sourceID=53","")</f>
        <v/>
      </c>
      <c r="N550" s="4" t="str">
        <f>HYPERLINK("http://141.218.60.56/~jnz1568/getInfo.php?workbook=16_15.xlsx&amp;sheet=A0&amp;row=550&amp;col=14&amp;number=&amp;sourceID=53","")</f>
        <v/>
      </c>
      <c r="O550" s="4" t="str">
        <f>HYPERLINK("http://141.218.60.56/~jnz1568/getInfo.php?workbook=16_15.xlsx&amp;sheet=A0&amp;row=550&amp;col=15&amp;number=&amp;sourceID=55","")</f>
        <v/>
      </c>
      <c r="P550" s="4" t="str">
        <f>HYPERLINK("http://141.218.60.56/~jnz1568/getInfo.php?workbook=16_15.xlsx&amp;sheet=A0&amp;row=550&amp;col=16&amp;number=&amp;sourceID=55","")</f>
        <v/>
      </c>
      <c r="Q550" s="4" t="str">
        <f>HYPERLINK("http://141.218.60.56/~jnz1568/getInfo.php?workbook=16_15.xlsx&amp;sheet=A0&amp;row=550&amp;col=17&amp;number=&amp;sourceID=56","")</f>
        <v/>
      </c>
      <c r="R550" s="4" t="str">
        <f>HYPERLINK("http://141.218.60.56/~jnz1568/getInfo.php?workbook=16_15.xlsx&amp;sheet=A0&amp;row=550&amp;col=18&amp;number=&amp;sourceID=56","")</f>
        <v/>
      </c>
      <c r="S550" s="4" t="str">
        <f>HYPERLINK("http://141.218.60.56/~jnz1568/getInfo.php?workbook=16_15.xlsx&amp;sheet=A0&amp;row=550&amp;col=19&amp;number=&amp;sourceID=57","")</f>
        <v/>
      </c>
      <c r="T550" s="4" t="str">
        <f>HYPERLINK("http://141.218.60.56/~jnz1568/getInfo.php?workbook=16_15.xlsx&amp;sheet=A0&amp;row=550&amp;col=20&amp;number=&amp;sourceID=57","")</f>
        <v/>
      </c>
      <c r="U550" s="4" t="str">
        <f>HYPERLINK("http://141.218.60.56/~jnz1568/getInfo.php?workbook=16_15.xlsx&amp;sheet=A0&amp;row=550&amp;col=21&amp;number=&amp;sourceID=47","")</f>
        <v/>
      </c>
      <c r="V550" s="4" t="str">
        <f>HYPERLINK("http://141.218.60.56/~jnz1568/getInfo.php?workbook=16_15.xlsx&amp;sheet=A0&amp;row=550&amp;col=22&amp;number=&amp;sourceID=47","")</f>
        <v/>
      </c>
    </row>
    <row r="551" spans="1:22">
      <c r="A551" s="3">
        <v>16</v>
      </c>
      <c r="B551" s="3">
        <v>15</v>
      </c>
      <c r="C551" s="3">
        <v>39</v>
      </c>
      <c r="D551" s="3">
        <v>7</v>
      </c>
      <c r="E551" s="3">
        <f>((1/(INDEX(E0!J$4:J$73,C551,1)-INDEX(E0!J$4:J$73,D551,1))))*100000000</f>
        <v>0</v>
      </c>
      <c r="F551" s="4" t="str">
        <f>HYPERLINK("http://141.218.60.56/~jnz1568/getInfo.php?workbook=16_15.xlsx&amp;sheet=A0&amp;row=551&amp;col=6&amp;number=641960&amp;sourceID=54","641960")</f>
        <v>641960</v>
      </c>
      <c r="G551" s="4" t="str">
        <f>HYPERLINK("http://141.218.60.56/~jnz1568/getInfo.php?workbook=16_15.xlsx&amp;sheet=A0&amp;row=551&amp;col=7&amp;number=&amp;sourceID=54","")</f>
        <v/>
      </c>
      <c r="H551" s="4" t="str">
        <f>HYPERLINK("http://141.218.60.56/~jnz1568/getInfo.php?workbook=16_15.xlsx&amp;sheet=A0&amp;row=551&amp;col=8&amp;number=&amp;sourceID=54","")</f>
        <v/>
      </c>
      <c r="I551" s="4" t="str">
        <f>HYPERLINK("http://141.218.60.56/~jnz1568/getInfo.php?workbook=16_15.xlsx&amp;sheet=A0&amp;row=551&amp;col=9&amp;number=708640&amp;sourceID=54","708640")</f>
        <v>708640</v>
      </c>
      <c r="J551" s="4" t="str">
        <f>HYPERLINK("http://141.218.60.56/~jnz1568/getInfo.php?workbook=16_15.xlsx&amp;sheet=A0&amp;row=551&amp;col=10&amp;number=&amp;sourceID=54","")</f>
        <v/>
      </c>
      <c r="K551" s="4" t="str">
        <f>HYPERLINK("http://141.218.60.56/~jnz1568/getInfo.php?workbook=16_15.xlsx&amp;sheet=A0&amp;row=551&amp;col=11&amp;number=&amp;sourceID=54","")</f>
        <v/>
      </c>
      <c r="L551" s="4" t="str">
        <f>HYPERLINK("http://141.218.60.56/~jnz1568/getInfo.php?workbook=16_15.xlsx&amp;sheet=A0&amp;row=551&amp;col=12&amp;number=1490633.21231&amp;sourceID=53","1490633.21231")</f>
        <v>1490633.21231</v>
      </c>
      <c r="M551" s="4" t="str">
        <f>HYPERLINK("http://141.218.60.56/~jnz1568/getInfo.php?workbook=16_15.xlsx&amp;sheet=A0&amp;row=551&amp;col=13&amp;number=&amp;sourceID=53","")</f>
        <v/>
      </c>
      <c r="N551" s="4" t="str">
        <f>HYPERLINK("http://141.218.60.56/~jnz1568/getInfo.php?workbook=16_15.xlsx&amp;sheet=A0&amp;row=551&amp;col=14&amp;number=&amp;sourceID=53","")</f>
        <v/>
      </c>
      <c r="O551" s="4" t="str">
        <f>HYPERLINK("http://141.218.60.56/~jnz1568/getInfo.php?workbook=16_15.xlsx&amp;sheet=A0&amp;row=551&amp;col=15&amp;number=&amp;sourceID=55","")</f>
        <v/>
      </c>
      <c r="P551" s="4" t="str">
        <f>HYPERLINK("http://141.218.60.56/~jnz1568/getInfo.php?workbook=16_15.xlsx&amp;sheet=A0&amp;row=551&amp;col=16&amp;number=&amp;sourceID=55","")</f>
        <v/>
      </c>
      <c r="Q551" s="4" t="str">
        <f>HYPERLINK("http://141.218.60.56/~jnz1568/getInfo.php?workbook=16_15.xlsx&amp;sheet=A0&amp;row=551&amp;col=17&amp;number=&amp;sourceID=56","")</f>
        <v/>
      </c>
      <c r="R551" s="4" t="str">
        <f>HYPERLINK("http://141.218.60.56/~jnz1568/getInfo.php?workbook=16_15.xlsx&amp;sheet=A0&amp;row=551&amp;col=18&amp;number=&amp;sourceID=56","")</f>
        <v/>
      </c>
      <c r="S551" s="4" t="str">
        <f>HYPERLINK("http://141.218.60.56/~jnz1568/getInfo.php?workbook=16_15.xlsx&amp;sheet=A0&amp;row=551&amp;col=19&amp;number=&amp;sourceID=57","")</f>
        <v/>
      </c>
      <c r="T551" s="4" t="str">
        <f>HYPERLINK("http://141.218.60.56/~jnz1568/getInfo.php?workbook=16_15.xlsx&amp;sheet=A0&amp;row=551&amp;col=20&amp;number=&amp;sourceID=57","")</f>
        <v/>
      </c>
      <c r="U551" s="4" t="str">
        <f>HYPERLINK("http://141.218.60.56/~jnz1568/getInfo.php?workbook=16_15.xlsx&amp;sheet=A0&amp;row=551&amp;col=21&amp;number=&amp;sourceID=47","")</f>
        <v/>
      </c>
      <c r="V551" s="4" t="str">
        <f>HYPERLINK("http://141.218.60.56/~jnz1568/getInfo.php?workbook=16_15.xlsx&amp;sheet=A0&amp;row=551&amp;col=22&amp;number=&amp;sourceID=47","")</f>
        <v/>
      </c>
    </row>
    <row r="552" spans="1:22">
      <c r="A552" s="3">
        <v>16</v>
      </c>
      <c r="B552" s="3">
        <v>15</v>
      </c>
      <c r="C552" s="3">
        <v>39</v>
      </c>
      <c r="D552" s="3">
        <v>8</v>
      </c>
      <c r="E552" s="3">
        <f>((1/(INDEX(E0!J$4:J$73,C552,1)-INDEX(E0!J$4:J$73,D552,1))))*100000000</f>
        <v>0</v>
      </c>
      <c r="F552" s="4" t="str">
        <f>HYPERLINK("http://141.218.60.56/~jnz1568/getInfo.php?workbook=16_15.xlsx&amp;sheet=A0&amp;row=552&amp;col=6&amp;number=6152900&amp;sourceID=54","6152900")</f>
        <v>6152900</v>
      </c>
      <c r="G552" s="4" t="str">
        <f>HYPERLINK("http://141.218.60.56/~jnz1568/getInfo.php?workbook=16_15.xlsx&amp;sheet=A0&amp;row=552&amp;col=7&amp;number=&amp;sourceID=54","")</f>
        <v/>
      </c>
      <c r="H552" s="4" t="str">
        <f>HYPERLINK("http://141.218.60.56/~jnz1568/getInfo.php?workbook=16_15.xlsx&amp;sheet=A0&amp;row=552&amp;col=8&amp;number=&amp;sourceID=54","")</f>
        <v/>
      </c>
      <c r="I552" s="4" t="str">
        <f>HYPERLINK("http://141.218.60.56/~jnz1568/getInfo.php?workbook=16_15.xlsx&amp;sheet=A0&amp;row=552&amp;col=9&amp;number=6165700&amp;sourceID=54","6165700")</f>
        <v>6165700</v>
      </c>
      <c r="J552" s="4" t="str">
        <f>HYPERLINK("http://141.218.60.56/~jnz1568/getInfo.php?workbook=16_15.xlsx&amp;sheet=A0&amp;row=552&amp;col=10&amp;number=&amp;sourceID=54","")</f>
        <v/>
      </c>
      <c r="K552" s="4" t="str">
        <f>HYPERLINK("http://141.218.60.56/~jnz1568/getInfo.php?workbook=16_15.xlsx&amp;sheet=A0&amp;row=552&amp;col=11&amp;number=&amp;sourceID=54","")</f>
        <v/>
      </c>
      <c r="L552" s="4" t="str">
        <f>HYPERLINK("http://141.218.60.56/~jnz1568/getInfo.php?workbook=16_15.xlsx&amp;sheet=A0&amp;row=552&amp;col=12&amp;number=8745958.58289&amp;sourceID=53","8745958.58289")</f>
        <v>8745958.58289</v>
      </c>
      <c r="M552" s="4" t="str">
        <f>HYPERLINK("http://141.218.60.56/~jnz1568/getInfo.php?workbook=16_15.xlsx&amp;sheet=A0&amp;row=552&amp;col=13&amp;number=&amp;sourceID=53","")</f>
        <v/>
      </c>
      <c r="N552" s="4" t="str">
        <f>HYPERLINK("http://141.218.60.56/~jnz1568/getInfo.php?workbook=16_15.xlsx&amp;sheet=A0&amp;row=552&amp;col=14&amp;number=&amp;sourceID=53","")</f>
        <v/>
      </c>
      <c r="O552" s="4" t="str">
        <f>HYPERLINK("http://141.218.60.56/~jnz1568/getInfo.php?workbook=16_15.xlsx&amp;sheet=A0&amp;row=552&amp;col=15&amp;number=&amp;sourceID=55","")</f>
        <v/>
      </c>
      <c r="P552" s="4" t="str">
        <f>HYPERLINK("http://141.218.60.56/~jnz1568/getInfo.php?workbook=16_15.xlsx&amp;sheet=A0&amp;row=552&amp;col=16&amp;number=&amp;sourceID=55","")</f>
        <v/>
      </c>
      <c r="Q552" s="4" t="str">
        <f>HYPERLINK("http://141.218.60.56/~jnz1568/getInfo.php?workbook=16_15.xlsx&amp;sheet=A0&amp;row=552&amp;col=17&amp;number=&amp;sourceID=56","")</f>
        <v/>
      </c>
      <c r="R552" s="4" t="str">
        <f>HYPERLINK("http://141.218.60.56/~jnz1568/getInfo.php?workbook=16_15.xlsx&amp;sheet=A0&amp;row=552&amp;col=18&amp;number=&amp;sourceID=56","")</f>
        <v/>
      </c>
      <c r="S552" s="4" t="str">
        <f>HYPERLINK("http://141.218.60.56/~jnz1568/getInfo.php?workbook=16_15.xlsx&amp;sheet=A0&amp;row=552&amp;col=19&amp;number=&amp;sourceID=57","")</f>
        <v/>
      </c>
      <c r="T552" s="4" t="str">
        <f>HYPERLINK("http://141.218.60.56/~jnz1568/getInfo.php?workbook=16_15.xlsx&amp;sheet=A0&amp;row=552&amp;col=20&amp;number=&amp;sourceID=57","")</f>
        <v/>
      </c>
      <c r="U552" s="4" t="str">
        <f>HYPERLINK("http://141.218.60.56/~jnz1568/getInfo.php?workbook=16_15.xlsx&amp;sheet=A0&amp;row=552&amp;col=21&amp;number=&amp;sourceID=47","")</f>
        <v/>
      </c>
      <c r="V552" s="4" t="str">
        <f>HYPERLINK("http://141.218.60.56/~jnz1568/getInfo.php?workbook=16_15.xlsx&amp;sheet=A0&amp;row=552&amp;col=22&amp;number=&amp;sourceID=47","")</f>
        <v/>
      </c>
    </row>
    <row r="553" spans="1:22">
      <c r="A553" s="3">
        <v>16</v>
      </c>
      <c r="B553" s="3">
        <v>15</v>
      </c>
      <c r="C553" s="3">
        <v>39</v>
      </c>
      <c r="D553" s="3">
        <v>9</v>
      </c>
      <c r="E553" s="3">
        <f>((1/(INDEX(E0!J$4:J$73,C553,1)-INDEX(E0!J$4:J$73,D553,1))))*100000000</f>
        <v>0</v>
      </c>
      <c r="F553" s="4" t="str">
        <f>HYPERLINK("http://141.218.60.56/~jnz1568/getInfo.php?workbook=16_15.xlsx&amp;sheet=A0&amp;row=553&amp;col=6&amp;number=8067.6&amp;sourceID=54","8067.6")</f>
        <v>8067.6</v>
      </c>
      <c r="G553" s="4" t="str">
        <f>HYPERLINK("http://141.218.60.56/~jnz1568/getInfo.php?workbook=16_15.xlsx&amp;sheet=A0&amp;row=553&amp;col=7&amp;number=&amp;sourceID=54","")</f>
        <v/>
      </c>
      <c r="H553" s="4" t="str">
        <f>HYPERLINK("http://141.218.60.56/~jnz1568/getInfo.php?workbook=16_15.xlsx&amp;sheet=A0&amp;row=553&amp;col=8&amp;number=&amp;sourceID=54","")</f>
        <v/>
      </c>
      <c r="I553" s="4" t="str">
        <f>HYPERLINK("http://141.218.60.56/~jnz1568/getInfo.php?workbook=16_15.xlsx&amp;sheet=A0&amp;row=553&amp;col=9&amp;number=9218.5&amp;sourceID=54","9218.5")</f>
        <v>9218.5</v>
      </c>
      <c r="J553" s="4" t="str">
        <f>HYPERLINK("http://141.218.60.56/~jnz1568/getInfo.php?workbook=16_15.xlsx&amp;sheet=A0&amp;row=553&amp;col=10&amp;number=&amp;sourceID=54","")</f>
        <v/>
      </c>
      <c r="K553" s="4" t="str">
        <f>HYPERLINK("http://141.218.60.56/~jnz1568/getInfo.php?workbook=16_15.xlsx&amp;sheet=A0&amp;row=553&amp;col=11&amp;number=&amp;sourceID=54","")</f>
        <v/>
      </c>
      <c r="L553" s="4" t="str">
        <f>HYPERLINK("http://141.218.60.56/~jnz1568/getInfo.php?workbook=16_15.xlsx&amp;sheet=A0&amp;row=553&amp;col=12&amp;number=20518.797834&amp;sourceID=53","20518.797834")</f>
        <v>20518.797834</v>
      </c>
      <c r="M553" s="4" t="str">
        <f>HYPERLINK("http://141.218.60.56/~jnz1568/getInfo.php?workbook=16_15.xlsx&amp;sheet=A0&amp;row=553&amp;col=13&amp;number=&amp;sourceID=53","")</f>
        <v/>
      </c>
      <c r="N553" s="4" t="str">
        <f>HYPERLINK("http://141.218.60.56/~jnz1568/getInfo.php?workbook=16_15.xlsx&amp;sheet=A0&amp;row=553&amp;col=14&amp;number=&amp;sourceID=53","")</f>
        <v/>
      </c>
      <c r="O553" s="4" t="str">
        <f>HYPERLINK("http://141.218.60.56/~jnz1568/getInfo.php?workbook=16_15.xlsx&amp;sheet=A0&amp;row=553&amp;col=15&amp;number=&amp;sourceID=55","")</f>
        <v/>
      </c>
      <c r="P553" s="4" t="str">
        <f>HYPERLINK("http://141.218.60.56/~jnz1568/getInfo.php?workbook=16_15.xlsx&amp;sheet=A0&amp;row=553&amp;col=16&amp;number=&amp;sourceID=55","")</f>
        <v/>
      </c>
      <c r="Q553" s="4" t="str">
        <f>HYPERLINK("http://141.218.60.56/~jnz1568/getInfo.php?workbook=16_15.xlsx&amp;sheet=A0&amp;row=553&amp;col=17&amp;number=&amp;sourceID=56","")</f>
        <v/>
      </c>
      <c r="R553" s="4" t="str">
        <f>HYPERLINK("http://141.218.60.56/~jnz1568/getInfo.php?workbook=16_15.xlsx&amp;sheet=A0&amp;row=553&amp;col=18&amp;number=&amp;sourceID=56","")</f>
        <v/>
      </c>
      <c r="S553" s="4" t="str">
        <f>HYPERLINK("http://141.218.60.56/~jnz1568/getInfo.php?workbook=16_15.xlsx&amp;sheet=A0&amp;row=553&amp;col=19&amp;number=&amp;sourceID=57","")</f>
        <v/>
      </c>
      <c r="T553" s="4" t="str">
        <f>HYPERLINK("http://141.218.60.56/~jnz1568/getInfo.php?workbook=16_15.xlsx&amp;sheet=A0&amp;row=553&amp;col=20&amp;number=&amp;sourceID=57","")</f>
        <v/>
      </c>
      <c r="U553" s="4" t="str">
        <f>HYPERLINK("http://141.218.60.56/~jnz1568/getInfo.php?workbook=16_15.xlsx&amp;sheet=A0&amp;row=553&amp;col=21&amp;number=&amp;sourceID=47","")</f>
        <v/>
      </c>
      <c r="V553" s="4" t="str">
        <f>HYPERLINK("http://141.218.60.56/~jnz1568/getInfo.php?workbook=16_15.xlsx&amp;sheet=A0&amp;row=553&amp;col=22&amp;number=&amp;sourceID=47","")</f>
        <v/>
      </c>
    </row>
    <row r="554" spans="1:22">
      <c r="A554" s="3">
        <v>16</v>
      </c>
      <c r="B554" s="3">
        <v>15</v>
      </c>
      <c r="C554" s="3">
        <v>39</v>
      </c>
      <c r="D554" s="3">
        <v>10</v>
      </c>
      <c r="E554" s="3">
        <f>((1/(INDEX(E0!J$4:J$73,C554,1)-INDEX(E0!J$4:J$73,D554,1))))*100000000</f>
        <v>0</v>
      </c>
      <c r="F554" s="4" t="str">
        <f>HYPERLINK("http://141.218.60.56/~jnz1568/getInfo.php?workbook=16_15.xlsx&amp;sheet=A0&amp;row=554&amp;col=6&amp;number=4047&amp;sourceID=54","4047")</f>
        <v>4047</v>
      </c>
      <c r="G554" s="4" t="str">
        <f>HYPERLINK("http://141.218.60.56/~jnz1568/getInfo.php?workbook=16_15.xlsx&amp;sheet=A0&amp;row=554&amp;col=7&amp;number=&amp;sourceID=54","")</f>
        <v/>
      </c>
      <c r="H554" s="4" t="str">
        <f>HYPERLINK("http://141.218.60.56/~jnz1568/getInfo.php?workbook=16_15.xlsx&amp;sheet=A0&amp;row=554&amp;col=8&amp;number=&amp;sourceID=54","")</f>
        <v/>
      </c>
      <c r="I554" s="4" t="str">
        <f>HYPERLINK("http://141.218.60.56/~jnz1568/getInfo.php?workbook=16_15.xlsx&amp;sheet=A0&amp;row=554&amp;col=9&amp;number=4302.9&amp;sourceID=54","4302.9")</f>
        <v>4302.9</v>
      </c>
      <c r="J554" s="4" t="str">
        <f>HYPERLINK("http://141.218.60.56/~jnz1568/getInfo.php?workbook=16_15.xlsx&amp;sheet=A0&amp;row=554&amp;col=10&amp;number=&amp;sourceID=54","")</f>
        <v/>
      </c>
      <c r="K554" s="4" t="str">
        <f>HYPERLINK("http://141.218.60.56/~jnz1568/getInfo.php?workbook=16_15.xlsx&amp;sheet=A0&amp;row=554&amp;col=11&amp;number=&amp;sourceID=54","")</f>
        <v/>
      </c>
      <c r="L554" s="4" t="str">
        <f>HYPERLINK("http://141.218.60.56/~jnz1568/getInfo.php?workbook=16_15.xlsx&amp;sheet=A0&amp;row=554&amp;col=12&amp;number=10975.0193175&amp;sourceID=53","10975.0193175")</f>
        <v>10975.0193175</v>
      </c>
      <c r="M554" s="4" t="str">
        <f>HYPERLINK("http://141.218.60.56/~jnz1568/getInfo.php?workbook=16_15.xlsx&amp;sheet=A0&amp;row=554&amp;col=13&amp;number=&amp;sourceID=53","")</f>
        <v/>
      </c>
      <c r="N554" s="4" t="str">
        <f>HYPERLINK("http://141.218.60.56/~jnz1568/getInfo.php?workbook=16_15.xlsx&amp;sheet=A0&amp;row=554&amp;col=14&amp;number=&amp;sourceID=53","")</f>
        <v/>
      </c>
      <c r="O554" s="4" t="str">
        <f>HYPERLINK("http://141.218.60.56/~jnz1568/getInfo.php?workbook=16_15.xlsx&amp;sheet=A0&amp;row=554&amp;col=15&amp;number=&amp;sourceID=55","")</f>
        <v/>
      </c>
      <c r="P554" s="4" t="str">
        <f>HYPERLINK("http://141.218.60.56/~jnz1568/getInfo.php?workbook=16_15.xlsx&amp;sheet=A0&amp;row=554&amp;col=16&amp;number=&amp;sourceID=55","")</f>
        <v/>
      </c>
      <c r="Q554" s="4" t="str">
        <f>HYPERLINK("http://141.218.60.56/~jnz1568/getInfo.php?workbook=16_15.xlsx&amp;sheet=A0&amp;row=554&amp;col=17&amp;number=&amp;sourceID=56","")</f>
        <v/>
      </c>
      <c r="R554" s="4" t="str">
        <f>HYPERLINK("http://141.218.60.56/~jnz1568/getInfo.php?workbook=16_15.xlsx&amp;sheet=A0&amp;row=554&amp;col=18&amp;number=&amp;sourceID=56","")</f>
        <v/>
      </c>
      <c r="S554" s="4" t="str">
        <f>HYPERLINK("http://141.218.60.56/~jnz1568/getInfo.php?workbook=16_15.xlsx&amp;sheet=A0&amp;row=554&amp;col=19&amp;number=&amp;sourceID=57","")</f>
        <v/>
      </c>
      <c r="T554" s="4" t="str">
        <f>HYPERLINK("http://141.218.60.56/~jnz1568/getInfo.php?workbook=16_15.xlsx&amp;sheet=A0&amp;row=554&amp;col=20&amp;number=&amp;sourceID=57","")</f>
        <v/>
      </c>
      <c r="U554" s="4" t="str">
        <f>HYPERLINK("http://141.218.60.56/~jnz1568/getInfo.php?workbook=16_15.xlsx&amp;sheet=A0&amp;row=554&amp;col=21&amp;number=&amp;sourceID=47","")</f>
        <v/>
      </c>
      <c r="V554" s="4" t="str">
        <f>HYPERLINK("http://141.218.60.56/~jnz1568/getInfo.php?workbook=16_15.xlsx&amp;sheet=A0&amp;row=554&amp;col=22&amp;number=&amp;sourceID=47","")</f>
        <v/>
      </c>
    </row>
    <row r="555" spans="1:22">
      <c r="A555" s="3">
        <v>16</v>
      </c>
      <c r="B555" s="3">
        <v>15</v>
      </c>
      <c r="C555" s="3">
        <v>39</v>
      </c>
      <c r="D555" s="3">
        <v>11</v>
      </c>
      <c r="E555" s="3">
        <f>((1/(INDEX(E0!J$4:J$73,C555,1)-INDEX(E0!J$4:J$73,D555,1))))*100000000</f>
        <v>0</v>
      </c>
      <c r="F555" s="4" t="str">
        <f>HYPERLINK("http://141.218.60.56/~jnz1568/getInfo.php?workbook=16_15.xlsx&amp;sheet=A0&amp;row=555&amp;col=6&amp;number=56894&amp;sourceID=54","56894")</f>
        <v>56894</v>
      </c>
      <c r="G555" s="4" t="str">
        <f>HYPERLINK("http://141.218.60.56/~jnz1568/getInfo.php?workbook=16_15.xlsx&amp;sheet=A0&amp;row=555&amp;col=7&amp;number=&amp;sourceID=54","")</f>
        <v/>
      </c>
      <c r="H555" s="4" t="str">
        <f>HYPERLINK("http://141.218.60.56/~jnz1568/getInfo.php?workbook=16_15.xlsx&amp;sheet=A0&amp;row=555&amp;col=8&amp;number=&amp;sourceID=54","")</f>
        <v/>
      </c>
      <c r="I555" s="4" t="str">
        <f>HYPERLINK("http://141.218.60.56/~jnz1568/getInfo.php?workbook=16_15.xlsx&amp;sheet=A0&amp;row=555&amp;col=9&amp;number=64428&amp;sourceID=54","64428")</f>
        <v>64428</v>
      </c>
      <c r="J555" s="4" t="str">
        <f>HYPERLINK("http://141.218.60.56/~jnz1568/getInfo.php?workbook=16_15.xlsx&amp;sheet=A0&amp;row=555&amp;col=10&amp;number=&amp;sourceID=54","")</f>
        <v/>
      </c>
      <c r="K555" s="4" t="str">
        <f>HYPERLINK("http://141.218.60.56/~jnz1568/getInfo.php?workbook=16_15.xlsx&amp;sheet=A0&amp;row=555&amp;col=11&amp;number=&amp;sourceID=54","")</f>
        <v/>
      </c>
      <c r="L555" s="4" t="str">
        <f>HYPERLINK("http://141.218.60.56/~jnz1568/getInfo.php?workbook=16_15.xlsx&amp;sheet=A0&amp;row=555&amp;col=12&amp;number=50620.8950154&amp;sourceID=53","50620.8950154")</f>
        <v>50620.8950154</v>
      </c>
      <c r="M555" s="4" t="str">
        <f>HYPERLINK("http://141.218.60.56/~jnz1568/getInfo.php?workbook=16_15.xlsx&amp;sheet=A0&amp;row=555&amp;col=13&amp;number=&amp;sourceID=53","")</f>
        <v/>
      </c>
      <c r="N555" s="4" t="str">
        <f>HYPERLINK("http://141.218.60.56/~jnz1568/getInfo.php?workbook=16_15.xlsx&amp;sheet=A0&amp;row=555&amp;col=14&amp;number=&amp;sourceID=53","")</f>
        <v/>
      </c>
      <c r="O555" s="4" t="str">
        <f>HYPERLINK("http://141.218.60.56/~jnz1568/getInfo.php?workbook=16_15.xlsx&amp;sheet=A0&amp;row=555&amp;col=15&amp;number=&amp;sourceID=55","")</f>
        <v/>
      </c>
      <c r="P555" s="4" t="str">
        <f>HYPERLINK("http://141.218.60.56/~jnz1568/getInfo.php?workbook=16_15.xlsx&amp;sheet=A0&amp;row=555&amp;col=16&amp;number=&amp;sourceID=55","")</f>
        <v/>
      </c>
      <c r="Q555" s="4" t="str">
        <f>HYPERLINK("http://141.218.60.56/~jnz1568/getInfo.php?workbook=16_15.xlsx&amp;sheet=A0&amp;row=555&amp;col=17&amp;number=&amp;sourceID=56","")</f>
        <v/>
      </c>
      <c r="R555" s="4" t="str">
        <f>HYPERLINK("http://141.218.60.56/~jnz1568/getInfo.php?workbook=16_15.xlsx&amp;sheet=A0&amp;row=555&amp;col=18&amp;number=&amp;sourceID=56","")</f>
        <v/>
      </c>
      <c r="S555" s="4" t="str">
        <f>HYPERLINK("http://141.218.60.56/~jnz1568/getInfo.php?workbook=16_15.xlsx&amp;sheet=A0&amp;row=555&amp;col=19&amp;number=&amp;sourceID=57","")</f>
        <v/>
      </c>
      <c r="T555" s="4" t="str">
        <f>HYPERLINK("http://141.218.60.56/~jnz1568/getInfo.php?workbook=16_15.xlsx&amp;sheet=A0&amp;row=555&amp;col=20&amp;number=&amp;sourceID=57","")</f>
        <v/>
      </c>
      <c r="U555" s="4" t="str">
        <f>HYPERLINK("http://141.218.60.56/~jnz1568/getInfo.php?workbook=16_15.xlsx&amp;sheet=A0&amp;row=555&amp;col=21&amp;number=&amp;sourceID=47","")</f>
        <v/>
      </c>
      <c r="V555" s="4" t="str">
        <f>HYPERLINK("http://141.218.60.56/~jnz1568/getInfo.php?workbook=16_15.xlsx&amp;sheet=A0&amp;row=555&amp;col=22&amp;number=&amp;sourceID=47","")</f>
        <v/>
      </c>
    </row>
    <row r="556" spans="1:22">
      <c r="A556" s="3">
        <v>16</v>
      </c>
      <c r="B556" s="3">
        <v>15</v>
      </c>
      <c r="C556" s="3">
        <v>39</v>
      </c>
      <c r="D556" s="3">
        <v>12</v>
      </c>
      <c r="E556" s="3">
        <f>((1/(INDEX(E0!J$4:J$73,C556,1)-INDEX(E0!J$4:J$73,D556,1))))*100000000</f>
        <v>0</v>
      </c>
      <c r="F556" s="4" t="str">
        <f>HYPERLINK("http://141.218.60.56/~jnz1568/getInfo.php?workbook=16_15.xlsx&amp;sheet=A0&amp;row=556&amp;col=6&amp;number=392.31&amp;sourceID=54","392.31")</f>
        <v>392.31</v>
      </c>
      <c r="G556" s="4" t="str">
        <f>HYPERLINK("http://141.218.60.56/~jnz1568/getInfo.php?workbook=16_15.xlsx&amp;sheet=A0&amp;row=556&amp;col=7&amp;number=&amp;sourceID=54","")</f>
        <v/>
      </c>
      <c r="H556" s="4" t="str">
        <f>HYPERLINK("http://141.218.60.56/~jnz1568/getInfo.php?workbook=16_15.xlsx&amp;sheet=A0&amp;row=556&amp;col=8&amp;number=&amp;sourceID=54","")</f>
        <v/>
      </c>
      <c r="I556" s="4" t="str">
        <f>HYPERLINK("http://141.218.60.56/~jnz1568/getInfo.php?workbook=16_15.xlsx&amp;sheet=A0&amp;row=556&amp;col=9&amp;number=178.44&amp;sourceID=54","178.44")</f>
        <v>178.44</v>
      </c>
      <c r="J556" s="4" t="str">
        <f>HYPERLINK("http://141.218.60.56/~jnz1568/getInfo.php?workbook=16_15.xlsx&amp;sheet=A0&amp;row=556&amp;col=10&amp;number=&amp;sourceID=54","")</f>
        <v/>
      </c>
      <c r="K556" s="4" t="str">
        <f>HYPERLINK("http://141.218.60.56/~jnz1568/getInfo.php?workbook=16_15.xlsx&amp;sheet=A0&amp;row=556&amp;col=11&amp;number=&amp;sourceID=54","")</f>
        <v/>
      </c>
      <c r="L556" s="4" t="str">
        <f>HYPERLINK("http://141.218.60.56/~jnz1568/getInfo.php?workbook=16_15.xlsx&amp;sheet=A0&amp;row=556&amp;col=12&amp;number=6909.10495779&amp;sourceID=53","6909.10495779")</f>
        <v>6909.10495779</v>
      </c>
      <c r="M556" s="4" t="str">
        <f>HYPERLINK("http://141.218.60.56/~jnz1568/getInfo.php?workbook=16_15.xlsx&amp;sheet=A0&amp;row=556&amp;col=13&amp;number=&amp;sourceID=53","")</f>
        <v/>
      </c>
      <c r="N556" s="4" t="str">
        <f>HYPERLINK("http://141.218.60.56/~jnz1568/getInfo.php?workbook=16_15.xlsx&amp;sheet=A0&amp;row=556&amp;col=14&amp;number=&amp;sourceID=53","")</f>
        <v/>
      </c>
      <c r="O556" s="4" t="str">
        <f>HYPERLINK("http://141.218.60.56/~jnz1568/getInfo.php?workbook=16_15.xlsx&amp;sheet=A0&amp;row=556&amp;col=15&amp;number=&amp;sourceID=55","")</f>
        <v/>
      </c>
      <c r="P556" s="4" t="str">
        <f>HYPERLINK("http://141.218.60.56/~jnz1568/getInfo.php?workbook=16_15.xlsx&amp;sheet=A0&amp;row=556&amp;col=16&amp;number=&amp;sourceID=55","")</f>
        <v/>
      </c>
      <c r="Q556" s="4" t="str">
        <f>HYPERLINK("http://141.218.60.56/~jnz1568/getInfo.php?workbook=16_15.xlsx&amp;sheet=A0&amp;row=556&amp;col=17&amp;number=&amp;sourceID=56","")</f>
        <v/>
      </c>
      <c r="R556" s="4" t="str">
        <f>HYPERLINK("http://141.218.60.56/~jnz1568/getInfo.php?workbook=16_15.xlsx&amp;sheet=A0&amp;row=556&amp;col=18&amp;number=&amp;sourceID=56","")</f>
        <v/>
      </c>
      <c r="S556" s="4" t="str">
        <f>HYPERLINK("http://141.218.60.56/~jnz1568/getInfo.php?workbook=16_15.xlsx&amp;sheet=A0&amp;row=556&amp;col=19&amp;number=&amp;sourceID=57","")</f>
        <v/>
      </c>
      <c r="T556" s="4" t="str">
        <f>HYPERLINK("http://141.218.60.56/~jnz1568/getInfo.php?workbook=16_15.xlsx&amp;sheet=A0&amp;row=556&amp;col=20&amp;number=&amp;sourceID=57","")</f>
        <v/>
      </c>
      <c r="U556" s="4" t="str">
        <f>HYPERLINK("http://141.218.60.56/~jnz1568/getInfo.php?workbook=16_15.xlsx&amp;sheet=A0&amp;row=556&amp;col=21&amp;number=&amp;sourceID=47","")</f>
        <v/>
      </c>
      <c r="V556" s="4" t="str">
        <f>HYPERLINK("http://141.218.60.56/~jnz1568/getInfo.php?workbook=16_15.xlsx&amp;sheet=A0&amp;row=556&amp;col=22&amp;number=&amp;sourceID=47","")</f>
        <v/>
      </c>
    </row>
    <row r="557" spans="1:22">
      <c r="A557" s="3">
        <v>16</v>
      </c>
      <c r="B557" s="3">
        <v>15</v>
      </c>
      <c r="C557" s="3">
        <v>39</v>
      </c>
      <c r="D557" s="3">
        <v>13</v>
      </c>
      <c r="E557" s="3">
        <f>((1/(INDEX(E0!J$4:J$73,C557,1)-INDEX(E0!J$4:J$73,D557,1))))*100000000</f>
        <v>0</v>
      </c>
      <c r="F557" s="4" t="str">
        <f>HYPERLINK("http://141.218.60.56/~jnz1568/getInfo.php?workbook=16_15.xlsx&amp;sheet=A0&amp;row=557&amp;col=6&amp;number=44348000&amp;sourceID=54","44348000")</f>
        <v>44348000</v>
      </c>
      <c r="G557" s="4" t="str">
        <f>HYPERLINK("http://141.218.60.56/~jnz1568/getInfo.php?workbook=16_15.xlsx&amp;sheet=A0&amp;row=557&amp;col=7&amp;number=&amp;sourceID=54","")</f>
        <v/>
      </c>
      <c r="H557" s="4" t="str">
        <f>HYPERLINK("http://141.218.60.56/~jnz1568/getInfo.php?workbook=16_15.xlsx&amp;sheet=A0&amp;row=557&amp;col=8&amp;number=&amp;sourceID=54","")</f>
        <v/>
      </c>
      <c r="I557" s="4" t="str">
        <f>HYPERLINK("http://141.218.60.56/~jnz1568/getInfo.php?workbook=16_15.xlsx&amp;sheet=A0&amp;row=557&amp;col=9&amp;number=42390000&amp;sourceID=54","42390000")</f>
        <v>42390000</v>
      </c>
      <c r="J557" s="4" t="str">
        <f>HYPERLINK("http://141.218.60.56/~jnz1568/getInfo.php?workbook=16_15.xlsx&amp;sheet=A0&amp;row=557&amp;col=10&amp;number=&amp;sourceID=54","")</f>
        <v/>
      </c>
      <c r="K557" s="4" t="str">
        <f>HYPERLINK("http://141.218.60.56/~jnz1568/getInfo.php?workbook=16_15.xlsx&amp;sheet=A0&amp;row=557&amp;col=11&amp;number=&amp;sourceID=54","")</f>
        <v/>
      </c>
      <c r="L557" s="4" t="str">
        <f>HYPERLINK("http://141.218.60.56/~jnz1568/getInfo.php?workbook=16_15.xlsx&amp;sheet=A0&amp;row=557&amp;col=12&amp;number=45322873.5629&amp;sourceID=53","45322873.5629")</f>
        <v>45322873.5629</v>
      </c>
      <c r="M557" s="4" t="str">
        <f>HYPERLINK("http://141.218.60.56/~jnz1568/getInfo.php?workbook=16_15.xlsx&amp;sheet=A0&amp;row=557&amp;col=13&amp;number=&amp;sourceID=53","")</f>
        <v/>
      </c>
      <c r="N557" s="4" t="str">
        <f>HYPERLINK("http://141.218.60.56/~jnz1568/getInfo.php?workbook=16_15.xlsx&amp;sheet=A0&amp;row=557&amp;col=14&amp;number=&amp;sourceID=53","")</f>
        <v/>
      </c>
      <c r="O557" s="4" t="str">
        <f>HYPERLINK("http://141.218.60.56/~jnz1568/getInfo.php?workbook=16_15.xlsx&amp;sheet=A0&amp;row=557&amp;col=15&amp;number=&amp;sourceID=55","")</f>
        <v/>
      </c>
      <c r="P557" s="4" t="str">
        <f>HYPERLINK("http://141.218.60.56/~jnz1568/getInfo.php?workbook=16_15.xlsx&amp;sheet=A0&amp;row=557&amp;col=16&amp;number=&amp;sourceID=55","")</f>
        <v/>
      </c>
      <c r="Q557" s="4" t="str">
        <f>HYPERLINK("http://141.218.60.56/~jnz1568/getInfo.php?workbook=16_15.xlsx&amp;sheet=A0&amp;row=557&amp;col=17&amp;number=&amp;sourceID=56","")</f>
        <v/>
      </c>
      <c r="R557" s="4" t="str">
        <f>HYPERLINK("http://141.218.60.56/~jnz1568/getInfo.php?workbook=16_15.xlsx&amp;sheet=A0&amp;row=557&amp;col=18&amp;number=&amp;sourceID=56","")</f>
        <v/>
      </c>
      <c r="S557" s="4" t="str">
        <f>HYPERLINK("http://141.218.60.56/~jnz1568/getInfo.php?workbook=16_15.xlsx&amp;sheet=A0&amp;row=557&amp;col=19&amp;number=&amp;sourceID=57","")</f>
        <v/>
      </c>
      <c r="T557" s="4" t="str">
        <f>HYPERLINK("http://141.218.60.56/~jnz1568/getInfo.php?workbook=16_15.xlsx&amp;sheet=A0&amp;row=557&amp;col=20&amp;number=&amp;sourceID=57","")</f>
        <v/>
      </c>
      <c r="U557" s="4" t="str">
        <f>HYPERLINK("http://141.218.60.56/~jnz1568/getInfo.php?workbook=16_15.xlsx&amp;sheet=A0&amp;row=557&amp;col=21&amp;number=&amp;sourceID=47","")</f>
        <v/>
      </c>
      <c r="V557" s="4" t="str">
        <f>HYPERLINK("http://141.218.60.56/~jnz1568/getInfo.php?workbook=16_15.xlsx&amp;sheet=A0&amp;row=557&amp;col=22&amp;number=&amp;sourceID=47","")</f>
        <v/>
      </c>
    </row>
    <row r="558" spans="1:22">
      <c r="A558" s="3">
        <v>16</v>
      </c>
      <c r="B558" s="3">
        <v>15</v>
      </c>
      <c r="C558" s="3">
        <v>39</v>
      </c>
      <c r="D558" s="3">
        <v>14</v>
      </c>
      <c r="E558" s="3">
        <f>((1/(INDEX(E0!J$4:J$73,C558,1)-INDEX(E0!J$4:J$73,D558,1))))*100000000</f>
        <v>0</v>
      </c>
      <c r="F558" s="4" t="str">
        <f>HYPERLINK("http://141.218.60.56/~jnz1568/getInfo.php?workbook=16_15.xlsx&amp;sheet=A0&amp;row=558&amp;col=6&amp;number=28557000&amp;sourceID=54","28557000")</f>
        <v>28557000</v>
      </c>
      <c r="G558" s="4" t="str">
        <f>HYPERLINK("http://141.218.60.56/~jnz1568/getInfo.php?workbook=16_15.xlsx&amp;sheet=A0&amp;row=558&amp;col=7&amp;number=&amp;sourceID=54","")</f>
        <v/>
      </c>
      <c r="H558" s="4" t="str">
        <f>HYPERLINK("http://141.218.60.56/~jnz1568/getInfo.php?workbook=16_15.xlsx&amp;sheet=A0&amp;row=558&amp;col=8&amp;number=&amp;sourceID=54","")</f>
        <v/>
      </c>
      <c r="I558" s="4" t="str">
        <f>HYPERLINK("http://141.218.60.56/~jnz1568/getInfo.php?workbook=16_15.xlsx&amp;sheet=A0&amp;row=558&amp;col=9&amp;number=26678000&amp;sourceID=54","26678000")</f>
        <v>26678000</v>
      </c>
      <c r="J558" s="4" t="str">
        <f>HYPERLINK("http://141.218.60.56/~jnz1568/getInfo.php?workbook=16_15.xlsx&amp;sheet=A0&amp;row=558&amp;col=10&amp;number=&amp;sourceID=54","")</f>
        <v/>
      </c>
      <c r="K558" s="4" t="str">
        <f>HYPERLINK("http://141.218.60.56/~jnz1568/getInfo.php?workbook=16_15.xlsx&amp;sheet=A0&amp;row=558&amp;col=11&amp;number=&amp;sourceID=54","")</f>
        <v/>
      </c>
      <c r="L558" s="4" t="str">
        <f>HYPERLINK("http://141.218.60.56/~jnz1568/getInfo.php?workbook=16_15.xlsx&amp;sheet=A0&amp;row=558&amp;col=12&amp;number=28194273.3423&amp;sourceID=53","28194273.3423")</f>
        <v>28194273.3423</v>
      </c>
      <c r="M558" s="4" t="str">
        <f>HYPERLINK("http://141.218.60.56/~jnz1568/getInfo.php?workbook=16_15.xlsx&amp;sheet=A0&amp;row=558&amp;col=13&amp;number=&amp;sourceID=53","")</f>
        <v/>
      </c>
      <c r="N558" s="4" t="str">
        <f>HYPERLINK("http://141.218.60.56/~jnz1568/getInfo.php?workbook=16_15.xlsx&amp;sheet=A0&amp;row=558&amp;col=14&amp;number=&amp;sourceID=53","")</f>
        <v/>
      </c>
      <c r="O558" s="4" t="str">
        <f>HYPERLINK("http://141.218.60.56/~jnz1568/getInfo.php?workbook=16_15.xlsx&amp;sheet=A0&amp;row=558&amp;col=15&amp;number=&amp;sourceID=55","")</f>
        <v/>
      </c>
      <c r="P558" s="4" t="str">
        <f>HYPERLINK("http://141.218.60.56/~jnz1568/getInfo.php?workbook=16_15.xlsx&amp;sheet=A0&amp;row=558&amp;col=16&amp;number=&amp;sourceID=55","")</f>
        <v/>
      </c>
      <c r="Q558" s="4" t="str">
        <f>HYPERLINK("http://141.218.60.56/~jnz1568/getInfo.php?workbook=16_15.xlsx&amp;sheet=A0&amp;row=558&amp;col=17&amp;number=&amp;sourceID=56","")</f>
        <v/>
      </c>
      <c r="R558" s="4" t="str">
        <f>HYPERLINK("http://141.218.60.56/~jnz1568/getInfo.php?workbook=16_15.xlsx&amp;sheet=A0&amp;row=558&amp;col=18&amp;number=&amp;sourceID=56","")</f>
        <v/>
      </c>
      <c r="S558" s="4" t="str">
        <f>HYPERLINK("http://141.218.60.56/~jnz1568/getInfo.php?workbook=16_15.xlsx&amp;sheet=A0&amp;row=558&amp;col=19&amp;number=&amp;sourceID=57","")</f>
        <v/>
      </c>
      <c r="T558" s="4" t="str">
        <f>HYPERLINK("http://141.218.60.56/~jnz1568/getInfo.php?workbook=16_15.xlsx&amp;sheet=A0&amp;row=558&amp;col=20&amp;number=&amp;sourceID=57","")</f>
        <v/>
      </c>
      <c r="U558" s="4" t="str">
        <f>HYPERLINK("http://141.218.60.56/~jnz1568/getInfo.php?workbook=16_15.xlsx&amp;sheet=A0&amp;row=558&amp;col=21&amp;number=&amp;sourceID=47","")</f>
        <v/>
      </c>
      <c r="V558" s="4" t="str">
        <f>HYPERLINK("http://141.218.60.56/~jnz1568/getInfo.php?workbook=16_15.xlsx&amp;sheet=A0&amp;row=558&amp;col=22&amp;number=&amp;sourceID=47","")</f>
        <v/>
      </c>
    </row>
    <row r="559" spans="1:22">
      <c r="A559" s="3">
        <v>16</v>
      </c>
      <c r="B559" s="3">
        <v>15</v>
      </c>
      <c r="C559" s="3">
        <v>39</v>
      </c>
      <c r="D559" s="3">
        <v>15</v>
      </c>
      <c r="E559" s="3">
        <f>((1/(INDEX(E0!J$4:J$73,C559,1)-INDEX(E0!J$4:J$73,D559,1))))*100000000</f>
        <v>0</v>
      </c>
      <c r="F559" s="4" t="str">
        <f>HYPERLINK("http://141.218.60.56/~jnz1568/getInfo.php?workbook=16_15.xlsx&amp;sheet=A0&amp;row=559&amp;col=6&amp;number=13164&amp;sourceID=54","13164")</f>
        <v>13164</v>
      </c>
      <c r="G559" s="4" t="str">
        <f>HYPERLINK("http://141.218.60.56/~jnz1568/getInfo.php?workbook=16_15.xlsx&amp;sheet=A0&amp;row=559&amp;col=7&amp;number=&amp;sourceID=54","")</f>
        <v/>
      </c>
      <c r="H559" s="4" t="str">
        <f>HYPERLINK("http://141.218.60.56/~jnz1568/getInfo.php?workbook=16_15.xlsx&amp;sheet=A0&amp;row=559&amp;col=8&amp;number=&amp;sourceID=54","")</f>
        <v/>
      </c>
      <c r="I559" s="4" t="str">
        <f>HYPERLINK("http://141.218.60.56/~jnz1568/getInfo.php?workbook=16_15.xlsx&amp;sheet=A0&amp;row=559&amp;col=9&amp;number=14877&amp;sourceID=54","14877")</f>
        <v>14877</v>
      </c>
      <c r="J559" s="4" t="str">
        <f>HYPERLINK("http://141.218.60.56/~jnz1568/getInfo.php?workbook=16_15.xlsx&amp;sheet=A0&amp;row=559&amp;col=10&amp;number=&amp;sourceID=54","")</f>
        <v/>
      </c>
      <c r="K559" s="4" t="str">
        <f>HYPERLINK("http://141.218.60.56/~jnz1568/getInfo.php?workbook=16_15.xlsx&amp;sheet=A0&amp;row=559&amp;col=11&amp;number=&amp;sourceID=54","")</f>
        <v/>
      </c>
      <c r="L559" s="4" t="str">
        <f>HYPERLINK("http://141.218.60.56/~jnz1568/getInfo.php?workbook=16_15.xlsx&amp;sheet=A0&amp;row=559&amp;col=12&amp;number=15021.3279727&amp;sourceID=53","15021.3279727")</f>
        <v>15021.3279727</v>
      </c>
      <c r="M559" s="4" t="str">
        <f>HYPERLINK("http://141.218.60.56/~jnz1568/getInfo.php?workbook=16_15.xlsx&amp;sheet=A0&amp;row=559&amp;col=13&amp;number=&amp;sourceID=53","")</f>
        <v/>
      </c>
      <c r="N559" s="4" t="str">
        <f>HYPERLINK("http://141.218.60.56/~jnz1568/getInfo.php?workbook=16_15.xlsx&amp;sheet=A0&amp;row=559&amp;col=14&amp;number=&amp;sourceID=53","")</f>
        <v/>
      </c>
      <c r="O559" s="4" t="str">
        <f>HYPERLINK("http://141.218.60.56/~jnz1568/getInfo.php?workbook=16_15.xlsx&amp;sheet=A0&amp;row=559&amp;col=15&amp;number=&amp;sourceID=55","")</f>
        <v/>
      </c>
      <c r="P559" s="4" t="str">
        <f>HYPERLINK("http://141.218.60.56/~jnz1568/getInfo.php?workbook=16_15.xlsx&amp;sheet=A0&amp;row=559&amp;col=16&amp;number=&amp;sourceID=55","")</f>
        <v/>
      </c>
      <c r="Q559" s="4" t="str">
        <f>HYPERLINK("http://141.218.60.56/~jnz1568/getInfo.php?workbook=16_15.xlsx&amp;sheet=A0&amp;row=559&amp;col=17&amp;number=&amp;sourceID=56","")</f>
        <v/>
      </c>
      <c r="R559" s="4" t="str">
        <f>HYPERLINK("http://141.218.60.56/~jnz1568/getInfo.php?workbook=16_15.xlsx&amp;sheet=A0&amp;row=559&amp;col=18&amp;number=&amp;sourceID=56","")</f>
        <v/>
      </c>
      <c r="S559" s="4" t="str">
        <f>HYPERLINK("http://141.218.60.56/~jnz1568/getInfo.php?workbook=16_15.xlsx&amp;sheet=A0&amp;row=559&amp;col=19&amp;number=&amp;sourceID=57","")</f>
        <v/>
      </c>
      <c r="T559" s="4" t="str">
        <f>HYPERLINK("http://141.218.60.56/~jnz1568/getInfo.php?workbook=16_15.xlsx&amp;sheet=A0&amp;row=559&amp;col=20&amp;number=&amp;sourceID=57","")</f>
        <v/>
      </c>
      <c r="U559" s="4" t="str">
        <f>HYPERLINK("http://141.218.60.56/~jnz1568/getInfo.php?workbook=16_15.xlsx&amp;sheet=A0&amp;row=559&amp;col=21&amp;number=&amp;sourceID=47","")</f>
        <v/>
      </c>
      <c r="V559" s="4" t="str">
        <f>HYPERLINK("http://141.218.60.56/~jnz1568/getInfo.php?workbook=16_15.xlsx&amp;sheet=A0&amp;row=559&amp;col=22&amp;number=&amp;sourceID=47","")</f>
        <v/>
      </c>
    </row>
    <row r="560" spans="1:22">
      <c r="A560" s="3">
        <v>16</v>
      </c>
      <c r="B560" s="3">
        <v>15</v>
      </c>
      <c r="C560" s="3">
        <v>39</v>
      </c>
      <c r="D560" s="3">
        <v>16</v>
      </c>
      <c r="E560" s="3">
        <f>((1/(INDEX(E0!J$4:J$73,C560,1)-INDEX(E0!J$4:J$73,D560,1))))*100000000</f>
        <v>0</v>
      </c>
      <c r="F560" s="4" t="str">
        <f>HYPERLINK("http://141.218.60.56/~jnz1568/getInfo.php?workbook=16_15.xlsx&amp;sheet=A0&amp;row=560&amp;col=6&amp;number=22537000&amp;sourceID=54","22537000")</f>
        <v>22537000</v>
      </c>
      <c r="G560" s="4" t="str">
        <f>HYPERLINK("http://141.218.60.56/~jnz1568/getInfo.php?workbook=16_15.xlsx&amp;sheet=A0&amp;row=560&amp;col=7&amp;number=&amp;sourceID=54","")</f>
        <v/>
      </c>
      <c r="H560" s="4" t="str">
        <f>HYPERLINK("http://141.218.60.56/~jnz1568/getInfo.php?workbook=16_15.xlsx&amp;sheet=A0&amp;row=560&amp;col=8&amp;number=&amp;sourceID=54","")</f>
        <v/>
      </c>
      <c r="I560" s="4" t="str">
        <f>HYPERLINK("http://141.218.60.56/~jnz1568/getInfo.php?workbook=16_15.xlsx&amp;sheet=A0&amp;row=560&amp;col=9&amp;number=22431000&amp;sourceID=54","22431000")</f>
        <v>22431000</v>
      </c>
      <c r="J560" s="4" t="str">
        <f>HYPERLINK("http://141.218.60.56/~jnz1568/getInfo.php?workbook=16_15.xlsx&amp;sheet=A0&amp;row=560&amp;col=10&amp;number=&amp;sourceID=54","")</f>
        <v/>
      </c>
      <c r="K560" s="4" t="str">
        <f>HYPERLINK("http://141.218.60.56/~jnz1568/getInfo.php?workbook=16_15.xlsx&amp;sheet=A0&amp;row=560&amp;col=11&amp;number=&amp;sourceID=54","")</f>
        <v/>
      </c>
      <c r="L560" s="4" t="str">
        <f>HYPERLINK("http://141.218.60.56/~jnz1568/getInfo.php?workbook=16_15.xlsx&amp;sheet=A0&amp;row=560&amp;col=12&amp;number=25170015.6272&amp;sourceID=53","25170015.6272")</f>
        <v>25170015.6272</v>
      </c>
      <c r="M560" s="4" t="str">
        <f>HYPERLINK("http://141.218.60.56/~jnz1568/getInfo.php?workbook=16_15.xlsx&amp;sheet=A0&amp;row=560&amp;col=13&amp;number=&amp;sourceID=53","")</f>
        <v/>
      </c>
      <c r="N560" s="4" t="str">
        <f>HYPERLINK("http://141.218.60.56/~jnz1568/getInfo.php?workbook=16_15.xlsx&amp;sheet=A0&amp;row=560&amp;col=14&amp;number=&amp;sourceID=53","")</f>
        <v/>
      </c>
      <c r="O560" s="4" t="str">
        <f>HYPERLINK("http://141.218.60.56/~jnz1568/getInfo.php?workbook=16_15.xlsx&amp;sheet=A0&amp;row=560&amp;col=15&amp;number=&amp;sourceID=55","")</f>
        <v/>
      </c>
      <c r="P560" s="4" t="str">
        <f>HYPERLINK("http://141.218.60.56/~jnz1568/getInfo.php?workbook=16_15.xlsx&amp;sheet=A0&amp;row=560&amp;col=16&amp;number=&amp;sourceID=55","")</f>
        <v/>
      </c>
      <c r="Q560" s="4" t="str">
        <f>HYPERLINK("http://141.218.60.56/~jnz1568/getInfo.php?workbook=16_15.xlsx&amp;sheet=A0&amp;row=560&amp;col=17&amp;number=&amp;sourceID=56","")</f>
        <v/>
      </c>
      <c r="R560" s="4" t="str">
        <f>HYPERLINK("http://141.218.60.56/~jnz1568/getInfo.php?workbook=16_15.xlsx&amp;sheet=A0&amp;row=560&amp;col=18&amp;number=&amp;sourceID=56","")</f>
        <v/>
      </c>
      <c r="S560" s="4" t="str">
        <f>HYPERLINK("http://141.218.60.56/~jnz1568/getInfo.php?workbook=16_15.xlsx&amp;sheet=A0&amp;row=560&amp;col=19&amp;number=&amp;sourceID=57","")</f>
        <v/>
      </c>
      <c r="T560" s="4" t="str">
        <f>HYPERLINK("http://141.218.60.56/~jnz1568/getInfo.php?workbook=16_15.xlsx&amp;sheet=A0&amp;row=560&amp;col=20&amp;number=&amp;sourceID=57","")</f>
        <v/>
      </c>
      <c r="U560" s="4" t="str">
        <f>HYPERLINK("http://141.218.60.56/~jnz1568/getInfo.php?workbook=16_15.xlsx&amp;sheet=A0&amp;row=560&amp;col=21&amp;number=&amp;sourceID=47","")</f>
        <v/>
      </c>
      <c r="V560" s="4" t="str">
        <f>HYPERLINK("http://141.218.60.56/~jnz1568/getInfo.php?workbook=16_15.xlsx&amp;sheet=A0&amp;row=560&amp;col=22&amp;number=&amp;sourceID=47","")</f>
        <v/>
      </c>
    </row>
    <row r="561" spans="1:22">
      <c r="A561" s="3">
        <v>16</v>
      </c>
      <c r="B561" s="3">
        <v>15</v>
      </c>
      <c r="C561" s="3">
        <v>39</v>
      </c>
      <c r="D561" s="3">
        <v>17</v>
      </c>
      <c r="E561" s="3">
        <f>((1/(INDEX(E0!J$4:J$73,C561,1)-INDEX(E0!J$4:J$73,D561,1))))*100000000</f>
        <v>0</v>
      </c>
      <c r="F561" s="4" t="str">
        <f>HYPERLINK("http://141.218.60.56/~jnz1568/getInfo.php?workbook=16_15.xlsx&amp;sheet=A0&amp;row=561&amp;col=6&amp;number=54454&amp;sourceID=54","54454")</f>
        <v>54454</v>
      </c>
      <c r="G561" s="4" t="str">
        <f>HYPERLINK("http://141.218.60.56/~jnz1568/getInfo.php?workbook=16_15.xlsx&amp;sheet=A0&amp;row=561&amp;col=7&amp;number=&amp;sourceID=54","")</f>
        <v/>
      </c>
      <c r="H561" s="4" t="str">
        <f>HYPERLINK("http://141.218.60.56/~jnz1568/getInfo.php?workbook=16_15.xlsx&amp;sheet=A0&amp;row=561&amp;col=8&amp;number=&amp;sourceID=54","")</f>
        <v/>
      </c>
      <c r="I561" s="4" t="str">
        <f>HYPERLINK("http://141.218.60.56/~jnz1568/getInfo.php?workbook=16_15.xlsx&amp;sheet=A0&amp;row=561&amp;col=9&amp;number=37112&amp;sourceID=54","37112")</f>
        <v>37112</v>
      </c>
      <c r="J561" s="4" t="str">
        <f>HYPERLINK("http://141.218.60.56/~jnz1568/getInfo.php?workbook=16_15.xlsx&amp;sheet=A0&amp;row=561&amp;col=10&amp;number=&amp;sourceID=54","")</f>
        <v/>
      </c>
      <c r="K561" s="4" t="str">
        <f>HYPERLINK("http://141.218.60.56/~jnz1568/getInfo.php?workbook=16_15.xlsx&amp;sheet=A0&amp;row=561&amp;col=11&amp;number=&amp;sourceID=54","")</f>
        <v/>
      </c>
      <c r="L561" s="4" t="str">
        <f>HYPERLINK("http://141.218.60.56/~jnz1568/getInfo.php?workbook=16_15.xlsx&amp;sheet=A0&amp;row=561&amp;col=12&amp;number=30367.8856449&amp;sourceID=53","30367.8856449")</f>
        <v>30367.8856449</v>
      </c>
      <c r="M561" s="4" t="str">
        <f>HYPERLINK("http://141.218.60.56/~jnz1568/getInfo.php?workbook=16_15.xlsx&amp;sheet=A0&amp;row=561&amp;col=13&amp;number=&amp;sourceID=53","")</f>
        <v/>
      </c>
      <c r="N561" s="4" t="str">
        <f>HYPERLINK("http://141.218.60.56/~jnz1568/getInfo.php?workbook=16_15.xlsx&amp;sheet=A0&amp;row=561&amp;col=14&amp;number=&amp;sourceID=53","")</f>
        <v/>
      </c>
      <c r="O561" s="4" t="str">
        <f>HYPERLINK("http://141.218.60.56/~jnz1568/getInfo.php?workbook=16_15.xlsx&amp;sheet=A0&amp;row=561&amp;col=15&amp;number=&amp;sourceID=55","")</f>
        <v/>
      </c>
      <c r="P561" s="4" t="str">
        <f>HYPERLINK("http://141.218.60.56/~jnz1568/getInfo.php?workbook=16_15.xlsx&amp;sheet=A0&amp;row=561&amp;col=16&amp;number=&amp;sourceID=55","")</f>
        <v/>
      </c>
      <c r="Q561" s="4" t="str">
        <f>HYPERLINK("http://141.218.60.56/~jnz1568/getInfo.php?workbook=16_15.xlsx&amp;sheet=A0&amp;row=561&amp;col=17&amp;number=&amp;sourceID=56","")</f>
        <v/>
      </c>
      <c r="R561" s="4" t="str">
        <f>HYPERLINK("http://141.218.60.56/~jnz1568/getInfo.php?workbook=16_15.xlsx&amp;sheet=A0&amp;row=561&amp;col=18&amp;number=&amp;sourceID=56","")</f>
        <v/>
      </c>
      <c r="S561" s="4" t="str">
        <f>HYPERLINK("http://141.218.60.56/~jnz1568/getInfo.php?workbook=16_15.xlsx&amp;sheet=A0&amp;row=561&amp;col=19&amp;number=&amp;sourceID=57","")</f>
        <v/>
      </c>
      <c r="T561" s="4" t="str">
        <f>HYPERLINK("http://141.218.60.56/~jnz1568/getInfo.php?workbook=16_15.xlsx&amp;sheet=A0&amp;row=561&amp;col=20&amp;number=&amp;sourceID=57","")</f>
        <v/>
      </c>
      <c r="U561" s="4" t="str">
        <f>HYPERLINK("http://141.218.60.56/~jnz1568/getInfo.php?workbook=16_15.xlsx&amp;sheet=A0&amp;row=561&amp;col=21&amp;number=&amp;sourceID=47","")</f>
        <v/>
      </c>
      <c r="V561" s="4" t="str">
        <f>HYPERLINK("http://141.218.60.56/~jnz1568/getInfo.php?workbook=16_15.xlsx&amp;sheet=A0&amp;row=561&amp;col=22&amp;number=&amp;sourceID=47","")</f>
        <v/>
      </c>
    </row>
    <row r="562" spans="1:22">
      <c r="A562" s="3">
        <v>16</v>
      </c>
      <c r="B562" s="3">
        <v>15</v>
      </c>
      <c r="C562" s="3">
        <v>39</v>
      </c>
      <c r="D562" s="3">
        <v>20</v>
      </c>
      <c r="E562" s="3">
        <f>((1/(INDEX(E0!J$4:J$73,C562,1)-INDEX(E0!J$4:J$73,D562,1))))*100000000</f>
        <v>0</v>
      </c>
      <c r="F562" s="4" t="str">
        <f>HYPERLINK("http://141.218.60.56/~jnz1568/getInfo.php?workbook=16_15.xlsx&amp;sheet=A0&amp;row=562&amp;col=6&amp;number=318430&amp;sourceID=54","318430")</f>
        <v>318430</v>
      </c>
      <c r="G562" s="4" t="str">
        <f>HYPERLINK("http://141.218.60.56/~jnz1568/getInfo.php?workbook=16_15.xlsx&amp;sheet=A0&amp;row=562&amp;col=7&amp;number=&amp;sourceID=54","")</f>
        <v/>
      </c>
      <c r="H562" s="4" t="str">
        <f>HYPERLINK("http://141.218.60.56/~jnz1568/getInfo.php?workbook=16_15.xlsx&amp;sheet=A0&amp;row=562&amp;col=8&amp;number=&amp;sourceID=54","")</f>
        <v/>
      </c>
      <c r="I562" s="4" t="str">
        <f>HYPERLINK("http://141.218.60.56/~jnz1568/getInfo.php?workbook=16_15.xlsx&amp;sheet=A0&amp;row=562&amp;col=9&amp;number=465790&amp;sourceID=54","465790")</f>
        <v>465790</v>
      </c>
      <c r="J562" s="4" t="str">
        <f>HYPERLINK("http://141.218.60.56/~jnz1568/getInfo.php?workbook=16_15.xlsx&amp;sheet=A0&amp;row=562&amp;col=10&amp;number=&amp;sourceID=54","")</f>
        <v/>
      </c>
      <c r="K562" s="4" t="str">
        <f>HYPERLINK("http://141.218.60.56/~jnz1568/getInfo.php?workbook=16_15.xlsx&amp;sheet=A0&amp;row=562&amp;col=11&amp;number=&amp;sourceID=54","")</f>
        <v/>
      </c>
      <c r="L562" s="4" t="str">
        <f>HYPERLINK("http://141.218.60.56/~jnz1568/getInfo.php?workbook=16_15.xlsx&amp;sheet=A0&amp;row=562&amp;col=12&amp;number=292012.645905&amp;sourceID=53","292012.645905")</f>
        <v>292012.645905</v>
      </c>
      <c r="M562" s="4" t="str">
        <f>HYPERLINK("http://141.218.60.56/~jnz1568/getInfo.php?workbook=16_15.xlsx&amp;sheet=A0&amp;row=562&amp;col=13&amp;number=&amp;sourceID=53","")</f>
        <v/>
      </c>
      <c r="N562" s="4" t="str">
        <f>HYPERLINK("http://141.218.60.56/~jnz1568/getInfo.php?workbook=16_15.xlsx&amp;sheet=A0&amp;row=562&amp;col=14&amp;number=&amp;sourceID=53","")</f>
        <v/>
      </c>
      <c r="O562" s="4" t="str">
        <f>HYPERLINK("http://141.218.60.56/~jnz1568/getInfo.php?workbook=16_15.xlsx&amp;sheet=A0&amp;row=562&amp;col=15&amp;number=&amp;sourceID=55","")</f>
        <v/>
      </c>
      <c r="P562" s="4" t="str">
        <f>HYPERLINK("http://141.218.60.56/~jnz1568/getInfo.php?workbook=16_15.xlsx&amp;sheet=A0&amp;row=562&amp;col=16&amp;number=&amp;sourceID=55","")</f>
        <v/>
      </c>
      <c r="Q562" s="4" t="str">
        <f>HYPERLINK("http://141.218.60.56/~jnz1568/getInfo.php?workbook=16_15.xlsx&amp;sheet=A0&amp;row=562&amp;col=17&amp;number=&amp;sourceID=56","")</f>
        <v/>
      </c>
      <c r="R562" s="4" t="str">
        <f>HYPERLINK("http://141.218.60.56/~jnz1568/getInfo.php?workbook=16_15.xlsx&amp;sheet=A0&amp;row=562&amp;col=18&amp;number=&amp;sourceID=56","")</f>
        <v/>
      </c>
      <c r="S562" s="4" t="str">
        <f>HYPERLINK("http://141.218.60.56/~jnz1568/getInfo.php?workbook=16_15.xlsx&amp;sheet=A0&amp;row=562&amp;col=19&amp;number=&amp;sourceID=57","")</f>
        <v/>
      </c>
      <c r="T562" s="4" t="str">
        <f>HYPERLINK("http://141.218.60.56/~jnz1568/getInfo.php?workbook=16_15.xlsx&amp;sheet=A0&amp;row=562&amp;col=20&amp;number=&amp;sourceID=57","")</f>
        <v/>
      </c>
      <c r="U562" s="4" t="str">
        <f>HYPERLINK("http://141.218.60.56/~jnz1568/getInfo.php?workbook=16_15.xlsx&amp;sheet=A0&amp;row=562&amp;col=21&amp;number=&amp;sourceID=47","")</f>
        <v/>
      </c>
      <c r="V562" s="4" t="str">
        <f>HYPERLINK("http://141.218.60.56/~jnz1568/getInfo.php?workbook=16_15.xlsx&amp;sheet=A0&amp;row=562&amp;col=22&amp;number=&amp;sourceID=47","")</f>
        <v/>
      </c>
    </row>
    <row r="563" spans="1:22">
      <c r="A563" s="3">
        <v>16</v>
      </c>
      <c r="B563" s="3">
        <v>15</v>
      </c>
      <c r="C563" s="3">
        <v>39</v>
      </c>
      <c r="D563" s="3">
        <v>21</v>
      </c>
      <c r="E563" s="3">
        <f>((1/(INDEX(E0!J$4:J$73,C563,1)-INDEX(E0!J$4:J$73,D563,1))))*100000000</f>
        <v>0</v>
      </c>
      <c r="F563" s="4" t="str">
        <f>HYPERLINK("http://141.218.60.56/~jnz1568/getInfo.php?workbook=16_15.xlsx&amp;sheet=A0&amp;row=563&amp;col=6&amp;number=71043&amp;sourceID=54","71043")</f>
        <v>71043</v>
      </c>
      <c r="G563" s="4" t="str">
        <f>HYPERLINK("http://141.218.60.56/~jnz1568/getInfo.php?workbook=16_15.xlsx&amp;sheet=A0&amp;row=563&amp;col=7&amp;number=&amp;sourceID=54","")</f>
        <v/>
      </c>
      <c r="H563" s="4" t="str">
        <f>HYPERLINK("http://141.218.60.56/~jnz1568/getInfo.php?workbook=16_15.xlsx&amp;sheet=A0&amp;row=563&amp;col=8&amp;number=&amp;sourceID=54","")</f>
        <v/>
      </c>
      <c r="I563" s="4" t="str">
        <f>HYPERLINK("http://141.218.60.56/~jnz1568/getInfo.php?workbook=16_15.xlsx&amp;sheet=A0&amp;row=563&amp;col=9&amp;number=64690&amp;sourceID=54","64690")</f>
        <v>64690</v>
      </c>
      <c r="J563" s="4" t="str">
        <f>HYPERLINK("http://141.218.60.56/~jnz1568/getInfo.php?workbook=16_15.xlsx&amp;sheet=A0&amp;row=563&amp;col=10&amp;number=&amp;sourceID=54","")</f>
        <v/>
      </c>
      <c r="K563" s="4" t="str">
        <f>HYPERLINK("http://141.218.60.56/~jnz1568/getInfo.php?workbook=16_15.xlsx&amp;sheet=A0&amp;row=563&amp;col=11&amp;number=&amp;sourceID=54","")</f>
        <v/>
      </c>
      <c r="L563" s="4" t="str">
        <f>HYPERLINK("http://141.218.60.56/~jnz1568/getInfo.php?workbook=16_15.xlsx&amp;sheet=A0&amp;row=563&amp;col=12&amp;number=73016.1598731&amp;sourceID=53","73016.1598731")</f>
        <v>73016.1598731</v>
      </c>
      <c r="M563" s="4" t="str">
        <f>HYPERLINK("http://141.218.60.56/~jnz1568/getInfo.php?workbook=16_15.xlsx&amp;sheet=A0&amp;row=563&amp;col=13&amp;number=&amp;sourceID=53","")</f>
        <v/>
      </c>
      <c r="N563" s="4" t="str">
        <f>HYPERLINK("http://141.218.60.56/~jnz1568/getInfo.php?workbook=16_15.xlsx&amp;sheet=A0&amp;row=563&amp;col=14&amp;number=&amp;sourceID=53","")</f>
        <v/>
      </c>
      <c r="O563" s="4" t="str">
        <f>HYPERLINK("http://141.218.60.56/~jnz1568/getInfo.php?workbook=16_15.xlsx&amp;sheet=A0&amp;row=563&amp;col=15&amp;number=&amp;sourceID=55","")</f>
        <v/>
      </c>
      <c r="P563" s="4" t="str">
        <f>HYPERLINK("http://141.218.60.56/~jnz1568/getInfo.php?workbook=16_15.xlsx&amp;sheet=A0&amp;row=563&amp;col=16&amp;number=&amp;sourceID=55","")</f>
        <v/>
      </c>
      <c r="Q563" s="4" t="str">
        <f>HYPERLINK("http://141.218.60.56/~jnz1568/getInfo.php?workbook=16_15.xlsx&amp;sheet=A0&amp;row=563&amp;col=17&amp;number=&amp;sourceID=56","")</f>
        <v/>
      </c>
      <c r="R563" s="4" t="str">
        <f>HYPERLINK("http://141.218.60.56/~jnz1568/getInfo.php?workbook=16_15.xlsx&amp;sheet=A0&amp;row=563&amp;col=18&amp;number=&amp;sourceID=56","")</f>
        <v/>
      </c>
      <c r="S563" s="4" t="str">
        <f>HYPERLINK("http://141.218.60.56/~jnz1568/getInfo.php?workbook=16_15.xlsx&amp;sheet=A0&amp;row=563&amp;col=19&amp;number=&amp;sourceID=57","")</f>
        <v/>
      </c>
      <c r="T563" s="4" t="str">
        <f>HYPERLINK("http://141.218.60.56/~jnz1568/getInfo.php?workbook=16_15.xlsx&amp;sheet=A0&amp;row=563&amp;col=20&amp;number=&amp;sourceID=57","")</f>
        <v/>
      </c>
      <c r="U563" s="4" t="str">
        <f>HYPERLINK("http://141.218.60.56/~jnz1568/getInfo.php?workbook=16_15.xlsx&amp;sheet=A0&amp;row=563&amp;col=21&amp;number=&amp;sourceID=47","")</f>
        <v/>
      </c>
      <c r="V563" s="4" t="str">
        <f>HYPERLINK("http://141.218.60.56/~jnz1568/getInfo.php?workbook=16_15.xlsx&amp;sheet=A0&amp;row=563&amp;col=22&amp;number=&amp;sourceID=47","")</f>
        <v/>
      </c>
    </row>
    <row r="564" spans="1:22">
      <c r="A564" s="3">
        <v>16</v>
      </c>
      <c r="B564" s="3">
        <v>15</v>
      </c>
      <c r="C564" s="3">
        <v>39</v>
      </c>
      <c r="D564" s="3">
        <v>22</v>
      </c>
      <c r="E564" s="3">
        <f>((1/(INDEX(E0!J$4:J$73,C564,1)-INDEX(E0!J$4:J$73,D564,1))))*100000000</f>
        <v>0</v>
      </c>
      <c r="F564" s="4" t="str">
        <f>HYPERLINK("http://141.218.60.56/~jnz1568/getInfo.php?workbook=16_15.xlsx&amp;sheet=A0&amp;row=564&amp;col=6&amp;number=1303000&amp;sourceID=54","1303000")</f>
        <v>1303000</v>
      </c>
      <c r="G564" s="4" t="str">
        <f>HYPERLINK("http://141.218.60.56/~jnz1568/getInfo.php?workbook=16_15.xlsx&amp;sheet=A0&amp;row=564&amp;col=7&amp;number=&amp;sourceID=54","")</f>
        <v/>
      </c>
      <c r="H564" s="4" t="str">
        <f>HYPERLINK("http://141.218.60.56/~jnz1568/getInfo.php?workbook=16_15.xlsx&amp;sheet=A0&amp;row=564&amp;col=8&amp;number=&amp;sourceID=54","")</f>
        <v/>
      </c>
      <c r="I564" s="4" t="str">
        <f>HYPERLINK("http://141.218.60.56/~jnz1568/getInfo.php?workbook=16_15.xlsx&amp;sheet=A0&amp;row=564&amp;col=9&amp;number=1367100&amp;sourceID=54","1367100")</f>
        <v>1367100</v>
      </c>
      <c r="J564" s="4" t="str">
        <f>HYPERLINK("http://141.218.60.56/~jnz1568/getInfo.php?workbook=16_15.xlsx&amp;sheet=A0&amp;row=564&amp;col=10&amp;number=&amp;sourceID=54","")</f>
        <v/>
      </c>
      <c r="K564" s="4" t="str">
        <f>HYPERLINK("http://141.218.60.56/~jnz1568/getInfo.php?workbook=16_15.xlsx&amp;sheet=A0&amp;row=564&amp;col=11&amp;number=&amp;sourceID=54","")</f>
        <v/>
      </c>
      <c r="L564" s="4" t="str">
        <f>HYPERLINK("http://141.218.60.56/~jnz1568/getInfo.php?workbook=16_15.xlsx&amp;sheet=A0&amp;row=564&amp;col=12&amp;number=1318192.16085&amp;sourceID=53","1318192.16085")</f>
        <v>1318192.16085</v>
      </c>
      <c r="M564" s="4" t="str">
        <f>HYPERLINK("http://141.218.60.56/~jnz1568/getInfo.php?workbook=16_15.xlsx&amp;sheet=A0&amp;row=564&amp;col=13&amp;number=&amp;sourceID=53","")</f>
        <v/>
      </c>
      <c r="N564" s="4" t="str">
        <f>HYPERLINK("http://141.218.60.56/~jnz1568/getInfo.php?workbook=16_15.xlsx&amp;sheet=A0&amp;row=564&amp;col=14&amp;number=&amp;sourceID=53","")</f>
        <v/>
      </c>
      <c r="O564" s="4" t="str">
        <f>HYPERLINK("http://141.218.60.56/~jnz1568/getInfo.php?workbook=16_15.xlsx&amp;sheet=A0&amp;row=564&amp;col=15&amp;number=&amp;sourceID=55","")</f>
        <v/>
      </c>
      <c r="P564" s="4" t="str">
        <f>HYPERLINK("http://141.218.60.56/~jnz1568/getInfo.php?workbook=16_15.xlsx&amp;sheet=A0&amp;row=564&amp;col=16&amp;number=&amp;sourceID=55","")</f>
        <v/>
      </c>
      <c r="Q564" s="4" t="str">
        <f>HYPERLINK("http://141.218.60.56/~jnz1568/getInfo.php?workbook=16_15.xlsx&amp;sheet=A0&amp;row=564&amp;col=17&amp;number=&amp;sourceID=56","")</f>
        <v/>
      </c>
      <c r="R564" s="4" t="str">
        <f>HYPERLINK("http://141.218.60.56/~jnz1568/getInfo.php?workbook=16_15.xlsx&amp;sheet=A0&amp;row=564&amp;col=18&amp;number=&amp;sourceID=56","")</f>
        <v/>
      </c>
      <c r="S564" s="4" t="str">
        <f>HYPERLINK("http://141.218.60.56/~jnz1568/getInfo.php?workbook=16_15.xlsx&amp;sheet=A0&amp;row=564&amp;col=19&amp;number=&amp;sourceID=57","")</f>
        <v/>
      </c>
      <c r="T564" s="4" t="str">
        <f>HYPERLINK("http://141.218.60.56/~jnz1568/getInfo.php?workbook=16_15.xlsx&amp;sheet=A0&amp;row=564&amp;col=20&amp;number=&amp;sourceID=57","")</f>
        <v/>
      </c>
      <c r="U564" s="4" t="str">
        <f>HYPERLINK("http://141.218.60.56/~jnz1568/getInfo.php?workbook=16_15.xlsx&amp;sheet=A0&amp;row=564&amp;col=21&amp;number=&amp;sourceID=47","")</f>
        <v/>
      </c>
      <c r="V564" s="4" t="str">
        <f>HYPERLINK("http://141.218.60.56/~jnz1568/getInfo.php?workbook=16_15.xlsx&amp;sheet=A0&amp;row=564&amp;col=22&amp;number=&amp;sourceID=47","")</f>
        <v/>
      </c>
    </row>
    <row r="565" spans="1:22">
      <c r="A565" s="3">
        <v>16</v>
      </c>
      <c r="B565" s="3">
        <v>15</v>
      </c>
      <c r="C565" s="3">
        <v>39</v>
      </c>
      <c r="D565" s="3">
        <v>23</v>
      </c>
      <c r="E565" s="3">
        <f>((1/(INDEX(E0!J$4:J$73,C565,1)-INDEX(E0!J$4:J$73,D565,1))))*100000000</f>
        <v>0</v>
      </c>
      <c r="F565" s="4" t="str">
        <f>HYPERLINK("http://141.218.60.56/~jnz1568/getInfo.php?workbook=16_15.xlsx&amp;sheet=A0&amp;row=565&amp;col=6&amp;number=7861200&amp;sourceID=54","7861200")</f>
        <v>7861200</v>
      </c>
      <c r="G565" s="4" t="str">
        <f>HYPERLINK("http://141.218.60.56/~jnz1568/getInfo.php?workbook=16_15.xlsx&amp;sheet=A0&amp;row=565&amp;col=7&amp;number=&amp;sourceID=54","")</f>
        <v/>
      </c>
      <c r="H565" s="4" t="str">
        <f>HYPERLINK("http://141.218.60.56/~jnz1568/getInfo.php?workbook=16_15.xlsx&amp;sheet=A0&amp;row=565&amp;col=8&amp;number=&amp;sourceID=54","")</f>
        <v/>
      </c>
      <c r="I565" s="4" t="str">
        <f>HYPERLINK("http://141.218.60.56/~jnz1568/getInfo.php?workbook=16_15.xlsx&amp;sheet=A0&amp;row=565&amp;col=9&amp;number=8258600&amp;sourceID=54","8258600")</f>
        <v>8258600</v>
      </c>
      <c r="J565" s="4" t="str">
        <f>HYPERLINK("http://141.218.60.56/~jnz1568/getInfo.php?workbook=16_15.xlsx&amp;sheet=A0&amp;row=565&amp;col=10&amp;number=&amp;sourceID=54","")</f>
        <v/>
      </c>
      <c r="K565" s="4" t="str">
        <f>HYPERLINK("http://141.218.60.56/~jnz1568/getInfo.php?workbook=16_15.xlsx&amp;sheet=A0&amp;row=565&amp;col=11&amp;number=&amp;sourceID=54","")</f>
        <v/>
      </c>
      <c r="L565" s="4" t="str">
        <f>HYPERLINK("http://141.218.60.56/~jnz1568/getInfo.php?workbook=16_15.xlsx&amp;sheet=A0&amp;row=565&amp;col=12&amp;number=7894263.08148&amp;sourceID=53","7894263.08148")</f>
        <v>7894263.08148</v>
      </c>
      <c r="M565" s="4" t="str">
        <f>HYPERLINK("http://141.218.60.56/~jnz1568/getInfo.php?workbook=16_15.xlsx&amp;sheet=A0&amp;row=565&amp;col=13&amp;number=&amp;sourceID=53","")</f>
        <v/>
      </c>
      <c r="N565" s="4" t="str">
        <f>HYPERLINK("http://141.218.60.56/~jnz1568/getInfo.php?workbook=16_15.xlsx&amp;sheet=A0&amp;row=565&amp;col=14&amp;number=&amp;sourceID=53","")</f>
        <v/>
      </c>
      <c r="O565" s="4" t="str">
        <f>HYPERLINK("http://141.218.60.56/~jnz1568/getInfo.php?workbook=16_15.xlsx&amp;sheet=A0&amp;row=565&amp;col=15&amp;number=&amp;sourceID=55","")</f>
        <v/>
      </c>
      <c r="P565" s="4" t="str">
        <f>HYPERLINK("http://141.218.60.56/~jnz1568/getInfo.php?workbook=16_15.xlsx&amp;sheet=A0&amp;row=565&amp;col=16&amp;number=&amp;sourceID=55","")</f>
        <v/>
      </c>
      <c r="Q565" s="4" t="str">
        <f>HYPERLINK("http://141.218.60.56/~jnz1568/getInfo.php?workbook=16_15.xlsx&amp;sheet=A0&amp;row=565&amp;col=17&amp;number=&amp;sourceID=56","")</f>
        <v/>
      </c>
      <c r="R565" s="4" t="str">
        <f>HYPERLINK("http://141.218.60.56/~jnz1568/getInfo.php?workbook=16_15.xlsx&amp;sheet=A0&amp;row=565&amp;col=18&amp;number=&amp;sourceID=56","")</f>
        <v/>
      </c>
      <c r="S565" s="4" t="str">
        <f>HYPERLINK("http://141.218.60.56/~jnz1568/getInfo.php?workbook=16_15.xlsx&amp;sheet=A0&amp;row=565&amp;col=19&amp;number=&amp;sourceID=57","")</f>
        <v/>
      </c>
      <c r="T565" s="4" t="str">
        <f>HYPERLINK("http://141.218.60.56/~jnz1568/getInfo.php?workbook=16_15.xlsx&amp;sheet=A0&amp;row=565&amp;col=20&amp;number=&amp;sourceID=57","")</f>
        <v/>
      </c>
      <c r="U565" s="4" t="str">
        <f>HYPERLINK("http://141.218.60.56/~jnz1568/getInfo.php?workbook=16_15.xlsx&amp;sheet=A0&amp;row=565&amp;col=21&amp;number=&amp;sourceID=47","")</f>
        <v/>
      </c>
      <c r="V565" s="4" t="str">
        <f>HYPERLINK("http://141.218.60.56/~jnz1568/getInfo.php?workbook=16_15.xlsx&amp;sheet=A0&amp;row=565&amp;col=22&amp;number=&amp;sourceID=47","")</f>
        <v/>
      </c>
    </row>
    <row r="566" spans="1:22">
      <c r="A566" s="3">
        <v>16</v>
      </c>
      <c r="B566" s="3">
        <v>15</v>
      </c>
      <c r="C566" s="3">
        <v>39</v>
      </c>
      <c r="D566" s="3">
        <v>24</v>
      </c>
      <c r="E566" s="3">
        <f>((1/(INDEX(E0!J$4:J$73,C566,1)-INDEX(E0!J$4:J$73,D566,1))))*100000000</f>
        <v>0</v>
      </c>
      <c r="F566" s="4" t="str">
        <f>HYPERLINK("http://141.218.60.56/~jnz1568/getInfo.php?workbook=16_15.xlsx&amp;sheet=A0&amp;row=566&amp;col=6&amp;number=14260000&amp;sourceID=54","14260000")</f>
        <v>14260000</v>
      </c>
      <c r="G566" s="4" t="str">
        <f>HYPERLINK("http://141.218.60.56/~jnz1568/getInfo.php?workbook=16_15.xlsx&amp;sheet=A0&amp;row=566&amp;col=7&amp;number=&amp;sourceID=54","")</f>
        <v/>
      </c>
      <c r="H566" s="4" t="str">
        <f>HYPERLINK("http://141.218.60.56/~jnz1568/getInfo.php?workbook=16_15.xlsx&amp;sheet=A0&amp;row=566&amp;col=8&amp;number=&amp;sourceID=54","")</f>
        <v/>
      </c>
      <c r="I566" s="4" t="str">
        <f>HYPERLINK("http://141.218.60.56/~jnz1568/getInfo.php?workbook=16_15.xlsx&amp;sheet=A0&amp;row=566&amp;col=9&amp;number=15008000&amp;sourceID=54","15008000")</f>
        <v>15008000</v>
      </c>
      <c r="J566" s="4" t="str">
        <f>HYPERLINK("http://141.218.60.56/~jnz1568/getInfo.php?workbook=16_15.xlsx&amp;sheet=A0&amp;row=566&amp;col=10&amp;number=&amp;sourceID=54","")</f>
        <v/>
      </c>
      <c r="K566" s="4" t="str">
        <f>HYPERLINK("http://141.218.60.56/~jnz1568/getInfo.php?workbook=16_15.xlsx&amp;sheet=A0&amp;row=566&amp;col=11&amp;number=&amp;sourceID=54","")</f>
        <v/>
      </c>
      <c r="L566" s="4" t="str">
        <f>HYPERLINK("http://141.218.60.56/~jnz1568/getInfo.php?workbook=16_15.xlsx&amp;sheet=A0&amp;row=566&amp;col=12&amp;number=14246646.4821&amp;sourceID=53","14246646.4821")</f>
        <v>14246646.4821</v>
      </c>
      <c r="M566" s="4" t="str">
        <f>HYPERLINK("http://141.218.60.56/~jnz1568/getInfo.php?workbook=16_15.xlsx&amp;sheet=A0&amp;row=566&amp;col=13&amp;number=&amp;sourceID=53","")</f>
        <v/>
      </c>
      <c r="N566" s="4" t="str">
        <f>HYPERLINK("http://141.218.60.56/~jnz1568/getInfo.php?workbook=16_15.xlsx&amp;sheet=A0&amp;row=566&amp;col=14&amp;number=&amp;sourceID=53","")</f>
        <v/>
      </c>
      <c r="O566" s="4" t="str">
        <f>HYPERLINK("http://141.218.60.56/~jnz1568/getInfo.php?workbook=16_15.xlsx&amp;sheet=A0&amp;row=566&amp;col=15&amp;number=&amp;sourceID=55","")</f>
        <v/>
      </c>
      <c r="P566" s="4" t="str">
        <f>HYPERLINK("http://141.218.60.56/~jnz1568/getInfo.php?workbook=16_15.xlsx&amp;sheet=A0&amp;row=566&amp;col=16&amp;number=&amp;sourceID=55","")</f>
        <v/>
      </c>
      <c r="Q566" s="4" t="str">
        <f>HYPERLINK("http://141.218.60.56/~jnz1568/getInfo.php?workbook=16_15.xlsx&amp;sheet=A0&amp;row=566&amp;col=17&amp;number=&amp;sourceID=56","")</f>
        <v/>
      </c>
      <c r="R566" s="4" t="str">
        <f>HYPERLINK("http://141.218.60.56/~jnz1568/getInfo.php?workbook=16_15.xlsx&amp;sheet=A0&amp;row=566&amp;col=18&amp;number=&amp;sourceID=56","")</f>
        <v/>
      </c>
      <c r="S566" s="4" t="str">
        <f>HYPERLINK("http://141.218.60.56/~jnz1568/getInfo.php?workbook=16_15.xlsx&amp;sheet=A0&amp;row=566&amp;col=19&amp;number=&amp;sourceID=57","")</f>
        <v/>
      </c>
      <c r="T566" s="4" t="str">
        <f>HYPERLINK("http://141.218.60.56/~jnz1568/getInfo.php?workbook=16_15.xlsx&amp;sheet=A0&amp;row=566&amp;col=20&amp;number=&amp;sourceID=57","")</f>
        <v/>
      </c>
      <c r="U566" s="4" t="str">
        <f>HYPERLINK("http://141.218.60.56/~jnz1568/getInfo.php?workbook=16_15.xlsx&amp;sheet=A0&amp;row=566&amp;col=21&amp;number=&amp;sourceID=47","")</f>
        <v/>
      </c>
      <c r="V566" s="4" t="str">
        <f>HYPERLINK("http://141.218.60.56/~jnz1568/getInfo.php?workbook=16_15.xlsx&amp;sheet=A0&amp;row=566&amp;col=22&amp;number=&amp;sourceID=47","")</f>
        <v/>
      </c>
    </row>
    <row r="567" spans="1:22">
      <c r="A567" s="3">
        <v>16</v>
      </c>
      <c r="B567" s="3">
        <v>15</v>
      </c>
      <c r="C567" s="3">
        <v>39</v>
      </c>
      <c r="D567" s="3">
        <v>26</v>
      </c>
      <c r="E567" s="3">
        <f>((1/(INDEX(E0!J$4:J$73,C567,1)-INDEX(E0!J$4:J$73,D567,1))))*100000000</f>
        <v>0</v>
      </c>
      <c r="F567" s="4" t="str">
        <f>HYPERLINK("http://141.218.60.56/~jnz1568/getInfo.php?workbook=16_15.xlsx&amp;sheet=A0&amp;row=567&amp;col=6&amp;number=5662.4&amp;sourceID=54","5662.4")</f>
        <v>5662.4</v>
      </c>
      <c r="G567" s="4" t="str">
        <f>HYPERLINK("http://141.218.60.56/~jnz1568/getInfo.php?workbook=16_15.xlsx&amp;sheet=A0&amp;row=567&amp;col=7&amp;number=&amp;sourceID=54","")</f>
        <v/>
      </c>
      <c r="H567" s="4" t="str">
        <f>HYPERLINK("http://141.218.60.56/~jnz1568/getInfo.php?workbook=16_15.xlsx&amp;sheet=A0&amp;row=567&amp;col=8&amp;number=&amp;sourceID=54","")</f>
        <v/>
      </c>
      <c r="I567" s="4" t="str">
        <f>HYPERLINK("http://141.218.60.56/~jnz1568/getInfo.php?workbook=16_15.xlsx&amp;sheet=A0&amp;row=567&amp;col=9&amp;number=94246&amp;sourceID=54","94246")</f>
        <v>94246</v>
      </c>
      <c r="J567" s="4" t="str">
        <f>HYPERLINK("http://141.218.60.56/~jnz1568/getInfo.php?workbook=16_15.xlsx&amp;sheet=A0&amp;row=567&amp;col=10&amp;number=&amp;sourceID=54","")</f>
        <v/>
      </c>
      <c r="K567" s="4" t="str">
        <f>HYPERLINK("http://141.218.60.56/~jnz1568/getInfo.php?workbook=16_15.xlsx&amp;sheet=A0&amp;row=567&amp;col=11&amp;number=&amp;sourceID=54","")</f>
        <v/>
      </c>
      <c r="L567" s="4" t="str">
        <f>HYPERLINK("http://141.218.60.56/~jnz1568/getInfo.php?workbook=16_15.xlsx&amp;sheet=A0&amp;row=567&amp;col=12&amp;number=82080.416559&amp;sourceID=53","82080.416559")</f>
        <v>82080.416559</v>
      </c>
      <c r="M567" s="4" t="str">
        <f>HYPERLINK("http://141.218.60.56/~jnz1568/getInfo.php?workbook=16_15.xlsx&amp;sheet=A0&amp;row=567&amp;col=13&amp;number=&amp;sourceID=53","")</f>
        <v/>
      </c>
      <c r="N567" s="4" t="str">
        <f>HYPERLINK("http://141.218.60.56/~jnz1568/getInfo.php?workbook=16_15.xlsx&amp;sheet=A0&amp;row=567&amp;col=14&amp;number=&amp;sourceID=53","")</f>
        <v/>
      </c>
      <c r="O567" s="4" t="str">
        <f>HYPERLINK("http://141.218.60.56/~jnz1568/getInfo.php?workbook=16_15.xlsx&amp;sheet=A0&amp;row=567&amp;col=15&amp;number=&amp;sourceID=55","")</f>
        <v/>
      </c>
      <c r="P567" s="4" t="str">
        <f>HYPERLINK("http://141.218.60.56/~jnz1568/getInfo.php?workbook=16_15.xlsx&amp;sheet=A0&amp;row=567&amp;col=16&amp;number=&amp;sourceID=55","")</f>
        <v/>
      </c>
      <c r="Q567" s="4" t="str">
        <f>HYPERLINK("http://141.218.60.56/~jnz1568/getInfo.php?workbook=16_15.xlsx&amp;sheet=A0&amp;row=567&amp;col=17&amp;number=&amp;sourceID=56","")</f>
        <v/>
      </c>
      <c r="R567" s="4" t="str">
        <f>HYPERLINK("http://141.218.60.56/~jnz1568/getInfo.php?workbook=16_15.xlsx&amp;sheet=A0&amp;row=567&amp;col=18&amp;number=&amp;sourceID=56","")</f>
        <v/>
      </c>
      <c r="S567" s="4" t="str">
        <f>HYPERLINK("http://141.218.60.56/~jnz1568/getInfo.php?workbook=16_15.xlsx&amp;sheet=A0&amp;row=567&amp;col=19&amp;number=&amp;sourceID=57","")</f>
        <v/>
      </c>
      <c r="T567" s="4" t="str">
        <f>HYPERLINK("http://141.218.60.56/~jnz1568/getInfo.php?workbook=16_15.xlsx&amp;sheet=A0&amp;row=567&amp;col=20&amp;number=&amp;sourceID=57","")</f>
        <v/>
      </c>
      <c r="U567" s="4" t="str">
        <f>HYPERLINK("http://141.218.60.56/~jnz1568/getInfo.php?workbook=16_15.xlsx&amp;sheet=A0&amp;row=567&amp;col=21&amp;number=&amp;sourceID=47","")</f>
        <v/>
      </c>
      <c r="V567" s="4" t="str">
        <f>HYPERLINK("http://141.218.60.56/~jnz1568/getInfo.php?workbook=16_15.xlsx&amp;sheet=A0&amp;row=567&amp;col=22&amp;number=&amp;sourceID=47","")</f>
        <v/>
      </c>
    </row>
    <row r="568" spans="1:22">
      <c r="A568" s="3">
        <v>16</v>
      </c>
      <c r="B568" s="3">
        <v>15</v>
      </c>
      <c r="C568" s="3">
        <v>39</v>
      </c>
      <c r="D568" s="3">
        <v>28</v>
      </c>
      <c r="E568" s="3">
        <f>((1/(INDEX(E0!J$4:J$73,C568,1)-INDEX(E0!J$4:J$73,D568,1))))*100000000</f>
        <v>0</v>
      </c>
      <c r="F568" s="4" t="str">
        <f>HYPERLINK("http://141.218.60.56/~jnz1568/getInfo.php?workbook=16_15.xlsx&amp;sheet=A0&amp;row=568&amp;col=6&amp;number=115.94&amp;sourceID=54","115.94")</f>
        <v>115.94</v>
      </c>
      <c r="G568" s="4" t="str">
        <f>HYPERLINK("http://141.218.60.56/~jnz1568/getInfo.php?workbook=16_15.xlsx&amp;sheet=A0&amp;row=568&amp;col=7&amp;number=&amp;sourceID=54","")</f>
        <v/>
      </c>
      <c r="H568" s="4" t="str">
        <f>HYPERLINK("http://141.218.60.56/~jnz1568/getInfo.php?workbook=16_15.xlsx&amp;sheet=A0&amp;row=568&amp;col=8&amp;number=&amp;sourceID=54","")</f>
        <v/>
      </c>
      <c r="I568" s="4" t="str">
        <f>HYPERLINK("http://141.218.60.56/~jnz1568/getInfo.php?workbook=16_15.xlsx&amp;sheet=A0&amp;row=568&amp;col=9&amp;number=117.59&amp;sourceID=54","117.59")</f>
        <v>117.59</v>
      </c>
      <c r="J568" s="4" t="str">
        <f>HYPERLINK("http://141.218.60.56/~jnz1568/getInfo.php?workbook=16_15.xlsx&amp;sheet=A0&amp;row=568&amp;col=10&amp;number=&amp;sourceID=54","")</f>
        <v/>
      </c>
      <c r="K568" s="4" t="str">
        <f>HYPERLINK("http://141.218.60.56/~jnz1568/getInfo.php?workbook=16_15.xlsx&amp;sheet=A0&amp;row=568&amp;col=11&amp;number=&amp;sourceID=54","")</f>
        <v/>
      </c>
      <c r="L568" s="4" t="str">
        <f>HYPERLINK("http://141.218.60.56/~jnz1568/getInfo.php?workbook=16_15.xlsx&amp;sheet=A0&amp;row=568&amp;col=12&amp;number=118.086530426&amp;sourceID=53","118.086530426")</f>
        <v>118.086530426</v>
      </c>
      <c r="M568" s="4" t="str">
        <f>HYPERLINK("http://141.218.60.56/~jnz1568/getInfo.php?workbook=16_15.xlsx&amp;sheet=A0&amp;row=568&amp;col=13&amp;number=&amp;sourceID=53","")</f>
        <v/>
      </c>
      <c r="N568" s="4" t="str">
        <f>HYPERLINK("http://141.218.60.56/~jnz1568/getInfo.php?workbook=16_15.xlsx&amp;sheet=A0&amp;row=568&amp;col=14&amp;number=&amp;sourceID=53","")</f>
        <v/>
      </c>
      <c r="O568" s="4" t="str">
        <f>HYPERLINK("http://141.218.60.56/~jnz1568/getInfo.php?workbook=16_15.xlsx&amp;sheet=A0&amp;row=568&amp;col=15&amp;number=&amp;sourceID=55","")</f>
        <v/>
      </c>
      <c r="P568" s="4" t="str">
        <f>HYPERLINK("http://141.218.60.56/~jnz1568/getInfo.php?workbook=16_15.xlsx&amp;sheet=A0&amp;row=568&amp;col=16&amp;number=&amp;sourceID=55","")</f>
        <v/>
      </c>
      <c r="Q568" s="4" t="str">
        <f>HYPERLINK("http://141.218.60.56/~jnz1568/getInfo.php?workbook=16_15.xlsx&amp;sheet=A0&amp;row=568&amp;col=17&amp;number=&amp;sourceID=56","")</f>
        <v/>
      </c>
      <c r="R568" s="4" t="str">
        <f>HYPERLINK("http://141.218.60.56/~jnz1568/getInfo.php?workbook=16_15.xlsx&amp;sheet=A0&amp;row=568&amp;col=18&amp;number=&amp;sourceID=56","")</f>
        <v/>
      </c>
      <c r="S568" s="4" t="str">
        <f>HYPERLINK("http://141.218.60.56/~jnz1568/getInfo.php?workbook=16_15.xlsx&amp;sheet=A0&amp;row=568&amp;col=19&amp;number=&amp;sourceID=57","")</f>
        <v/>
      </c>
      <c r="T568" s="4" t="str">
        <f>HYPERLINK("http://141.218.60.56/~jnz1568/getInfo.php?workbook=16_15.xlsx&amp;sheet=A0&amp;row=568&amp;col=20&amp;number=&amp;sourceID=57","")</f>
        <v/>
      </c>
      <c r="U568" s="4" t="str">
        <f>HYPERLINK("http://141.218.60.56/~jnz1568/getInfo.php?workbook=16_15.xlsx&amp;sheet=A0&amp;row=568&amp;col=21&amp;number=&amp;sourceID=47","")</f>
        <v/>
      </c>
      <c r="V568" s="4" t="str">
        <f>HYPERLINK("http://141.218.60.56/~jnz1568/getInfo.php?workbook=16_15.xlsx&amp;sheet=A0&amp;row=568&amp;col=22&amp;number=&amp;sourceID=47","")</f>
        <v/>
      </c>
    </row>
    <row r="569" spans="1:22">
      <c r="A569" s="3">
        <v>16</v>
      </c>
      <c r="B569" s="3">
        <v>15</v>
      </c>
      <c r="C569" s="3">
        <v>39</v>
      </c>
      <c r="D569" s="3">
        <v>29</v>
      </c>
      <c r="E569" s="3">
        <f>((1/(INDEX(E0!J$4:J$73,C569,1)-INDEX(E0!J$4:J$73,D569,1))))*100000000</f>
        <v>0</v>
      </c>
      <c r="F569" s="4" t="str">
        <f>HYPERLINK("http://141.218.60.56/~jnz1568/getInfo.php?workbook=16_15.xlsx&amp;sheet=A0&amp;row=569&amp;col=6&amp;number=5290.8&amp;sourceID=54","5290.8")</f>
        <v>5290.8</v>
      </c>
      <c r="G569" s="4" t="str">
        <f>HYPERLINK("http://141.218.60.56/~jnz1568/getInfo.php?workbook=16_15.xlsx&amp;sheet=A0&amp;row=569&amp;col=7&amp;number=&amp;sourceID=54","")</f>
        <v/>
      </c>
      <c r="H569" s="4" t="str">
        <f>HYPERLINK("http://141.218.60.56/~jnz1568/getInfo.php?workbook=16_15.xlsx&amp;sheet=A0&amp;row=569&amp;col=8&amp;number=&amp;sourceID=54","")</f>
        <v/>
      </c>
      <c r="I569" s="4" t="str">
        <f>HYPERLINK("http://141.218.60.56/~jnz1568/getInfo.php?workbook=16_15.xlsx&amp;sheet=A0&amp;row=569&amp;col=9&amp;number=7212.1&amp;sourceID=54","7212.1")</f>
        <v>7212.1</v>
      </c>
      <c r="J569" s="4" t="str">
        <f>HYPERLINK("http://141.218.60.56/~jnz1568/getInfo.php?workbook=16_15.xlsx&amp;sheet=A0&amp;row=569&amp;col=10&amp;number=&amp;sourceID=54","")</f>
        <v/>
      </c>
      <c r="K569" s="4" t="str">
        <f>HYPERLINK("http://141.218.60.56/~jnz1568/getInfo.php?workbook=16_15.xlsx&amp;sheet=A0&amp;row=569&amp;col=11&amp;number=&amp;sourceID=54","")</f>
        <v/>
      </c>
      <c r="L569" s="4" t="str">
        <f>HYPERLINK("http://141.218.60.56/~jnz1568/getInfo.php?workbook=16_15.xlsx&amp;sheet=A0&amp;row=569&amp;col=12&amp;number=7318.08080734&amp;sourceID=53","7318.08080734")</f>
        <v>7318.08080734</v>
      </c>
      <c r="M569" s="4" t="str">
        <f>HYPERLINK("http://141.218.60.56/~jnz1568/getInfo.php?workbook=16_15.xlsx&amp;sheet=A0&amp;row=569&amp;col=13&amp;number=&amp;sourceID=53","")</f>
        <v/>
      </c>
      <c r="N569" s="4" t="str">
        <f>HYPERLINK("http://141.218.60.56/~jnz1568/getInfo.php?workbook=16_15.xlsx&amp;sheet=A0&amp;row=569&amp;col=14&amp;number=&amp;sourceID=53","")</f>
        <v/>
      </c>
      <c r="O569" s="4" t="str">
        <f>HYPERLINK("http://141.218.60.56/~jnz1568/getInfo.php?workbook=16_15.xlsx&amp;sheet=A0&amp;row=569&amp;col=15&amp;number=&amp;sourceID=55","")</f>
        <v/>
      </c>
      <c r="P569" s="4" t="str">
        <f>HYPERLINK("http://141.218.60.56/~jnz1568/getInfo.php?workbook=16_15.xlsx&amp;sheet=A0&amp;row=569&amp;col=16&amp;number=&amp;sourceID=55","")</f>
        <v/>
      </c>
      <c r="Q569" s="4" t="str">
        <f>HYPERLINK("http://141.218.60.56/~jnz1568/getInfo.php?workbook=16_15.xlsx&amp;sheet=A0&amp;row=569&amp;col=17&amp;number=&amp;sourceID=56","")</f>
        <v/>
      </c>
      <c r="R569" s="4" t="str">
        <f>HYPERLINK("http://141.218.60.56/~jnz1568/getInfo.php?workbook=16_15.xlsx&amp;sheet=A0&amp;row=569&amp;col=18&amp;number=&amp;sourceID=56","")</f>
        <v/>
      </c>
      <c r="S569" s="4" t="str">
        <f>HYPERLINK("http://141.218.60.56/~jnz1568/getInfo.php?workbook=16_15.xlsx&amp;sheet=A0&amp;row=569&amp;col=19&amp;number=&amp;sourceID=57","")</f>
        <v/>
      </c>
      <c r="T569" s="4" t="str">
        <f>HYPERLINK("http://141.218.60.56/~jnz1568/getInfo.php?workbook=16_15.xlsx&amp;sheet=A0&amp;row=569&amp;col=20&amp;number=&amp;sourceID=57","")</f>
        <v/>
      </c>
      <c r="U569" s="4" t="str">
        <f>HYPERLINK("http://141.218.60.56/~jnz1568/getInfo.php?workbook=16_15.xlsx&amp;sheet=A0&amp;row=569&amp;col=21&amp;number=&amp;sourceID=47","")</f>
        <v/>
      </c>
      <c r="V569" s="4" t="str">
        <f>HYPERLINK("http://141.218.60.56/~jnz1568/getInfo.php?workbook=16_15.xlsx&amp;sheet=A0&amp;row=569&amp;col=22&amp;number=&amp;sourceID=47","")</f>
        <v/>
      </c>
    </row>
    <row r="570" spans="1:22">
      <c r="A570" s="3">
        <v>16</v>
      </c>
      <c r="B570" s="3">
        <v>15</v>
      </c>
      <c r="C570" s="3">
        <v>39</v>
      </c>
      <c r="D570" s="3">
        <v>30</v>
      </c>
      <c r="E570" s="3">
        <f>((1/(INDEX(E0!J$4:J$73,C570,1)-INDEX(E0!J$4:J$73,D570,1))))*100000000</f>
        <v>0</v>
      </c>
      <c r="F570" s="4" t="str">
        <f>HYPERLINK("http://141.218.60.56/~jnz1568/getInfo.php?workbook=16_15.xlsx&amp;sheet=A0&amp;row=570&amp;col=6&amp;number=2228.3&amp;sourceID=54","2228.3")</f>
        <v>2228.3</v>
      </c>
      <c r="G570" s="4" t="str">
        <f>HYPERLINK("http://141.218.60.56/~jnz1568/getInfo.php?workbook=16_15.xlsx&amp;sheet=A0&amp;row=570&amp;col=7&amp;number=&amp;sourceID=54","")</f>
        <v/>
      </c>
      <c r="H570" s="4" t="str">
        <f>HYPERLINK("http://141.218.60.56/~jnz1568/getInfo.php?workbook=16_15.xlsx&amp;sheet=A0&amp;row=570&amp;col=8&amp;number=&amp;sourceID=54","")</f>
        <v/>
      </c>
      <c r="I570" s="4" t="str">
        <f>HYPERLINK("http://141.218.60.56/~jnz1568/getInfo.php?workbook=16_15.xlsx&amp;sheet=A0&amp;row=570&amp;col=9&amp;number=2652.1&amp;sourceID=54","2652.1")</f>
        <v>2652.1</v>
      </c>
      <c r="J570" s="4" t="str">
        <f>HYPERLINK("http://141.218.60.56/~jnz1568/getInfo.php?workbook=16_15.xlsx&amp;sheet=A0&amp;row=570&amp;col=10&amp;number=&amp;sourceID=54","")</f>
        <v/>
      </c>
      <c r="K570" s="4" t="str">
        <f>HYPERLINK("http://141.218.60.56/~jnz1568/getInfo.php?workbook=16_15.xlsx&amp;sheet=A0&amp;row=570&amp;col=11&amp;number=&amp;sourceID=54","")</f>
        <v/>
      </c>
      <c r="L570" s="4" t="str">
        <f>HYPERLINK("http://141.218.60.56/~jnz1568/getInfo.php?workbook=16_15.xlsx&amp;sheet=A0&amp;row=570&amp;col=12&amp;number=3072.15505282&amp;sourceID=53","3072.15505282")</f>
        <v>3072.15505282</v>
      </c>
      <c r="M570" s="4" t="str">
        <f>HYPERLINK("http://141.218.60.56/~jnz1568/getInfo.php?workbook=16_15.xlsx&amp;sheet=A0&amp;row=570&amp;col=13&amp;number=&amp;sourceID=53","")</f>
        <v/>
      </c>
      <c r="N570" s="4" t="str">
        <f>HYPERLINK("http://141.218.60.56/~jnz1568/getInfo.php?workbook=16_15.xlsx&amp;sheet=A0&amp;row=570&amp;col=14&amp;number=&amp;sourceID=53","")</f>
        <v/>
      </c>
      <c r="O570" s="4" t="str">
        <f>HYPERLINK("http://141.218.60.56/~jnz1568/getInfo.php?workbook=16_15.xlsx&amp;sheet=A0&amp;row=570&amp;col=15&amp;number=&amp;sourceID=55","")</f>
        <v/>
      </c>
      <c r="P570" s="4" t="str">
        <f>HYPERLINK("http://141.218.60.56/~jnz1568/getInfo.php?workbook=16_15.xlsx&amp;sheet=A0&amp;row=570&amp;col=16&amp;number=&amp;sourceID=55","")</f>
        <v/>
      </c>
      <c r="Q570" s="4" t="str">
        <f>HYPERLINK("http://141.218.60.56/~jnz1568/getInfo.php?workbook=16_15.xlsx&amp;sheet=A0&amp;row=570&amp;col=17&amp;number=&amp;sourceID=56","")</f>
        <v/>
      </c>
      <c r="R570" s="4" t="str">
        <f>HYPERLINK("http://141.218.60.56/~jnz1568/getInfo.php?workbook=16_15.xlsx&amp;sheet=A0&amp;row=570&amp;col=18&amp;number=&amp;sourceID=56","")</f>
        <v/>
      </c>
      <c r="S570" s="4" t="str">
        <f>HYPERLINK("http://141.218.60.56/~jnz1568/getInfo.php?workbook=16_15.xlsx&amp;sheet=A0&amp;row=570&amp;col=19&amp;number=&amp;sourceID=57","")</f>
        <v/>
      </c>
      <c r="T570" s="4" t="str">
        <f>HYPERLINK("http://141.218.60.56/~jnz1568/getInfo.php?workbook=16_15.xlsx&amp;sheet=A0&amp;row=570&amp;col=20&amp;number=&amp;sourceID=57","")</f>
        <v/>
      </c>
      <c r="U570" s="4" t="str">
        <f>HYPERLINK("http://141.218.60.56/~jnz1568/getInfo.php?workbook=16_15.xlsx&amp;sheet=A0&amp;row=570&amp;col=21&amp;number=&amp;sourceID=47","")</f>
        <v/>
      </c>
      <c r="V570" s="4" t="str">
        <f>HYPERLINK("http://141.218.60.56/~jnz1568/getInfo.php?workbook=16_15.xlsx&amp;sheet=A0&amp;row=570&amp;col=22&amp;number=&amp;sourceID=47","")</f>
        <v/>
      </c>
    </row>
    <row r="571" spans="1:22">
      <c r="A571" s="3">
        <v>16</v>
      </c>
      <c r="B571" s="3">
        <v>15</v>
      </c>
      <c r="C571" s="3">
        <v>39</v>
      </c>
      <c r="D571" s="3">
        <v>31</v>
      </c>
      <c r="E571" s="3">
        <f>((1/(INDEX(E0!J$4:J$73,C571,1)-INDEX(E0!J$4:J$73,D571,1))))*100000000</f>
        <v>0</v>
      </c>
      <c r="F571" s="4" t="str">
        <f>HYPERLINK("http://141.218.60.56/~jnz1568/getInfo.php?workbook=16_15.xlsx&amp;sheet=A0&amp;row=571&amp;col=6&amp;number=&amp;sourceID=54","")</f>
        <v/>
      </c>
      <c r="G571" s="4" t="str">
        <f>HYPERLINK("http://141.218.60.56/~jnz1568/getInfo.php?workbook=16_15.xlsx&amp;sheet=A0&amp;row=571&amp;col=7&amp;number=0.00014575&amp;sourceID=54","0.00014575")</f>
        <v>0.00014575</v>
      </c>
      <c r="H571" s="4" t="str">
        <f>HYPERLINK("http://141.218.60.56/~jnz1568/getInfo.php?workbook=16_15.xlsx&amp;sheet=A0&amp;row=571&amp;col=8&amp;number=0.0036777&amp;sourceID=54","0.0036777")</f>
        <v>0.0036777</v>
      </c>
      <c r="I571" s="4" t="str">
        <f>HYPERLINK("http://141.218.60.56/~jnz1568/getInfo.php?workbook=16_15.xlsx&amp;sheet=A0&amp;row=571&amp;col=9&amp;number=&amp;sourceID=54","")</f>
        <v/>
      </c>
      <c r="J571" s="4" t="str">
        <f>HYPERLINK("http://141.218.60.56/~jnz1568/getInfo.php?workbook=16_15.xlsx&amp;sheet=A0&amp;row=571&amp;col=10&amp;number=0.00018079&amp;sourceID=54","0.00018079")</f>
        <v>0.00018079</v>
      </c>
      <c r="K571" s="4" t="str">
        <f>HYPERLINK("http://141.218.60.56/~jnz1568/getInfo.php?workbook=16_15.xlsx&amp;sheet=A0&amp;row=571&amp;col=11&amp;number=0.0036837&amp;sourceID=54","0.0036837")</f>
        <v>0.0036837</v>
      </c>
      <c r="L571" s="4" t="str">
        <f>HYPERLINK("http://141.218.60.56/~jnz1568/getInfo.php?workbook=16_15.xlsx&amp;sheet=A0&amp;row=571&amp;col=12&amp;number=&amp;sourceID=53","")</f>
        <v/>
      </c>
      <c r="M571" s="4" t="str">
        <f>HYPERLINK("http://141.218.60.56/~jnz1568/getInfo.php?workbook=16_15.xlsx&amp;sheet=A0&amp;row=571&amp;col=13&amp;number=&amp;sourceID=53","")</f>
        <v/>
      </c>
      <c r="N571" s="4" t="str">
        <f>HYPERLINK("http://141.218.60.56/~jnz1568/getInfo.php?workbook=16_15.xlsx&amp;sheet=A0&amp;row=571&amp;col=14&amp;number=&amp;sourceID=53","")</f>
        <v/>
      </c>
      <c r="O571" s="4" t="str">
        <f>HYPERLINK("http://141.218.60.56/~jnz1568/getInfo.php?workbook=16_15.xlsx&amp;sheet=A0&amp;row=571&amp;col=15&amp;number=&amp;sourceID=55","")</f>
        <v/>
      </c>
      <c r="P571" s="4" t="str">
        <f>HYPERLINK("http://141.218.60.56/~jnz1568/getInfo.php?workbook=16_15.xlsx&amp;sheet=A0&amp;row=571&amp;col=16&amp;number=&amp;sourceID=55","")</f>
        <v/>
      </c>
      <c r="Q571" s="4" t="str">
        <f>HYPERLINK("http://141.218.60.56/~jnz1568/getInfo.php?workbook=16_15.xlsx&amp;sheet=A0&amp;row=571&amp;col=17&amp;number=&amp;sourceID=56","")</f>
        <v/>
      </c>
      <c r="R571" s="4" t="str">
        <f>HYPERLINK("http://141.218.60.56/~jnz1568/getInfo.php?workbook=16_15.xlsx&amp;sheet=A0&amp;row=571&amp;col=18&amp;number=&amp;sourceID=56","")</f>
        <v/>
      </c>
      <c r="S571" s="4" t="str">
        <f>HYPERLINK("http://141.218.60.56/~jnz1568/getInfo.php?workbook=16_15.xlsx&amp;sheet=A0&amp;row=571&amp;col=19&amp;number=&amp;sourceID=57","")</f>
        <v/>
      </c>
      <c r="T571" s="4" t="str">
        <f>HYPERLINK("http://141.218.60.56/~jnz1568/getInfo.php?workbook=16_15.xlsx&amp;sheet=A0&amp;row=571&amp;col=20&amp;number=&amp;sourceID=57","")</f>
        <v/>
      </c>
      <c r="U571" s="4" t="str">
        <f>HYPERLINK("http://141.218.60.56/~jnz1568/getInfo.php?workbook=16_15.xlsx&amp;sheet=A0&amp;row=571&amp;col=21&amp;number=&amp;sourceID=47","")</f>
        <v/>
      </c>
      <c r="V571" s="4" t="str">
        <f>HYPERLINK("http://141.218.60.56/~jnz1568/getInfo.php?workbook=16_15.xlsx&amp;sheet=A0&amp;row=571&amp;col=22&amp;number=&amp;sourceID=47","")</f>
        <v/>
      </c>
    </row>
    <row r="572" spans="1:22">
      <c r="A572" s="3">
        <v>16</v>
      </c>
      <c r="B572" s="3">
        <v>15</v>
      </c>
      <c r="C572" s="3">
        <v>39</v>
      </c>
      <c r="D572" s="3">
        <v>34</v>
      </c>
      <c r="E572" s="3">
        <f>((1/(INDEX(E0!J$4:J$73,C572,1)-INDEX(E0!J$4:J$73,D572,1))))*100000000</f>
        <v>0</v>
      </c>
      <c r="F572" s="4" t="str">
        <f>HYPERLINK("http://141.218.60.56/~jnz1568/getInfo.php?workbook=16_15.xlsx&amp;sheet=A0&amp;row=572&amp;col=6&amp;number=&amp;sourceID=54","")</f>
        <v/>
      </c>
      <c r="G572" s="4" t="str">
        <f>HYPERLINK("http://141.218.60.56/~jnz1568/getInfo.php?workbook=16_15.xlsx&amp;sheet=A0&amp;row=572&amp;col=7&amp;number=0.00032937&amp;sourceID=54","0.00032937")</f>
        <v>0.00032937</v>
      </c>
      <c r="H572" s="4" t="str">
        <f>HYPERLINK("http://141.218.60.56/~jnz1568/getInfo.php?workbook=16_15.xlsx&amp;sheet=A0&amp;row=572&amp;col=8&amp;number=0.00068358&amp;sourceID=54","0.00068358")</f>
        <v>0.00068358</v>
      </c>
      <c r="I572" s="4" t="str">
        <f>HYPERLINK("http://141.218.60.56/~jnz1568/getInfo.php?workbook=16_15.xlsx&amp;sheet=A0&amp;row=572&amp;col=9&amp;number=&amp;sourceID=54","")</f>
        <v/>
      </c>
      <c r="J572" s="4" t="str">
        <f>HYPERLINK("http://141.218.60.56/~jnz1568/getInfo.php?workbook=16_15.xlsx&amp;sheet=A0&amp;row=572&amp;col=10&amp;number=0.0003634&amp;sourceID=54","0.0003634")</f>
        <v>0.0003634</v>
      </c>
      <c r="K572" s="4" t="str">
        <f>HYPERLINK("http://141.218.60.56/~jnz1568/getInfo.php?workbook=16_15.xlsx&amp;sheet=A0&amp;row=572&amp;col=11&amp;number=0.00070434&amp;sourceID=54","0.00070434")</f>
        <v>0.00070434</v>
      </c>
      <c r="L572" s="4" t="str">
        <f>HYPERLINK("http://141.218.60.56/~jnz1568/getInfo.php?workbook=16_15.xlsx&amp;sheet=A0&amp;row=572&amp;col=12&amp;number=&amp;sourceID=53","")</f>
        <v/>
      </c>
      <c r="M572" s="4" t="str">
        <f>HYPERLINK("http://141.218.60.56/~jnz1568/getInfo.php?workbook=16_15.xlsx&amp;sheet=A0&amp;row=572&amp;col=13&amp;number=&amp;sourceID=53","")</f>
        <v/>
      </c>
      <c r="N572" s="4" t="str">
        <f>HYPERLINK("http://141.218.60.56/~jnz1568/getInfo.php?workbook=16_15.xlsx&amp;sheet=A0&amp;row=572&amp;col=14&amp;number=&amp;sourceID=53","")</f>
        <v/>
      </c>
      <c r="O572" s="4" t="str">
        <f>HYPERLINK("http://141.218.60.56/~jnz1568/getInfo.php?workbook=16_15.xlsx&amp;sheet=A0&amp;row=572&amp;col=15&amp;number=&amp;sourceID=55","")</f>
        <v/>
      </c>
      <c r="P572" s="4" t="str">
        <f>HYPERLINK("http://141.218.60.56/~jnz1568/getInfo.php?workbook=16_15.xlsx&amp;sheet=A0&amp;row=572&amp;col=16&amp;number=&amp;sourceID=55","")</f>
        <v/>
      </c>
      <c r="Q572" s="4" t="str">
        <f>HYPERLINK("http://141.218.60.56/~jnz1568/getInfo.php?workbook=16_15.xlsx&amp;sheet=A0&amp;row=572&amp;col=17&amp;number=&amp;sourceID=56","")</f>
        <v/>
      </c>
      <c r="R572" s="4" t="str">
        <f>HYPERLINK("http://141.218.60.56/~jnz1568/getInfo.php?workbook=16_15.xlsx&amp;sheet=A0&amp;row=572&amp;col=18&amp;number=&amp;sourceID=56","")</f>
        <v/>
      </c>
      <c r="S572" s="4" t="str">
        <f>HYPERLINK("http://141.218.60.56/~jnz1568/getInfo.php?workbook=16_15.xlsx&amp;sheet=A0&amp;row=572&amp;col=19&amp;number=&amp;sourceID=57","")</f>
        <v/>
      </c>
      <c r="T572" s="4" t="str">
        <f>HYPERLINK("http://141.218.60.56/~jnz1568/getInfo.php?workbook=16_15.xlsx&amp;sheet=A0&amp;row=572&amp;col=20&amp;number=&amp;sourceID=57","")</f>
        <v/>
      </c>
      <c r="U572" s="4" t="str">
        <f>HYPERLINK("http://141.218.60.56/~jnz1568/getInfo.php?workbook=16_15.xlsx&amp;sheet=A0&amp;row=572&amp;col=21&amp;number=&amp;sourceID=47","")</f>
        <v/>
      </c>
      <c r="V572" s="4" t="str">
        <f>HYPERLINK("http://141.218.60.56/~jnz1568/getInfo.php?workbook=16_15.xlsx&amp;sheet=A0&amp;row=572&amp;col=22&amp;number=&amp;sourceID=47","")</f>
        <v/>
      </c>
    </row>
    <row r="573" spans="1:22">
      <c r="A573" s="3">
        <v>16</v>
      </c>
      <c r="B573" s="3">
        <v>15</v>
      </c>
      <c r="C573" s="3">
        <v>39</v>
      </c>
      <c r="D573" s="3">
        <v>35</v>
      </c>
      <c r="E573" s="3">
        <f>((1/(INDEX(E0!J$4:J$73,C573,1)-INDEX(E0!J$4:J$73,D573,1))))*100000000</f>
        <v>0</v>
      </c>
      <c r="F573" s="4" t="str">
        <f>HYPERLINK("http://141.218.60.56/~jnz1568/getInfo.php?workbook=16_15.xlsx&amp;sheet=A0&amp;row=573&amp;col=6&amp;number=&amp;sourceID=54","")</f>
        <v/>
      </c>
      <c r="G573" s="4" t="str">
        <f>HYPERLINK("http://141.218.60.56/~jnz1568/getInfo.php?workbook=16_15.xlsx&amp;sheet=A0&amp;row=573&amp;col=7&amp;number=0.00026054&amp;sourceID=54","0.00026054")</f>
        <v>0.00026054</v>
      </c>
      <c r="H573" s="4" t="str">
        <f>HYPERLINK("http://141.218.60.56/~jnz1568/getInfo.php?workbook=16_15.xlsx&amp;sheet=A0&amp;row=573&amp;col=8&amp;number=0.00096871&amp;sourceID=54","0.00096871")</f>
        <v>0.00096871</v>
      </c>
      <c r="I573" s="4" t="str">
        <f>HYPERLINK("http://141.218.60.56/~jnz1568/getInfo.php?workbook=16_15.xlsx&amp;sheet=A0&amp;row=573&amp;col=9&amp;number=&amp;sourceID=54","")</f>
        <v/>
      </c>
      <c r="J573" s="4" t="str">
        <f>HYPERLINK("http://141.218.60.56/~jnz1568/getInfo.php?workbook=16_15.xlsx&amp;sheet=A0&amp;row=573&amp;col=10&amp;number=0.00028735&amp;sourceID=54","0.00028735")</f>
        <v>0.00028735</v>
      </c>
      <c r="K573" s="4" t="str">
        <f>HYPERLINK("http://141.218.60.56/~jnz1568/getInfo.php?workbook=16_15.xlsx&amp;sheet=A0&amp;row=573&amp;col=11&amp;number=0.00098319&amp;sourceID=54","0.00098319")</f>
        <v>0.00098319</v>
      </c>
      <c r="L573" s="4" t="str">
        <f>HYPERLINK("http://141.218.60.56/~jnz1568/getInfo.php?workbook=16_15.xlsx&amp;sheet=A0&amp;row=573&amp;col=12&amp;number=&amp;sourceID=53","")</f>
        <v/>
      </c>
      <c r="M573" s="4" t="str">
        <f>HYPERLINK("http://141.218.60.56/~jnz1568/getInfo.php?workbook=16_15.xlsx&amp;sheet=A0&amp;row=573&amp;col=13&amp;number=&amp;sourceID=53","")</f>
        <v/>
      </c>
      <c r="N573" s="4" t="str">
        <f>HYPERLINK("http://141.218.60.56/~jnz1568/getInfo.php?workbook=16_15.xlsx&amp;sheet=A0&amp;row=573&amp;col=14&amp;number=&amp;sourceID=53","")</f>
        <v/>
      </c>
      <c r="O573" s="4" t="str">
        <f>HYPERLINK("http://141.218.60.56/~jnz1568/getInfo.php?workbook=16_15.xlsx&amp;sheet=A0&amp;row=573&amp;col=15&amp;number=&amp;sourceID=55","")</f>
        <v/>
      </c>
      <c r="P573" s="4" t="str">
        <f>HYPERLINK("http://141.218.60.56/~jnz1568/getInfo.php?workbook=16_15.xlsx&amp;sheet=A0&amp;row=573&amp;col=16&amp;number=&amp;sourceID=55","")</f>
        <v/>
      </c>
      <c r="Q573" s="4" t="str">
        <f>HYPERLINK("http://141.218.60.56/~jnz1568/getInfo.php?workbook=16_15.xlsx&amp;sheet=A0&amp;row=573&amp;col=17&amp;number=&amp;sourceID=56","")</f>
        <v/>
      </c>
      <c r="R573" s="4" t="str">
        <f>HYPERLINK("http://141.218.60.56/~jnz1568/getInfo.php?workbook=16_15.xlsx&amp;sheet=A0&amp;row=573&amp;col=18&amp;number=&amp;sourceID=56","")</f>
        <v/>
      </c>
      <c r="S573" s="4" t="str">
        <f>HYPERLINK("http://141.218.60.56/~jnz1568/getInfo.php?workbook=16_15.xlsx&amp;sheet=A0&amp;row=573&amp;col=19&amp;number=&amp;sourceID=57","")</f>
        <v/>
      </c>
      <c r="T573" s="4" t="str">
        <f>HYPERLINK("http://141.218.60.56/~jnz1568/getInfo.php?workbook=16_15.xlsx&amp;sheet=A0&amp;row=573&amp;col=20&amp;number=&amp;sourceID=57","")</f>
        <v/>
      </c>
      <c r="U573" s="4" t="str">
        <f>HYPERLINK("http://141.218.60.56/~jnz1568/getInfo.php?workbook=16_15.xlsx&amp;sheet=A0&amp;row=573&amp;col=21&amp;number=&amp;sourceID=47","")</f>
        <v/>
      </c>
      <c r="V573" s="4" t="str">
        <f>HYPERLINK("http://141.218.60.56/~jnz1568/getInfo.php?workbook=16_15.xlsx&amp;sheet=A0&amp;row=573&amp;col=22&amp;number=&amp;sourceID=47","")</f>
        <v/>
      </c>
    </row>
    <row r="574" spans="1:22">
      <c r="A574" s="3">
        <v>16</v>
      </c>
      <c r="B574" s="3">
        <v>15</v>
      </c>
      <c r="C574" s="3">
        <v>39</v>
      </c>
      <c r="D574" s="3">
        <v>36</v>
      </c>
      <c r="E574" s="3">
        <f>((1/(INDEX(E0!J$4:J$73,C574,1)-INDEX(E0!J$4:J$73,D574,1))))*100000000</f>
        <v>0</v>
      </c>
      <c r="F574" s="4" t="str">
        <f>HYPERLINK("http://141.218.60.56/~jnz1568/getInfo.php?workbook=16_15.xlsx&amp;sheet=A0&amp;row=574&amp;col=6&amp;number=&amp;sourceID=54","")</f>
        <v/>
      </c>
      <c r="G574" s="4" t="str">
        <f>HYPERLINK("http://141.218.60.56/~jnz1568/getInfo.php?workbook=16_15.xlsx&amp;sheet=A0&amp;row=574&amp;col=7&amp;number=2.9681e-05&amp;sourceID=54","2.9681e-05")</f>
        <v>2.9681e-05</v>
      </c>
      <c r="H574" s="4" t="str">
        <f>HYPERLINK("http://141.218.60.56/~jnz1568/getInfo.php?workbook=16_15.xlsx&amp;sheet=A0&amp;row=574&amp;col=8&amp;number=0.00010349&amp;sourceID=54","0.00010349")</f>
        <v>0.00010349</v>
      </c>
      <c r="I574" s="4" t="str">
        <f>HYPERLINK("http://141.218.60.56/~jnz1568/getInfo.php?workbook=16_15.xlsx&amp;sheet=A0&amp;row=574&amp;col=9&amp;number=&amp;sourceID=54","")</f>
        <v/>
      </c>
      <c r="J574" s="4" t="str">
        <f>HYPERLINK("http://141.218.60.56/~jnz1568/getInfo.php?workbook=16_15.xlsx&amp;sheet=A0&amp;row=574&amp;col=10&amp;number=3.207e-05&amp;sourceID=54","3.207e-05")</f>
        <v>3.207e-05</v>
      </c>
      <c r="K574" s="4" t="str">
        <f>HYPERLINK("http://141.218.60.56/~jnz1568/getInfo.php?workbook=16_15.xlsx&amp;sheet=A0&amp;row=574&amp;col=11&amp;number=0.00010632&amp;sourceID=54","0.00010632")</f>
        <v>0.00010632</v>
      </c>
      <c r="L574" s="4" t="str">
        <f>HYPERLINK("http://141.218.60.56/~jnz1568/getInfo.php?workbook=16_15.xlsx&amp;sheet=A0&amp;row=574&amp;col=12&amp;number=&amp;sourceID=53","")</f>
        <v/>
      </c>
      <c r="M574" s="4" t="str">
        <f>HYPERLINK("http://141.218.60.56/~jnz1568/getInfo.php?workbook=16_15.xlsx&amp;sheet=A0&amp;row=574&amp;col=13&amp;number=&amp;sourceID=53","")</f>
        <v/>
      </c>
      <c r="N574" s="4" t="str">
        <f>HYPERLINK("http://141.218.60.56/~jnz1568/getInfo.php?workbook=16_15.xlsx&amp;sheet=A0&amp;row=574&amp;col=14&amp;number=&amp;sourceID=53","")</f>
        <v/>
      </c>
      <c r="O574" s="4" t="str">
        <f>HYPERLINK("http://141.218.60.56/~jnz1568/getInfo.php?workbook=16_15.xlsx&amp;sheet=A0&amp;row=574&amp;col=15&amp;number=&amp;sourceID=55","")</f>
        <v/>
      </c>
      <c r="P574" s="4" t="str">
        <f>HYPERLINK("http://141.218.60.56/~jnz1568/getInfo.php?workbook=16_15.xlsx&amp;sheet=A0&amp;row=574&amp;col=16&amp;number=&amp;sourceID=55","")</f>
        <v/>
      </c>
      <c r="Q574" s="4" t="str">
        <f>HYPERLINK("http://141.218.60.56/~jnz1568/getInfo.php?workbook=16_15.xlsx&amp;sheet=A0&amp;row=574&amp;col=17&amp;number=&amp;sourceID=56","")</f>
        <v/>
      </c>
      <c r="R574" s="4" t="str">
        <f>HYPERLINK("http://141.218.60.56/~jnz1568/getInfo.php?workbook=16_15.xlsx&amp;sheet=A0&amp;row=574&amp;col=18&amp;number=&amp;sourceID=56","")</f>
        <v/>
      </c>
      <c r="S574" s="4" t="str">
        <f>HYPERLINK("http://141.218.60.56/~jnz1568/getInfo.php?workbook=16_15.xlsx&amp;sheet=A0&amp;row=574&amp;col=19&amp;number=&amp;sourceID=57","")</f>
        <v/>
      </c>
      <c r="T574" s="4" t="str">
        <f>HYPERLINK("http://141.218.60.56/~jnz1568/getInfo.php?workbook=16_15.xlsx&amp;sheet=A0&amp;row=574&amp;col=20&amp;number=&amp;sourceID=57","")</f>
        <v/>
      </c>
      <c r="U574" s="4" t="str">
        <f>HYPERLINK("http://141.218.60.56/~jnz1568/getInfo.php?workbook=16_15.xlsx&amp;sheet=A0&amp;row=574&amp;col=21&amp;number=&amp;sourceID=47","")</f>
        <v/>
      </c>
      <c r="V574" s="4" t="str">
        <f>HYPERLINK("http://141.218.60.56/~jnz1568/getInfo.php?workbook=16_15.xlsx&amp;sheet=A0&amp;row=574&amp;col=22&amp;number=&amp;sourceID=47","")</f>
        <v/>
      </c>
    </row>
    <row r="575" spans="1:22">
      <c r="A575" s="3">
        <v>16</v>
      </c>
      <c r="B575" s="3">
        <v>15</v>
      </c>
      <c r="C575" s="3">
        <v>39</v>
      </c>
      <c r="D575" s="3">
        <v>37</v>
      </c>
      <c r="E575" s="3">
        <f>((1/(INDEX(E0!J$4:J$73,C575,1)-INDEX(E0!J$4:J$73,D575,1))))*100000000</f>
        <v>0</v>
      </c>
      <c r="F575" s="4" t="str">
        <f>HYPERLINK("http://141.218.60.56/~jnz1568/getInfo.php?workbook=16_15.xlsx&amp;sheet=A0&amp;row=575&amp;col=6&amp;number=&amp;sourceID=54","")</f>
        <v/>
      </c>
      <c r="G575" s="4" t="str">
        <f>HYPERLINK("http://141.218.60.56/~jnz1568/getInfo.php?workbook=16_15.xlsx&amp;sheet=A0&amp;row=575&amp;col=7&amp;number=3.7743e-05&amp;sourceID=54","3.7743e-05")</f>
        <v>3.7743e-05</v>
      </c>
      <c r="H575" s="4" t="str">
        <f>HYPERLINK("http://141.218.60.56/~jnz1568/getInfo.php?workbook=16_15.xlsx&amp;sheet=A0&amp;row=575&amp;col=8&amp;number=&amp;sourceID=54","")</f>
        <v/>
      </c>
      <c r="I575" s="4" t="str">
        <f>HYPERLINK("http://141.218.60.56/~jnz1568/getInfo.php?workbook=16_15.xlsx&amp;sheet=A0&amp;row=575&amp;col=9&amp;number=&amp;sourceID=54","")</f>
        <v/>
      </c>
      <c r="J575" s="4" t="str">
        <f>HYPERLINK("http://141.218.60.56/~jnz1568/getInfo.php?workbook=16_15.xlsx&amp;sheet=A0&amp;row=575&amp;col=10&amp;number=4.5672e-05&amp;sourceID=54","4.5672e-05")</f>
        <v>4.5672e-05</v>
      </c>
      <c r="K575" s="4" t="str">
        <f>HYPERLINK("http://141.218.60.56/~jnz1568/getInfo.php?workbook=16_15.xlsx&amp;sheet=A0&amp;row=575&amp;col=11&amp;number=&amp;sourceID=54","")</f>
        <v/>
      </c>
      <c r="L575" s="4" t="str">
        <f>HYPERLINK("http://141.218.60.56/~jnz1568/getInfo.php?workbook=16_15.xlsx&amp;sheet=A0&amp;row=575&amp;col=12&amp;number=&amp;sourceID=53","")</f>
        <v/>
      </c>
      <c r="M575" s="4" t="str">
        <f>HYPERLINK("http://141.218.60.56/~jnz1568/getInfo.php?workbook=16_15.xlsx&amp;sheet=A0&amp;row=575&amp;col=13&amp;number=&amp;sourceID=53","")</f>
        <v/>
      </c>
      <c r="N575" s="4" t="str">
        <f>HYPERLINK("http://141.218.60.56/~jnz1568/getInfo.php?workbook=16_15.xlsx&amp;sheet=A0&amp;row=575&amp;col=14&amp;number=&amp;sourceID=53","")</f>
        <v/>
      </c>
      <c r="O575" s="4" t="str">
        <f>HYPERLINK("http://141.218.60.56/~jnz1568/getInfo.php?workbook=16_15.xlsx&amp;sheet=A0&amp;row=575&amp;col=15&amp;number=&amp;sourceID=55","")</f>
        <v/>
      </c>
      <c r="P575" s="4" t="str">
        <f>HYPERLINK("http://141.218.60.56/~jnz1568/getInfo.php?workbook=16_15.xlsx&amp;sheet=A0&amp;row=575&amp;col=16&amp;number=&amp;sourceID=55","")</f>
        <v/>
      </c>
      <c r="Q575" s="4" t="str">
        <f>HYPERLINK("http://141.218.60.56/~jnz1568/getInfo.php?workbook=16_15.xlsx&amp;sheet=A0&amp;row=575&amp;col=17&amp;number=&amp;sourceID=56","")</f>
        <v/>
      </c>
      <c r="R575" s="4" t="str">
        <f>HYPERLINK("http://141.218.60.56/~jnz1568/getInfo.php?workbook=16_15.xlsx&amp;sheet=A0&amp;row=575&amp;col=18&amp;number=&amp;sourceID=56","")</f>
        <v/>
      </c>
      <c r="S575" s="4" t="str">
        <f>HYPERLINK("http://141.218.60.56/~jnz1568/getInfo.php?workbook=16_15.xlsx&amp;sheet=A0&amp;row=575&amp;col=19&amp;number=&amp;sourceID=57","")</f>
        <v/>
      </c>
      <c r="T575" s="4" t="str">
        <f>HYPERLINK("http://141.218.60.56/~jnz1568/getInfo.php?workbook=16_15.xlsx&amp;sheet=A0&amp;row=575&amp;col=20&amp;number=&amp;sourceID=57","")</f>
        <v/>
      </c>
      <c r="U575" s="4" t="str">
        <f>HYPERLINK("http://141.218.60.56/~jnz1568/getInfo.php?workbook=16_15.xlsx&amp;sheet=A0&amp;row=575&amp;col=21&amp;number=&amp;sourceID=47","")</f>
        <v/>
      </c>
      <c r="V575" s="4" t="str">
        <f>HYPERLINK("http://141.218.60.56/~jnz1568/getInfo.php?workbook=16_15.xlsx&amp;sheet=A0&amp;row=575&amp;col=22&amp;number=&amp;sourceID=47","")</f>
        <v/>
      </c>
    </row>
    <row r="576" spans="1:22">
      <c r="A576" s="3">
        <v>16</v>
      </c>
      <c r="B576" s="3">
        <v>15</v>
      </c>
      <c r="C576" s="3">
        <v>39</v>
      </c>
      <c r="D576" s="3">
        <v>38</v>
      </c>
      <c r="E576" s="3">
        <f>((1/(INDEX(E0!J$4:J$73,C576,1)-INDEX(E0!J$4:J$73,D576,1))))*100000000</f>
        <v>0</v>
      </c>
      <c r="F576" s="4" t="str">
        <f>HYPERLINK("http://141.218.60.56/~jnz1568/getInfo.php?workbook=16_15.xlsx&amp;sheet=A0&amp;row=576&amp;col=6&amp;number=&amp;sourceID=54","")</f>
        <v/>
      </c>
      <c r="G576" s="4" t="str">
        <f>HYPERLINK("http://141.218.60.56/~jnz1568/getInfo.php?workbook=16_15.xlsx&amp;sheet=A0&amp;row=576&amp;col=7&amp;number=1.5e-13&amp;sourceID=54","1.5e-13")</f>
        <v>1.5e-13</v>
      </c>
      <c r="H576" s="4" t="str">
        <f>HYPERLINK("http://141.218.60.56/~jnz1568/getInfo.php?workbook=16_15.xlsx&amp;sheet=A0&amp;row=576&amp;col=8&amp;number=7.1326e-06&amp;sourceID=54","7.1326e-06")</f>
        <v>7.1326e-06</v>
      </c>
      <c r="I576" s="4" t="str">
        <f>HYPERLINK("http://141.218.60.56/~jnz1568/getInfo.php?workbook=16_15.xlsx&amp;sheet=A0&amp;row=576&amp;col=9&amp;number=&amp;sourceID=54","")</f>
        <v/>
      </c>
      <c r="J576" s="4" t="str">
        <f>HYPERLINK("http://141.218.60.56/~jnz1568/getInfo.php?workbook=16_15.xlsx&amp;sheet=A0&amp;row=576&amp;col=10&amp;number=1.7e-13&amp;sourceID=54","1.7e-13")</f>
        <v>1.7e-13</v>
      </c>
      <c r="K576" s="4" t="str">
        <f>HYPERLINK("http://141.218.60.56/~jnz1568/getInfo.php?workbook=16_15.xlsx&amp;sheet=A0&amp;row=576&amp;col=11&amp;number=7.5315e-06&amp;sourceID=54","7.5315e-06")</f>
        <v>7.5315e-06</v>
      </c>
      <c r="L576" s="4" t="str">
        <f>HYPERLINK("http://141.218.60.56/~jnz1568/getInfo.php?workbook=16_15.xlsx&amp;sheet=A0&amp;row=576&amp;col=12&amp;number=&amp;sourceID=53","")</f>
        <v/>
      </c>
      <c r="M576" s="4" t="str">
        <f>HYPERLINK("http://141.218.60.56/~jnz1568/getInfo.php?workbook=16_15.xlsx&amp;sheet=A0&amp;row=576&amp;col=13&amp;number=&amp;sourceID=53","")</f>
        <v/>
      </c>
      <c r="N576" s="4" t="str">
        <f>HYPERLINK("http://141.218.60.56/~jnz1568/getInfo.php?workbook=16_15.xlsx&amp;sheet=A0&amp;row=576&amp;col=14&amp;number=&amp;sourceID=53","")</f>
        <v/>
      </c>
      <c r="O576" s="4" t="str">
        <f>HYPERLINK("http://141.218.60.56/~jnz1568/getInfo.php?workbook=16_15.xlsx&amp;sheet=A0&amp;row=576&amp;col=15&amp;number=&amp;sourceID=55","")</f>
        <v/>
      </c>
      <c r="P576" s="4" t="str">
        <f>HYPERLINK("http://141.218.60.56/~jnz1568/getInfo.php?workbook=16_15.xlsx&amp;sheet=A0&amp;row=576&amp;col=16&amp;number=&amp;sourceID=55","")</f>
        <v/>
      </c>
      <c r="Q576" s="4" t="str">
        <f>HYPERLINK("http://141.218.60.56/~jnz1568/getInfo.php?workbook=16_15.xlsx&amp;sheet=A0&amp;row=576&amp;col=17&amp;number=&amp;sourceID=56","")</f>
        <v/>
      </c>
      <c r="R576" s="4" t="str">
        <f>HYPERLINK("http://141.218.60.56/~jnz1568/getInfo.php?workbook=16_15.xlsx&amp;sheet=A0&amp;row=576&amp;col=18&amp;number=&amp;sourceID=56","")</f>
        <v/>
      </c>
      <c r="S576" s="4" t="str">
        <f>HYPERLINK("http://141.218.60.56/~jnz1568/getInfo.php?workbook=16_15.xlsx&amp;sheet=A0&amp;row=576&amp;col=19&amp;number=&amp;sourceID=57","")</f>
        <v/>
      </c>
      <c r="T576" s="4" t="str">
        <f>HYPERLINK("http://141.218.60.56/~jnz1568/getInfo.php?workbook=16_15.xlsx&amp;sheet=A0&amp;row=576&amp;col=20&amp;number=&amp;sourceID=57","")</f>
        <v/>
      </c>
      <c r="U576" s="4" t="str">
        <f>HYPERLINK("http://141.218.60.56/~jnz1568/getInfo.php?workbook=16_15.xlsx&amp;sheet=A0&amp;row=576&amp;col=21&amp;number=&amp;sourceID=47","")</f>
        <v/>
      </c>
      <c r="V576" s="4" t="str">
        <f>HYPERLINK("http://141.218.60.56/~jnz1568/getInfo.php?workbook=16_15.xlsx&amp;sheet=A0&amp;row=576&amp;col=22&amp;number=&amp;sourceID=47","")</f>
        <v/>
      </c>
    </row>
    <row r="577" spans="1:22">
      <c r="A577" s="3">
        <v>16</v>
      </c>
      <c r="B577" s="3">
        <v>15</v>
      </c>
      <c r="C577" s="3">
        <v>40</v>
      </c>
      <c r="D577" s="3">
        <v>1</v>
      </c>
      <c r="E577" s="3">
        <f>((1/(INDEX(E0!J$4:J$73,C577,1)-INDEX(E0!J$4:J$73,D577,1))))*100000000</f>
        <v>0</v>
      </c>
      <c r="F577" s="4" t="str">
        <f>HYPERLINK("http://141.218.60.56/~jnz1568/getInfo.php?workbook=16_15.xlsx&amp;sheet=A0&amp;row=577&amp;col=6&amp;number=&amp;sourceID=54","")</f>
        <v/>
      </c>
      <c r="G577" s="4" t="str">
        <f>HYPERLINK("http://141.218.60.56/~jnz1568/getInfo.php?workbook=16_15.xlsx&amp;sheet=A0&amp;row=577&amp;col=7&amp;number=75.416&amp;sourceID=54","75.416")</f>
        <v>75.416</v>
      </c>
      <c r="H577" s="4" t="str">
        <f>HYPERLINK("http://141.218.60.56/~jnz1568/getInfo.php?workbook=16_15.xlsx&amp;sheet=A0&amp;row=577&amp;col=8&amp;number=1.9889e-08&amp;sourceID=54","1.9889e-08")</f>
        <v>1.9889e-08</v>
      </c>
      <c r="I577" s="4" t="str">
        <f>HYPERLINK("http://141.218.60.56/~jnz1568/getInfo.php?workbook=16_15.xlsx&amp;sheet=A0&amp;row=577&amp;col=9&amp;number=&amp;sourceID=54","")</f>
        <v/>
      </c>
      <c r="J577" s="4" t="str">
        <f>HYPERLINK("http://141.218.60.56/~jnz1568/getInfo.php?workbook=16_15.xlsx&amp;sheet=A0&amp;row=577&amp;col=10&amp;number=73.626&amp;sourceID=54","73.626")</f>
        <v>73.626</v>
      </c>
      <c r="K577" s="4" t="str">
        <f>HYPERLINK("http://141.218.60.56/~jnz1568/getInfo.php?workbook=16_15.xlsx&amp;sheet=A0&amp;row=577&amp;col=11&amp;number=2.1522e-08&amp;sourceID=54","2.1522e-08")</f>
        <v>2.1522e-08</v>
      </c>
      <c r="L577" s="4" t="str">
        <f>HYPERLINK("http://141.218.60.56/~jnz1568/getInfo.php?workbook=16_15.xlsx&amp;sheet=A0&amp;row=577&amp;col=12&amp;number=&amp;sourceID=53","")</f>
        <v/>
      </c>
      <c r="M577" s="4" t="str">
        <f>HYPERLINK("http://141.218.60.56/~jnz1568/getInfo.php?workbook=16_15.xlsx&amp;sheet=A0&amp;row=577&amp;col=13&amp;number=&amp;sourceID=53","")</f>
        <v/>
      </c>
      <c r="N577" s="4" t="str">
        <f>HYPERLINK("http://141.218.60.56/~jnz1568/getInfo.php?workbook=16_15.xlsx&amp;sheet=A0&amp;row=577&amp;col=14&amp;number=&amp;sourceID=53","")</f>
        <v/>
      </c>
      <c r="O577" s="4" t="str">
        <f>HYPERLINK("http://141.218.60.56/~jnz1568/getInfo.php?workbook=16_15.xlsx&amp;sheet=A0&amp;row=577&amp;col=15&amp;number=&amp;sourceID=55","")</f>
        <v/>
      </c>
      <c r="P577" s="4" t="str">
        <f>HYPERLINK("http://141.218.60.56/~jnz1568/getInfo.php?workbook=16_15.xlsx&amp;sheet=A0&amp;row=577&amp;col=16&amp;number=&amp;sourceID=55","")</f>
        <v/>
      </c>
      <c r="Q577" s="4" t="str">
        <f>HYPERLINK("http://141.218.60.56/~jnz1568/getInfo.php?workbook=16_15.xlsx&amp;sheet=A0&amp;row=577&amp;col=17&amp;number=&amp;sourceID=56","")</f>
        <v/>
      </c>
      <c r="R577" s="4" t="str">
        <f>HYPERLINK("http://141.218.60.56/~jnz1568/getInfo.php?workbook=16_15.xlsx&amp;sheet=A0&amp;row=577&amp;col=18&amp;number=&amp;sourceID=56","")</f>
        <v/>
      </c>
      <c r="S577" s="4" t="str">
        <f>HYPERLINK("http://141.218.60.56/~jnz1568/getInfo.php?workbook=16_15.xlsx&amp;sheet=A0&amp;row=577&amp;col=19&amp;number=&amp;sourceID=57","")</f>
        <v/>
      </c>
      <c r="T577" s="4" t="str">
        <f>HYPERLINK("http://141.218.60.56/~jnz1568/getInfo.php?workbook=16_15.xlsx&amp;sheet=A0&amp;row=577&amp;col=20&amp;number=&amp;sourceID=57","")</f>
        <v/>
      </c>
      <c r="U577" s="4" t="str">
        <f>HYPERLINK("http://141.218.60.56/~jnz1568/getInfo.php?workbook=16_15.xlsx&amp;sheet=A0&amp;row=577&amp;col=21&amp;number=&amp;sourceID=47","")</f>
        <v/>
      </c>
      <c r="V577" s="4" t="str">
        <f>HYPERLINK("http://141.218.60.56/~jnz1568/getInfo.php?workbook=16_15.xlsx&amp;sheet=A0&amp;row=577&amp;col=22&amp;number=&amp;sourceID=47","")</f>
        <v/>
      </c>
    </row>
    <row r="578" spans="1:22">
      <c r="A578" s="3">
        <v>16</v>
      </c>
      <c r="B578" s="3">
        <v>15</v>
      </c>
      <c r="C578" s="3">
        <v>40</v>
      </c>
      <c r="D578" s="3">
        <v>2</v>
      </c>
      <c r="E578" s="3">
        <f>((1/(INDEX(E0!J$4:J$73,C578,1)-INDEX(E0!J$4:J$73,D578,1))))*100000000</f>
        <v>0</v>
      </c>
      <c r="F578" s="4" t="str">
        <f>HYPERLINK("http://141.218.60.56/~jnz1568/getInfo.php?workbook=16_15.xlsx&amp;sheet=A0&amp;row=578&amp;col=6&amp;number=&amp;sourceID=54","")</f>
        <v/>
      </c>
      <c r="G578" s="4" t="str">
        <f>HYPERLINK("http://141.218.60.56/~jnz1568/getInfo.php?workbook=16_15.xlsx&amp;sheet=A0&amp;row=578&amp;col=7&amp;number=45.664&amp;sourceID=54","45.664")</f>
        <v>45.664</v>
      </c>
      <c r="H578" s="4" t="str">
        <f>HYPERLINK("http://141.218.60.56/~jnz1568/getInfo.php?workbook=16_15.xlsx&amp;sheet=A0&amp;row=578&amp;col=8&amp;number=0.0080969&amp;sourceID=54","0.0080969")</f>
        <v>0.0080969</v>
      </c>
      <c r="I578" s="4" t="str">
        <f>HYPERLINK("http://141.218.60.56/~jnz1568/getInfo.php?workbook=16_15.xlsx&amp;sheet=A0&amp;row=578&amp;col=9&amp;number=&amp;sourceID=54","")</f>
        <v/>
      </c>
      <c r="J578" s="4" t="str">
        <f>HYPERLINK("http://141.218.60.56/~jnz1568/getInfo.php?workbook=16_15.xlsx&amp;sheet=A0&amp;row=578&amp;col=10&amp;number=55.391&amp;sourceID=54","55.391")</f>
        <v>55.391</v>
      </c>
      <c r="K578" s="4" t="str">
        <f>HYPERLINK("http://141.218.60.56/~jnz1568/getInfo.php?workbook=16_15.xlsx&amp;sheet=A0&amp;row=578&amp;col=11&amp;number=0.0078098&amp;sourceID=54","0.0078098")</f>
        <v>0.0078098</v>
      </c>
      <c r="L578" s="4" t="str">
        <f>HYPERLINK("http://141.218.60.56/~jnz1568/getInfo.php?workbook=16_15.xlsx&amp;sheet=A0&amp;row=578&amp;col=12&amp;number=&amp;sourceID=53","")</f>
        <v/>
      </c>
      <c r="M578" s="4" t="str">
        <f>HYPERLINK("http://141.218.60.56/~jnz1568/getInfo.php?workbook=16_15.xlsx&amp;sheet=A0&amp;row=578&amp;col=13&amp;number=&amp;sourceID=53","")</f>
        <v/>
      </c>
      <c r="N578" s="4" t="str">
        <f>HYPERLINK("http://141.218.60.56/~jnz1568/getInfo.php?workbook=16_15.xlsx&amp;sheet=A0&amp;row=578&amp;col=14&amp;number=&amp;sourceID=53","")</f>
        <v/>
      </c>
      <c r="O578" s="4" t="str">
        <f>HYPERLINK("http://141.218.60.56/~jnz1568/getInfo.php?workbook=16_15.xlsx&amp;sheet=A0&amp;row=578&amp;col=15&amp;number=&amp;sourceID=55","")</f>
        <v/>
      </c>
      <c r="P578" s="4" t="str">
        <f>HYPERLINK("http://141.218.60.56/~jnz1568/getInfo.php?workbook=16_15.xlsx&amp;sheet=A0&amp;row=578&amp;col=16&amp;number=&amp;sourceID=55","")</f>
        <v/>
      </c>
      <c r="Q578" s="4" t="str">
        <f>HYPERLINK("http://141.218.60.56/~jnz1568/getInfo.php?workbook=16_15.xlsx&amp;sheet=A0&amp;row=578&amp;col=17&amp;number=&amp;sourceID=56","")</f>
        <v/>
      </c>
      <c r="R578" s="4" t="str">
        <f>HYPERLINK("http://141.218.60.56/~jnz1568/getInfo.php?workbook=16_15.xlsx&amp;sheet=A0&amp;row=578&amp;col=18&amp;number=&amp;sourceID=56","")</f>
        <v/>
      </c>
      <c r="S578" s="4" t="str">
        <f>HYPERLINK("http://141.218.60.56/~jnz1568/getInfo.php?workbook=16_15.xlsx&amp;sheet=A0&amp;row=578&amp;col=19&amp;number=&amp;sourceID=57","")</f>
        <v/>
      </c>
      <c r="T578" s="4" t="str">
        <f>HYPERLINK("http://141.218.60.56/~jnz1568/getInfo.php?workbook=16_15.xlsx&amp;sheet=A0&amp;row=578&amp;col=20&amp;number=&amp;sourceID=57","")</f>
        <v/>
      </c>
      <c r="U578" s="4" t="str">
        <f>HYPERLINK("http://141.218.60.56/~jnz1568/getInfo.php?workbook=16_15.xlsx&amp;sheet=A0&amp;row=578&amp;col=21&amp;number=&amp;sourceID=47","")</f>
        <v/>
      </c>
      <c r="V578" s="4" t="str">
        <f>HYPERLINK("http://141.218.60.56/~jnz1568/getInfo.php?workbook=16_15.xlsx&amp;sheet=A0&amp;row=578&amp;col=22&amp;number=&amp;sourceID=47","")</f>
        <v/>
      </c>
    </row>
    <row r="579" spans="1:22">
      <c r="A579" s="3">
        <v>16</v>
      </c>
      <c r="B579" s="3">
        <v>15</v>
      </c>
      <c r="C579" s="3">
        <v>40</v>
      </c>
      <c r="D579" s="3">
        <v>3</v>
      </c>
      <c r="E579" s="3">
        <f>((1/(INDEX(E0!J$4:J$73,C579,1)-INDEX(E0!J$4:J$73,D579,1))))*100000000</f>
        <v>0</v>
      </c>
      <c r="F579" s="4" t="str">
        <f>HYPERLINK("http://141.218.60.56/~jnz1568/getInfo.php?workbook=16_15.xlsx&amp;sheet=A0&amp;row=579&amp;col=6&amp;number=&amp;sourceID=54","")</f>
        <v/>
      </c>
      <c r="G579" s="4" t="str">
        <f>HYPERLINK("http://141.218.60.56/~jnz1568/getInfo.php?workbook=16_15.xlsx&amp;sheet=A0&amp;row=579&amp;col=7&amp;number=239.52&amp;sourceID=54","239.52")</f>
        <v>239.52</v>
      </c>
      <c r="H579" s="4" t="str">
        <f>HYPERLINK("http://141.218.60.56/~jnz1568/getInfo.php?workbook=16_15.xlsx&amp;sheet=A0&amp;row=579&amp;col=8&amp;number=0.14152&amp;sourceID=54","0.14152")</f>
        <v>0.14152</v>
      </c>
      <c r="I579" s="4" t="str">
        <f>HYPERLINK("http://141.218.60.56/~jnz1568/getInfo.php?workbook=16_15.xlsx&amp;sheet=A0&amp;row=579&amp;col=9&amp;number=&amp;sourceID=54","")</f>
        <v/>
      </c>
      <c r="J579" s="4" t="str">
        <f>HYPERLINK("http://141.218.60.56/~jnz1568/getInfo.php?workbook=16_15.xlsx&amp;sheet=A0&amp;row=579&amp;col=10&amp;number=291.79&amp;sourceID=54","291.79")</f>
        <v>291.79</v>
      </c>
      <c r="K579" s="4" t="str">
        <f>HYPERLINK("http://141.218.60.56/~jnz1568/getInfo.php?workbook=16_15.xlsx&amp;sheet=A0&amp;row=579&amp;col=11&amp;number=0.126&amp;sourceID=54","0.126")</f>
        <v>0.126</v>
      </c>
      <c r="L579" s="4" t="str">
        <f>HYPERLINK("http://141.218.60.56/~jnz1568/getInfo.php?workbook=16_15.xlsx&amp;sheet=A0&amp;row=579&amp;col=12&amp;number=&amp;sourceID=53","")</f>
        <v/>
      </c>
      <c r="M579" s="4" t="str">
        <f>HYPERLINK("http://141.218.60.56/~jnz1568/getInfo.php?workbook=16_15.xlsx&amp;sheet=A0&amp;row=579&amp;col=13&amp;number=&amp;sourceID=53","")</f>
        <v/>
      </c>
      <c r="N579" s="4" t="str">
        <f>HYPERLINK("http://141.218.60.56/~jnz1568/getInfo.php?workbook=16_15.xlsx&amp;sheet=A0&amp;row=579&amp;col=14&amp;number=&amp;sourceID=53","")</f>
        <v/>
      </c>
      <c r="O579" s="4" t="str">
        <f>HYPERLINK("http://141.218.60.56/~jnz1568/getInfo.php?workbook=16_15.xlsx&amp;sheet=A0&amp;row=579&amp;col=15&amp;number=&amp;sourceID=55","")</f>
        <v/>
      </c>
      <c r="P579" s="4" t="str">
        <f>HYPERLINK("http://141.218.60.56/~jnz1568/getInfo.php?workbook=16_15.xlsx&amp;sheet=A0&amp;row=579&amp;col=16&amp;number=&amp;sourceID=55","")</f>
        <v/>
      </c>
      <c r="Q579" s="4" t="str">
        <f>HYPERLINK("http://141.218.60.56/~jnz1568/getInfo.php?workbook=16_15.xlsx&amp;sheet=A0&amp;row=579&amp;col=17&amp;number=&amp;sourceID=56","")</f>
        <v/>
      </c>
      <c r="R579" s="4" t="str">
        <f>HYPERLINK("http://141.218.60.56/~jnz1568/getInfo.php?workbook=16_15.xlsx&amp;sheet=A0&amp;row=579&amp;col=18&amp;number=&amp;sourceID=56","")</f>
        <v/>
      </c>
      <c r="S579" s="4" t="str">
        <f>HYPERLINK("http://141.218.60.56/~jnz1568/getInfo.php?workbook=16_15.xlsx&amp;sheet=A0&amp;row=579&amp;col=19&amp;number=&amp;sourceID=57","")</f>
        <v/>
      </c>
      <c r="T579" s="4" t="str">
        <f>HYPERLINK("http://141.218.60.56/~jnz1568/getInfo.php?workbook=16_15.xlsx&amp;sheet=A0&amp;row=579&amp;col=20&amp;number=&amp;sourceID=57","")</f>
        <v/>
      </c>
      <c r="U579" s="4" t="str">
        <f>HYPERLINK("http://141.218.60.56/~jnz1568/getInfo.php?workbook=16_15.xlsx&amp;sheet=A0&amp;row=579&amp;col=21&amp;number=&amp;sourceID=47","")</f>
        <v/>
      </c>
      <c r="V579" s="4" t="str">
        <f>HYPERLINK("http://141.218.60.56/~jnz1568/getInfo.php?workbook=16_15.xlsx&amp;sheet=A0&amp;row=579&amp;col=22&amp;number=&amp;sourceID=47","")</f>
        <v/>
      </c>
    </row>
    <row r="580" spans="1:22">
      <c r="A580" s="3">
        <v>16</v>
      </c>
      <c r="B580" s="3">
        <v>15</v>
      </c>
      <c r="C580" s="3">
        <v>40</v>
      </c>
      <c r="D580" s="3">
        <v>4</v>
      </c>
      <c r="E580" s="3">
        <f>((1/(INDEX(E0!J$4:J$73,C580,1)-INDEX(E0!J$4:J$73,D580,1))))*100000000</f>
        <v>0</v>
      </c>
      <c r="F580" s="4" t="str">
        <f>HYPERLINK("http://141.218.60.56/~jnz1568/getInfo.php?workbook=16_15.xlsx&amp;sheet=A0&amp;row=580&amp;col=6&amp;number=&amp;sourceID=54","")</f>
        <v/>
      </c>
      <c r="G580" s="4" t="str">
        <f>HYPERLINK("http://141.218.60.56/~jnz1568/getInfo.php?workbook=16_15.xlsx&amp;sheet=A0&amp;row=580&amp;col=7&amp;number=19.871&amp;sourceID=54","19.871")</f>
        <v>19.871</v>
      </c>
      <c r="H580" s="4" t="str">
        <f>HYPERLINK("http://141.218.60.56/~jnz1568/getInfo.php?workbook=16_15.xlsx&amp;sheet=A0&amp;row=580&amp;col=8&amp;number=&amp;sourceID=54","")</f>
        <v/>
      </c>
      <c r="I580" s="4" t="str">
        <f>HYPERLINK("http://141.218.60.56/~jnz1568/getInfo.php?workbook=16_15.xlsx&amp;sheet=A0&amp;row=580&amp;col=9&amp;number=&amp;sourceID=54","")</f>
        <v/>
      </c>
      <c r="J580" s="4" t="str">
        <f>HYPERLINK("http://141.218.60.56/~jnz1568/getInfo.php?workbook=16_15.xlsx&amp;sheet=A0&amp;row=580&amp;col=10&amp;number=24.66&amp;sourceID=54","24.66")</f>
        <v>24.66</v>
      </c>
      <c r="K580" s="4" t="str">
        <f>HYPERLINK("http://141.218.60.56/~jnz1568/getInfo.php?workbook=16_15.xlsx&amp;sheet=A0&amp;row=580&amp;col=11&amp;number=&amp;sourceID=54","")</f>
        <v/>
      </c>
      <c r="L580" s="4" t="str">
        <f>HYPERLINK("http://141.218.60.56/~jnz1568/getInfo.php?workbook=16_15.xlsx&amp;sheet=A0&amp;row=580&amp;col=12&amp;number=&amp;sourceID=53","")</f>
        <v/>
      </c>
      <c r="M580" s="4" t="str">
        <f>HYPERLINK("http://141.218.60.56/~jnz1568/getInfo.php?workbook=16_15.xlsx&amp;sheet=A0&amp;row=580&amp;col=13&amp;number=&amp;sourceID=53","")</f>
        <v/>
      </c>
      <c r="N580" s="4" t="str">
        <f>HYPERLINK("http://141.218.60.56/~jnz1568/getInfo.php?workbook=16_15.xlsx&amp;sheet=A0&amp;row=580&amp;col=14&amp;number=&amp;sourceID=53","")</f>
        <v/>
      </c>
      <c r="O580" s="4" t="str">
        <f>HYPERLINK("http://141.218.60.56/~jnz1568/getInfo.php?workbook=16_15.xlsx&amp;sheet=A0&amp;row=580&amp;col=15&amp;number=&amp;sourceID=55","")</f>
        <v/>
      </c>
      <c r="P580" s="4" t="str">
        <f>HYPERLINK("http://141.218.60.56/~jnz1568/getInfo.php?workbook=16_15.xlsx&amp;sheet=A0&amp;row=580&amp;col=16&amp;number=&amp;sourceID=55","")</f>
        <v/>
      </c>
      <c r="Q580" s="4" t="str">
        <f>HYPERLINK("http://141.218.60.56/~jnz1568/getInfo.php?workbook=16_15.xlsx&amp;sheet=A0&amp;row=580&amp;col=17&amp;number=&amp;sourceID=56","")</f>
        <v/>
      </c>
      <c r="R580" s="4" t="str">
        <f>HYPERLINK("http://141.218.60.56/~jnz1568/getInfo.php?workbook=16_15.xlsx&amp;sheet=A0&amp;row=580&amp;col=18&amp;number=&amp;sourceID=56","")</f>
        <v/>
      </c>
      <c r="S580" s="4" t="str">
        <f>HYPERLINK("http://141.218.60.56/~jnz1568/getInfo.php?workbook=16_15.xlsx&amp;sheet=A0&amp;row=580&amp;col=19&amp;number=&amp;sourceID=57","")</f>
        <v/>
      </c>
      <c r="T580" s="4" t="str">
        <f>HYPERLINK("http://141.218.60.56/~jnz1568/getInfo.php?workbook=16_15.xlsx&amp;sheet=A0&amp;row=580&amp;col=20&amp;number=&amp;sourceID=57","")</f>
        <v/>
      </c>
      <c r="U580" s="4" t="str">
        <f>HYPERLINK("http://141.218.60.56/~jnz1568/getInfo.php?workbook=16_15.xlsx&amp;sheet=A0&amp;row=580&amp;col=21&amp;number=&amp;sourceID=47","")</f>
        <v/>
      </c>
      <c r="V580" s="4" t="str">
        <f>HYPERLINK("http://141.218.60.56/~jnz1568/getInfo.php?workbook=16_15.xlsx&amp;sheet=A0&amp;row=580&amp;col=22&amp;number=&amp;sourceID=47","")</f>
        <v/>
      </c>
    </row>
    <row r="581" spans="1:22">
      <c r="A581" s="3">
        <v>16</v>
      </c>
      <c r="B581" s="3">
        <v>15</v>
      </c>
      <c r="C581" s="3">
        <v>40</v>
      </c>
      <c r="D581" s="3">
        <v>5</v>
      </c>
      <c r="E581" s="3">
        <f>((1/(INDEX(E0!J$4:J$73,C581,1)-INDEX(E0!J$4:J$73,D581,1))))*100000000</f>
        <v>0</v>
      </c>
      <c r="F581" s="4" t="str">
        <f>HYPERLINK("http://141.218.60.56/~jnz1568/getInfo.php?workbook=16_15.xlsx&amp;sheet=A0&amp;row=581&amp;col=6&amp;number=&amp;sourceID=54","")</f>
        <v/>
      </c>
      <c r="G581" s="4" t="str">
        <f>HYPERLINK("http://141.218.60.56/~jnz1568/getInfo.php?workbook=16_15.xlsx&amp;sheet=A0&amp;row=581&amp;col=7&amp;number=66.015&amp;sourceID=54","66.015")</f>
        <v>66.015</v>
      </c>
      <c r="H581" s="4" t="str">
        <f>HYPERLINK("http://141.218.60.56/~jnz1568/getInfo.php?workbook=16_15.xlsx&amp;sheet=A0&amp;row=581&amp;col=8&amp;number=8.6098e-08&amp;sourceID=54","8.6098e-08")</f>
        <v>8.6098e-08</v>
      </c>
      <c r="I581" s="4" t="str">
        <f>HYPERLINK("http://141.218.60.56/~jnz1568/getInfo.php?workbook=16_15.xlsx&amp;sheet=A0&amp;row=581&amp;col=9&amp;number=&amp;sourceID=54","")</f>
        <v/>
      </c>
      <c r="J581" s="4" t="str">
        <f>HYPERLINK("http://141.218.60.56/~jnz1568/getInfo.php?workbook=16_15.xlsx&amp;sheet=A0&amp;row=581&amp;col=10&amp;number=81.298&amp;sourceID=54","81.298")</f>
        <v>81.298</v>
      </c>
      <c r="K581" s="4" t="str">
        <f>HYPERLINK("http://141.218.60.56/~jnz1568/getInfo.php?workbook=16_15.xlsx&amp;sheet=A0&amp;row=581&amp;col=11&amp;number=5.1029e-07&amp;sourceID=54","5.1029e-07")</f>
        <v>5.1029e-07</v>
      </c>
      <c r="L581" s="4" t="str">
        <f>HYPERLINK("http://141.218.60.56/~jnz1568/getInfo.php?workbook=16_15.xlsx&amp;sheet=A0&amp;row=581&amp;col=12&amp;number=&amp;sourceID=53","")</f>
        <v/>
      </c>
      <c r="M581" s="4" t="str">
        <f>HYPERLINK("http://141.218.60.56/~jnz1568/getInfo.php?workbook=16_15.xlsx&amp;sheet=A0&amp;row=581&amp;col=13&amp;number=&amp;sourceID=53","")</f>
        <v/>
      </c>
      <c r="N581" s="4" t="str">
        <f>HYPERLINK("http://141.218.60.56/~jnz1568/getInfo.php?workbook=16_15.xlsx&amp;sheet=A0&amp;row=581&amp;col=14&amp;number=&amp;sourceID=53","")</f>
        <v/>
      </c>
      <c r="O581" s="4" t="str">
        <f>HYPERLINK("http://141.218.60.56/~jnz1568/getInfo.php?workbook=16_15.xlsx&amp;sheet=A0&amp;row=581&amp;col=15&amp;number=&amp;sourceID=55","")</f>
        <v/>
      </c>
      <c r="P581" s="4" t="str">
        <f>HYPERLINK("http://141.218.60.56/~jnz1568/getInfo.php?workbook=16_15.xlsx&amp;sheet=A0&amp;row=581&amp;col=16&amp;number=&amp;sourceID=55","")</f>
        <v/>
      </c>
      <c r="Q581" s="4" t="str">
        <f>HYPERLINK("http://141.218.60.56/~jnz1568/getInfo.php?workbook=16_15.xlsx&amp;sheet=A0&amp;row=581&amp;col=17&amp;number=&amp;sourceID=56","")</f>
        <v/>
      </c>
      <c r="R581" s="4" t="str">
        <f>HYPERLINK("http://141.218.60.56/~jnz1568/getInfo.php?workbook=16_15.xlsx&amp;sheet=A0&amp;row=581&amp;col=18&amp;number=&amp;sourceID=56","")</f>
        <v/>
      </c>
      <c r="S581" s="4" t="str">
        <f>HYPERLINK("http://141.218.60.56/~jnz1568/getInfo.php?workbook=16_15.xlsx&amp;sheet=A0&amp;row=581&amp;col=19&amp;number=&amp;sourceID=57","")</f>
        <v/>
      </c>
      <c r="T581" s="4" t="str">
        <f>HYPERLINK("http://141.218.60.56/~jnz1568/getInfo.php?workbook=16_15.xlsx&amp;sheet=A0&amp;row=581&amp;col=20&amp;number=&amp;sourceID=57","")</f>
        <v/>
      </c>
      <c r="U581" s="4" t="str">
        <f>HYPERLINK("http://141.218.60.56/~jnz1568/getInfo.php?workbook=16_15.xlsx&amp;sheet=A0&amp;row=581&amp;col=21&amp;number=&amp;sourceID=47","")</f>
        <v/>
      </c>
      <c r="V581" s="4" t="str">
        <f>HYPERLINK("http://141.218.60.56/~jnz1568/getInfo.php?workbook=16_15.xlsx&amp;sheet=A0&amp;row=581&amp;col=22&amp;number=&amp;sourceID=47","")</f>
        <v/>
      </c>
    </row>
    <row r="582" spans="1:22">
      <c r="A582" s="3">
        <v>16</v>
      </c>
      <c r="B582" s="3">
        <v>15</v>
      </c>
      <c r="C582" s="3">
        <v>40</v>
      </c>
      <c r="D582" s="3">
        <v>6</v>
      </c>
      <c r="E582" s="3">
        <f>((1/(INDEX(E0!J$4:J$73,C582,1)-INDEX(E0!J$4:J$73,D582,1))))*100000000</f>
        <v>0</v>
      </c>
      <c r="F582" s="4" t="str">
        <f>HYPERLINK("http://141.218.60.56/~jnz1568/getInfo.php?workbook=16_15.xlsx&amp;sheet=A0&amp;row=582&amp;col=6&amp;number=17645000&amp;sourceID=54","17645000")</f>
        <v>17645000</v>
      </c>
      <c r="G582" s="4" t="str">
        <f>HYPERLINK("http://141.218.60.56/~jnz1568/getInfo.php?workbook=16_15.xlsx&amp;sheet=A0&amp;row=582&amp;col=7&amp;number=&amp;sourceID=54","")</f>
        <v/>
      </c>
      <c r="H582" s="4" t="str">
        <f>HYPERLINK("http://141.218.60.56/~jnz1568/getInfo.php?workbook=16_15.xlsx&amp;sheet=A0&amp;row=582&amp;col=8&amp;number=&amp;sourceID=54","")</f>
        <v/>
      </c>
      <c r="I582" s="4" t="str">
        <f>HYPERLINK("http://141.218.60.56/~jnz1568/getInfo.php?workbook=16_15.xlsx&amp;sheet=A0&amp;row=582&amp;col=9&amp;number=17041000&amp;sourceID=54","17041000")</f>
        <v>17041000</v>
      </c>
      <c r="J582" s="4" t="str">
        <f>HYPERLINK("http://141.218.60.56/~jnz1568/getInfo.php?workbook=16_15.xlsx&amp;sheet=A0&amp;row=582&amp;col=10&amp;number=&amp;sourceID=54","")</f>
        <v/>
      </c>
      <c r="K582" s="4" t="str">
        <f>HYPERLINK("http://141.218.60.56/~jnz1568/getInfo.php?workbook=16_15.xlsx&amp;sheet=A0&amp;row=582&amp;col=11&amp;number=&amp;sourceID=54","")</f>
        <v/>
      </c>
      <c r="L582" s="4" t="str">
        <f>HYPERLINK("http://141.218.60.56/~jnz1568/getInfo.php?workbook=16_15.xlsx&amp;sheet=A0&amp;row=582&amp;col=12&amp;number=20511062.1143&amp;sourceID=53","20511062.1143")</f>
        <v>20511062.1143</v>
      </c>
      <c r="M582" s="4" t="str">
        <f>HYPERLINK("http://141.218.60.56/~jnz1568/getInfo.php?workbook=16_15.xlsx&amp;sheet=A0&amp;row=582&amp;col=13&amp;number=&amp;sourceID=53","")</f>
        <v/>
      </c>
      <c r="N582" s="4" t="str">
        <f>HYPERLINK("http://141.218.60.56/~jnz1568/getInfo.php?workbook=16_15.xlsx&amp;sheet=A0&amp;row=582&amp;col=14&amp;number=&amp;sourceID=53","")</f>
        <v/>
      </c>
      <c r="O582" s="4" t="str">
        <f>HYPERLINK("http://141.218.60.56/~jnz1568/getInfo.php?workbook=16_15.xlsx&amp;sheet=A0&amp;row=582&amp;col=15&amp;number=&amp;sourceID=55","")</f>
        <v/>
      </c>
      <c r="P582" s="4" t="str">
        <f>HYPERLINK("http://141.218.60.56/~jnz1568/getInfo.php?workbook=16_15.xlsx&amp;sheet=A0&amp;row=582&amp;col=16&amp;number=&amp;sourceID=55","")</f>
        <v/>
      </c>
      <c r="Q582" s="4" t="str">
        <f>HYPERLINK("http://141.218.60.56/~jnz1568/getInfo.php?workbook=16_15.xlsx&amp;sheet=A0&amp;row=582&amp;col=17&amp;number=&amp;sourceID=56","")</f>
        <v/>
      </c>
      <c r="R582" s="4" t="str">
        <f>HYPERLINK("http://141.218.60.56/~jnz1568/getInfo.php?workbook=16_15.xlsx&amp;sheet=A0&amp;row=582&amp;col=18&amp;number=&amp;sourceID=56","")</f>
        <v/>
      </c>
      <c r="S582" s="4" t="str">
        <f>HYPERLINK("http://141.218.60.56/~jnz1568/getInfo.php?workbook=16_15.xlsx&amp;sheet=A0&amp;row=582&amp;col=19&amp;number=&amp;sourceID=57","")</f>
        <v/>
      </c>
      <c r="T582" s="4" t="str">
        <f>HYPERLINK("http://141.218.60.56/~jnz1568/getInfo.php?workbook=16_15.xlsx&amp;sheet=A0&amp;row=582&amp;col=20&amp;number=&amp;sourceID=57","")</f>
        <v/>
      </c>
      <c r="U582" s="4" t="str">
        <f>HYPERLINK("http://141.218.60.56/~jnz1568/getInfo.php?workbook=16_15.xlsx&amp;sheet=A0&amp;row=582&amp;col=21&amp;number=&amp;sourceID=47","")</f>
        <v/>
      </c>
      <c r="V582" s="4" t="str">
        <f>HYPERLINK("http://141.218.60.56/~jnz1568/getInfo.php?workbook=16_15.xlsx&amp;sheet=A0&amp;row=582&amp;col=22&amp;number=&amp;sourceID=47","")</f>
        <v/>
      </c>
    </row>
    <row r="583" spans="1:22">
      <c r="A583" s="3">
        <v>16</v>
      </c>
      <c r="B583" s="3">
        <v>15</v>
      </c>
      <c r="C583" s="3">
        <v>40</v>
      </c>
      <c r="D583" s="3">
        <v>7</v>
      </c>
      <c r="E583" s="3">
        <f>((1/(INDEX(E0!J$4:J$73,C583,1)-INDEX(E0!J$4:J$73,D583,1))))*100000000</f>
        <v>0</v>
      </c>
      <c r="F583" s="4" t="str">
        <f>HYPERLINK("http://141.218.60.56/~jnz1568/getInfo.php?workbook=16_15.xlsx&amp;sheet=A0&amp;row=583&amp;col=6&amp;number=7596600&amp;sourceID=54","7596600")</f>
        <v>7596600</v>
      </c>
      <c r="G583" s="4" t="str">
        <f>HYPERLINK("http://141.218.60.56/~jnz1568/getInfo.php?workbook=16_15.xlsx&amp;sheet=A0&amp;row=583&amp;col=7&amp;number=&amp;sourceID=54","")</f>
        <v/>
      </c>
      <c r="H583" s="4" t="str">
        <f>HYPERLINK("http://141.218.60.56/~jnz1568/getInfo.php?workbook=16_15.xlsx&amp;sheet=A0&amp;row=583&amp;col=8&amp;number=&amp;sourceID=54","")</f>
        <v/>
      </c>
      <c r="I583" s="4" t="str">
        <f>HYPERLINK("http://141.218.60.56/~jnz1568/getInfo.php?workbook=16_15.xlsx&amp;sheet=A0&amp;row=583&amp;col=9&amp;number=7333000&amp;sourceID=54","7333000")</f>
        <v>7333000</v>
      </c>
      <c r="J583" s="4" t="str">
        <f>HYPERLINK("http://141.218.60.56/~jnz1568/getInfo.php?workbook=16_15.xlsx&amp;sheet=A0&amp;row=583&amp;col=10&amp;number=&amp;sourceID=54","")</f>
        <v/>
      </c>
      <c r="K583" s="4" t="str">
        <f>HYPERLINK("http://141.218.60.56/~jnz1568/getInfo.php?workbook=16_15.xlsx&amp;sheet=A0&amp;row=583&amp;col=11&amp;number=&amp;sourceID=54","")</f>
        <v/>
      </c>
      <c r="L583" s="4" t="str">
        <f>HYPERLINK("http://141.218.60.56/~jnz1568/getInfo.php?workbook=16_15.xlsx&amp;sheet=A0&amp;row=583&amp;col=12&amp;number=8850640.31556&amp;sourceID=53","8850640.31556")</f>
        <v>8850640.31556</v>
      </c>
      <c r="M583" s="4" t="str">
        <f>HYPERLINK("http://141.218.60.56/~jnz1568/getInfo.php?workbook=16_15.xlsx&amp;sheet=A0&amp;row=583&amp;col=13&amp;number=&amp;sourceID=53","")</f>
        <v/>
      </c>
      <c r="N583" s="4" t="str">
        <f>HYPERLINK("http://141.218.60.56/~jnz1568/getInfo.php?workbook=16_15.xlsx&amp;sheet=A0&amp;row=583&amp;col=14&amp;number=&amp;sourceID=53","")</f>
        <v/>
      </c>
      <c r="O583" s="4" t="str">
        <f>HYPERLINK("http://141.218.60.56/~jnz1568/getInfo.php?workbook=16_15.xlsx&amp;sheet=A0&amp;row=583&amp;col=15&amp;number=&amp;sourceID=55","")</f>
        <v/>
      </c>
      <c r="P583" s="4" t="str">
        <f>HYPERLINK("http://141.218.60.56/~jnz1568/getInfo.php?workbook=16_15.xlsx&amp;sheet=A0&amp;row=583&amp;col=16&amp;number=&amp;sourceID=55","")</f>
        <v/>
      </c>
      <c r="Q583" s="4" t="str">
        <f>HYPERLINK("http://141.218.60.56/~jnz1568/getInfo.php?workbook=16_15.xlsx&amp;sheet=A0&amp;row=583&amp;col=17&amp;number=&amp;sourceID=56","")</f>
        <v/>
      </c>
      <c r="R583" s="4" t="str">
        <f>HYPERLINK("http://141.218.60.56/~jnz1568/getInfo.php?workbook=16_15.xlsx&amp;sheet=A0&amp;row=583&amp;col=18&amp;number=&amp;sourceID=56","")</f>
        <v/>
      </c>
      <c r="S583" s="4" t="str">
        <f>HYPERLINK("http://141.218.60.56/~jnz1568/getInfo.php?workbook=16_15.xlsx&amp;sheet=A0&amp;row=583&amp;col=19&amp;number=&amp;sourceID=57","")</f>
        <v/>
      </c>
      <c r="T583" s="4" t="str">
        <f>HYPERLINK("http://141.218.60.56/~jnz1568/getInfo.php?workbook=16_15.xlsx&amp;sheet=A0&amp;row=583&amp;col=20&amp;number=&amp;sourceID=57","")</f>
        <v/>
      </c>
      <c r="U583" s="4" t="str">
        <f>HYPERLINK("http://141.218.60.56/~jnz1568/getInfo.php?workbook=16_15.xlsx&amp;sheet=A0&amp;row=583&amp;col=21&amp;number=&amp;sourceID=47","")</f>
        <v/>
      </c>
      <c r="V583" s="4" t="str">
        <f>HYPERLINK("http://141.218.60.56/~jnz1568/getInfo.php?workbook=16_15.xlsx&amp;sheet=A0&amp;row=583&amp;col=22&amp;number=&amp;sourceID=47","")</f>
        <v/>
      </c>
    </row>
    <row r="584" spans="1:22">
      <c r="A584" s="3">
        <v>16</v>
      </c>
      <c r="B584" s="3">
        <v>15</v>
      </c>
      <c r="C584" s="3">
        <v>40</v>
      </c>
      <c r="D584" s="3">
        <v>9</v>
      </c>
      <c r="E584" s="3">
        <f>((1/(INDEX(E0!J$4:J$73,C584,1)-INDEX(E0!J$4:J$73,D584,1))))*100000000</f>
        <v>0</v>
      </c>
      <c r="F584" s="4" t="str">
        <f>HYPERLINK("http://141.218.60.56/~jnz1568/getInfo.php?workbook=16_15.xlsx&amp;sheet=A0&amp;row=584&amp;col=6&amp;number=2563.4&amp;sourceID=54","2563.4")</f>
        <v>2563.4</v>
      </c>
      <c r="G584" s="4" t="str">
        <f>HYPERLINK("http://141.218.60.56/~jnz1568/getInfo.php?workbook=16_15.xlsx&amp;sheet=A0&amp;row=584&amp;col=7&amp;number=&amp;sourceID=54","")</f>
        <v/>
      </c>
      <c r="H584" s="4" t="str">
        <f>HYPERLINK("http://141.218.60.56/~jnz1568/getInfo.php?workbook=16_15.xlsx&amp;sheet=A0&amp;row=584&amp;col=8&amp;number=&amp;sourceID=54","")</f>
        <v/>
      </c>
      <c r="I584" s="4" t="str">
        <f>HYPERLINK("http://141.218.60.56/~jnz1568/getInfo.php?workbook=16_15.xlsx&amp;sheet=A0&amp;row=584&amp;col=9&amp;number=3013&amp;sourceID=54","3013")</f>
        <v>3013</v>
      </c>
      <c r="J584" s="4" t="str">
        <f>HYPERLINK("http://141.218.60.56/~jnz1568/getInfo.php?workbook=16_15.xlsx&amp;sheet=A0&amp;row=584&amp;col=10&amp;number=&amp;sourceID=54","")</f>
        <v/>
      </c>
      <c r="K584" s="4" t="str">
        <f>HYPERLINK("http://141.218.60.56/~jnz1568/getInfo.php?workbook=16_15.xlsx&amp;sheet=A0&amp;row=584&amp;col=11&amp;number=&amp;sourceID=54","")</f>
        <v/>
      </c>
      <c r="L584" s="4" t="str">
        <f>HYPERLINK("http://141.218.60.56/~jnz1568/getInfo.php?workbook=16_15.xlsx&amp;sheet=A0&amp;row=584&amp;col=12&amp;number=4516.59957159&amp;sourceID=53","4516.59957159")</f>
        <v>4516.59957159</v>
      </c>
      <c r="M584" s="4" t="str">
        <f>HYPERLINK("http://141.218.60.56/~jnz1568/getInfo.php?workbook=16_15.xlsx&amp;sheet=A0&amp;row=584&amp;col=13&amp;number=&amp;sourceID=53","")</f>
        <v/>
      </c>
      <c r="N584" s="4" t="str">
        <f>HYPERLINK("http://141.218.60.56/~jnz1568/getInfo.php?workbook=16_15.xlsx&amp;sheet=A0&amp;row=584&amp;col=14&amp;number=&amp;sourceID=53","")</f>
        <v/>
      </c>
      <c r="O584" s="4" t="str">
        <f>HYPERLINK("http://141.218.60.56/~jnz1568/getInfo.php?workbook=16_15.xlsx&amp;sheet=A0&amp;row=584&amp;col=15&amp;number=&amp;sourceID=55","")</f>
        <v/>
      </c>
      <c r="P584" s="4" t="str">
        <f>HYPERLINK("http://141.218.60.56/~jnz1568/getInfo.php?workbook=16_15.xlsx&amp;sheet=A0&amp;row=584&amp;col=16&amp;number=&amp;sourceID=55","")</f>
        <v/>
      </c>
      <c r="Q584" s="4" t="str">
        <f>HYPERLINK("http://141.218.60.56/~jnz1568/getInfo.php?workbook=16_15.xlsx&amp;sheet=A0&amp;row=584&amp;col=17&amp;number=&amp;sourceID=56","")</f>
        <v/>
      </c>
      <c r="R584" s="4" t="str">
        <f>HYPERLINK("http://141.218.60.56/~jnz1568/getInfo.php?workbook=16_15.xlsx&amp;sheet=A0&amp;row=584&amp;col=18&amp;number=&amp;sourceID=56","")</f>
        <v/>
      </c>
      <c r="S584" s="4" t="str">
        <f>HYPERLINK("http://141.218.60.56/~jnz1568/getInfo.php?workbook=16_15.xlsx&amp;sheet=A0&amp;row=584&amp;col=19&amp;number=&amp;sourceID=57","")</f>
        <v/>
      </c>
      <c r="T584" s="4" t="str">
        <f>HYPERLINK("http://141.218.60.56/~jnz1568/getInfo.php?workbook=16_15.xlsx&amp;sheet=A0&amp;row=584&amp;col=20&amp;number=&amp;sourceID=57","")</f>
        <v/>
      </c>
      <c r="U584" s="4" t="str">
        <f>HYPERLINK("http://141.218.60.56/~jnz1568/getInfo.php?workbook=16_15.xlsx&amp;sheet=A0&amp;row=584&amp;col=21&amp;number=&amp;sourceID=47","")</f>
        <v/>
      </c>
      <c r="V584" s="4" t="str">
        <f>HYPERLINK("http://141.218.60.56/~jnz1568/getInfo.php?workbook=16_15.xlsx&amp;sheet=A0&amp;row=584&amp;col=22&amp;number=&amp;sourceID=47","")</f>
        <v/>
      </c>
    </row>
    <row r="585" spans="1:22">
      <c r="A585" s="3">
        <v>16</v>
      </c>
      <c r="B585" s="3">
        <v>15</v>
      </c>
      <c r="C585" s="3">
        <v>40</v>
      </c>
      <c r="D585" s="3">
        <v>10</v>
      </c>
      <c r="E585" s="3">
        <f>((1/(INDEX(E0!J$4:J$73,C585,1)-INDEX(E0!J$4:J$73,D585,1))))*100000000</f>
        <v>0</v>
      </c>
      <c r="F585" s="4" t="str">
        <f>HYPERLINK("http://141.218.60.56/~jnz1568/getInfo.php?workbook=16_15.xlsx&amp;sheet=A0&amp;row=585&amp;col=6&amp;number=19569&amp;sourceID=54","19569")</f>
        <v>19569</v>
      </c>
      <c r="G585" s="4" t="str">
        <f>HYPERLINK("http://141.218.60.56/~jnz1568/getInfo.php?workbook=16_15.xlsx&amp;sheet=A0&amp;row=585&amp;col=7&amp;number=&amp;sourceID=54","")</f>
        <v/>
      </c>
      <c r="H585" s="4" t="str">
        <f>HYPERLINK("http://141.218.60.56/~jnz1568/getInfo.php?workbook=16_15.xlsx&amp;sheet=A0&amp;row=585&amp;col=8&amp;number=&amp;sourceID=54","")</f>
        <v/>
      </c>
      <c r="I585" s="4" t="str">
        <f>HYPERLINK("http://141.218.60.56/~jnz1568/getInfo.php?workbook=16_15.xlsx&amp;sheet=A0&amp;row=585&amp;col=9&amp;number=21818&amp;sourceID=54","21818")</f>
        <v>21818</v>
      </c>
      <c r="J585" s="4" t="str">
        <f>HYPERLINK("http://141.218.60.56/~jnz1568/getInfo.php?workbook=16_15.xlsx&amp;sheet=A0&amp;row=585&amp;col=10&amp;number=&amp;sourceID=54","")</f>
        <v/>
      </c>
      <c r="K585" s="4" t="str">
        <f>HYPERLINK("http://141.218.60.56/~jnz1568/getInfo.php?workbook=16_15.xlsx&amp;sheet=A0&amp;row=585&amp;col=11&amp;number=&amp;sourceID=54","")</f>
        <v/>
      </c>
      <c r="L585" s="4" t="str">
        <f>HYPERLINK("http://141.218.60.56/~jnz1568/getInfo.php?workbook=16_15.xlsx&amp;sheet=A0&amp;row=585&amp;col=12&amp;number=39064.1187016&amp;sourceID=53","39064.1187016")</f>
        <v>39064.1187016</v>
      </c>
      <c r="M585" s="4" t="str">
        <f>HYPERLINK("http://141.218.60.56/~jnz1568/getInfo.php?workbook=16_15.xlsx&amp;sheet=A0&amp;row=585&amp;col=13&amp;number=&amp;sourceID=53","")</f>
        <v/>
      </c>
      <c r="N585" s="4" t="str">
        <f>HYPERLINK("http://141.218.60.56/~jnz1568/getInfo.php?workbook=16_15.xlsx&amp;sheet=A0&amp;row=585&amp;col=14&amp;number=&amp;sourceID=53","")</f>
        <v/>
      </c>
      <c r="O585" s="4" t="str">
        <f>HYPERLINK("http://141.218.60.56/~jnz1568/getInfo.php?workbook=16_15.xlsx&amp;sheet=A0&amp;row=585&amp;col=15&amp;number=&amp;sourceID=55","")</f>
        <v/>
      </c>
      <c r="P585" s="4" t="str">
        <f>HYPERLINK("http://141.218.60.56/~jnz1568/getInfo.php?workbook=16_15.xlsx&amp;sheet=A0&amp;row=585&amp;col=16&amp;number=&amp;sourceID=55","")</f>
        <v/>
      </c>
      <c r="Q585" s="4" t="str">
        <f>HYPERLINK("http://141.218.60.56/~jnz1568/getInfo.php?workbook=16_15.xlsx&amp;sheet=A0&amp;row=585&amp;col=17&amp;number=&amp;sourceID=56","")</f>
        <v/>
      </c>
      <c r="R585" s="4" t="str">
        <f>HYPERLINK("http://141.218.60.56/~jnz1568/getInfo.php?workbook=16_15.xlsx&amp;sheet=A0&amp;row=585&amp;col=18&amp;number=&amp;sourceID=56","")</f>
        <v/>
      </c>
      <c r="S585" s="4" t="str">
        <f>HYPERLINK("http://141.218.60.56/~jnz1568/getInfo.php?workbook=16_15.xlsx&amp;sheet=A0&amp;row=585&amp;col=19&amp;number=&amp;sourceID=57","")</f>
        <v/>
      </c>
      <c r="T585" s="4" t="str">
        <f>HYPERLINK("http://141.218.60.56/~jnz1568/getInfo.php?workbook=16_15.xlsx&amp;sheet=A0&amp;row=585&amp;col=20&amp;number=&amp;sourceID=57","")</f>
        <v/>
      </c>
      <c r="U585" s="4" t="str">
        <f>HYPERLINK("http://141.218.60.56/~jnz1568/getInfo.php?workbook=16_15.xlsx&amp;sheet=A0&amp;row=585&amp;col=21&amp;number=&amp;sourceID=47","")</f>
        <v/>
      </c>
      <c r="V585" s="4" t="str">
        <f>HYPERLINK("http://141.218.60.56/~jnz1568/getInfo.php?workbook=16_15.xlsx&amp;sheet=A0&amp;row=585&amp;col=22&amp;number=&amp;sourceID=47","")</f>
        <v/>
      </c>
    </row>
    <row r="586" spans="1:22">
      <c r="A586" s="3">
        <v>16</v>
      </c>
      <c r="B586" s="3">
        <v>15</v>
      </c>
      <c r="C586" s="3">
        <v>40</v>
      </c>
      <c r="D586" s="3">
        <v>11</v>
      </c>
      <c r="E586" s="3">
        <f>((1/(INDEX(E0!J$4:J$73,C586,1)-INDEX(E0!J$4:J$73,D586,1))))*100000000</f>
        <v>0</v>
      </c>
      <c r="F586" s="4" t="str">
        <f>HYPERLINK("http://141.218.60.56/~jnz1568/getInfo.php?workbook=16_15.xlsx&amp;sheet=A0&amp;row=586&amp;col=6&amp;number=15689&amp;sourceID=54","15689")</f>
        <v>15689</v>
      </c>
      <c r="G586" s="4" t="str">
        <f>HYPERLINK("http://141.218.60.56/~jnz1568/getInfo.php?workbook=16_15.xlsx&amp;sheet=A0&amp;row=586&amp;col=7&amp;number=&amp;sourceID=54","")</f>
        <v/>
      </c>
      <c r="H586" s="4" t="str">
        <f>HYPERLINK("http://141.218.60.56/~jnz1568/getInfo.php?workbook=16_15.xlsx&amp;sheet=A0&amp;row=586&amp;col=8&amp;number=&amp;sourceID=54","")</f>
        <v/>
      </c>
      <c r="I586" s="4" t="str">
        <f>HYPERLINK("http://141.218.60.56/~jnz1568/getInfo.php?workbook=16_15.xlsx&amp;sheet=A0&amp;row=586&amp;col=9&amp;number=20093&amp;sourceID=54","20093")</f>
        <v>20093</v>
      </c>
      <c r="J586" s="4" t="str">
        <f>HYPERLINK("http://141.218.60.56/~jnz1568/getInfo.php?workbook=16_15.xlsx&amp;sheet=A0&amp;row=586&amp;col=10&amp;number=&amp;sourceID=54","")</f>
        <v/>
      </c>
      <c r="K586" s="4" t="str">
        <f>HYPERLINK("http://141.218.60.56/~jnz1568/getInfo.php?workbook=16_15.xlsx&amp;sheet=A0&amp;row=586&amp;col=11&amp;number=&amp;sourceID=54","")</f>
        <v/>
      </c>
      <c r="L586" s="4" t="str">
        <f>HYPERLINK("http://141.218.60.56/~jnz1568/getInfo.php?workbook=16_15.xlsx&amp;sheet=A0&amp;row=586&amp;col=12&amp;number=1765.55866004&amp;sourceID=53","1765.55866004")</f>
        <v>1765.55866004</v>
      </c>
      <c r="M586" s="4" t="str">
        <f>HYPERLINK("http://141.218.60.56/~jnz1568/getInfo.php?workbook=16_15.xlsx&amp;sheet=A0&amp;row=586&amp;col=13&amp;number=&amp;sourceID=53","")</f>
        <v/>
      </c>
      <c r="N586" s="4" t="str">
        <f>HYPERLINK("http://141.218.60.56/~jnz1568/getInfo.php?workbook=16_15.xlsx&amp;sheet=A0&amp;row=586&amp;col=14&amp;number=&amp;sourceID=53","")</f>
        <v/>
      </c>
      <c r="O586" s="4" t="str">
        <f>HYPERLINK("http://141.218.60.56/~jnz1568/getInfo.php?workbook=16_15.xlsx&amp;sheet=A0&amp;row=586&amp;col=15&amp;number=&amp;sourceID=55","")</f>
        <v/>
      </c>
      <c r="P586" s="4" t="str">
        <f>HYPERLINK("http://141.218.60.56/~jnz1568/getInfo.php?workbook=16_15.xlsx&amp;sheet=A0&amp;row=586&amp;col=16&amp;number=&amp;sourceID=55","")</f>
        <v/>
      </c>
      <c r="Q586" s="4" t="str">
        <f>HYPERLINK("http://141.218.60.56/~jnz1568/getInfo.php?workbook=16_15.xlsx&amp;sheet=A0&amp;row=586&amp;col=17&amp;number=&amp;sourceID=56","")</f>
        <v/>
      </c>
      <c r="R586" s="4" t="str">
        <f>HYPERLINK("http://141.218.60.56/~jnz1568/getInfo.php?workbook=16_15.xlsx&amp;sheet=A0&amp;row=586&amp;col=18&amp;number=&amp;sourceID=56","")</f>
        <v/>
      </c>
      <c r="S586" s="4" t="str">
        <f>HYPERLINK("http://141.218.60.56/~jnz1568/getInfo.php?workbook=16_15.xlsx&amp;sheet=A0&amp;row=586&amp;col=19&amp;number=&amp;sourceID=57","")</f>
        <v/>
      </c>
      <c r="T586" s="4" t="str">
        <f>HYPERLINK("http://141.218.60.56/~jnz1568/getInfo.php?workbook=16_15.xlsx&amp;sheet=A0&amp;row=586&amp;col=20&amp;number=&amp;sourceID=57","")</f>
        <v/>
      </c>
      <c r="U586" s="4" t="str">
        <f>HYPERLINK("http://141.218.60.56/~jnz1568/getInfo.php?workbook=16_15.xlsx&amp;sheet=A0&amp;row=586&amp;col=21&amp;number=&amp;sourceID=47","")</f>
        <v/>
      </c>
      <c r="V586" s="4" t="str">
        <f>HYPERLINK("http://141.218.60.56/~jnz1568/getInfo.php?workbook=16_15.xlsx&amp;sheet=A0&amp;row=586&amp;col=22&amp;number=&amp;sourceID=47","")</f>
        <v/>
      </c>
    </row>
    <row r="587" spans="1:22">
      <c r="A587" s="3">
        <v>16</v>
      </c>
      <c r="B587" s="3">
        <v>15</v>
      </c>
      <c r="C587" s="3">
        <v>40</v>
      </c>
      <c r="D587" s="3">
        <v>14</v>
      </c>
      <c r="E587" s="3">
        <f>((1/(INDEX(E0!J$4:J$73,C587,1)-INDEX(E0!J$4:J$73,D587,1))))*100000000</f>
        <v>0</v>
      </c>
      <c r="F587" s="4" t="str">
        <f>HYPERLINK("http://141.218.60.56/~jnz1568/getInfo.php?workbook=16_15.xlsx&amp;sheet=A0&amp;row=587&amp;col=6&amp;number=21384000&amp;sourceID=54","21384000")</f>
        <v>21384000</v>
      </c>
      <c r="G587" s="4" t="str">
        <f>HYPERLINK("http://141.218.60.56/~jnz1568/getInfo.php?workbook=16_15.xlsx&amp;sheet=A0&amp;row=587&amp;col=7&amp;number=&amp;sourceID=54","")</f>
        <v/>
      </c>
      <c r="H587" s="4" t="str">
        <f>HYPERLINK("http://141.218.60.56/~jnz1568/getInfo.php?workbook=16_15.xlsx&amp;sheet=A0&amp;row=587&amp;col=8&amp;number=&amp;sourceID=54","")</f>
        <v/>
      </c>
      <c r="I587" s="4" t="str">
        <f>HYPERLINK("http://141.218.60.56/~jnz1568/getInfo.php?workbook=16_15.xlsx&amp;sheet=A0&amp;row=587&amp;col=9&amp;number=20729000&amp;sourceID=54","20729000")</f>
        <v>20729000</v>
      </c>
      <c r="J587" s="4" t="str">
        <f>HYPERLINK("http://141.218.60.56/~jnz1568/getInfo.php?workbook=16_15.xlsx&amp;sheet=A0&amp;row=587&amp;col=10&amp;number=&amp;sourceID=54","")</f>
        <v/>
      </c>
      <c r="K587" s="4" t="str">
        <f>HYPERLINK("http://141.218.60.56/~jnz1568/getInfo.php?workbook=16_15.xlsx&amp;sheet=A0&amp;row=587&amp;col=11&amp;number=&amp;sourceID=54","")</f>
        <v/>
      </c>
      <c r="L587" s="4" t="str">
        <f>HYPERLINK("http://141.218.60.56/~jnz1568/getInfo.php?workbook=16_15.xlsx&amp;sheet=A0&amp;row=587&amp;col=12&amp;number=22438248.0217&amp;sourceID=53","22438248.0217")</f>
        <v>22438248.0217</v>
      </c>
      <c r="M587" s="4" t="str">
        <f>HYPERLINK("http://141.218.60.56/~jnz1568/getInfo.php?workbook=16_15.xlsx&amp;sheet=A0&amp;row=587&amp;col=13&amp;number=&amp;sourceID=53","")</f>
        <v/>
      </c>
      <c r="N587" s="4" t="str">
        <f>HYPERLINK("http://141.218.60.56/~jnz1568/getInfo.php?workbook=16_15.xlsx&amp;sheet=A0&amp;row=587&amp;col=14&amp;number=&amp;sourceID=53","")</f>
        <v/>
      </c>
      <c r="O587" s="4" t="str">
        <f>HYPERLINK("http://141.218.60.56/~jnz1568/getInfo.php?workbook=16_15.xlsx&amp;sheet=A0&amp;row=587&amp;col=15&amp;number=&amp;sourceID=55","")</f>
        <v/>
      </c>
      <c r="P587" s="4" t="str">
        <f>HYPERLINK("http://141.218.60.56/~jnz1568/getInfo.php?workbook=16_15.xlsx&amp;sheet=A0&amp;row=587&amp;col=16&amp;number=&amp;sourceID=55","")</f>
        <v/>
      </c>
      <c r="Q587" s="4" t="str">
        <f>HYPERLINK("http://141.218.60.56/~jnz1568/getInfo.php?workbook=16_15.xlsx&amp;sheet=A0&amp;row=587&amp;col=17&amp;number=&amp;sourceID=56","")</f>
        <v/>
      </c>
      <c r="R587" s="4" t="str">
        <f>HYPERLINK("http://141.218.60.56/~jnz1568/getInfo.php?workbook=16_15.xlsx&amp;sheet=A0&amp;row=587&amp;col=18&amp;number=&amp;sourceID=56","")</f>
        <v/>
      </c>
      <c r="S587" s="4" t="str">
        <f>HYPERLINK("http://141.218.60.56/~jnz1568/getInfo.php?workbook=16_15.xlsx&amp;sheet=A0&amp;row=587&amp;col=19&amp;number=&amp;sourceID=57","")</f>
        <v/>
      </c>
      <c r="T587" s="4" t="str">
        <f>HYPERLINK("http://141.218.60.56/~jnz1568/getInfo.php?workbook=16_15.xlsx&amp;sheet=A0&amp;row=587&amp;col=20&amp;number=&amp;sourceID=57","")</f>
        <v/>
      </c>
      <c r="U587" s="4" t="str">
        <f>HYPERLINK("http://141.218.60.56/~jnz1568/getInfo.php?workbook=16_15.xlsx&amp;sheet=A0&amp;row=587&amp;col=21&amp;number=&amp;sourceID=47","")</f>
        <v/>
      </c>
      <c r="V587" s="4" t="str">
        <f>HYPERLINK("http://141.218.60.56/~jnz1568/getInfo.php?workbook=16_15.xlsx&amp;sheet=A0&amp;row=587&amp;col=22&amp;number=&amp;sourceID=47","")</f>
        <v/>
      </c>
    </row>
    <row r="588" spans="1:22">
      <c r="A588" s="3">
        <v>16</v>
      </c>
      <c r="B588" s="3">
        <v>15</v>
      </c>
      <c r="C588" s="3">
        <v>40</v>
      </c>
      <c r="D588" s="3">
        <v>15</v>
      </c>
      <c r="E588" s="3">
        <f>((1/(INDEX(E0!J$4:J$73,C588,1)-INDEX(E0!J$4:J$73,D588,1))))*100000000</f>
        <v>0</v>
      </c>
      <c r="F588" s="4" t="str">
        <f>HYPERLINK("http://141.218.60.56/~jnz1568/getInfo.php?workbook=16_15.xlsx&amp;sheet=A0&amp;row=588&amp;col=6&amp;number=763.1&amp;sourceID=54","763.1")</f>
        <v>763.1</v>
      </c>
      <c r="G588" s="4" t="str">
        <f>HYPERLINK("http://141.218.60.56/~jnz1568/getInfo.php?workbook=16_15.xlsx&amp;sheet=A0&amp;row=588&amp;col=7&amp;number=&amp;sourceID=54","")</f>
        <v/>
      </c>
      <c r="H588" s="4" t="str">
        <f>HYPERLINK("http://141.218.60.56/~jnz1568/getInfo.php?workbook=16_15.xlsx&amp;sheet=A0&amp;row=588&amp;col=8&amp;number=&amp;sourceID=54","")</f>
        <v/>
      </c>
      <c r="I588" s="4" t="str">
        <f>HYPERLINK("http://141.218.60.56/~jnz1568/getInfo.php?workbook=16_15.xlsx&amp;sheet=A0&amp;row=588&amp;col=9&amp;number=1077.3&amp;sourceID=54","1077.3")</f>
        <v>1077.3</v>
      </c>
      <c r="J588" s="4" t="str">
        <f>HYPERLINK("http://141.218.60.56/~jnz1568/getInfo.php?workbook=16_15.xlsx&amp;sheet=A0&amp;row=588&amp;col=10&amp;number=&amp;sourceID=54","")</f>
        <v/>
      </c>
      <c r="K588" s="4" t="str">
        <f>HYPERLINK("http://141.218.60.56/~jnz1568/getInfo.php?workbook=16_15.xlsx&amp;sheet=A0&amp;row=588&amp;col=11&amp;number=&amp;sourceID=54","")</f>
        <v/>
      </c>
      <c r="L588" s="4" t="str">
        <f>HYPERLINK("http://141.218.60.56/~jnz1568/getInfo.php?workbook=16_15.xlsx&amp;sheet=A0&amp;row=588&amp;col=12&amp;number=1119.29962663&amp;sourceID=53","1119.29962663")</f>
        <v>1119.29962663</v>
      </c>
      <c r="M588" s="4" t="str">
        <f>HYPERLINK("http://141.218.60.56/~jnz1568/getInfo.php?workbook=16_15.xlsx&amp;sheet=A0&amp;row=588&amp;col=13&amp;number=&amp;sourceID=53","")</f>
        <v/>
      </c>
      <c r="N588" s="4" t="str">
        <f>HYPERLINK("http://141.218.60.56/~jnz1568/getInfo.php?workbook=16_15.xlsx&amp;sheet=A0&amp;row=588&amp;col=14&amp;number=&amp;sourceID=53","")</f>
        <v/>
      </c>
      <c r="O588" s="4" t="str">
        <f>HYPERLINK("http://141.218.60.56/~jnz1568/getInfo.php?workbook=16_15.xlsx&amp;sheet=A0&amp;row=588&amp;col=15&amp;number=&amp;sourceID=55","")</f>
        <v/>
      </c>
      <c r="P588" s="4" t="str">
        <f>HYPERLINK("http://141.218.60.56/~jnz1568/getInfo.php?workbook=16_15.xlsx&amp;sheet=A0&amp;row=588&amp;col=16&amp;number=&amp;sourceID=55","")</f>
        <v/>
      </c>
      <c r="Q588" s="4" t="str">
        <f>HYPERLINK("http://141.218.60.56/~jnz1568/getInfo.php?workbook=16_15.xlsx&amp;sheet=A0&amp;row=588&amp;col=17&amp;number=&amp;sourceID=56","")</f>
        <v/>
      </c>
      <c r="R588" s="4" t="str">
        <f>HYPERLINK("http://141.218.60.56/~jnz1568/getInfo.php?workbook=16_15.xlsx&amp;sheet=A0&amp;row=588&amp;col=18&amp;number=&amp;sourceID=56","")</f>
        <v/>
      </c>
      <c r="S588" s="4" t="str">
        <f>HYPERLINK("http://141.218.60.56/~jnz1568/getInfo.php?workbook=16_15.xlsx&amp;sheet=A0&amp;row=588&amp;col=19&amp;number=&amp;sourceID=57","")</f>
        <v/>
      </c>
      <c r="T588" s="4" t="str">
        <f>HYPERLINK("http://141.218.60.56/~jnz1568/getInfo.php?workbook=16_15.xlsx&amp;sheet=A0&amp;row=588&amp;col=20&amp;number=&amp;sourceID=57","")</f>
        <v/>
      </c>
      <c r="U588" s="4" t="str">
        <f>HYPERLINK("http://141.218.60.56/~jnz1568/getInfo.php?workbook=16_15.xlsx&amp;sheet=A0&amp;row=588&amp;col=21&amp;number=&amp;sourceID=47","")</f>
        <v/>
      </c>
      <c r="V588" s="4" t="str">
        <f>HYPERLINK("http://141.218.60.56/~jnz1568/getInfo.php?workbook=16_15.xlsx&amp;sheet=A0&amp;row=588&amp;col=22&amp;number=&amp;sourceID=47","")</f>
        <v/>
      </c>
    </row>
    <row r="589" spans="1:22">
      <c r="A589" s="3">
        <v>16</v>
      </c>
      <c r="B589" s="3">
        <v>15</v>
      </c>
      <c r="C589" s="3">
        <v>40</v>
      </c>
      <c r="D589" s="3">
        <v>16</v>
      </c>
      <c r="E589" s="3">
        <f>((1/(INDEX(E0!J$4:J$73,C589,1)-INDEX(E0!J$4:J$73,D589,1))))*100000000</f>
        <v>0</v>
      </c>
      <c r="F589" s="4" t="str">
        <f>HYPERLINK("http://141.218.60.56/~jnz1568/getInfo.php?workbook=16_15.xlsx&amp;sheet=A0&amp;row=589&amp;col=6&amp;number=70837000&amp;sourceID=54","70837000")</f>
        <v>70837000</v>
      </c>
      <c r="G589" s="4" t="str">
        <f>HYPERLINK("http://141.218.60.56/~jnz1568/getInfo.php?workbook=16_15.xlsx&amp;sheet=A0&amp;row=589&amp;col=7&amp;number=&amp;sourceID=54","")</f>
        <v/>
      </c>
      <c r="H589" s="4" t="str">
        <f>HYPERLINK("http://141.218.60.56/~jnz1568/getInfo.php?workbook=16_15.xlsx&amp;sheet=A0&amp;row=589&amp;col=8&amp;number=&amp;sourceID=54","")</f>
        <v/>
      </c>
      <c r="I589" s="4" t="str">
        <f>HYPERLINK("http://141.218.60.56/~jnz1568/getInfo.php?workbook=16_15.xlsx&amp;sheet=A0&amp;row=589&amp;col=9&amp;number=67568000&amp;sourceID=54","67568000")</f>
        <v>67568000</v>
      </c>
      <c r="J589" s="4" t="str">
        <f>HYPERLINK("http://141.218.60.56/~jnz1568/getInfo.php?workbook=16_15.xlsx&amp;sheet=A0&amp;row=589&amp;col=10&amp;number=&amp;sourceID=54","")</f>
        <v/>
      </c>
      <c r="K589" s="4" t="str">
        <f>HYPERLINK("http://141.218.60.56/~jnz1568/getInfo.php?workbook=16_15.xlsx&amp;sheet=A0&amp;row=589&amp;col=11&amp;number=&amp;sourceID=54","")</f>
        <v/>
      </c>
      <c r="L589" s="4" t="str">
        <f>HYPERLINK("http://141.218.60.56/~jnz1568/getInfo.php?workbook=16_15.xlsx&amp;sheet=A0&amp;row=589&amp;col=12&amp;number=73067947.9142&amp;sourceID=53","73067947.9142")</f>
        <v>73067947.9142</v>
      </c>
      <c r="M589" s="4" t="str">
        <f>HYPERLINK("http://141.218.60.56/~jnz1568/getInfo.php?workbook=16_15.xlsx&amp;sheet=A0&amp;row=589&amp;col=13&amp;number=&amp;sourceID=53","")</f>
        <v/>
      </c>
      <c r="N589" s="4" t="str">
        <f>HYPERLINK("http://141.218.60.56/~jnz1568/getInfo.php?workbook=16_15.xlsx&amp;sheet=A0&amp;row=589&amp;col=14&amp;number=&amp;sourceID=53","")</f>
        <v/>
      </c>
      <c r="O589" s="4" t="str">
        <f>HYPERLINK("http://141.218.60.56/~jnz1568/getInfo.php?workbook=16_15.xlsx&amp;sheet=A0&amp;row=589&amp;col=15&amp;number=&amp;sourceID=55","")</f>
        <v/>
      </c>
      <c r="P589" s="4" t="str">
        <f>HYPERLINK("http://141.218.60.56/~jnz1568/getInfo.php?workbook=16_15.xlsx&amp;sheet=A0&amp;row=589&amp;col=16&amp;number=&amp;sourceID=55","")</f>
        <v/>
      </c>
      <c r="Q589" s="4" t="str">
        <f>HYPERLINK("http://141.218.60.56/~jnz1568/getInfo.php?workbook=16_15.xlsx&amp;sheet=A0&amp;row=589&amp;col=17&amp;number=&amp;sourceID=56","")</f>
        <v/>
      </c>
      <c r="R589" s="4" t="str">
        <f>HYPERLINK("http://141.218.60.56/~jnz1568/getInfo.php?workbook=16_15.xlsx&amp;sheet=A0&amp;row=589&amp;col=18&amp;number=&amp;sourceID=56","")</f>
        <v/>
      </c>
      <c r="S589" s="4" t="str">
        <f>HYPERLINK("http://141.218.60.56/~jnz1568/getInfo.php?workbook=16_15.xlsx&amp;sheet=A0&amp;row=589&amp;col=19&amp;number=&amp;sourceID=57","")</f>
        <v/>
      </c>
      <c r="T589" s="4" t="str">
        <f>HYPERLINK("http://141.218.60.56/~jnz1568/getInfo.php?workbook=16_15.xlsx&amp;sheet=A0&amp;row=589&amp;col=20&amp;number=&amp;sourceID=57","")</f>
        <v/>
      </c>
      <c r="U589" s="4" t="str">
        <f>HYPERLINK("http://141.218.60.56/~jnz1568/getInfo.php?workbook=16_15.xlsx&amp;sheet=A0&amp;row=589&amp;col=21&amp;number=&amp;sourceID=47","")</f>
        <v/>
      </c>
      <c r="V589" s="4" t="str">
        <f>HYPERLINK("http://141.218.60.56/~jnz1568/getInfo.php?workbook=16_15.xlsx&amp;sheet=A0&amp;row=589&amp;col=22&amp;number=&amp;sourceID=47","")</f>
        <v/>
      </c>
    </row>
    <row r="590" spans="1:22">
      <c r="A590" s="3">
        <v>16</v>
      </c>
      <c r="B590" s="3">
        <v>15</v>
      </c>
      <c r="C590" s="3">
        <v>40</v>
      </c>
      <c r="D590" s="3">
        <v>17</v>
      </c>
      <c r="E590" s="3">
        <f>((1/(INDEX(E0!J$4:J$73,C590,1)-INDEX(E0!J$4:J$73,D590,1))))*100000000</f>
        <v>0</v>
      </c>
      <c r="F590" s="4" t="str">
        <f>HYPERLINK("http://141.218.60.56/~jnz1568/getInfo.php?workbook=16_15.xlsx&amp;sheet=A0&amp;row=590&amp;col=6&amp;number=16143&amp;sourceID=54","16143")</f>
        <v>16143</v>
      </c>
      <c r="G590" s="4" t="str">
        <f>HYPERLINK("http://141.218.60.56/~jnz1568/getInfo.php?workbook=16_15.xlsx&amp;sheet=A0&amp;row=590&amp;col=7&amp;number=&amp;sourceID=54","")</f>
        <v/>
      </c>
      <c r="H590" s="4" t="str">
        <f>HYPERLINK("http://141.218.60.56/~jnz1568/getInfo.php?workbook=16_15.xlsx&amp;sheet=A0&amp;row=590&amp;col=8&amp;number=&amp;sourceID=54","")</f>
        <v/>
      </c>
      <c r="I590" s="4" t="str">
        <f>HYPERLINK("http://141.218.60.56/~jnz1568/getInfo.php?workbook=16_15.xlsx&amp;sheet=A0&amp;row=590&amp;col=9&amp;number=43934&amp;sourceID=54","43934")</f>
        <v>43934</v>
      </c>
      <c r="J590" s="4" t="str">
        <f>HYPERLINK("http://141.218.60.56/~jnz1568/getInfo.php?workbook=16_15.xlsx&amp;sheet=A0&amp;row=590&amp;col=10&amp;number=&amp;sourceID=54","")</f>
        <v/>
      </c>
      <c r="K590" s="4" t="str">
        <f>HYPERLINK("http://141.218.60.56/~jnz1568/getInfo.php?workbook=16_15.xlsx&amp;sheet=A0&amp;row=590&amp;col=11&amp;number=&amp;sourceID=54","")</f>
        <v/>
      </c>
      <c r="L590" s="4" t="str">
        <f>HYPERLINK("http://141.218.60.56/~jnz1568/getInfo.php?workbook=16_15.xlsx&amp;sheet=A0&amp;row=590&amp;col=12&amp;number=57323.5125651&amp;sourceID=53","57323.5125651")</f>
        <v>57323.5125651</v>
      </c>
      <c r="M590" s="4" t="str">
        <f>HYPERLINK("http://141.218.60.56/~jnz1568/getInfo.php?workbook=16_15.xlsx&amp;sheet=A0&amp;row=590&amp;col=13&amp;number=&amp;sourceID=53","")</f>
        <v/>
      </c>
      <c r="N590" s="4" t="str">
        <f>HYPERLINK("http://141.218.60.56/~jnz1568/getInfo.php?workbook=16_15.xlsx&amp;sheet=A0&amp;row=590&amp;col=14&amp;number=&amp;sourceID=53","")</f>
        <v/>
      </c>
      <c r="O590" s="4" t="str">
        <f>HYPERLINK("http://141.218.60.56/~jnz1568/getInfo.php?workbook=16_15.xlsx&amp;sheet=A0&amp;row=590&amp;col=15&amp;number=&amp;sourceID=55","")</f>
        <v/>
      </c>
      <c r="P590" s="4" t="str">
        <f>HYPERLINK("http://141.218.60.56/~jnz1568/getInfo.php?workbook=16_15.xlsx&amp;sheet=A0&amp;row=590&amp;col=16&amp;number=&amp;sourceID=55","")</f>
        <v/>
      </c>
      <c r="Q590" s="4" t="str">
        <f>HYPERLINK("http://141.218.60.56/~jnz1568/getInfo.php?workbook=16_15.xlsx&amp;sheet=A0&amp;row=590&amp;col=17&amp;number=&amp;sourceID=56","")</f>
        <v/>
      </c>
      <c r="R590" s="4" t="str">
        <f>HYPERLINK("http://141.218.60.56/~jnz1568/getInfo.php?workbook=16_15.xlsx&amp;sheet=A0&amp;row=590&amp;col=18&amp;number=&amp;sourceID=56","")</f>
        <v/>
      </c>
      <c r="S590" s="4" t="str">
        <f>HYPERLINK("http://141.218.60.56/~jnz1568/getInfo.php?workbook=16_15.xlsx&amp;sheet=A0&amp;row=590&amp;col=19&amp;number=&amp;sourceID=57","")</f>
        <v/>
      </c>
      <c r="T590" s="4" t="str">
        <f>HYPERLINK("http://141.218.60.56/~jnz1568/getInfo.php?workbook=16_15.xlsx&amp;sheet=A0&amp;row=590&amp;col=20&amp;number=&amp;sourceID=57","")</f>
        <v/>
      </c>
      <c r="U590" s="4" t="str">
        <f>HYPERLINK("http://141.218.60.56/~jnz1568/getInfo.php?workbook=16_15.xlsx&amp;sheet=A0&amp;row=590&amp;col=21&amp;number=&amp;sourceID=47","")</f>
        <v/>
      </c>
      <c r="V590" s="4" t="str">
        <f>HYPERLINK("http://141.218.60.56/~jnz1568/getInfo.php?workbook=16_15.xlsx&amp;sheet=A0&amp;row=590&amp;col=22&amp;number=&amp;sourceID=47","")</f>
        <v/>
      </c>
    </row>
    <row r="591" spans="1:22">
      <c r="A591" s="3">
        <v>16</v>
      </c>
      <c r="B591" s="3">
        <v>15</v>
      </c>
      <c r="C591" s="3">
        <v>40</v>
      </c>
      <c r="D591" s="3">
        <v>18</v>
      </c>
      <c r="E591" s="3">
        <f>((1/(INDEX(E0!J$4:J$73,C591,1)-INDEX(E0!J$4:J$73,D591,1))))*100000000</f>
        <v>0</v>
      </c>
      <c r="F591" s="4" t="str">
        <f>HYPERLINK("http://141.218.60.56/~jnz1568/getInfo.php?workbook=16_15.xlsx&amp;sheet=A0&amp;row=591&amp;col=6&amp;number=76285&amp;sourceID=54","76285")</f>
        <v>76285</v>
      </c>
      <c r="G591" s="4" t="str">
        <f>HYPERLINK("http://141.218.60.56/~jnz1568/getInfo.php?workbook=16_15.xlsx&amp;sheet=A0&amp;row=591&amp;col=7&amp;number=&amp;sourceID=54","")</f>
        <v/>
      </c>
      <c r="H591" s="4" t="str">
        <f>HYPERLINK("http://141.218.60.56/~jnz1568/getInfo.php?workbook=16_15.xlsx&amp;sheet=A0&amp;row=591&amp;col=8&amp;number=&amp;sourceID=54","")</f>
        <v/>
      </c>
      <c r="I591" s="4" t="str">
        <f>HYPERLINK("http://141.218.60.56/~jnz1568/getInfo.php?workbook=16_15.xlsx&amp;sheet=A0&amp;row=591&amp;col=9&amp;number=80618&amp;sourceID=54","80618")</f>
        <v>80618</v>
      </c>
      <c r="J591" s="4" t="str">
        <f>HYPERLINK("http://141.218.60.56/~jnz1568/getInfo.php?workbook=16_15.xlsx&amp;sheet=A0&amp;row=591&amp;col=10&amp;number=&amp;sourceID=54","")</f>
        <v/>
      </c>
      <c r="K591" s="4" t="str">
        <f>HYPERLINK("http://141.218.60.56/~jnz1568/getInfo.php?workbook=16_15.xlsx&amp;sheet=A0&amp;row=591&amp;col=11&amp;number=&amp;sourceID=54","")</f>
        <v/>
      </c>
      <c r="L591" s="4" t="str">
        <f>HYPERLINK("http://141.218.60.56/~jnz1568/getInfo.php?workbook=16_15.xlsx&amp;sheet=A0&amp;row=591&amp;col=12&amp;number=80660.5809609&amp;sourceID=53","80660.5809609")</f>
        <v>80660.5809609</v>
      </c>
      <c r="M591" s="4" t="str">
        <f>HYPERLINK("http://141.218.60.56/~jnz1568/getInfo.php?workbook=16_15.xlsx&amp;sheet=A0&amp;row=591&amp;col=13&amp;number=&amp;sourceID=53","")</f>
        <v/>
      </c>
      <c r="N591" s="4" t="str">
        <f>HYPERLINK("http://141.218.60.56/~jnz1568/getInfo.php?workbook=16_15.xlsx&amp;sheet=A0&amp;row=591&amp;col=14&amp;number=&amp;sourceID=53","")</f>
        <v/>
      </c>
      <c r="O591" s="4" t="str">
        <f>HYPERLINK("http://141.218.60.56/~jnz1568/getInfo.php?workbook=16_15.xlsx&amp;sheet=A0&amp;row=591&amp;col=15&amp;number=&amp;sourceID=55","")</f>
        <v/>
      </c>
      <c r="P591" s="4" t="str">
        <f>HYPERLINK("http://141.218.60.56/~jnz1568/getInfo.php?workbook=16_15.xlsx&amp;sheet=A0&amp;row=591&amp;col=16&amp;number=&amp;sourceID=55","")</f>
        <v/>
      </c>
      <c r="Q591" s="4" t="str">
        <f>HYPERLINK("http://141.218.60.56/~jnz1568/getInfo.php?workbook=16_15.xlsx&amp;sheet=A0&amp;row=591&amp;col=17&amp;number=&amp;sourceID=56","")</f>
        <v/>
      </c>
      <c r="R591" s="4" t="str">
        <f>HYPERLINK("http://141.218.60.56/~jnz1568/getInfo.php?workbook=16_15.xlsx&amp;sheet=A0&amp;row=591&amp;col=18&amp;number=&amp;sourceID=56","")</f>
        <v/>
      </c>
      <c r="S591" s="4" t="str">
        <f>HYPERLINK("http://141.218.60.56/~jnz1568/getInfo.php?workbook=16_15.xlsx&amp;sheet=A0&amp;row=591&amp;col=19&amp;number=&amp;sourceID=57","")</f>
        <v/>
      </c>
      <c r="T591" s="4" t="str">
        <f>HYPERLINK("http://141.218.60.56/~jnz1568/getInfo.php?workbook=16_15.xlsx&amp;sheet=A0&amp;row=591&amp;col=20&amp;number=&amp;sourceID=57","")</f>
        <v/>
      </c>
      <c r="U591" s="4" t="str">
        <f>HYPERLINK("http://141.218.60.56/~jnz1568/getInfo.php?workbook=16_15.xlsx&amp;sheet=A0&amp;row=591&amp;col=21&amp;number=&amp;sourceID=47","")</f>
        <v/>
      </c>
      <c r="V591" s="4" t="str">
        <f>HYPERLINK("http://141.218.60.56/~jnz1568/getInfo.php?workbook=16_15.xlsx&amp;sheet=A0&amp;row=591&amp;col=22&amp;number=&amp;sourceID=47","")</f>
        <v/>
      </c>
    </row>
    <row r="592" spans="1:22">
      <c r="A592" s="3">
        <v>16</v>
      </c>
      <c r="B592" s="3">
        <v>15</v>
      </c>
      <c r="C592" s="3">
        <v>40</v>
      </c>
      <c r="D592" s="3">
        <v>21</v>
      </c>
      <c r="E592" s="3">
        <f>((1/(INDEX(E0!J$4:J$73,C592,1)-INDEX(E0!J$4:J$73,D592,1))))*100000000</f>
        <v>0</v>
      </c>
      <c r="F592" s="4" t="str">
        <f>HYPERLINK("http://141.218.60.56/~jnz1568/getInfo.php?workbook=16_15.xlsx&amp;sheet=A0&amp;row=592&amp;col=6&amp;number=1283600&amp;sourceID=54","1283600")</f>
        <v>1283600</v>
      </c>
      <c r="G592" s="4" t="str">
        <f>HYPERLINK("http://141.218.60.56/~jnz1568/getInfo.php?workbook=16_15.xlsx&amp;sheet=A0&amp;row=592&amp;col=7&amp;number=&amp;sourceID=54","")</f>
        <v/>
      </c>
      <c r="H592" s="4" t="str">
        <f>HYPERLINK("http://141.218.60.56/~jnz1568/getInfo.php?workbook=16_15.xlsx&amp;sheet=A0&amp;row=592&amp;col=8&amp;number=&amp;sourceID=54","")</f>
        <v/>
      </c>
      <c r="I592" s="4" t="str">
        <f>HYPERLINK("http://141.218.60.56/~jnz1568/getInfo.php?workbook=16_15.xlsx&amp;sheet=A0&amp;row=592&amp;col=9&amp;number=1621600&amp;sourceID=54","1621600")</f>
        <v>1621600</v>
      </c>
      <c r="J592" s="4" t="str">
        <f>HYPERLINK("http://141.218.60.56/~jnz1568/getInfo.php?workbook=16_15.xlsx&amp;sheet=A0&amp;row=592&amp;col=10&amp;number=&amp;sourceID=54","")</f>
        <v/>
      </c>
      <c r="K592" s="4" t="str">
        <f>HYPERLINK("http://141.218.60.56/~jnz1568/getInfo.php?workbook=16_15.xlsx&amp;sheet=A0&amp;row=592&amp;col=11&amp;number=&amp;sourceID=54","")</f>
        <v/>
      </c>
      <c r="L592" s="4" t="str">
        <f>HYPERLINK("http://141.218.60.56/~jnz1568/getInfo.php?workbook=16_15.xlsx&amp;sheet=A0&amp;row=592&amp;col=12&amp;number=1169088.93388&amp;sourceID=53","1169088.93388")</f>
        <v>1169088.93388</v>
      </c>
      <c r="M592" s="4" t="str">
        <f>HYPERLINK("http://141.218.60.56/~jnz1568/getInfo.php?workbook=16_15.xlsx&amp;sheet=A0&amp;row=592&amp;col=13&amp;number=&amp;sourceID=53","")</f>
        <v/>
      </c>
      <c r="N592" s="4" t="str">
        <f>HYPERLINK("http://141.218.60.56/~jnz1568/getInfo.php?workbook=16_15.xlsx&amp;sheet=A0&amp;row=592&amp;col=14&amp;number=&amp;sourceID=53","")</f>
        <v/>
      </c>
      <c r="O592" s="4" t="str">
        <f>HYPERLINK("http://141.218.60.56/~jnz1568/getInfo.php?workbook=16_15.xlsx&amp;sheet=A0&amp;row=592&amp;col=15&amp;number=&amp;sourceID=55","")</f>
        <v/>
      </c>
      <c r="P592" s="4" t="str">
        <f>HYPERLINK("http://141.218.60.56/~jnz1568/getInfo.php?workbook=16_15.xlsx&amp;sheet=A0&amp;row=592&amp;col=16&amp;number=&amp;sourceID=55","")</f>
        <v/>
      </c>
      <c r="Q592" s="4" t="str">
        <f>HYPERLINK("http://141.218.60.56/~jnz1568/getInfo.php?workbook=16_15.xlsx&amp;sheet=A0&amp;row=592&amp;col=17&amp;number=&amp;sourceID=56","")</f>
        <v/>
      </c>
      <c r="R592" s="4" t="str">
        <f>HYPERLINK("http://141.218.60.56/~jnz1568/getInfo.php?workbook=16_15.xlsx&amp;sheet=A0&amp;row=592&amp;col=18&amp;number=&amp;sourceID=56","")</f>
        <v/>
      </c>
      <c r="S592" s="4" t="str">
        <f>HYPERLINK("http://141.218.60.56/~jnz1568/getInfo.php?workbook=16_15.xlsx&amp;sheet=A0&amp;row=592&amp;col=19&amp;number=&amp;sourceID=57","")</f>
        <v/>
      </c>
      <c r="T592" s="4" t="str">
        <f>HYPERLINK("http://141.218.60.56/~jnz1568/getInfo.php?workbook=16_15.xlsx&amp;sheet=A0&amp;row=592&amp;col=20&amp;number=&amp;sourceID=57","")</f>
        <v/>
      </c>
      <c r="U592" s="4" t="str">
        <f>HYPERLINK("http://141.218.60.56/~jnz1568/getInfo.php?workbook=16_15.xlsx&amp;sheet=A0&amp;row=592&amp;col=21&amp;number=&amp;sourceID=47","")</f>
        <v/>
      </c>
      <c r="V592" s="4" t="str">
        <f>HYPERLINK("http://141.218.60.56/~jnz1568/getInfo.php?workbook=16_15.xlsx&amp;sheet=A0&amp;row=592&amp;col=22&amp;number=&amp;sourceID=47","")</f>
        <v/>
      </c>
    </row>
    <row r="593" spans="1:22">
      <c r="A593" s="3">
        <v>16</v>
      </c>
      <c r="B593" s="3">
        <v>15</v>
      </c>
      <c r="C593" s="3">
        <v>40</v>
      </c>
      <c r="D593" s="3">
        <v>23</v>
      </c>
      <c r="E593" s="3">
        <f>((1/(INDEX(E0!J$4:J$73,C593,1)-INDEX(E0!J$4:J$73,D593,1))))*100000000</f>
        <v>0</v>
      </c>
      <c r="F593" s="4" t="str">
        <f>HYPERLINK("http://141.218.60.56/~jnz1568/getInfo.php?workbook=16_15.xlsx&amp;sheet=A0&amp;row=593&amp;col=6&amp;number=590400&amp;sourceID=54","590400")</f>
        <v>590400</v>
      </c>
      <c r="G593" s="4" t="str">
        <f>HYPERLINK("http://141.218.60.56/~jnz1568/getInfo.php?workbook=16_15.xlsx&amp;sheet=A0&amp;row=593&amp;col=7&amp;number=&amp;sourceID=54","")</f>
        <v/>
      </c>
      <c r="H593" s="4" t="str">
        <f>HYPERLINK("http://141.218.60.56/~jnz1568/getInfo.php?workbook=16_15.xlsx&amp;sheet=A0&amp;row=593&amp;col=8&amp;number=&amp;sourceID=54","")</f>
        <v/>
      </c>
      <c r="I593" s="4" t="str">
        <f>HYPERLINK("http://141.218.60.56/~jnz1568/getInfo.php?workbook=16_15.xlsx&amp;sheet=A0&amp;row=593&amp;col=9&amp;number=613180&amp;sourceID=54","613180")</f>
        <v>613180</v>
      </c>
      <c r="J593" s="4" t="str">
        <f>HYPERLINK("http://141.218.60.56/~jnz1568/getInfo.php?workbook=16_15.xlsx&amp;sheet=A0&amp;row=593&amp;col=10&amp;number=&amp;sourceID=54","")</f>
        <v/>
      </c>
      <c r="K593" s="4" t="str">
        <f>HYPERLINK("http://141.218.60.56/~jnz1568/getInfo.php?workbook=16_15.xlsx&amp;sheet=A0&amp;row=593&amp;col=11&amp;number=&amp;sourceID=54","")</f>
        <v/>
      </c>
      <c r="L593" s="4" t="str">
        <f>HYPERLINK("http://141.218.60.56/~jnz1568/getInfo.php?workbook=16_15.xlsx&amp;sheet=A0&amp;row=593&amp;col=12&amp;number=599685.128337&amp;sourceID=53","599685.128337")</f>
        <v>599685.128337</v>
      </c>
      <c r="M593" s="4" t="str">
        <f>HYPERLINK("http://141.218.60.56/~jnz1568/getInfo.php?workbook=16_15.xlsx&amp;sheet=A0&amp;row=593&amp;col=13&amp;number=&amp;sourceID=53","")</f>
        <v/>
      </c>
      <c r="N593" s="4" t="str">
        <f>HYPERLINK("http://141.218.60.56/~jnz1568/getInfo.php?workbook=16_15.xlsx&amp;sheet=A0&amp;row=593&amp;col=14&amp;number=&amp;sourceID=53","")</f>
        <v/>
      </c>
      <c r="O593" s="4" t="str">
        <f>HYPERLINK("http://141.218.60.56/~jnz1568/getInfo.php?workbook=16_15.xlsx&amp;sheet=A0&amp;row=593&amp;col=15&amp;number=&amp;sourceID=55","")</f>
        <v/>
      </c>
      <c r="P593" s="4" t="str">
        <f>HYPERLINK("http://141.218.60.56/~jnz1568/getInfo.php?workbook=16_15.xlsx&amp;sheet=A0&amp;row=593&amp;col=16&amp;number=&amp;sourceID=55","")</f>
        <v/>
      </c>
      <c r="Q593" s="4" t="str">
        <f>HYPERLINK("http://141.218.60.56/~jnz1568/getInfo.php?workbook=16_15.xlsx&amp;sheet=A0&amp;row=593&amp;col=17&amp;number=&amp;sourceID=56","")</f>
        <v/>
      </c>
      <c r="R593" s="4" t="str">
        <f>HYPERLINK("http://141.218.60.56/~jnz1568/getInfo.php?workbook=16_15.xlsx&amp;sheet=A0&amp;row=593&amp;col=18&amp;number=&amp;sourceID=56","")</f>
        <v/>
      </c>
      <c r="S593" s="4" t="str">
        <f>HYPERLINK("http://141.218.60.56/~jnz1568/getInfo.php?workbook=16_15.xlsx&amp;sheet=A0&amp;row=593&amp;col=19&amp;number=&amp;sourceID=57","")</f>
        <v/>
      </c>
      <c r="T593" s="4" t="str">
        <f>HYPERLINK("http://141.218.60.56/~jnz1568/getInfo.php?workbook=16_15.xlsx&amp;sheet=A0&amp;row=593&amp;col=20&amp;number=&amp;sourceID=57","")</f>
        <v/>
      </c>
      <c r="U593" s="4" t="str">
        <f>HYPERLINK("http://141.218.60.56/~jnz1568/getInfo.php?workbook=16_15.xlsx&amp;sheet=A0&amp;row=593&amp;col=21&amp;number=&amp;sourceID=47","")</f>
        <v/>
      </c>
      <c r="V593" s="4" t="str">
        <f>HYPERLINK("http://141.218.60.56/~jnz1568/getInfo.php?workbook=16_15.xlsx&amp;sheet=A0&amp;row=593&amp;col=22&amp;number=&amp;sourceID=47","")</f>
        <v/>
      </c>
    </row>
    <row r="594" spans="1:22">
      <c r="A594" s="3">
        <v>16</v>
      </c>
      <c r="B594" s="3">
        <v>15</v>
      </c>
      <c r="C594" s="3">
        <v>40</v>
      </c>
      <c r="D594" s="3">
        <v>24</v>
      </c>
      <c r="E594" s="3">
        <f>((1/(INDEX(E0!J$4:J$73,C594,1)-INDEX(E0!J$4:J$73,D594,1))))*100000000</f>
        <v>0</v>
      </c>
      <c r="F594" s="4" t="str">
        <f>HYPERLINK("http://141.218.60.56/~jnz1568/getInfo.php?workbook=16_15.xlsx&amp;sheet=A0&amp;row=594&amp;col=6&amp;number=4826300&amp;sourceID=54","4826300")</f>
        <v>4826300</v>
      </c>
      <c r="G594" s="4" t="str">
        <f>HYPERLINK("http://141.218.60.56/~jnz1568/getInfo.php?workbook=16_15.xlsx&amp;sheet=A0&amp;row=594&amp;col=7&amp;number=&amp;sourceID=54","")</f>
        <v/>
      </c>
      <c r="H594" s="4" t="str">
        <f>HYPERLINK("http://141.218.60.56/~jnz1568/getInfo.php?workbook=16_15.xlsx&amp;sheet=A0&amp;row=594&amp;col=8&amp;number=&amp;sourceID=54","")</f>
        <v/>
      </c>
      <c r="I594" s="4" t="str">
        <f>HYPERLINK("http://141.218.60.56/~jnz1568/getInfo.php?workbook=16_15.xlsx&amp;sheet=A0&amp;row=594&amp;col=9&amp;number=4978200&amp;sourceID=54","4978200")</f>
        <v>4978200</v>
      </c>
      <c r="J594" s="4" t="str">
        <f>HYPERLINK("http://141.218.60.56/~jnz1568/getInfo.php?workbook=16_15.xlsx&amp;sheet=A0&amp;row=594&amp;col=10&amp;number=&amp;sourceID=54","")</f>
        <v/>
      </c>
      <c r="K594" s="4" t="str">
        <f>HYPERLINK("http://141.218.60.56/~jnz1568/getInfo.php?workbook=16_15.xlsx&amp;sheet=A0&amp;row=594&amp;col=11&amp;number=&amp;sourceID=54","")</f>
        <v/>
      </c>
      <c r="L594" s="4" t="str">
        <f>HYPERLINK("http://141.218.60.56/~jnz1568/getInfo.php?workbook=16_15.xlsx&amp;sheet=A0&amp;row=594&amp;col=12&amp;number=4780849.40341&amp;sourceID=53","4780849.40341")</f>
        <v>4780849.40341</v>
      </c>
      <c r="M594" s="4" t="str">
        <f>HYPERLINK("http://141.218.60.56/~jnz1568/getInfo.php?workbook=16_15.xlsx&amp;sheet=A0&amp;row=594&amp;col=13&amp;number=&amp;sourceID=53","")</f>
        <v/>
      </c>
      <c r="N594" s="4" t="str">
        <f>HYPERLINK("http://141.218.60.56/~jnz1568/getInfo.php?workbook=16_15.xlsx&amp;sheet=A0&amp;row=594&amp;col=14&amp;number=&amp;sourceID=53","")</f>
        <v/>
      </c>
      <c r="O594" s="4" t="str">
        <f>HYPERLINK("http://141.218.60.56/~jnz1568/getInfo.php?workbook=16_15.xlsx&amp;sheet=A0&amp;row=594&amp;col=15&amp;number=&amp;sourceID=55","")</f>
        <v/>
      </c>
      <c r="P594" s="4" t="str">
        <f>HYPERLINK("http://141.218.60.56/~jnz1568/getInfo.php?workbook=16_15.xlsx&amp;sheet=A0&amp;row=594&amp;col=16&amp;number=&amp;sourceID=55","")</f>
        <v/>
      </c>
      <c r="Q594" s="4" t="str">
        <f>HYPERLINK("http://141.218.60.56/~jnz1568/getInfo.php?workbook=16_15.xlsx&amp;sheet=A0&amp;row=594&amp;col=17&amp;number=&amp;sourceID=56","")</f>
        <v/>
      </c>
      <c r="R594" s="4" t="str">
        <f>HYPERLINK("http://141.218.60.56/~jnz1568/getInfo.php?workbook=16_15.xlsx&amp;sheet=A0&amp;row=594&amp;col=18&amp;number=&amp;sourceID=56","")</f>
        <v/>
      </c>
      <c r="S594" s="4" t="str">
        <f>HYPERLINK("http://141.218.60.56/~jnz1568/getInfo.php?workbook=16_15.xlsx&amp;sheet=A0&amp;row=594&amp;col=19&amp;number=&amp;sourceID=57","")</f>
        <v/>
      </c>
      <c r="T594" s="4" t="str">
        <f>HYPERLINK("http://141.218.60.56/~jnz1568/getInfo.php?workbook=16_15.xlsx&amp;sheet=A0&amp;row=594&amp;col=20&amp;number=&amp;sourceID=57","")</f>
        <v/>
      </c>
      <c r="U594" s="4" t="str">
        <f>HYPERLINK("http://141.218.60.56/~jnz1568/getInfo.php?workbook=16_15.xlsx&amp;sheet=A0&amp;row=594&amp;col=21&amp;number=&amp;sourceID=47","")</f>
        <v/>
      </c>
      <c r="V594" s="4" t="str">
        <f>HYPERLINK("http://141.218.60.56/~jnz1568/getInfo.php?workbook=16_15.xlsx&amp;sheet=A0&amp;row=594&amp;col=22&amp;number=&amp;sourceID=47","")</f>
        <v/>
      </c>
    </row>
    <row r="595" spans="1:22">
      <c r="A595" s="3">
        <v>16</v>
      </c>
      <c r="B595" s="3">
        <v>15</v>
      </c>
      <c r="C595" s="3">
        <v>40</v>
      </c>
      <c r="D595" s="3">
        <v>25</v>
      </c>
      <c r="E595" s="3">
        <f>((1/(INDEX(E0!J$4:J$73,C595,1)-INDEX(E0!J$4:J$73,D595,1))))*100000000</f>
        <v>0</v>
      </c>
      <c r="F595" s="4" t="str">
        <f>HYPERLINK("http://141.218.60.56/~jnz1568/getInfo.php?workbook=16_15.xlsx&amp;sheet=A0&amp;row=595&amp;col=6&amp;number=19294000&amp;sourceID=54","19294000")</f>
        <v>19294000</v>
      </c>
      <c r="G595" s="4" t="str">
        <f>HYPERLINK("http://141.218.60.56/~jnz1568/getInfo.php?workbook=16_15.xlsx&amp;sheet=A0&amp;row=595&amp;col=7&amp;number=&amp;sourceID=54","")</f>
        <v/>
      </c>
      <c r="H595" s="4" t="str">
        <f>HYPERLINK("http://141.218.60.56/~jnz1568/getInfo.php?workbook=16_15.xlsx&amp;sheet=A0&amp;row=595&amp;col=8&amp;number=&amp;sourceID=54","")</f>
        <v/>
      </c>
      <c r="I595" s="4" t="str">
        <f>HYPERLINK("http://141.218.60.56/~jnz1568/getInfo.php?workbook=16_15.xlsx&amp;sheet=A0&amp;row=595&amp;col=9&amp;number=20221000&amp;sourceID=54","20221000")</f>
        <v>20221000</v>
      </c>
      <c r="J595" s="4" t="str">
        <f>HYPERLINK("http://141.218.60.56/~jnz1568/getInfo.php?workbook=16_15.xlsx&amp;sheet=A0&amp;row=595&amp;col=10&amp;number=&amp;sourceID=54","")</f>
        <v/>
      </c>
      <c r="K595" s="4" t="str">
        <f>HYPERLINK("http://141.218.60.56/~jnz1568/getInfo.php?workbook=16_15.xlsx&amp;sheet=A0&amp;row=595&amp;col=11&amp;number=&amp;sourceID=54","")</f>
        <v/>
      </c>
      <c r="L595" s="4" t="str">
        <f>HYPERLINK("http://141.218.60.56/~jnz1568/getInfo.php?workbook=16_15.xlsx&amp;sheet=A0&amp;row=595&amp;col=12&amp;number=19245810.2163&amp;sourceID=53","19245810.2163")</f>
        <v>19245810.2163</v>
      </c>
      <c r="M595" s="4" t="str">
        <f>HYPERLINK("http://141.218.60.56/~jnz1568/getInfo.php?workbook=16_15.xlsx&amp;sheet=A0&amp;row=595&amp;col=13&amp;number=&amp;sourceID=53","")</f>
        <v/>
      </c>
      <c r="N595" s="4" t="str">
        <f>HYPERLINK("http://141.218.60.56/~jnz1568/getInfo.php?workbook=16_15.xlsx&amp;sheet=A0&amp;row=595&amp;col=14&amp;number=&amp;sourceID=53","")</f>
        <v/>
      </c>
      <c r="O595" s="4" t="str">
        <f>HYPERLINK("http://141.218.60.56/~jnz1568/getInfo.php?workbook=16_15.xlsx&amp;sheet=A0&amp;row=595&amp;col=15&amp;number=&amp;sourceID=55","")</f>
        <v/>
      </c>
      <c r="P595" s="4" t="str">
        <f>HYPERLINK("http://141.218.60.56/~jnz1568/getInfo.php?workbook=16_15.xlsx&amp;sheet=A0&amp;row=595&amp;col=16&amp;number=&amp;sourceID=55","")</f>
        <v/>
      </c>
      <c r="Q595" s="4" t="str">
        <f>HYPERLINK("http://141.218.60.56/~jnz1568/getInfo.php?workbook=16_15.xlsx&amp;sheet=A0&amp;row=595&amp;col=17&amp;number=&amp;sourceID=56","")</f>
        <v/>
      </c>
      <c r="R595" s="4" t="str">
        <f>HYPERLINK("http://141.218.60.56/~jnz1568/getInfo.php?workbook=16_15.xlsx&amp;sheet=A0&amp;row=595&amp;col=18&amp;number=&amp;sourceID=56","")</f>
        <v/>
      </c>
      <c r="S595" s="4" t="str">
        <f>HYPERLINK("http://141.218.60.56/~jnz1568/getInfo.php?workbook=16_15.xlsx&amp;sheet=A0&amp;row=595&amp;col=19&amp;number=&amp;sourceID=57","")</f>
        <v/>
      </c>
      <c r="T595" s="4" t="str">
        <f>HYPERLINK("http://141.218.60.56/~jnz1568/getInfo.php?workbook=16_15.xlsx&amp;sheet=A0&amp;row=595&amp;col=20&amp;number=&amp;sourceID=57","")</f>
        <v/>
      </c>
      <c r="U595" s="4" t="str">
        <f>HYPERLINK("http://141.218.60.56/~jnz1568/getInfo.php?workbook=16_15.xlsx&amp;sheet=A0&amp;row=595&amp;col=21&amp;number=&amp;sourceID=47","")</f>
        <v/>
      </c>
      <c r="V595" s="4" t="str">
        <f>HYPERLINK("http://141.218.60.56/~jnz1568/getInfo.php?workbook=16_15.xlsx&amp;sheet=A0&amp;row=595&amp;col=22&amp;number=&amp;sourceID=47","")</f>
        <v/>
      </c>
    </row>
    <row r="596" spans="1:22">
      <c r="A596" s="3">
        <v>16</v>
      </c>
      <c r="B596" s="3">
        <v>15</v>
      </c>
      <c r="C596" s="3">
        <v>40</v>
      </c>
      <c r="D596" s="3">
        <v>26</v>
      </c>
      <c r="E596" s="3">
        <f>((1/(INDEX(E0!J$4:J$73,C596,1)-INDEX(E0!J$4:J$73,D596,1))))*100000000</f>
        <v>0</v>
      </c>
      <c r="F596" s="4" t="str">
        <f>HYPERLINK("http://141.218.60.56/~jnz1568/getInfo.php?workbook=16_15.xlsx&amp;sheet=A0&amp;row=596&amp;col=6&amp;number=8871.8&amp;sourceID=54","8871.8")</f>
        <v>8871.8</v>
      </c>
      <c r="G596" s="4" t="str">
        <f>HYPERLINK("http://141.218.60.56/~jnz1568/getInfo.php?workbook=16_15.xlsx&amp;sheet=A0&amp;row=596&amp;col=7&amp;number=&amp;sourceID=54","")</f>
        <v/>
      </c>
      <c r="H596" s="4" t="str">
        <f>HYPERLINK("http://141.218.60.56/~jnz1568/getInfo.php?workbook=16_15.xlsx&amp;sheet=A0&amp;row=596&amp;col=8&amp;number=&amp;sourceID=54","")</f>
        <v/>
      </c>
      <c r="I596" s="4" t="str">
        <f>HYPERLINK("http://141.218.60.56/~jnz1568/getInfo.php?workbook=16_15.xlsx&amp;sheet=A0&amp;row=596&amp;col=9&amp;number=58286&amp;sourceID=54","58286")</f>
        <v>58286</v>
      </c>
      <c r="J596" s="4" t="str">
        <f>HYPERLINK("http://141.218.60.56/~jnz1568/getInfo.php?workbook=16_15.xlsx&amp;sheet=A0&amp;row=596&amp;col=10&amp;number=&amp;sourceID=54","")</f>
        <v/>
      </c>
      <c r="K596" s="4" t="str">
        <f>HYPERLINK("http://141.218.60.56/~jnz1568/getInfo.php?workbook=16_15.xlsx&amp;sheet=A0&amp;row=596&amp;col=11&amp;number=&amp;sourceID=54","")</f>
        <v/>
      </c>
      <c r="L596" s="4" t="str">
        <f>HYPERLINK("http://141.218.60.56/~jnz1568/getInfo.php?workbook=16_15.xlsx&amp;sheet=A0&amp;row=596&amp;col=12&amp;number=50729.4394922&amp;sourceID=53","50729.4394922")</f>
        <v>50729.4394922</v>
      </c>
      <c r="M596" s="4" t="str">
        <f>HYPERLINK("http://141.218.60.56/~jnz1568/getInfo.php?workbook=16_15.xlsx&amp;sheet=A0&amp;row=596&amp;col=13&amp;number=&amp;sourceID=53","")</f>
        <v/>
      </c>
      <c r="N596" s="4" t="str">
        <f>HYPERLINK("http://141.218.60.56/~jnz1568/getInfo.php?workbook=16_15.xlsx&amp;sheet=A0&amp;row=596&amp;col=14&amp;number=&amp;sourceID=53","")</f>
        <v/>
      </c>
      <c r="O596" s="4" t="str">
        <f>HYPERLINK("http://141.218.60.56/~jnz1568/getInfo.php?workbook=16_15.xlsx&amp;sheet=A0&amp;row=596&amp;col=15&amp;number=&amp;sourceID=55","")</f>
        <v/>
      </c>
      <c r="P596" s="4" t="str">
        <f>HYPERLINK("http://141.218.60.56/~jnz1568/getInfo.php?workbook=16_15.xlsx&amp;sheet=A0&amp;row=596&amp;col=16&amp;number=&amp;sourceID=55","")</f>
        <v/>
      </c>
      <c r="Q596" s="4" t="str">
        <f>HYPERLINK("http://141.218.60.56/~jnz1568/getInfo.php?workbook=16_15.xlsx&amp;sheet=A0&amp;row=596&amp;col=17&amp;number=&amp;sourceID=56","")</f>
        <v/>
      </c>
      <c r="R596" s="4" t="str">
        <f>HYPERLINK("http://141.218.60.56/~jnz1568/getInfo.php?workbook=16_15.xlsx&amp;sheet=A0&amp;row=596&amp;col=18&amp;number=&amp;sourceID=56","")</f>
        <v/>
      </c>
      <c r="S596" s="4" t="str">
        <f>HYPERLINK("http://141.218.60.56/~jnz1568/getInfo.php?workbook=16_15.xlsx&amp;sheet=A0&amp;row=596&amp;col=19&amp;number=&amp;sourceID=57","")</f>
        <v/>
      </c>
      <c r="T596" s="4" t="str">
        <f>HYPERLINK("http://141.218.60.56/~jnz1568/getInfo.php?workbook=16_15.xlsx&amp;sheet=A0&amp;row=596&amp;col=20&amp;number=&amp;sourceID=57","")</f>
        <v/>
      </c>
      <c r="U596" s="4" t="str">
        <f>HYPERLINK("http://141.218.60.56/~jnz1568/getInfo.php?workbook=16_15.xlsx&amp;sheet=A0&amp;row=596&amp;col=21&amp;number=&amp;sourceID=47","")</f>
        <v/>
      </c>
      <c r="V596" s="4" t="str">
        <f>HYPERLINK("http://141.218.60.56/~jnz1568/getInfo.php?workbook=16_15.xlsx&amp;sheet=A0&amp;row=596&amp;col=22&amp;number=&amp;sourceID=47","")</f>
        <v/>
      </c>
    </row>
    <row r="597" spans="1:22">
      <c r="A597" s="3">
        <v>16</v>
      </c>
      <c r="B597" s="3">
        <v>15</v>
      </c>
      <c r="C597" s="3">
        <v>40</v>
      </c>
      <c r="D597" s="3">
        <v>27</v>
      </c>
      <c r="E597" s="3">
        <f>((1/(INDEX(E0!J$4:J$73,C597,1)-INDEX(E0!J$4:J$73,D597,1))))*100000000</f>
        <v>0</v>
      </c>
      <c r="F597" s="4" t="str">
        <f>HYPERLINK("http://141.218.60.56/~jnz1568/getInfo.php?workbook=16_15.xlsx&amp;sheet=A0&amp;row=597&amp;col=6&amp;number=7296.4&amp;sourceID=54","7296.4")</f>
        <v>7296.4</v>
      </c>
      <c r="G597" s="4" t="str">
        <f>HYPERLINK("http://141.218.60.56/~jnz1568/getInfo.php?workbook=16_15.xlsx&amp;sheet=A0&amp;row=597&amp;col=7&amp;number=&amp;sourceID=54","")</f>
        <v/>
      </c>
      <c r="H597" s="4" t="str">
        <f>HYPERLINK("http://141.218.60.56/~jnz1568/getInfo.php?workbook=16_15.xlsx&amp;sheet=A0&amp;row=597&amp;col=8&amp;number=&amp;sourceID=54","")</f>
        <v/>
      </c>
      <c r="I597" s="4" t="str">
        <f>HYPERLINK("http://141.218.60.56/~jnz1568/getInfo.php?workbook=16_15.xlsx&amp;sheet=A0&amp;row=597&amp;col=9&amp;number=97767&amp;sourceID=54","97767")</f>
        <v>97767</v>
      </c>
      <c r="J597" s="4" t="str">
        <f>HYPERLINK("http://141.218.60.56/~jnz1568/getInfo.php?workbook=16_15.xlsx&amp;sheet=A0&amp;row=597&amp;col=10&amp;number=&amp;sourceID=54","")</f>
        <v/>
      </c>
      <c r="K597" s="4" t="str">
        <f>HYPERLINK("http://141.218.60.56/~jnz1568/getInfo.php?workbook=16_15.xlsx&amp;sheet=A0&amp;row=597&amp;col=11&amp;number=&amp;sourceID=54","")</f>
        <v/>
      </c>
      <c r="L597" s="4" t="str">
        <f>HYPERLINK("http://141.218.60.56/~jnz1568/getInfo.php?workbook=16_15.xlsx&amp;sheet=A0&amp;row=597&amp;col=12&amp;number=83024.7289278&amp;sourceID=53","83024.7289278")</f>
        <v>83024.7289278</v>
      </c>
      <c r="M597" s="4" t="str">
        <f>HYPERLINK("http://141.218.60.56/~jnz1568/getInfo.php?workbook=16_15.xlsx&amp;sheet=A0&amp;row=597&amp;col=13&amp;number=&amp;sourceID=53","")</f>
        <v/>
      </c>
      <c r="N597" s="4" t="str">
        <f>HYPERLINK("http://141.218.60.56/~jnz1568/getInfo.php?workbook=16_15.xlsx&amp;sheet=A0&amp;row=597&amp;col=14&amp;number=&amp;sourceID=53","")</f>
        <v/>
      </c>
      <c r="O597" s="4" t="str">
        <f>HYPERLINK("http://141.218.60.56/~jnz1568/getInfo.php?workbook=16_15.xlsx&amp;sheet=A0&amp;row=597&amp;col=15&amp;number=&amp;sourceID=55","")</f>
        <v/>
      </c>
      <c r="P597" s="4" t="str">
        <f>HYPERLINK("http://141.218.60.56/~jnz1568/getInfo.php?workbook=16_15.xlsx&amp;sheet=A0&amp;row=597&amp;col=16&amp;number=&amp;sourceID=55","")</f>
        <v/>
      </c>
      <c r="Q597" s="4" t="str">
        <f>HYPERLINK("http://141.218.60.56/~jnz1568/getInfo.php?workbook=16_15.xlsx&amp;sheet=A0&amp;row=597&amp;col=17&amp;number=&amp;sourceID=56","")</f>
        <v/>
      </c>
      <c r="R597" s="4" t="str">
        <f>HYPERLINK("http://141.218.60.56/~jnz1568/getInfo.php?workbook=16_15.xlsx&amp;sheet=A0&amp;row=597&amp;col=18&amp;number=&amp;sourceID=56","")</f>
        <v/>
      </c>
      <c r="S597" s="4" t="str">
        <f>HYPERLINK("http://141.218.60.56/~jnz1568/getInfo.php?workbook=16_15.xlsx&amp;sheet=A0&amp;row=597&amp;col=19&amp;number=&amp;sourceID=57","")</f>
        <v/>
      </c>
      <c r="T597" s="4" t="str">
        <f>HYPERLINK("http://141.218.60.56/~jnz1568/getInfo.php?workbook=16_15.xlsx&amp;sheet=A0&amp;row=597&amp;col=20&amp;number=&amp;sourceID=57","")</f>
        <v/>
      </c>
      <c r="U597" s="4" t="str">
        <f>HYPERLINK("http://141.218.60.56/~jnz1568/getInfo.php?workbook=16_15.xlsx&amp;sheet=A0&amp;row=597&amp;col=21&amp;number=&amp;sourceID=47","")</f>
        <v/>
      </c>
      <c r="V597" s="4" t="str">
        <f>HYPERLINK("http://141.218.60.56/~jnz1568/getInfo.php?workbook=16_15.xlsx&amp;sheet=A0&amp;row=597&amp;col=22&amp;number=&amp;sourceID=47","")</f>
        <v/>
      </c>
    </row>
    <row r="598" spans="1:22">
      <c r="A598" s="3">
        <v>16</v>
      </c>
      <c r="B598" s="3">
        <v>15</v>
      </c>
      <c r="C598" s="3">
        <v>40</v>
      </c>
      <c r="D598" s="3">
        <v>29</v>
      </c>
      <c r="E598" s="3">
        <f>((1/(INDEX(E0!J$4:J$73,C598,1)-INDEX(E0!J$4:J$73,D598,1))))*100000000</f>
        <v>0</v>
      </c>
      <c r="F598" s="4" t="str">
        <f>HYPERLINK("http://141.218.60.56/~jnz1568/getInfo.php?workbook=16_15.xlsx&amp;sheet=A0&amp;row=598&amp;col=6&amp;number=2299.3&amp;sourceID=54","2299.3")</f>
        <v>2299.3</v>
      </c>
      <c r="G598" s="4" t="str">
        <f>HYPERLINK("http://141.218.60.56/~jnz1568/getInfo.php?workbook=16_15.xlsx&amp;sheet=A0&amp;row=598&amp;col=7&amp;number=&amp;sourceID=54","")</f>
        <v/>
      </c>
      <c r="H598" s="4" t="str">
        <f>HYPERLINK("http://141.218.60.56/~jnz1568/getInfo.php?workbook=16_15.xlsx&amp;sheet=A0&amp;row=598&amp;col=8&amp;number=&amp;sourceID=54","")</f>
        <v/>
      </c>
      <c r="I598" s="4" t="str">
        <f>HYPERLINK("http://141.218.60.56/~jnz1568/getInfo.php?workbook=16_15.xlsx&amp;sheet=A0&amp;row=598&amp;col=9&amp;number=2755.7&amp;sourceID=54","2755.7")</f>
        <v>2755.7</v>
      </c>
      <c r="J598" s="4" t="str">
        <f>HYPERLINK("http://141.218.60.56/~jnz1568/getInfo.php?workbook=16_15.xlsx&amp;sheet=A0&amp;row=598&amp;col=10&amp;number=&amp;sourceID=54","")</f>
        <v/>
      </c>
      <c r="K598" s="4" t="str">
        <f>HYPERLINK("http://141.218.60.56/~jnz1568/getInfo.php?workbook=16_15.xlsx&amp;sheet=A0&amp;row=598&amp;col=11&amp;number=&amp;sourceID=54","")</f>
        <v/>
      </c>
      <c r="L598" s="4" t="str">
        <f>HYPERLINK("http://141.218.60.56/~jnz1568/getInfo.php?workbook=16_15.xlsx&amp;sheet=A0&amp;row=598&amp;col=12&amp;number=2969.70781091&amp;sourceID=53","2969.70781091")</f>
        <v>2969.70781091</v>
      </c>
      <c r="M598" s="4" t="str">
        <f>HYPERLINK("http://141.218.60.56/~jnz1568/getInfo.php?workbook=16_15.xlsx&amp;sheet=A0&amp;row=598&amp;col=13&amp;number=&amp;sourceID=53","")</f>
        <v/>
      </c>
      <c r="N598" s="4" t="str">
        <f>HYPERLINK("http://141.218.60.56/~jnz1568/getInfo.php?workbook=16_15.xlsx&amp;sheet=A0&amp;row=598&amp;col=14&amp;number=&amp;sourceID=53","")</f>
        <v/>
      </c>
      <c r="O598" s="4" t="str">
        <f>HYPERLINK("http://141.218.60.56/~jnz1568/getInfo.php?workbook=16_15.xlsx&amp;sheet=A0&amp;row=598&amp;col=15&amp;number=&amp;sourceID=55","")</f>
        <v/>
      </c>
      <c r="P598" s="4" t="str">
        <f>HYPERLINK("http://141.218.60.56/~jnz1568/getInfo.php?workbook=16_15.xlsx&amp;sheet=A0&amp;row=598&amp;col=16&amp;number=&amp;sourceID=55","")</f>
        <v/>
      </c>
      <c r="Q598" s="4" t="str">
        <f>HYPERLINK("http://141.218.60.56/~jnz1568/getInfo.php?workbook=16_15.xlsx&amp;sheet=A0&amp;row=598&amp;col=17&amp;number=&amp;sourceID=56","")</f>
        <v/>
      </c>
      <c r="R598" s="4" t="str">
        <f>HYPERLINK("http://141.218.60.56/~jnz1568/getInfo.php?workbook=16_15.xlsx&amp;sheet=A0&amp;row=598&amp;col=18&amp;number=&amp;sourceID=56","")</f>
        <v/>
      </c>
      <c r="S598" s="4" t="str">
        <f>HYPERLINK("http://141.218.60.56/~jnz1568/getInfo.php?workbook=16_15.xlsx&amp;sheet=A0&amp;row=598&amp;col=19&amp;number=&amp;sourceID=57","")</f>
        <v/>
      </c>
      <c r="T598" s="4" t="str">
        <f>HYPERLINK("http://141.218.60.56/~jnz1568/getInfo.php?workbook=16_15.xlsx&amp;sheet=A0&amp;row=598&amp;col=20&amp;number=&amp;sourceID=57","")</f>
        <v/>
      </c>
      <c r="U598" s="4" t="str">
        <f>HYPERLINK("http://141.218.60.56/~jnz1568/getInfo.php?workbook=16_15.xlsx&amp;sheet=A0&amp;row=598&amp;col=21&amp;number=&amp;sourceID=47","")</f>
        <v/>
      </c>
      <c r="V598" s="4" t="str">
        <f>HYPERLINK("http://141.218.60.56/~jnz1568/getInfo.php?workbook=16_15.xlsx&amp;sheet=A0&amp;row=598&amp;col=22&amp;number=&amp;sourceID=47","")</f>
        <v/>
      </c>
    </row>
    <row r="599" spans="1:22">
      <c r="A599" s="3">
        <v>16</v>
      </c>
      <c r="B599" s="3">
        <v>15</v>
      </c>
      <c r="C599" s="3">
        <v>40</v>
      </c>
      <c r="D599" s="3">
        <v>30</v>
      </c>
      <c r="E599" s="3">
        <f>((1/(INDEX(E0!J$4:J$73,C599,1)-INDEX(E0!J$4:J$73,D599,1))))*100000000</f>
        <v>0</v>
      </c>
      <c r="F599" s="4" t="str">
        <f>HYPERLINK("http://141.218.60.56/~jnz1568/getInfo.php?workbook=16_15.xlsx&amp;sheet=A0&amp;row=599&amp;col=6&amp;number=28325&amp;sourceID=54","28325")</f>
        <v>28325</v>
      </c>
      <c r="G599" s="4" t="str">
        <f>HYPERLINK("http://141.218.60.56/~jnz1568/getInfo.php?workbook=16_15.xlsx&amp;sheet=A0&amp;row=599&amp;col=7&amp;number=&amp;sourceID=54","")</f>
        <v/>
      </c>
      <c r="H599" s="4" t="str">
        <f>HYPERLINK("http://141.218.60.56/~jnz1568/getInfo.php?workbook=16_15.xlsx&amp;sheet=A0&amp;row=599&amp;col=8&amp;number=&amp;sourceID=54","")</f>
        <v/>
      </c>
      <c r="I599" s="4" t="str">
        <f>HYPERLINK("http://141.218.60.56/~jnz1568/getInfo.php?workbook=16_15.xlsx&amp;sheet=A0&amp;row=599&amp;col=9&amp;number=35118&amp;sourceID=54","35118")</f>
        <v>35118</v>
      </c>
      <c r="J599" s="4" t="str">
        <f>HYPERLINK("http://141.218.60.56/~jnz1568/getInfo.php?workbook=16_15.xlsx&amp;sheet=A0&amp;row=599&amp;col=10&amp;number=&amp;sourceID=54","")</f>
        <v/>
      </c>
      <c r="K599" s="4" t="str">
        <f>HYPERLINK("http://141.218.60.56/~jnz1568/getInfo.php?workbook=16_15.xlsx&amp;sheet=A0&amp;row=599&amp;col=11&amp;number=&amp;sourceID=54","")</f>
        <v/>
      </c>
      <c r="L599" s="4" t="str">
        <f>HYPERLINK("http://141.218.60.56/~jnz1568/getInfo.php?workbook=16_15.xlsx&amp;sheet=A0&amp;row=599&amp;col=12&amp;number=38072.4708953&amp;sourceID=53","38072.4708953")</f>
        <v>38072.4708953</v>
      </c>
      <c r="M599" s="4" t="str">
        <f>HYPERLINK("http://141.218.60.56/~jnz1568/getInfo.php?workbook=16_15.xlsx&amp;sheet=A0&amp;row=599&amp;col=13&amp;number=&amp;sourceID=53","")</f>
        <v/>
      </c>
      <c r="N599" s="4" t="str">
        <f>HYPERLINK("http://141.218.60.56/~jnz1568/getInfo.php?workbook=16_15.xlsx&amp;sheet=A0&amp;row=599&amp;col=14&amp;number=&amp;sourceID=53","")</f>
        <v/>
      </c>
      <c r="O599" s="4" t="str">
        <f>HYPERLINK("http://141.218.60.56/~jnz1568/getInfo.php?workbook=16_15.xlsx&amp;sheet=A0&amp;row=599&amp;col=15&amp;number=&amp;sourceID=55","")</f>
        <v/>
      </c>
      <c r="P599" s="4" t="str">
        <f>HYPERLINK("http://141.218.60.56/~jnz1568/getInfo.php?workbook=16_15.xlsx&amp;sheet=A0&amp;row=599&amp;col=16&amp;number=&amp;sourceID=55","")</f>
        <v/>
      </c>
      <c r="Q599" s="4" t="str">
        <f>HYPERLINK("http://141.218.60.56/~jnz1568/getInfo.php?workbook=16_15.xlsx&amp;sheet=A0&amp;row=599&amp;col=17&amp;number=&amp;sourceID=56","")</f>
        <v/>
      </c>
      <c r="R599" s="4" t="str">
        <f>HYPERLINK("http://141.218.60.56/~jnz1568/getInfo.php?workbook=16_15.xlsx&amp;sheet=A0&amp;row=599&amp;col=18&amp;number=&amp;sourceID=56","")</f>
        <v/>
      </c>
      <c r="S599" s="4" t="str">
        <f>HYPERLINK("http://141.218.60.56/~jnz1568/getInfo.php?workbook=16_15.xlsx&amp;sheet=A0&amp;row=599&amp;col=19&amp;number=&amp;sourceID=57","")</f>
        <v/>
      </c>
      <c r="T599" s="4" t="str">
        <f>HYPERLINK("http://141.218.60.56/~jnz1568/getInfo.php?workbook=16_15.xlsx&amp;sheet=A0&amp;row=599&amp;col=20&amp;number=&amp;sourceID=57","")</f>
        <v/>
      </c>
      <c r="U599" s="4" t="str">
        <f>HYPERLINK("http://141.218.60.56/~jnz1568/getInfo.php?workbook=16_15.xlsx&amp;sheet=A0&amp;row=599&amp;col=21&amp;number=&amp;sourceID=47","")</f>
        <v/>
      </c>
      <c r="V599" s="4" t="str">
        <f>HYPERLINK("http://141.218.60.56/~jnz1568/getInfo.php?workbook=16_15.xlsx&amp;sheet=A0&amp;row=599&amp;col=22&amp;number=&amp;sourceID=47","")</f>
        <v/>
      </c>
    </row>
    <row r="600" spans="1:22">
      <c r="A600" s="3">
        <v>16</v>
      </c>
      <c r="B600" s="3">
        <v>15</v>
      </c>
      <c r="C600" s="3">
        <v>40</v>
      </c>
      <c r="D600" s="3">
        <v>31</v>
      </c>
      <c r="E600" s="3">
        <f>((1/(INDEX(E0!J$4:J$73,C600,1)-INDEX(E0!J$4:J$73,D600,1))))*100000000</f>
        <v>0</v>
      </c>
      <c r="F600" s="4" t="str">
        <f>HYPERLINK("http://141.218.60.56/~jnz1568/getInfo.php?workbook=16_15.xlsx&amp;sheet=A0&amp;row=600&amp;col=6&amp;number=&amp;sourceID=54","")</f>
        <v/>
      </c>
      <c r="G600" s="4" t="str">
        <f>HYPERLINK("http://141.218.60.56/~jnz1568/getInfo.php?workbook=16_15.xlsx&amp;sheet=A0&amp;row=600&amp;col=7&amp;number=0.00051441&amp;sourceID=54","0.00051441")</f>
        <v>0.00051441</v>
      </c>
      <c r="H600" s="4" t="str">
        <f>HYPERLINK("http://141.218.60.56/~jnz1568/getInfo.php?workbook=16_15.xlsx&amp;sheet=A0&amp;row=600&amp;col=8&amp;number=&amp;sourceID=54","")</f>
        <v/>
      </c>
      <c r="I600" s="4" t="str">
        <f>HYPERLINK("http://141.218.60.56/~jnz1568/getInfo.php?workbook=16_15.xlsx&amp;sheet=A0&amp;row=600&amp;col=9&amp;number=&amp;sourceID=54","")</f>
        <v/>
      </c>
      <c r="J600" s="4" t="str">
        <f>HYPERLINK("http://141.218.60.56/~jnz1568/getInfo.php?workbook=16_15.xlsx&amp;sheet=A0&amp;row=600&amp;col=10&amp;number=0.00060163&amp;sourceID=54","0.00060163")</f>
        <v>0.00060163</v>
      </c>
      <c r="K600" s="4" t="str">
        <f>HYPERLINK("http://141.218.60.56/~jnz1568/getInfo.php?workbook=16_15.xlsx&amp;sheet=A0&amp;row=600&amp;col=11&amp;number=&amp;sourceID=54","")</f>
        <v/>
      </c>
      <c r="L600" s="4" t="str">
        <f>HYPERLINK("http://141.218.60.56/~jnz1568/getInfo.php?workbook=16_15.xlsx&amp;sheet=A0&amp;row=600&amp;col=12&amp;number=&amp;sourceID=53","")</f>
        <v/>
      </c>
      <c r="M600" s="4" t="str">
        <f>HYPERLINK("http://141.218.60.56/~jnz1568/getInfo.php?workbook=16_15.xlsx&amp;sheet=A0&amp;row=600&amp;col=13&amp;number=&amp;sourceID=53","")</f>
        <v/>
      </c>
      <c r="N600" s="4" t="str">
        <f>HYPERLINK("http://141.218.60.56/~jnz1568/getInfo.php?workbook=16_15.xlsx&amp;sheet=A0&amp;row=600&amp;col=14&amp;number=&amp;sourceID=53","")</f>
        <v/>
      </c>
      <c r="O600" s="4" t="str">
        <f>HYPERLINK("http://141.218.60.56/~jnz1568/getInfo.php?workbook=16_15.xlsx&amp;sheet=A0&amp;row=600&amp;col=15&amp;number=&amp;sourceID=55","")</f>
        <v/>
      </c>
      <c r="P600" s="4" t="str">
        <f>HYPERLINK("http://141.218.60.56/~jnz1568/getInfo.php?workbook=16_15.xlsx&amp;sheet=A0&amp;row=600&amp;col=16&amp;number=&amp;sourceID=55","")</f>
        <v/>
      </c>
      <c r="Q600" s="4" t="str">
        <f>HYPERLINK("http://141.218.60.56/~jnz1568/getInfo.php?workbook=16_15.xlsx&amp;sheet=A0&amp;row=600&amp;col=17&amp;number=&amp;sourceID=56","")</f>
        <v/>
      </c>
      <c r="R600" s="4" t="str">
        <f>HYPERLINK("http://141.218.60.56/~jnz1568/getInfo.php?workbook=16_15.xlsx&amp;sheet=A0&amp;row=600&amp;col=18&amp;number=&amp;sourceID=56","")</f>
        <v/>
      </c>
      <c r="S600" s="4" t="str">
        <f>HYPERLINK("http://141.218.60.56/~jnz1568/getInfo.php?workbook=16_15.xlsx&amp;sheet=A0&amp;row=600&amp;col=19&amp;number=&amp;sourceID=57","")</f>
        <v/>
      </c>
      <c r="T600" s="4" t="str">
        <f>HYPERLINK("http://141.218.60.56/~jnz1568/getInfo.php?workbook=16_15.xlsx&amp;sheet=A0&amp;row=600&amp;col=20&amp;number=&amp;sourceID=57","")</f>
        <v/>
      </c>
      <c r="U600" s="4" t="str">
        <f>HYPERLINK("http://141.218.60.56/~jnz1568/getInfo.php?workbook=16_15.xlsx&amp;sheet=A0&amp;row=600&amp;col=21&amp;number=&amp;sourceID=47","")</f>
        <v/>
      </c>
      <c r="V600" s="4" t="str">
        <f>HYPERLINK("http://141.218.60.56/~jnz1568/getInfo.php?workbook=16_15.xlsx&amp;sheet=A0&amp;row=600&amp;col=22&amp;number=&amp;sourceID=47","")</f>
        <v/>
      </c>
    </row>
    <row r="601" spans="1:22">
      <c r="A601" s="3">
        <v>16</v>
      </c>
      <c r="B601" s="3">
        <v>15</v>
      </c>
      <c r="C601" s="3">
        <v>40</v>
      </c>
      <c r="D601" s="3">
        <v>32</v>
      </c>
      <c r="E601" s="3">
        <f>((1/(INDEX(E0!J$4:J$73,C601,1)-INDEX(E0!J$4:J$73,D601,1))))*100000000</f>
        <v>0</v>
      </c>
      <c r="F601" s="4" t="str">
        <f>HYPERLINK("http://141.218.60.56/~jnz1568/getInfo.php?workbook=16_15.xlsx&amp;sheet=A0&amp;row=601&amp;col=6&amp;number=1.819&amp;sourceID=54","1.819")</f>
        <v>1.819</v>
      </c>
      <c r="G601" s="4" t="str">
        <f>HYPERLINK("http://141.218.60.56/~jnz1568/getInfo.php?workbook=16_15.xlsx&amp;sheet=A0&amp;row=601&amp;col=7&amp;number=&amp;sourceID=54","")</f>
        <v/>
      </c>
      <c r="H601" s="4" t="str">
        <f>HYPERLINK("http://141.218.60.56/~jnz1568/getInfo.php?workbook=16_15.xlsx&amp;sheet=A0&amp;row=601&amp;col=8&amp;number=&amp;sourceID=54","")</f>
        <v/>
      </c>
      <c r="I601" s="4" t="str">
        <f>HYPERLINK("http://141.218.60.56/~jnz1568/getInfo.php?workbook=16_15.xlsx&amp;sheet=A0&amp;row=601&amp;col=9&amp;number=8.398&amp;sourceID=54","8.398")</f>
        <v>8.398</v>
      </c>
      <c r="J601" s="4" t="str">
        <f>HYPERLINK("http://141.218.60.56/~jnz1568/getInfo.php?workbook=16_15.xlsx&amp;sheet=A0&amp;row=601&amp;col=10&amp;number=&amp;sourceID=54","")</f>
        <v/>
      </c>
      <c r="K601" s="4" t="str">
        <f>HYPERLINK("http://141.218.60.56/~jnz1568/getInfo.php?workbook=16_15.xlsx&amp;sheet=A0&amp;row=601&amp;col=11&amp;number=&amp;sourceID=54","")</f>
        <v/>
      </c>
      <c r="L601" s="4" t="str">
        <f>HYPERLINK("http://141.218.60.56/~jnz1568/getInfo.php?workbook=16_15.xlsx&amp;sheet=A0&amp;row=601&amp;col=12&amp;number=0.513278982189&amp;sourceID=53","0.513278982189")</f>
        <v>0.513278982189</v>
      </c>
      <c r="M601" s="4" t="str">
        <f>HYPERLINK("http://141.218.60.56/~jnz1568/getInfo.php?workbook=16_15.xlsx&amp;sheet=A0&amp;row=601&amp;col=13&amp;number=&amp;sourceID=53","")</f>
        <v/>
      </c>
      <c r="N601" s="4" t="str">
        <f>HYPERLINK("http://141.218.60.56/~jnz1568/getInfo.php?workbook=16_15.xlsx&amp;sheet=A0&amp;row=601&amp;col=14&amp;number=&amp;sourceID=53","")</f>
        <v/>
      </c>
      <c r="O601" s="4" t="str">
        <f>HYPERLINK("http://141.218.60.56/~jnz1568/getInfo.php?workbook=16_15.xlsx&amp;sheet=A0&amp;row=601&amp;col=15&amp;number=&amp;sourceID=55","")</f>
        <v/>
      </c>
      <c r="P601" s="4" t="str">
        <f>HYPERLINK("http://141.218.60.56/~jnz1568/getInfo.php?workbook=16_15.xlsx&amp;sheet=A0&amp;row=601&amp;col=16&amp;number=&amp;sourceID=55","")</f>
        <v/>
      </c>
      <c r="Q601" s="4" t="str">
        <f>HYPERLINK("http://141.218.60.56/~jnz1568/getInfo.php?workbook=16_15.xlsx&amp;sheet=A0&amp;row=601&amp;col=17&amp;number=&amp;sourceID=56","")</f>
        <v/>
      </c>
      <c r="R601" s="4" t="str">
        <f>HYPERLINK("http://141.218.60.56/~jnz1568/getInfo.php?workbook=16_15.xlsx&amp;sheet=A0&amp;row=601&amp;col=18&amp;number=&amp;sourceID=56","")</f>
        <v/>
      </c>
      <c r="S601" s="4" t="str">
        <f>HYPERLINK("http://141.218.60.56/~jnz1568/getInfo.php?workbook=16_15.xlsx&amp;sheet=A0&amp;row=601&amp;col=19&amp;number=&amp;sourceID=57","")</f>
        <v/>
      </c>
      <c r="T601" s="4" t="str">
        <f>HYPERLINK("http://141.218.60.56/~jnz1568/getInfo.php?workbook=16_15.xlsx&amp;sheet=A0&amp;row=601&amp;col=20&amp;number=&amp;sourceID=57","")</f>
        <v/>
      </c>
      <c r="U601" s="4" t="str">
        <f>HYPERLINK("http://141.218.60.56/~jnz1568/getInfo.php?workbook=16_15.xlsx&amp;sheet=A0&amp;row=601&amp;col=21&amp;number=&amp;sourceID=47","")</f>
        <v/>
      </c>
      <c r="V601" s="4" t="str">
        <f>HYPERLINK("http://141.218.60.56/~jnz1568/getInfo.php?workbook=16_15.xlsx&amp;sheet=A0&amp;row=601&amp;col=22&amp;number=&amp;sourceID=47","")</f>
        <v/>
      </c>
    </row>
    <row r="602" spans="1:22">
      <c r="A602" s="3">
        <v>16</v>
      </c>
      <c r="B602" s="3">
        <v>15</v>
      </c>
      <c r="C602" s="3">
        <v>40</v>
      </c>
      <c r="D602" s="3">
        <v>34</v>
      </c>
      <c r="E602" s="3">
        <f>((1/(INDEX(E0!J$4:J$73,C602,1)-INDEX(E0!J$4:J$73,D602,1))))*100000000</f>
        <v>0</v>
      </c>
      <c r="F602" s="4" t="str">
        <f>HYPERLINK("http://141.218.60.56/~jnz1568/getInfo.php?workbook=16_15.xlsx&amp;sheet=A0&amp;row=602&amp;col=6&amp;number=&amp;sourceID=54","")</f>
        <v/>
      </c>
      <c r="G602" s="4" t="str">
        <f>HYPERLINK("http://141.218.60.56/~jnz1568/getInfo.php?workbook=16_15.xlsx&amp;sheet=A0&amp;row=602&amp;col=7&amp;number=2.7462e-05&amp;sourceID=54","2.7462e-05")</f>
        <v>2.7462e-05</v>
      </c>
      <c r="H602" s="4" t="str">
        <f>HYPERLINK("http://141.218.60.56/~jnz1568/getInfo.php?workbook=16_15.xlsx&amp;sheet=A0&amp;row=602&amp;col=8&amp;number=&amp;sourceID=54","")</f>
        <v/>
      </c>
      <c r="I602" s="4" t="str">
        <f>HYPERLINK("http://141.218.60.56/~jnz1568/getInfo.php?workbook=16_15.xlsx&amp;sheet=A0&amp;row=602&amp;col=9&amp;number=&amp;sourceID=54","")</f>
        <v/>
      </c>
      <c r="J602" s="4" t="str">
        <f>HYPERLINK("http://141.218.60.56/~jnz1568/getInfo.php?workbook=16_15.xlsx&amp;sheet=A0&amp;row=602&amp;col=10&amp;number=3.0055e-05&amp;sourceID=54","3.0055e-05")</f>
        <v>3.0055e-05</v>
      </c>
      <c r="K602" s="4" t="str">
        <f>HYPERLINK("http://141.218.60.56/~jnz1568/getInfo.php?workbook=16_15.xlsx&amp;sheet=A0&amp;row=602&amp;col=11&amp;number=&amp;sourceID=54","")</f>
        <v/>
      </c>
      <c r="L602" s="4" t="str">
        <f>HYPERLINK("http://141.218.60.56/~jnz1568/getInfo.php?workbook=16_15.xlsx&amp;sheet=A0&amp;row=602&amp;col=12&amp;number=&amp;sourceID=53","")</f>
        <v/>
      </c>
      <c r="M602" s="4" t="str">
        <f>HYPERLINK("http://141.218.60.56/~jnz1568/getInfo.php?workbook=16_15.xlsx&amp;sheet=A0&amp;row=602&amp;col=13&amp;number=&amp;sourceID=53","")</f>
        <v/>
      </c>
      <c r="N602" s="4" t="str">
        <f>HYPERLINK("http://141.218.60.56/~jnz1568/getInfo.php?workbook=16_15.xlsx&amp;sheet=A0&amp;row=602&amp;col=14&amp;number=&amp;sourceID=53","")</f>
        <v/>
      </c>
      <c r="O602" s="4" t="str">
        <f>HYPERLINK("http://141.218.60.56/~jnz1568/getInfo.php?workbook=16_15.xlsx&amp;sheet=A0&amp;row=602&amp;col=15&amp;number=&amp;sourceID=55","")</f>
        <v/>
      </c>
      <c r="P602" s="4" t="str">
        <f>HYPERLINK("http://141.218.60.56/~jnz1568/getInfo.php?workbook=16_15.xlsx&amp;sheet=A0&amp;row=602&amp;col=16&amp;number=&amp;sourceID=55","")</f>
        <v/>
      </c>
      <c r="Q602" s="4" t="str">
        <f>HYPERLINK("http://141.218.60.56/~jnz1568/getInfo.php?workbook=16_15.xlsx&amp;sheet=A0&amp;row=602&amp;col=17&amp;number=&amp;sourceID=56","")</f>
        <v/>
      </c>
      <c r="R602" s="4" t="str">
        <f>HYPERLINK("http://141.218.60.56/~jnz1568/getInfo.php?workbook=16_15.xlsx&amp;sheet=A0&amp;row=602&amp;col=18&amp;number=&amp;sourceID=56","")</f>
        <v/>
      </c>
      <c r="S602" s="4" t="str">
        <f>HYPERLINK("http://141.218.60.56/~jnz1568/getInfo.php?workbook=16_15.xlsx&amp;sheet=A0&amp;row=602&amp;col=19&amp;number=&amp;sourceID=57","")</f>
        <v/>
      </c>
      <c r="T602" s="4" t="str">
        <f>HYPERLINK("http://141.218.60.56/~jnz1568/getInfo.php?workbook=16_15.xlsx&amp;sheet=A0&amp;row=602&amp;col=20&amp;number=&amp;sourceID=57","")</f>
        <v/>
      </c>
      <c r="U602" s="4" t="str">
        <f>HYPERLINK("http://141.218.60.56/~jnz1568/getInfo.php?workbook=16_15.xlsx&amp;sheet=A0&amp;row=602&amp;col=21&amp;number=&amp;sourceID=47","")</f>
        <v/>
      </c>
      <c r="V602" s="4" t="str">
        <f>HYPERLINK("http://141.218.60.56/~jnz1568/getInfo.php?workbook=16_15.xlsx&amp;sheet=A0&amp;row=602&amp;col=22&amp;number=&amp;sourceID=47","")</f>
        <v/>
      </c>
    </row>
    <row r="603" spans="1:22">
      <c r="A603" s="3">
        <v>16</v>
      </c>
      <c r="B603" s="3">
        <v>15</v>
      </c>
      <c r="C603" s="3">
        <v>40</v>
      </c>
      <c r="D603" s="3">
        <v>35</v>
      </c>
      <c r="E603" s="3">
        <f>((1/(INDEX(E0!J$4:J$73,C603,1)-INDEX(E0!J$4:J$73,D603,1))))*100000000</f>
        <v>0</v>
      </c>
      <c r="F603" s="4" t="str">
        <f>HYPERLINK("http://141.218.60.56/~jnz1568/getInfo.php?workbook=16_15.xlsx&amp;sheet=A0&amp;row=603&amp;col=6&amp;number=&amp;sourceID=54","")</f>
        <v/>
      </c>
      <c r="G603" s="4" t="str">
        <f>HYPERLINK("http://141.218.60.56/~jnz1568/getInfo.php?workbook=16_15.xlsx&amp;sheet=A0&amp;row=603&amp;col=7&amp;number=0.00014727&amp;sourceID=54","0.00014727")</f>
        <v>0.00014727</v>
      </c>
      <c r="H603" s="4" t="str">
        <f>HYPERLINK("http://141.218.60.56/~jnz1568/getInfo.php?workbook=16_15.xlsx&amp;sheet=A0&amp;row=603&amp;col=8&amp;number=0.00045885&amp;sourceID=54","0.00045885")</f>
        <v>0.00045885</v>
      </c>
      <c r="I603" s="4" t="str">
        <f>HYPERLINK("http://141.218.60.56/~jnz1568/getInfo.php?workbook=16_15.xlsx&amp;sheet=A0&amp;row=603&amp;col=9&amp;number=&amp;sourceID=54","")</f>
        <v/>
      </c>
      <c r="J603" s="4" t="str">
        <f>HYPERLINK("http://141.218.60.56/~jnz1568/getInfo.php?workbook=16_15.xlsx&amp;sheet=A0&amp;row=603&amp;col=10&amp;number=0.00016128&amp;sourceID=54","0.00016128")</f>
        <v>0.00016128</v>
      </c>
      <c r="K603" s="4" t="str">
        <f>HYPERLINK("http://141.218.60.56/~jnz1568/getInfo.php?workbook=16_15.xlsx&amp;sheet=A0&amp;row=603&amp;col=11&amp;number=0.00046884&amp;sourceID=54","0.00046884")</f>
        <v>0.00046884</v>
      </c>
      <c r="L603" s="4" t="str">
        <f>HYPERLINK("http://141.218.60.56/~jnz1568/getInfo.php?workbook=16_15.xlsx&amp;sheet=A0&amp;row=603&amp;col=12&amp;number=&amp;sourceID=53","")</f>
        <v/>
      </c>
      <c r="M603" s="4" t="str">
        <f>HYPERLINK("http://141.218.60.56/~jnz1568/getInfo.php?workbook=16_15.xlsx&amp;sheet=A0&amp;row=603&amp;col=13&amp;number=&amp;sourceID=53","")</f>
        <v/>
      </c>
      <c r="N603" s="4" t="str">
        <f>HYPERLINK("http://141.218.60.56/~jnz1568/getInfo.php?workbook=16_15.xlsx&amp;sheet=A0&amp;row=603&amp;col=14&amp;number=&amp;sourceID=53","")</f>
        <v/>
      </c>
      <c r="O603" s="4" t="str">
        <f>HYPERLINK("http://141.218.60.56/~jnz1568/getInfo.php?workbook=16_15.xlsx&amp;sheet=A0&amp;row=603&amp;col=15&amp;number=&amp;sourceID=55","")</f>
        <v/>
      </c>
      <c r="P603" s="4" t="str">
        <f>HYPERLINK("http://141.218.60.56/~jnz1568/getInfo.php?workbook=16_15.xlsx&amp;sheet=A0&amp;row=603&amp;col=16&amp;number=&amp;sourceID=55","")</f>
        <v/>
      </c>
      <c r="Q603" s="4" t="str">
        <f>HYPERLINK("http://141.218.60.56/~jnz1568/getInfo.php?workbook=16_15.xlsx&amp;sheet=A0&amp;row=603&amp;col=17&amp;number=&amp;sourceID=56","")</f>
        <v/>
      </c>
      <c r="R603" s="4" t="str">
        <f>HYPERLINK("http://141.218.60.56/~jnz1568/getInfo.php?workbook=16_15.xlsx&amp;sheet=A0&amp;row=603&amp;col=18&amp;number=&amp;sourceID=56","")</f>
        <v/>
      </c>
      <c r="S603" s="4" t="str">
        <f>HYPERLINK("http://141.218.60.56/~jnz1568/getInfo.php?workbook=16_15.xlsx&amp;sheet=A0&amp;row=603&amp;col=19&amp;number=&amp;sourceID=57","")</f>
        <v/>
      </c>
      <c r="T603" s="4" t="str">
        <f>HYPERLINK("http://141.218.60.56/~jnz1568/getInfo.php?workbook=16_15.xlsx&amp;sheet=A0&amp;row=603&amp;col=20&amp;number=&amp;sourceID=57","")</f>
        <v/>
      </c>
      <c r="U603" s="4" t="str">
        <f>HYPERLINK("http://141.218.60.56/~jnz1568/getInfo.php?workbook=16_15.xlsx&amp;sheet=A0&amp;row=603&amp;col=21&amp;number=&amp;sourceID=47","")</f>
        <v/>
      </c>
      <c r="V603" s="4" t="str">
        <f>HYPERLINK("http://141.218.60.56/~jnz1568/getInfo.php?workbook=16_15.xlsx&amp;sheet=A0&amp;row=603&amp;col=22&amp;number=&amp;sourceID=47","")</f>
        <v/>
      </c>
    </row>
    <row r="604" spans="1:22">
      <c r="A604" s="3">
        <v>16</v>
      </c>
      <c r="B604" s="3">
        <v>15</v>
      </c>
      <c r="C604" s="3">
        <v>40</v>
      </c>
      <c r="D604" s="3">
        <v>36</v>
      </c>
      <c r="E604" s="3">
        <f>((1/(INDEX(E0!J$4:J$73,C604,1)-INDEX(E0!J$4:J$73,D604,1))))*100000000</f>
        <v>0</v>
      </c>
      <c r="F604" s="4" t="str">
        <f>HYPERLINK("http://141.218.60.56/~jnz1568/getInfo.php?workbook=16_15.xlsx&amp;sheet=A0&amp;row=604&amp;col=6&amp;number=&amp;sourceID=54","")</f>
        <v/>
      </c>
      <c r="G604" s="4" t="str">
        <f>HYPERLINK("http://141.218.60.56/~jnz1568/getInfo.php?workbook=16_15.xlsx&amp;sheet=A0&amp;row=604&amp;col=7&amp;number=0.00024269&amp;sourceID=54","0.00024269")</f>
        <v>0.00024269</v>
      </c>
      <c r="H604" s="4" t="str">
        <f>HYPERLINK("http://141.218.60.56/~jnz1568/getInfo.php?workbook=16_15.xlsx&amp;sheet=A0&amp;row=604&amp;col=8&amp;number=0.00050396&amp;sourceID=54","0.00050396")</f>
        <v>0.00050396</v>
      </c>
      <c r="I604" s="4" t="str">
        <f>HYPERLINK("http://141.218.60.56/~jnz1568/getInfo.php?workbook=16_15.xlsx&amp;sheet=A0&amp;row=604&amp;col=9&amp;number=&amp;sourceID=54","")</f>
        <v/>
      </c>
      <c r="J604" s="4" t="str">
        <f>HYPERLINK("http://141.218.60.56/~jnz1568/getInfo.php?workbook=16_15.xlsx&amp;sheet=A0&amp;row=604&amp;col=10&amp;number=0.00026748&amp;sourceID=54","0.00026748")</f>
        <v>0.00026748</v>
      </c>
      <c r="K604" s="4" t="str">
        <f>HYPERLINK("http://141.218.60.56/~jnz1568/getInfo.php?workbook=16_15.xlsx&amp;sheet=A0&amp;row=604&amp;col=11&amp;number=0.00050495&amp;sourceID=54","0.00050495")</f>
        <v>0.00050495</v>
      </c>
      <c r="L604" s="4" t="str">
        <f>HYPERLINK("http://141.218.60.56/~jnz1568/getInfo.php?workbook=16_15.xlsx&amp;sheet=A0&amp;row=604&amp;col=12&amp;number=&amp;sourceID=53","")</f>
        <v/>
      </c>
      <c r="M604" s="4" t="str">
        <f>HYPERLINK("http://141.218.60.56/~jnz1568/getInfo.php?workbook=16_15.xlsx&amp;sheet=A0&amp;row=604&amp;col=13&amp;number=&amp;sourceID=53","")</f>
        <v/>
      </c>
      <c r="N604" s="4" t="str">
        <f>HYPERLINK("http://141.218.60.56/~jnz1568/getInfo.php?workbook=16_15.xlsx&amp;sheet=A0&amp;row=604&amp;col=14&amp;number=&amp;sourceID=53","")</f>
        <v/>
      </c>
      <c r="O604" s="4" t="str">
        <f>HYPERLINK("http://141.218.60.56/~jnz1568/getInfo.php?workbook=16_15.xlsx&amp;sheet=A0&amp;row=604&amp;col=15&amp;number=&amp;sourceID=55","")</f>
        <v/>
      </c>
      <c r="P604" s="4" t="str">
        <f>HYPERLINK("http://141.218.60.56/~jnz1568/getInfo.php?workbook=16_15.xlsx&amp;sheet=A0&amp;row=604&amp;col=16&amp;number=&amp;sourceID=55","")</f>
        <v/>
      </c>
      <c r="Q604" s="4" t="str">
        <f>HYPERLINK("http://141.218.60.56/~jnz1568/getInfo.php?workbook=16_15.xlsx&amp;sheet=A0&amp;row=604&amp;col=17&amp;number=&amp;sourceID=56","")</f>
        <v/>
      </c>
      <c r="R604" s="4" t="str">
        <f>HYPERLINK("http://141.218.60.56/~jnz1568/getInfo.php?workbook=16_15.xlsx&amp;sheet=A0&amp;row=604&amp;col=18&amp;number=&amp;sourceID=56","")</f>
        <v/>
      </c>
      <c r="S604" s="4" t="str">
        <f>HYPERLINK("http://141.218.60.56/~jnz1568/getInfo.php?workbook=16_15.xlsx&amp;sheet=A0&amp;row=604&amp;col=19&amp;number=&amp;sourceID=57","")</f>
        <v/>
      </c>
      <c r="T604" s="4" t="str">
        <f>HYPERLINK("http://141.218.60.56/~jnz1568/getInfo.php?workbook=16_15.xlsx&amp;sheet=A0&amp;row=604&amp;col=20&amp;number=&amp;sourceID=57","")</f>
        <v/>
      </c>
      <c r="U604" s="4" t="str">
        <f>HYPERLINK("http://141.218.60.56/~jnz1568/getInfo.php?workbook=16_15.xlsx&amp;sheet=A0&amp;row=604&amp;col=21&amp;number=&amp;sourceID=47","")</f>
        <v/>
      </c>
      <c r="V604" s="4" t="str">
        <f>HYPERLINK("http://141.218.60.56/~jnz1568/getInfo.php?workbook=16_15.xlsx&amp;sheet=A0&amp;row=604&amp;col=22&amp;number=&amp;sourceID=47","")</f>
        <v/>
      </c>
    </row>
    <row r="605" spans="1:22">
      <c r="A605" s="3">
        <v>16</v>
      </c>
      <c r="B605" s="3">
        <v>15</v>
      </c>
      <c r="C605" s="3">
        <v>40</v>
      </c>
      <c r="D605" s="3">
        <v>37</v>
      </c>
      <c r="E605" s="3">
        <f>((1/(INDEX(E0!J$4:J$73,C605,1)-INDEX(E0!J$4:J$73,D605,1))))*100000000</f>
        <v>0</v>
      </c>
      <c r="F605" s="4" t="str">
        <f>HYPERLINK("http://141.218.60.56/~jnz1568/getInfo.php?workbook=16_15.xlsx&amp;sheet=A0&amp;row=605&amp;col=6&amp;number=&amp;sourceID=54","")</f>
        <v/>
      </c>
      <c r="G605" s="4" t="str">
        <f>HYPERLINK("http://141.218.60.56/~jnz1568/getInfo.php?workbook=16_15.xlsx&amp;sheet=A0&amp;row=605&amp;col=7&amp;number=0.00015474&amp;sourceID=54","0.00015474")</f>
        <v>0.00015474</v>
      </c>
      <c r="H605" s="4" t="str">
        <f>HYPERLINK("http://141.218.60.56/~jnz1568/getInfo.php?workbook=16_15.xlsx&amp;sheet=A0&amp;row=605&amp;col=8&amp;number=0.00083007&amp;sourceID=54","0.00083007")</f>
        <v>0.00083007</v>
      </c>
      <c r="I605" s="4" t="str">
        <f>HYPERLINK("http://141.218.60.56/~jnz1568/getInfo.php?workbook=16_15.xlsx&amp;sheet=A0&amp;row=605&amp;col=9&amp;number=&amp;sourceID=54","")</f>
        <v/>
      </c>
      <c r="J605" s="4" t="str">
        <f>HYPERLINK("http://141.218.60.56/~jnz1568/getInfo.php?workbook=16_15.xlsx&amp;sheet=A0&amp;row=605&amp;col=10&amp;number=0.00017358&amp;sourceID=54","0.00017358")</f>
        <v>0.00017358</v>
      </c>
      <c r="K605" s="4" t="str">
        <f>HYPERLINK("http://141.218.60.56/~jnz1568/getInfo.php?workbook=16_15.xlsx&amp;sheet=A0&amp;row=605&amp;col=11&amp;number=0.00086163&amp;sourceID=54","0.00086163")</f>
        <v>0.00086163</v>
      </c>
      <c r="L605" s="4" t="str">
        <f>HYPERLINK("http://141.218.60.56/~jnz1568/getInfo.php?workbook=16_15.xlsx&amp;sheet=A0&amp;row=605&amp;col=12&amp;number=&amp;sourceID=53","")</f>
        <v/>
      </c>
      <c r="M605" s="4" t="str">
        <f>HYPERLINK("http://141.218.60.56/~jnz1568/getInfo.php?workbook=16_15.xlsx&amp;sheet=A0&amp;row=605&amp;col=13&amp;number=&amp;sourceID=53","")</f>
        <v/>
      </c>
      <c r="N605" s="4" t="str">
        <f>HYPERLINK("http://141.218.60.56/~jnz1568/getInfo.php?workbook=16_15.xlsx&amp;sheet=A0&amp;row=605&amp;col=14&amp;number=&amp;sourceID=53","")</f>
        <v/>
      </c>
      <c r="O605" s="4" t="str">
        <f>HYPERLINK("http://141.218.60.56/~jnz1568/getInfo.php?workbook=16_15.xlsx&amp;sheet=A0&amp;row=605&amp;col=15&amp;number=&amp;sourceID=55","")</f>
        <v/>
      </c>
      <c r="P605" s="4" t="str">
        <f>HYPERLINK("http://141.218.60.56/~jnz1568/getInfo.php?workbook=16_15.xlsx&amp;sheet=A0&amp;row=605&amp;col=16&amp;number=&amp;sourceID=55","")</f>
        <v/>
      </c>
      <c r="Q605" s="4" t="str">
        <f>HYPERLINK("http://141.218.60.56/~jnz1568/getInfo.php?workbook=16_15.xlsx&amp;sheet=A0&amp;row=605&amp;col=17&amp;number=&amp;sourceID=56","")</f>
        <v/>
      </c>
      <c r="R605" s="4" t="str">
        <f>HYPERLINK("http://141.218.60.56/~jnz1568/getInfo.php?workbook=16_15.xlsx&amp;sheet=A0&amp;row=605&amp;col=18&amp;number=&amp;sourceID=56","")</f>
        <v/>
      </c>
      <c r="S605" s="4" t="str">
        <f>HYPERLINK("http://141.218.60.56/~jnz1568/getInfo.php?workbook=16_15.xlsx&amp;sheet=A0&amp;row=605&amp;col=19&amp;number=&amp;sourceID=57","")</f>
        <v/>
      </c>
      <c r="T605" s="4" t="str">
        <f>HYPERLINK("http://141.218.60.56/~jnz1568/getInfo.php?workbook=16_15.xlsx&amp;sheet=A0&amp;row=605&amp;col=20&amp;number=&amp;sourceID=57","")</f>
        <v/>
      </c>
      <c r="U605" s="4" t="str">
        <f>HYPERLINK("http://141.218.60.56/~jnz1568/getInfo.php?workbook=16_15.xlsx&amp;sheet=A0&amp;row=605&amp;col=21&amp;number=&amp;sourceID=47","")</f>
        <v/>
      </c>
      <c r="V605" s="4" t="str">
        <f>HYPERLINK("http://141.218.60.56/~jnz1568/getInfo.php?workbook=16_15.xlsx&amp;sheet=A0&amp;row=605&amp;col=22&amp;number=&amp;sourceID=47","")</f>
        <v/>
      </c>
    </row>
    <row r="606" spans="1:22">
      <c r="A606" s="3">
        <v>16</v>
      </c>
      <c r="B606" s="3">
        <v>15</v>
      </c>
      <c r="C606" s="3">
        <v>40</v>
      </c>
      <c r="D606" s="3">
        <v>38</v>
      </c>
      <c r="E606" s="3">
        <f>((1/(INDEX(E0!J$4:J$73,C606,1)-INDEX(E0!J$4:J$73,D606,1))))*100000000</f>
        <v>0</v>
      </c>
      <c r="F606" s="4" t="str">
        <f>HYPERLINK("http://141.218.60.56/~jnz1568/getInfo.php?workbook=16_15.xlsx&amp;sheet=A0&amp;row=606&amp;col=6&amp;number=&amp;sourceID=54","")</f>
        <v/>
      </c>
      <c r="G606" s="4" t="str">
        <f>HYPERLINK("http://141.218.60.56/~jnz1568/getInfo.php?workbook=16_15.xlsx&amp;sheet=A0&amp;row=606&amp;col=7&amp;number=6.3298e-09&amp;sourceID=54","6.3298e-09")</f>
        <v>6.3298e-09</v>
      </c>
      <c r="H606" s="4" t="str">
        <f>HYPERLINK("http://141.218.60.56/~jnz1568/getInfo.php?workbook=16_15.xlsx&amp;sheet=A0&amp;row=606&amp;col=8&amp;number=&amp;sourceID=54","")</f>
        <v/>
      </c>
      <c r="I606" s="4" t="str">
        <f>HYPERLINK("http://141.218.60.56/~jnz1568/getInfo.php?workbook=16_15.xlsx&amp;sheet=A0&amp;row=606&amp;col=9&amp;number=&amp;sourceID=54","")</f>
        <v/>
      </c>
      <c r="J606" s="4" t="str">
        <f>HYPERLINK("http://141.218.60.56/~jnz1568/getInfo.php?workbook=16_15.xlsx&amp;sheet=A0&amp;row=606&amp;col=10&amp;number=5.9708e-09&amp;sourceID=54","5.9708e-09")</f>
        <v>5.9708e-09</v>
      </c>
      <c r="K606" s="4" t="str">
        <f>HYPERLINK("http://141.218.60.56/~jnz1568/getInfo.php?workbook=16_15.xlsx&amp;sheet=A0&amp;row=606&amp;col=11&amp;number=&amp;sourceID=54","")</f>
        <v/>
      </c>
      <c r="L606" s="4" t="str">
        <f>HYPERLINK("http://141.218.60.56/~jnz1568/getInfo.php?workbook=16_15.xlsx&amp;sheet=A0&amp;row=606&amp;col=12&amp;number=&amp;sourceID=53","")</f>
        <v/>
      </c>
      <c r="M606" s="4" t="str">
        <f>HYPERLINK("http://141.218.60.56/~jnz1568/getInfo.php?workbook=16_15.xlsx&amp;sheet=A0&amp;row=606&amp;col=13&amp;number=&amp;sourceID=53","")</f>
        <v/>
      </c>
      <c r="N606" s="4" t="str">
        <f>HYPERLINK("http://141.218.60.56/~jnz1568/getInfo.php?workbook=16_15.xlsx&amp;sheet=A0&amp;row=606&amp;col=14&amp;number=&amp;sourceID=53","")</f>
        <v/>
      </c>
      <c r="O606" s="4" t="str">
        <f>HYPERLINK("http://141.218.60.56/~jnz1568/getInfo.php?workbook=16_15.xlsx&amp;sheet=A0&amp;row=606&amp;col=15&amp;number=&amp;sourceID=55","")</f>
        <v/>
      </c>
      <c r="P606" s="4" t="str">
        <f>HYPERLINK("http://141.218.60.56/~jnz1568/getInfo.php?workbook=16_15.xlsx&amp;sheet=A0&amp;row=606&amp;col=16&amp;number=&amp;sourceID=55","")</f>
        <v/>
      </c>
      <c r="Q606" s="4" t="str">
        <f>HYPERLINK("http://141.218.60.56/~jnz1568/getInfo.php?workbook=16_15.xlsx&amp;sheet=A0&amp;row=606&amp;col=17&amp;number=&amp;sourceID=56","")</f>
        <v/>
      </c>
      <c r="R606" s="4" t="str">
        <f>HYPERLINK("http://141.218.60.56/~jnz1568/getInfo.php?workbook=16_15.xlsx&amp;sheet=A0&amp;row=606&amp;col=18&amp;number=&amp;sourceID=56","")</f>
        <v/>
      </c>
      <c r="S606" s="4" t="str">
        <f>HYPERLINK("http://141.218.60.56/~jnz1568/getInfo.php?workbook=16_15.xlsx&amp;sheet=A0&amp;row=606&amp;col=19&amp;number=&amp;sourceID=57","")</f>
        <v/>
      </c>
      <c r="T606" s="4" t="str">
        <f>HYPERLINK("http://141.218.60.56/~jnz1568/getInfo.php?workbook=16_15.xlsx&amp;sheet=A0&amp;row=606&amp;col=20&amp;number=&amp;sourceID=57","")</f>
        <v/>
      </c>
      <c r="U606" s="4" t="str">
        <f>HYPERLINK("http://141.218.60.56/~jnz1568/getInfo.php?workbook=16_15.xlsx&amp;sheet=A0&amp;row=606&amp;col=21&amp;number=&amp;sourceID=47","")</f>
        <v/>
      </c>
      <c r="V606" s="4" t="str">
        <f>HYPERLINK("http://141.218.60.56/~jnz1568/getInfo.php?workbook=16_15.xlsx&amp;sheet=A0&amp;row=606&amp;col=22&amp;number=&amp;sourceID=47","")</f>
        <v/>
      </c>
    </row>
    <row r="607" spans="1:22">
      <c r="A607" s="3">
        <v>16</v>
      </c>
      <c r="B607" s="3">
        <v>15</v>
      </c>
      <c r="C607" s="3">
        <v>40</v>
      </c>
      <c r="D607" s="3">
        <v>39</v>
      </c>
      <c r="E607" s="3">
        <f>((1/(INDEX(E0!J$4:J$73,C607,1)-INDEX(E0!J$4:J$73,D607,1))))*100000000</f>
        <v>0</v>
      </c>
      <c r="F607" s="4" t="str">
        <f>HYPERLINK("http://141.218.60.56/~jnz1568/getInfo.php?workbook=16_15.xlsx&amp;sheet=A0&amp;row=607&amp;col=6&amp;number=&amp;sourceID=54","")</f>
        <v/>
      </c>
      <c r="G607" s="4" t="str">
        <f>HYPERLINK("http://141.218.60.56/~jnz1568/getInfo.php?workbook=16_15.xlsx&amp;sheet=A0&amp;row=607&amp;col=7&amp;number=3.7236e-09&amp;sourceID=54","3.7236e-09")</f>
        <v>3.7236e-09</v>
      </c>
      <c r="H607" s="4" t="str">
        <f>HYPERLINK("http://141.218.60.56/~jnz1568/getInfo.php?workbook=16_15.xlsx&amp;sheet=A0&amp;row=607&amp;col=8&amp;number=0.00024178&amp;sourceID=54","0.00024178")</f>
        <v>0.00024178</v>
      </c>
      <c r="I607" s="4" t="str">
        <f>HYPERLINK("http://141.218.60.56/~jnz1568/getInfo.php?workbook=16_15.xlsx&amp;sheet=A0&amp;row=607&amp;col=9&amp;number=&amp;sourceID=54","")</f>
        <v/>
      </c>
      <c r="J607" s="4" t="str">
        <f>HYPERLINK("http://141.218.60.56/~jnz1568/getInfo.php?workbook=16_15.xlsx&amp;sheet=A0&amp;row=607&amp;col=10&amp;number=3.3651e-09&amp;sourceID=54","3.3651e-09")</f>
        <v>3.3651e-09</v>
      </c>
      <c r="K607" s="4" t="str">
        <f>HYPERLINK("http://141.218.60.56/~jnz1568/getInfo.php?workbook=16_15.xlsx&amp;sheet=A0&amp;row=607&amp;col=11&amp;number=0.00022859&amp;sourceID=54","0.00022859")</f>
        <v>0.00022859</v>
      </c>
      <c r="L607" s="4" t="str">
        <f>HYPERLINK("http://141.218.60.56/~jnz1568/getInfo.php?workbook=16_15.xlsx&amp;sheet=A0&amp;row=607&amp;col=12&amp;number=&amp;sourceID=53","")</f>
        <v/>
      </c>
      <c r="M607" s="4" t="str">
        <f>HYPERLINK("http://141.218.60.56/~jnz1568/getInfo.php?workbook=16_15.xlsx&amp;sheet=A0&amp;row=607&amp;col=13&amp;number=&amp;sourceID=53","")</f>
        <v/>
      </c>
      <c r="N607" s="4" t="str">
        <f>HYPERLINK("http://141.218.60.56/~jnz1568/getInfo.php?workbook=16_15.xlsx&amp;sheet=A0&amp;row=607&amp;col=14&amp;number=&amp;sourceID=53","")</f>
        <v/>
      </c>
      <c r="O607" s="4" t="str">
        <f>HYPERLINK("http://141.218.60.56/~jnz1568/getInfo.php?workbook=16_15.xlsx&amp;sheet=A0&amp;row=607&amp;col=15&amp;number=&amp;sourceID=55","")</f>
        <v/>
      </c>
      <c r="P607" s="4" t="str">
        <f>HYPERLINK("http://141.218.60.56/~jnz1568/getInfo.php?workbook=16_15.xlsx&amp;sheet=A0&amp;row=607&amp;col=16&amp;number=&amp;sourceID=55","")</f>
        <v/>
      </c>
      <c r="Q607" s="4" t="str">
        <f>HYPERLINK("http://141.218.60.56/~jnz1568/getInfo.php?workbook=16_15.xlsx&amp;sheet=A0&amp;row=607&amp;col=17&amp;number=&amp;sourceID=56","")</f>
        <v/>
      </c>
      <c r="R607" s="4" t="str">
        <f>HYPERLINK("http://141.218.60.56/~jnz1568/getInfo.php?workbook=16_15.xlsx&amp;sheet=A0&amp;row=607&amp;col=18&amp;number=&amp;sourceID=56","")</f>
        <v/>
      </c>
      <c r="S607" s="4" t="str">
        <f>HYPERLINK("http://141.218.60.56/~jnz1568/getInfo.php?workbook=16_15.xlsx&amp;sheet=A0&amp;row=607&amp;col=19&amp;number=&amp;sourceID=57","")</f>
        <v/>
      </c>
      <c r="T607" s="4" t="str">
        <f>HYPERLINK("http://141.218.60.56/~jnz1568/getInfo.php?workbook=16_15.xlsx&amp;sheet=A0&amp;row=607&amp;col=20&amp;number=&amp;sourceID=57","")</f>
        <v/>
      </c>
      <c r="U607" s="4" t="str">
        <f>HYPERLINK("http://141.218.60.56/~jnz1568/getInfo.php?workbook=16_15.xlsx&amp;sheet=A0&amp;row=607&amp;col=21&amp;number=&amp;sourceID=47","")</f>
        <v/>
      </c>
      <c r="V607" s="4" t="str">
        <f>HYPERLINK("http://141.218.60.56/~jnz1568/getInfo.php?workbook=16_15.xlsx&amp;sheet=A0&amp;row=607&amp;col=22&amp;number=&amp;sourceID=47","")</f>
        <v/>
      </c>
    </row>
    <row r="608" spans="1:22">
      <c r="A608" s="3">
        <v>16</v>
      </c>
      <c r="B608" s="3">
        <v>15</v>
      </c>
      <c r="C608" s="3">
        <v>41</v>
      </c>
      <c r="D608" s="3">
        <v>1</v>
      </c>
      <c r="E608" s="3">
        <f>((1/(INDEX(E0!J$4:J$73,C608,1)-INDEX(E0!J$4:J$73,D608,1))))*100000000</f>
        <v>0</v>
      </c>
      <c r="F608" s="4" t="str">
        <f>HYPERLINK("http://141.218.60.56/~jnz1568/getInfo.php?workbook=16_15.xlsx&amp;sheet=A0&amp;row=608&amp;col=6&amp;number=9581400000&amp;sourceID=54","9581400000")</f>
        <v>9581400000</v>
      </c>
      <c r="G608" s="4" t="str">
        <f>HYPERLINK("http://141.218.60.56/~jnz1568/getInfo.php?workbook=16_15.xlsx&amp;sheet=A0&amp;row=608&amp;col=7&amp;number=&amp;sourceID=54","")</f>
        <v/>
      </c>
      <c r="H608" s="4" t="str">
        <f>HYPERLINK("http://141.218.60.56/~jnz1568/getInfo.php?workbook=16_15.xlsx&amp;sheet=A0&amp;row=608&amp;col=8&amp;number=&amp;sourceID=54","")</f>
        <v/>
      </c>
      <c r="I608" s="4" t="str">
        <f>HYPERLINK("http://141.218.60.56/~jnz1568/getInfo.php?workbook=16_15.xlsx&amp;sheet=A0&amp;row=608&amp;col=9&amp;number=9472600000&amp;sourceID=54","9472600000")</f>
        <v>9472600000</v>
      </c>
      <c r="J608" s="4" t="str">
        <f>HYPERLINK("http://141.218.60.56/~jnz1568/getInfo.php?workbook=16_15.xlsx&amp;sheet=A0&amp;row=608&amp;col=10&amp;number=&amp;sourceID=54","")</f>
        <v/>
      </c>
      <c r="K608" s="4" t="str">
        <f>HYPERLINK("http://141.218.60.56/~jnz1568/getInfo.php?workbook=16_15.xlsx&amp;sheet=A0&amp;row=608&amp;col=11&amp;number=&amp;sourceID=54","")</f>
        <v/>
      </c>
      <c r="L608" s="4" t="str">
        <f>HYPERLINK("http://141.218.60.56/~jnz1568/getInfo.php?workbook=16_15.xlsx&amp;sheet=A0&amp;row=608&amp;col=12&amp;number=8726195914.98&amp;sourceID=53","8726195914.98")</f>
        <v>8726195914.98</v>
      </c>
      <c r="M608" s="4" t="str">
        <f>HYPERLINK("http://141.218.60.56/~jnz1568/getInfo.php?workbook=16_15.xlsx&amp;sheet=A0&amp;row=608&amp;col=13&amp;number=&amp;sourceID=53","")</f>
        <v/>
      </c>
      <c r="N608" s="4" t="str">
        <f>HYPERLINK("http://141.218.60.56/~jnz1568/getInfo.php?workbook=16_15.xlsx&amp;sheet=A0&amp;row=608&amp;col=14&amp;number=&amp;sourceID=53","")</f>
        <v/>
      </c>
      <c r="O608" s="4" t="str">
        <f>HYPERLINK("http://141.218.60.56/~jnz1568/getInfo.php?workbook=16_15.xlsx&amp;sheet=A0&amp;row=608&amp;col=15&amp;number=&amp;sourceID=55","")</f>
        <v/>
      </c>
      <c r="P608" s="4" t="str">
        <f>HYPERLINK("http://141.218.60.56/~jnz1568/getInfo.php?workbook=16_15.xlsx&amp;sheet=A0&amp;row=608&amp;col=16&amp;number=&amp;sourceID=55","")</f>
        <v/>
      </c>
      <c r="Q608" s="4" t="str">
        <f>HYPERLINK("http://141.218.60.56/~jnz1568/getInfo.php?workbook=16_15.xlsx&amp;sheet=A0&amp;row=608&amp;col=17&amp;number=&amp;sourceID=56","")</f>
        <v/>
      </c>
      <c r="R608" s="4" t="str">
        <f>HYPERLINK("http://141.218.60.56/~jnz1568/getInfo.php?workbook=16_15.xlsx&amp;sheet=A0&amp;row=608&amp;col=18&amp;number=&amp;sourceID=56","")</f>
        <v/>
      </c>
      <c r="S608" s="4" t="str">
        <f>HYPERLINK("http://141.218.60.56/~jnz1568/getInfo.php?workbook=16_15.xlsx&amp;sheet=A0&amp;row=608&amp;col=19&amp;number=&amp;sourceID=57","")</f>
        <v/>
      </c>
      <c r="T608" s="4" t="str">
        <f>HYPERLINK("http://141.218.60.56/~jnz1568/getInfo.php?workbook=16_15.xlsx&amp;sheet=A0&amp;row=608&amp;col=20&amp;number=&amp;sourceID=57","")</f>
        <v/>
      </c>
      <c r="U608" s="4" t="str">
        <f>HYPERLINK("http://141.218.60.56/~jnz1568/getInfo.php?workbook=16_15.xlsx&amp;sheet=A0&amp;row=608&amp;col=21&amp;number=&amp;sourceID=47","")</f>
        <v/>
      </c>
      <c r="V608" s="4" t="str">
        <f>HYPERLINK("http://141.218.60.56/~jnz1568/getInfo.php?workbook=16_15.xlsx&amp;sheet=A0&amp;row=608&amp;col=22&amp;number=&amp;sourceID=47","")</f>
        <v/>
      </c>
    </row>
    <row r="609" spans="1:22">
      <c r="A609" s="3">
        <v>16</v>
      </c>
      <c r="B609" s="3">
        <v>15</v>
      </c>
      <c r="C609" s="3">
        <v>41</v>
      </c>
      <c r="D609" s="3">
        <v>2</v>
      </c>
      <c r="E609" s="3">
        <f>((1/(INDEX(E0!J$4:J$73,C609,1)-INDEX(E0!J$4:J$73,D609,1))))*100000000</f>
        <v>0</v>
      </c>
      <c r="F609" s="4" t="str">
        <f>HYPERLINK("http://141.218.60.56/~jnz1568/getInfo.php?workbook=16_15.xlsx&amp;sheet=A0&amp;row=609&amp;col=6&amp;number=41.226&amp;sourceID=54","41.226")</f>
        <v>41.226</v>
      </c>
      <c r="G609" s="4" t="str">
        <f>HYPERLINK("http://141.218.60.56/~jnz1568/getInfo.php?workbook=16_15.xlsx&amp;sheet=A0&amp;row=609&amp;col=7&amp;number=&amp;sourceID=54","")</f>
        <v/>
      </c>
      <c r="H609" s="4" t="str">
        <f>HYPERLINK("http://141.218.60.56/~jnz1568/getInfo.php?workbook=16_15.xlsx&amp;sheet=A0&amp;row=609&amp;col=8&amp;number=&amp;sourceID=54","")</f>
        <v/>
      </c>
      <c r="I609" s="4" t="str">
        <f>HYPERLINK("http://141.218.60.56/~jnz1568/getInfo.php?workbook=16_15.xlsx&amp;sheet=A0&amp;row=609&amp;col=9&amp;number=198.51&amp;sourceID=54","198.51")</f>
        <v>198.51</v>
      </c>
      <c r="J609" s="4" t="str">
        <f>HYPERLINK("http://141.218.60.56/~jnz1568/getInfo.php?workbook=16_15.xlsx&amp;sheet=A0&amp;row=609&amp;col=10&amp;number=&amp;sourceID=54","")</f>
        <v/>
      </c>
      <c r="K609" s="4" t="str">
        <f>HYPERLINK("http://141.218.60.56/~jnz1568/getInfo.php?workbook=16_15.xlsx&amp;sheet=A0&amp;row=609&amp;col=11&amp;number=&amp;sourceID=54","")</f>
        <v/>
      </c>
      <c r="L609" s="4" t="str">
        <f>HYPERLINK("http://141.218.60.56/~jnz1568/getInfo.php?workbook=16_15.xlsx&amp;sheet=A0&amp;row=609&amp;col=12&amp;number=2398.47751975&amp;sourceID=53","2398.47751975")</f>
        <v>2398.47751975</v>
      </c>
      <c r="M609" s="4" t="str">
        <f>HYPERLINK("http://141.218.60.56/~jnz1568/getInfo.php?workbook=16_15.xlsx&amp;sheet=A0&amp;row=609&amp;col=13&amp;number=&amp;sourceID=53","")</f>
        <v/>
      </c>
      <c r="N609" s="4" t="str">
        <f>HYPERLINK("http://141.218.60.56/~jnz1568/getInfo.php?workbook=16_15.xlsx&amp;sheet=A0&amp;row=609&amp;col=14&amp;number=&amp;sourceID=53","")</f>
        <v/>
      </c>
      <c r="O609" s="4" t="str">
        <f>HYPERLINK("http://141.218.60.56/~jnz1568/getInfo.php?workbook=16_15.xlsx&amp;sheet=A0&amp;row=609&amp;col=15&amp;number=&amp;sourceID=55","")</f>
        <v/>
      </c>
      <c r="P609" s="4" t="str">
        <f>HYPERLINK("http://141.218.60.56/~jnz1568/getInfo.php?workbook=16_15.xlsx&amp;sheet=A0&amp;row=609&amp;col=16&amp;number=&amp;sourceID=55","")</f>
        <v/>
      </c>
      <c r="Q609" s="4" t="str">
        <f>HYPERLINK("http://141.218.60.56/~jnz1568/getInfo.php?workbook=16_15.xlsx&amp;sheet=A0&amp;row=609&amp;col=17&amp;number=&amp;sourceID=56","")</f>
        <v/>
      </c>
      <c r="R609" s="4" t="str">
        <f>HYPERLINK("http://141.218.60.56/~jnz1568/getInfo.php?workbook=16_15.xlsx&amp;sheet=A0&amp;row=609&amp;col=18&amp;number=&amp;sourceID=56","")</f>
        <v/>
      </c>
      <c r="S609" s="4" t="str">
        <f>HYPERLINK("http://141.218.60.56/~jnz1568/getInfo.php?workbook=16_15.xlsx&amp;sheet=A0&amp;row=609&amp;col=19&amp;number=&amp;sourceID=57","")</f>
        <v/>
      </c>
      <c r="T609" s="4" t="str">
        <f>HYPERLINK("http://141.218.60.56/~jnz1568/getInfo.php?workbook=16_15.xlsx&amp;sheet=A0&amp;row=609&amp;col=20&amp;number=&amp;sourceID=57","")</f>
        <v/>
      </c>
      <c r="U609" s="4" t="str">
        <f>HYPERLINK("http://141.218.60.56/~jnz1568/getInfo.php?workbook=16_15.xlsx&amp;sheet=A0&amp;row=609&amp;col=21&amp;number=&amp;sourceID=47","")</f>
        <v/>
      </c>
      <c r="V609" s="4" t="str">
        <f>HYPERLINK("http://141.218.60.56/~jnz1568/getInfo.php?workbook=16_15.xlsx&amp;sheet=A0&amp;row=609&amp;col=22&amp;number=&amp;sourceID=47","")</f>
        <v/>
      </c>
    </row>
    <row r="610" spans="1:22">
      <c r="A610" s="3">
        <v>16</v>
      </c>
      <c r="B610" s="3">
        <v>15</v>
      </c>
      <c r="C610" s="3">
        <v>41</v>
      </c>
      <c r="D610" s="3">
        <v>3</v>
      </c>
      <c r="E610" s="3">
        <f>((1/(INDEX(E0!J$4:J$73,C610,1)-INDEX(E0!J$4:J$73,D610,1))))*100000000</f>
        <v>0</v>
      </c>
      <c r="F610" s="4" t="str">
        <f>HYPERLINK("http://141.218.60.56/~jnz1568/getInfo.php?workbook=16_15.xlsx&amp;sheet=A0&amp;row=610&amp;col=6&amp;number=32049&amp;sourceID=54","32049")</f>
        <v>32049</v>
      </c>
      <c r="G610" s="4" t="str">
        <f>HYPERLINK("http://141.218.60.56/~jnz1568/getInfo.php?workbook=16_15.xlsx&amp;sheet=A0&amp;row=610&amp;col=7&amp;number=&amp;sourceID=54","")</f>
        <v/>
      </c>
      <c r="H610" s="4" t="str">
        <f>HYPERLINK("http://141.218.60.56/~jnz1568/getInfo.php?workbook=16_15.xlsx&amp;sheet=A0&amp;row=610&amp;col=8&amp;number=&amp;sourceID=54","")</f>
        <v/>
      </c>
      <c r="I610" s="4" t="str">
        <f>HYPERLINK("http://141.218.60.56/~jnz1568/getInfo.php?workbook=16_15.xlsx&amp;sheet=A0&amp;row=610&amp;col=9&amp;number=32297&amp;sourceID=54","32297")</f>
        <v>32297</v>
      </c>
      <c r="J610" s="4" t="str">
        <f>HYPERLINK("http://141.218.60.56/~jnz1568/getInfo.php?workbook=16_15.xlsx&amp;sheet=A0&amp;row=610&amp;col=10&amp;number=&amp;sourceID=54","")</f>
        <v/>
      </c>
      <c r="K610" s="4" t="str">
        <f>HYPERLINK("http://141.218.60.56/~jnz1568/getInfo.php?workbook=16_15.xlsx&amp;sheet=A0&amp;row=610&amp;col=11&amp;number=&amp;sourceID=54","")</f>
        <v/>
      </c>
      <c r="L610" s="4" t="str">
        <f>HYPERLINK("http://141.218.60.56/~jnz1568/getInfo.php?workbook=16_15.xlsx&amp;sheet=A0&amp;row=610&amp;col=12&amp;number=9313.91556572&amp;sourceID=53","9313.91556572")</f>
        <v>9313.91556572</v>
      </c>
      <c r="M610" s="4" t="str">
        <f>HYPERLINK("http://141.218.60.56/~jnz1568/getInfo.php?workbook=16_15.xlsx&amp;sheet=A0&amp;row=610&amp;col=13&amp;number=&amp;sourceID=53","")</f>
        <v/>
      </c>
      <c r="N610" s="4" t="str">
        <f>HYPERLINK("http://141.218.60.56/~jnz1568/getInfo.php?workbook=16_15.xlsx&amp;sheet=A0&amp;row=610&amp;col=14&amp;number=&amp;sourceID=53","")</f>
        <v/>
      </c>
      <c r="O610" s="4" t="str">
        <f>HYPERLINK("http://141.218.60.56/~jnz1568/getInfo.php?workbook=16_15.xlsx&amp;sheet=A0&amp;row=610&amp;col=15&amp;number=&amp;sourceID=55","")</f>
        <v/>
      </c>
      <c r="P610" s="4" t="str">
        <f>HYPERLINK("http://141.218.60.56/~jnz1568/getInfo.php?workbook=16_15.xlsx&amp;sheet=A0&amp;row=610&amp;col=16&amp;number=&amp;sourceID=55","")</f>
        <v/>
      </c>
      <c r="Q610" s="4" t="str">
        <f>HYPERLINK("http://141.218.60.56/~jnz1568/getInfo.php?workbook=16_15.xlsx&amp;sheet=A0&amp;row=610&amp;col=17&amp;number=&amp;sourceID=56","")</f>
        <v/>
      </c>
      <c r="R610" s="4" t="str">
        <f>HYPERLINK("http://141.218.60.56/~jnz1568/getInfo.php?workbook=16_15.xlsx&amp;sheet=A0&amp;row=610&amp;col=18&amp;number=&amp;sourceID=56","")</f>
        <v/>
      </c>
      <c r="S610" s="4" t="str">
        <f>HYPERLINK("http://141.218.60.56/~jnz1568/getInfo.php?workbook=16_15.xlsx&amp;sheet=A0&amp;row=610&amp;col=19&amp;number=&amp;sourceID=57","")</f>
        <v/>
      </c>
      <c r="T610" s="4" t="str">
        <f>HYPERLINK("http://141.218.60.56/~jnz1568/getInfo.php?workbook=16_15.xlsx&amp;sheet=A0&amp;row=610&amp;col=20&amp;number=&amp;sourceID=57","")</f>
        <v/>
      </c>
      <c r="U610" s="4" t="str">
        <f>HYPERLINK("http://141.218.60.56/~jnz1568/getInfo.php?workbook=16_15.xlsx&amp;sheet=A0&amp;row=610&amp;col=21&amp;number=&amp;sourceID=47","")</f>
        <v/>
      </c>
      <c r="V610" s="4" t="str">
        <f>HYPERLINK("http://141.218.60.56/~jnz1568/getInfo.php?workbook=16_15.xlsx&amp;sheet=A0&amp;row=610&amp;col=22&amp;number=&amp;sourceID=47","")</f>
        <v/>
      </c>
    </row>
    <row r="611" spans="1:22">
      <c r="A611" s="3">
        <v>16</v>
      </c>
      <c r="B611" s="3">
        <v>15</v>
      </c>
      <c r="C611" s="3">
        <v>41</v>
      </c>
      <c r="D611" s="3">
        <v>5</v>
      </c>
      <c r="E611" s="3">
        <f>((1/(INDEX(E0!J$4:J$73,C611,1)-INDEX(E0!J$4:J$73,D611,1))))*100000000</f>
        <v>0</v>
      </c>
      <c r="F611" s="4" t="str">
        <f>HYPERLINK("http://141.218.60.56/~jnz1568/getInfo.php?workbook=16_15.xlsx&amp;sheet=A0&amp;row=611&amp;col=6&amp;number=122000&amp;sourceID=54","122000")</f>
        <v>122000</v>
      </c>
      <c r="G611" s="4" t="str">
        <f>HYPERLINK("http://141.218.60.56/~jnz1568/getInfo.php?workbook=16_15.xlsx&amp;sheet=A0&amp;row=611&amp;col=7&amp;number=&amp;sourceID=54","")</f>
        <v/>
      </c>
      <c r="H611" s="4" t="str">
        <f>HYPERLINK("http://141.218.60.56/~jnz1568/getInfo.php?workbook=16_15.xlsx&amp;sheet=A0&amp;row=611&amp;col=8&amp;number=&amp;sourceID=54","")</f>
        <v/>
      </c>
      <c r="I611" s="4" t="str">
        <f>HYPERLINK("http://141.218.60.56/~jnz1568/getInfo.php?workbook=16_15.xlsx&amp;sheet=A0&amp;row=611&amp;col=9&amp;number=115470&amp;sourceID=54","115470")</f>
        <v>115470</v>
      </c>
      <c r="J611" s="4" t="str">
        <f>HYPERLINK("http://141.218.60.56/~jnz1568/getInfo.php?workbook=16_15.xlsx&amp;sheet=A0&amp;row=611&amp;col=10&amp;number=&amp;sourceID=54","")</f>
        <v/>
      </c>
      <c r="K611" s="4" t="str">
        <f>HYPERLINK("http://141.218.60.56/~jnz1568/getInfo.php?workbook=16_15.xlsx&amp;sheet=A0&amp;row=611&amp;col=11&amp;number=&amp;sourceID=54","")</f>
        <v/>
      </c>
      <c r="L611" s="4" t="str">
        <f>HYPERLINK("http://141.218.60.56/~jnz1568/getInfo.php?workbook=16_15.xlsx&amp;sheet=A0&amp;row=611&amp;col=12&amp;number=280168.399283&amp;sourceID=53","280168.399283")</f>
        <v>280168.399283</v>
      </c>
      <c r="M611" s="4" t="str">
        <f>HYPERLINK("http://141.218.60.56/~jnz1568/getInfo.php?workbook=16_15.xlsx&amp;sheet=A0&amp;row=611&amp;col=13&amp;number=&amp;sourceID=53","")</f>
        <v/>
      </c>
      <c r="N611" s="4" t="str">
        <f>HYPERLINK("http://141.218.60.56/~jnz1568/getInfo.php?workbook=16_15.xlsx&amp;sheet=A0&amp;row=611&amp;col=14&amp;number=&amp;sourceID=53","")</f>
        <v/>
      </c>
      <c r="O611" s="4" t="str">
        <f>HYPERLINK("http://141.218.60.56/~jnz1568/getInfo.php?workbook=16_15.xlsx&amp;sheet=A0&amp;row=611&amp;col=15&amp;number=&amp;sourceID=55","")</f>
        <v/>
      </c>
      <c r="P611" s="4" t="str">
        <f>HYPERLINK("http://141.218.60.56/~jnz1568/getInfo.php?workbook=16_15.xlsx&amp;sheet=A0&amp;row=611&amp;col=16&amp;number=&amp;sourceID=55","")</f>
        <v/>
      </c>
      <c r="Q611" s="4" t="str">
        <f>HYPERLINK("http://141.218.60.56/~jnz1568/getInfo.php?workbook=16_15.xlsx&amp;sheet=A0&amp;row=611&amp;col=17&amp;number=&amp;sourceID=56","")</f>
        <v/>
      </c>
      <c r="R611" s="4" t="str">
        <f>HYPERLINK("http://141.218.60.56/~jnz1568/getInfo.php?workbook=16_15.xlsx&amp;sheet=A0&amp;row=611&amp;col=18&amp;number=&amp;sourceID=56","")</f>
        <v/>
      </c>
      <c r="S611" s="4" t="str">
        <f>HYPERLINK("http://141.218.60.56/~jnz1568/getInfo.php?workbook=16_15.xlsx&amp;sheet=A0&amp;row=611&amp;col=19&amp;number=&amp;sourceID=57","")</f>
        <v/>
      </c>
      <c r="T611" s="4" t="str">
        <f>HYPERLINK("http://141.218.60.56/~jnz1568/getInfo.php?workbook=16_15.xlsx&amp;sheet=A0&amp;row=611&amp;col=20&amp;number=&amp;sourceID=57","")</f>
        <v/>
      </c>
      <c r="U611" s="4" t="str">
        <f>HYPERLINK("http://141.218.60.56/~jnz1568/getInfo.php?workbook=16_15.xlsx&amp;sheet=A0&amp;row=611&amp;col=21&amp;number=&amp;sourceID=47","")</f>
        <v/>
      </c>
      <c r="V611" s="4" t="str">
        <f>HYPERLINK("http://141.218.60.56/~jnz1568/getInfo.php?workbook=16_15.xlsx&amp;sheet=A0&amp;row=611&amp;col=22&amp;number=&amp;sourceID=47","")</f>
        <v/>
      </c>
    </row>
    <row r="612" spans="1:22">
      <c r="A612" s="3">
        <v>16</v>
      </c>
      <c r="B612" s="3">
        <v>15</v>
      </c>
      <c r="C612" s="3">
        <v>41</v>
      </c>
      <c r="D612" s="3">
        <v>6</v>
      </c>
      <c r="E612" s="3">
        <f>((1/(INDEX(E0!J$4:J$73,C612,1)-INDEX(E0!J$4:J$73,D612,1))))*100000000</f>
        <v>0</v>
      </c>
      <c r="F612" s="4" t="str">
        <f>HYPERLINK("http://141.218.60.56/~jnz1568/getInfo.php?workbook=16_15.xlsx&amp;sheet=A0&amp;row=612&amp;col=6&amp;number=&amp;sourceID=54","")</f>
        <v/>
      </c>
      <c r="G612" s="4" t="str">
        <f>HYPERLINK("http://141.218.60.56/~jnz1568/getInfo.php?workbook=16_15.xlsx&amp;sheet=A0&amp;row=612&amp;col=7&amp;number=1.3619&amp;sourceID=54","1.3619")</f>
        <v>1.3619</v>
      </c>
      <c r="H612" s="4" t="str">
        <f>HYPERLINK("http://141.218.60.56/~jnz1568/getInfo.php?workbook=16_15.xlsx&amp;sheet=A0&amp;row=612&amp;col=8&amp;number=3.5579&amp;sourceID=54","3.5579")</f>
        <v>3.5579</v>
      </c>
      <c r="I612" s="4" t="str">
        <f>HYPERLINK("http://141.218.60.56/~jnz1568/getInfo.php?workbook=16_15.xlsx&amp;sheet=A0&amp;row=612&amp;col=9&amp;number=&amp;sourceID=54","")</f>
        <v/>
      </c>
      <c r="J612" s="4" t="str">
        <f>HYPERLINK("http://141.218.60.56/~jnz1568/getInfo.php?workbook=16_15.xlsx&amp;sheet=A0&amp;row=612&amp;col=10&amp;number=1.1921&amp;sourceID=54","1.1921")</f>
        <v>1.1921</v>
      </c>
      <c r="K612" s="4" t="str">
        <f>HYPERLINK("http://141.218.60.56/~jnz1568/getInfo.php?workbook=16_15.xlsx&amp;sheet=A0&amp;row=612&amp;col=11&amp;number=3.2758&amp;sourceID=54","3.2758")</f>
        <v>3.2758</v>
      </c>
      <c r="L612" s="4" t="str">
        <f>HYPERLINK("http://141.218.60.56/~jnz1568/getInfo.php?workbook=16_15.xlsx&amp;sheet=A0&amp;row=612&amp;col=12&amp;number=&amp;sourceID=53","")</f>
        <v/>
      </c>
      <c r="M612" s="4" t="str">
        <f>HYPERLINK("http://141.218.60.56/~jnz1568/getInfo.php?workbook=16_15.xlsx&amp;sheet=A0&amp;row=612&amp;col=13&amp;number=&amp;sourceID=53","")</f>
        <v/>
      </c>
      <c r="N612" s="4" t="str">
        <f>HYPERLINK("http://141.218.60.56/~jnz1568/getInfo.php?workbook=16_15.xlsx&amp;sheet=A0&amp;row=612&amp;col=14&amp;number=&amp;sourceID=53","")</f>
        <v/>
      </c>
      <c r="O612" s="4" t="str">
        <f>HYPERLINK("http://141.218.60.56/~jnz1568/getInfo.php?workbook=16_15.xlsx&amp;sheet=A0&amp;row=612&amp;col=15&amp;number=&amp;sourceID=55","")</f>
        <v/>
      </c>
      <c r="P612" s="4" t="str">
        <f>HYPERLINK("http://141.218.60.56/~jnz1568/getInfo.php?workbook=16_15.xlsx&amp;sheet=A0&amp;row=612&amp;col=16&amp;number=&amp;sourceID=55","")</f>
        <v/>
      </c>
      <c r="Q612" s="4" t="str">
        <f>HYPERLINK("http://141.218.60.56/~jnz1568/getInfo.php?workbook=16_15.xlsx&amp;sheet=A0&amp;row=612&amp;col=17&amp;number=&amp;sourceID=56","")</f>
        <v/>
      </c>
      <c r="R612" s="4" t="str">
        <f>HYPERLINK("http://141.218.60.56/~jnz1568/getInfo.php?workbook=16_15.xlsx&amp;sheet=A0&amp;row=612&amp;col=18&amp;number=&amp;sourceID=56","")</f>
        <v/>
      </c>
      <c r="S612" s="4" t="str">
        <f>HYPERLINK("http://141.218.60.56/~jnz1568/getInfo.php?workbook=16_15.xlsx&amp;sheet=A0&amp;row=612&amp;col=19&amp;number=&amp;sourceID=57","")</f>
        <v/>
      </c>
      <c r="T612" s="4" t="str">
        <f>HYPERLINK("http://141.218.60.56/~jnz1568/getInfo.php?workbook=16_15.xlsx&amp;sheet=A0&amp;row=612&amp;col=20&amp;number=&amp;sourceID=57","")</f>
        <v/>
      </c>
      <c r="U612" s="4" t="str">
        <f>HYPERLINK("http://141.218.60.56/~jnz1568/getInfo.php?workbook=16_15.xlsx&amp;sheet=A0&amp;row=612&amp;col=21&amp;number=&amp;sourceID=47","")</f>
        <v/>
      </c>
      <c r="V612" s="4" t="str">
        <f>HYPERLINK("http://141.218.60.56/~jnz1568/getInfo.php?workbook=16_15.xlsx&amp;sheet=A0&amp;row=612&amp;col=22&amp;number=&amp;sourceID=47","")</f>
        <v/>
      </c>
    </row>
    <row r="613" spans="1:22">
      <c r="A613" s="3">
        <v>16</v>
      </c>
      <c r="B613" s="3">
        <v>15</v>
      </c>
      <c r="C613" s="3">
        <v>41</v>
      </c>
      <c r="D613" s="3">
        <v>7</v>
      </c>
      <c r="E613" s="3">
        <f>((1/(INDEX(E0!J$4:J$73,C613,1)-INDEX(E0!J$4:J$73,D613,1))))*100000000</f>
        <v>0</v>
      </c>
      <c r="F613" s="4" t="str">
        <f>HYPERLINK("http://141.218.60.56/~jnz1568/getInfo.php?workbook=16_15.xlsx&amp;sheet=A0&amp;row=613&amp;col=6&amp;number=&amp;sourceID=54","")</f>
        <v/>
      </c>
      <c r="G613" s="4" t="str">
        <f>HYPERLINK("http://141.218.60.56/~jnz1568/getInfo.php?workbook=16_15.xlsx&amp;sheet=A0&amp;row=613&amp;col=7&amp;number=1.7844&amp;sourceID=54","1.7844")</f>
        <v>1.7844</v>
      </c>
      <c r="H613" s="4" t="str">
        <f>HYPERLINK("http://141.218.60.56/~jnz1568/getInfo.php?workbook=16_15.xlsx&amp;sheet=A0&amp;row=613&amp;col=8&amp;number=0.074307&amp;sourceID=54","0.074307")</f>
        <v>0.074307</v>
      </c>
      <c r="I613" s="4" t="str">
        <f>HYPERLINK("http://141.218.60.56/~jnz1568/getInfo.php?workbook=16_15.xlsx&amp;sheet=A0&amp;row=613&amp;col=9&amp;number=&amp;sourceID=54","")</f>
        <v/>
      </c>
      <c r="J613" s="4" t="str">
        <f>HYPERLINK("http://141.218.60.56/~jnz1568/getInfo.php?workbook=16_15.xlsx&amp;sheet=A0&amp;row=613&amp;col=10&amp;number=1.5534&amp;sourceID=54","1.5534")</f>
        <v>1.5534</v>
      </c>
      <c r="K613" s="4" t="str">
        <f>HYPERLINK("http://141.218.60.56/~jnz1568/getInfo.php?workbook=16_15.xlsx&amp;sheet=A0&amp;row=613&amp;col=11&amp;number=0.068382&amp;sourceID=54","0.068382")</f>
        <v>0.068382</v>
      </c>
      <c r="L613" s="4" t="str">
        <f>HYPERLINK("http://141.218.60.56/~jnz1568/getInfo.php?workbook=16_15.xlsx&amp;sheet=A0&amp;row=613&amp;col=12&amp;number=&amp;sourceID=53","")</f>
        <v/>
      </c>
      <c r="M613" s="4" t="str">
        <f>HYPERLINK("http://141.218.60.56/~jnz1568/getInfo.php?workbook=16_15.xlsx&amp;sheet=A0&amp;row=613&amp;col=13&amp;number=&amp;sourceID=53","")</f>
        <v/>
      </c>
      <c r="N613" s="4" t="str">
        <f>HYPERLINK("http://141.218.60.56/~jnz1568/getInfo.php?workbook=16_15.xlsx&amp;sheet=A0&amp;row=613&amp;col=14&amp;number=&amp;sourceID=53","")</f>
        <v/>
      </c>
      <c r="O613" s="4" t="str">
        <f>HYPERLINK("http://141.218.60.56/~jnz1568/getInfo.php?workbook=16_15.xlsx&amp;sheet=A0&amp;row=613&amp;col=15&amp;number=&amp;sourceID=55","")</f>
        <v/>
      </c>
      <c r="P613" s="4" t="str">
        <f>HYPERLINK("http://141.218.60.56/~jnz1568/getInfo.php?workbook=16_15.xlsx&amp;sheet=A0&amp;row=613&amp;col=16&amp;number=&amp;sourceID=55","")</f>
        <v/>
      </c>
      <c r="Q613" s="4" t="str">
        <f>HYPERLINK("http://141.218.60.56/~jnz1568/getInfo.php?workbook=16_15.xlsx&amp;sheet=A0&amp;row=613&amp;col=17&amp;number=&amp;sourceID=56","")</f>
        <v/>
      </c>
      <c r="R613" s="4" t="str">
        <f>HYPERLINK("http://141.218.60.56/~jnz1568/getInfo.php?workbook=16_15.xlsx&amp;sheet=A0&amp;row=613&amp;col=18&amp;number=&amp;sourceID=56","")</f>
        <v/>
      </c>
      <c r="S613" s="4" t="str">
        <f>HYPERLINK("http://141.218.60.56/~jnz1568/getInfo.php?workbook=16_15.xlsx&amp;sheet=A0&amp;row=613&amp;col=19&amp;number=&amp;sourceID=57","")</f>
        <v/>
      </c>
      <c r="T613" s="4" t="str">
        <f>HYPERLINK("http://141.218.60.56/~jnz1568/getInfo.php?workbook=16_15.xlsx&amp;sheet=A0&amp;row=613&amp;col=20&amp;number=&amp;sourceID=57","")</f>
        <v/>
      </c>
      <c r="U613" s="4" t="str">
        <f>HYPERLINK("http://141.218.60.56/~jnz1568/getInfo.php?workbook=16_15.xlsx&amp;sheet=A0&amp;row=613&amp;col=21&amp;number=&amp;sourceID=47","")</f>
        <v/>
      </c>
      <c r="V613" s="4" t="str">
        <f>HYPERLINK("http://141.218.60.56/~jnz1568/getInfo.php?workbook=16_15.xlsx&amp;sheet=A0&amp;row=613&amp;col=22&amp;number=&amp;sourceID=47","")</f>
        <v/>
      </c>
    </row>
    <row r="614" spans="1:22">
      <c r="A614" s="3">
        <v>16</v>
      </c>
      <c r="B614" s="3">
        <v>15</v>
      </c>
      <c r="C614" s="3">
        <v>41</v>
      </c>
      <c r="D614" s="3">
        <v>8</v>
      </c>
      <c r="E614" s="3">
        <f>((1/(INDEX(E0!J$4:J$73,C614,1)-INDEX(E0!J$4:J$73,D614,1))))*100000000</f>
        <v>0</v>
      </c>
      <c r="F614" s="4" t="str">
        <f>HYPERLINK("http://141.218.60.56/~jnz1568/getInfo.php?workbook=16_15.xlsx&amp;sheet=A0&amp;row=614&amp;col=6&amp;number=&amp;sourceID=54","")</f>
        <v/>
      </c>
      <c r="G614" s="4" t="str">
        <f>HYPERLINK("http://141.218.60.56/~jnz1568/getInfo.php?workbook=16_15.xlsx&amp;sheet=A0&amp;row=614&amp;col=7&amp;number=1.1746&amp;sourceID=54","1.1746")</f>
        <v>1.1746</v>
      </c>
      <c r="H614" s="4" t="str">
        <f>HYPERLINK("http://141.218.60.56/~jnz1568/getInfo.php?workbook=16_15.xlsx&amp;sheet=A0&amp;row=614&amp;col=8&amp;number=&amp;sourceID=54","")</f>
        <v/>
      </c>
      <c r="I614" s="4" t="str">
        <f>HYPERLINK("http://141.218.60.56/~jnz1568/getInfo.php?workbook=16_15.xlsx&amp;sheet=A0&amp;row=614&amp;col=9&amp;number=&amp;sourceID=54","")</f>
        <v/>
      </c>
      <c r="J614" s="4" t="str">
        <f>HYPERLINK("http://141.218.60.56/~jnz1568/getInfo.php?workbook=16_15.xlsx&amp;sheet=A0&amp;row=614&amp;col=10&amp;number=1.019&amp;sourceID=54","1.019")</f>
        <v>1.019</v>
      </c>
      <c r="K614" s="4" t="str">
        <f>HYPERLINK("http://141.218.60.56/~jnz1568/getInfo.php?workbook=16_15.xlsx&amp;sheet=A0&amp;row=614&amp;col=11&amp;number=&amp;sourceID=54","")</f>
        <v/>
      </c>
      <c r="L614" s="4" t="str">
        <f>HYPERLINK("http://141.218.60.56/~jnz1568/getInfo.php?workbook=16_15.xlsx&amp;sheet=A0&amp;row=614&amp;col=12&amp;number=&amp;sourceID=53","")</f>
        <v/>
      </c>
      <c r="M614" s="4" t="str">
        <f>HYPERLINK("http://141.218.60.56/~jnz1568/getInfo.php?workbook=16_15.xlsx&amp;sheet=A0&amp;row=614&amp;col=13&amp;number=&amp;sourceID=53","")</f>
        <v/>
      </c>
      <c r="N614" s="4" t="str">
        <f>HYPERLINK("http://141.218.60.56/~jnz1568/getInfo.php?workbook=16_15.xlsx&amp;sheet=A0&amp;row=614&amp;col=14&amp;number=&amp;sourceID=53","")</f>
        <v/>
      </c>
      <c r="O614" s="4" t="str">
        <f>HYPERLINK("http://141.218.60.56/~jnz1568/getInfo.php?workbook=16_15.xlsx&amp;sheet=A0&amp;row=614&amp;col=15&amp;number=&amp;sourceID=55","")</f>
        <v/>
      </c>
      <c r="P614" s="4" t="str">
        <f>HYPERLINK("http://141.218.60.56/~jnz1568/getInfo.php?workbook=16_15.xlsx&amp;sheet=A0&amp;row=614&amp;col=16&amp;number=&amp;sourceID=55","")</f>
        <v/>
      </c>
      <c r="Q614" s="4" t="str">
        <f>HYPERLINK("http://141.218.60.56/~jnz1568/getInfo.php?workbook=16_15.xlsx&amp;sheet=A0&amp;row=614&amp;col=17&amp;number=&amp;sourceID=56","")</f>
        <v/>
      </c>
      <c r="R614" s="4" t="str">
        <f>HYPERLINK("http://141.218.60.56/~jnz1568/getInfo.php?workbook=16_15.xlsx&amp;sheet=A0&amp;row=614&amp;col=18&amp;number=&amp;sourceID=56","")</f>
        <v/>
      </c>
      <c r="S614" s="4" t="str">
        <f>HYPERLINK("http://141.218.60.56/~jnz1568/getInfo.php?workbook=16_15.xlsx&amp;sheet=A0&amp;row=614&amp;col=19&amp;number=&amp;sourceID=57","")</f>
        <v/>
      </c>
      <c r="T614" s="4" t="str">
        <f>HYPERLINK("http://141.218.60.56/~jnz1568/getInfo.php?workbook=16_15.xlsx&amp;sheet=A0&amp;row=614&amp;col=20&amp;number=&amp;sourceID=57","")</f>
        <v/>
      </c>
      <c r="U614" s="4" t="str">
        <f>HYPERLINK("http://141.218.60.56/~jnz1568/getInfo.php?workbook=16_15.xlsx&amp;sheet=A0&amp;row=614&amp;col=21&amp;number=&amp;sourceID=47","")</f>
        <v/>
      </c>
      <c r="V614" s="4" t="str">
        <f>HYPERLINK("http://141.218.60.56/~jnz1568/getInfo.php?workbook=16_15.xlsx&amp;sheet=A0&amp;row=614&amp;col=22&amp;number=&amp;sourceID=47","")</f>
        <v/>
      </c>
    </row>
    <row r="615" spans="1:22">
      <c r="A615" s="3">
        <v>16</v>
      </c>
      <c r="B615" s="3">
        <v>15</v>
      </c>
      <c r="C615" s="3">
        <v>41</v>
      </c>
      <c r="D615" s="3">
        <v>9</v>
      </c>
      <c r="E615" s="3">
        <f>((1/(INDEX(E0!J$4:J$73,C615,1)-INDEX(E0!J$4:J$73,D615,1))))*100000000</f>
        <v>0</v>
      </c>
      <c r="F615" s="4" t="str">
        <f>HYPERLINK("http://141.218.60.56/~jnz1568/getInfo.php?workbook=16_15.xlsx&amp;sheet=A0&amp;row=615&amp;col=6&amp;number=&amp;sourceID=54","")</f>
        <v/>
      </c>
      <c r="G615" s="4" t="str">
        <f>HYPERLINK("http://141.218.60.56/~jnz1568/getInfo.php?workbook=16_15.xlsx&amp;sheet=A0&amp;row=615&amp;col=7&amp;number=0.00048862&amp;sourceID=54","0.00048862")</f>
        <v>0.00048862</v>
      </c>
      <c r="H615" s="4" t="str">
        <f>HYPERLINK("http://141.218.60.56/~jnz1568/getInfo.php?workbook=16_15.xlsx&amp;sheet=A0&amp;row=615&amp;col=8&amp;number=0.00023016&amp;sourceID=54","0.00023016")</f>
        <v>0.00023016</v>
      </c>
      <c r="I615" s="4" t="str">
        <f>HYPERLINK("http://141.218.60.56/~jnz1568/getInfo.php?workbook=16_15.xlsx&amp;sheet=A0&amp;row=615&amp;col=9&amp;number=&amp;sourceID=54","")</f>
        <v/>
      </c>
      <c r="J615" s="4" t="str">
        <f>HYPERLINK("http://141.218.60.56/~jnz1568/getInfo.php?workbook=16_15.xlsx&amp;sheet=A0&amp;row=615&amp;col=10&amp;number=0.00043392&amp;sourceID=54","0.00043392")</f>
        <v>0.00043392</v>
      </c>
      <c r="K615" s="4" t="str">
        <f>HYPERLINK("http://141.218.60.56/~jnz1568/getInfo.php?workbook=16_15.xlsx&amp;sheet=A0&amp;row=615&amp;col=11&amp;number=0.00021596&amp;sourceID=54","0.00021596")</f>
        <v>0.00021596</v>
      </c>
      <c r="L615" s="4" t="str">
        <f>HYPERLINK("http://141.218.60.56/~jnz1568/getInfo.php?workbook=16_15.xlsx&amp;sheet=A0&amp;row=615&amp;col=12&amp;number=&amp;sourceID=53","")</f>
        <v/>
      </c>
      <c r="M615" s="4" t="str">
        <f>HYPERLINK("http://141.218.60.56/~jnz1568/getInfo.php?workbook=16_15.xlsx&amp;sheet=A0&amp;row=615&amp;col=13&amp;number=&amp;sourceID=53","")</f>
        <v/>
      </c>
      <c r="N615" s="4" t="str">
        <f>HYPERLINK("http://141.218.60.56/~jnz1568/getInfo.php?workbook=16_15.xlsx&amp;sheet=A0&amp;row=615&amp;col=14&amp;number=&amp;sourceID=53","")</f>
        <v/>
      </c>
      <c r="O615" s="4" t="str">
        <f>HYPERLINK("http://141.218.60.56/~jnz1568/getInfo.php?workbook=16_15.xlsx&amp;sheet=A0&amp;row=615&amp;col=15&amp;number=&amp;sourceID=55","")</f>
        <v/>
      </c>
      <c r="P615" s="4" t="str">
        <f>HYPERLINK("http://141.218.60.56/~jnz1568/getInfo.php?workbook=16_15.xlsx&amp;sheet=A0&amp;row=615&amp;col=16&amp;number=&amp;sourceID=55","")</f>
        <v/>
      </c>
      <c r="Q615" s="4" t="str">
        <f>HYPERLINK("http://141.218.60.56/~jnz1568/getInfo.php?workbook=16_15.xlsx&amp;sheet=A0&amp;row=615&amp;col=17&amp;number=&amp;sourceID=56","")</f>
        <v/>
      </c>
      <c r="R615" s="4" t="str">
        <f>HYPERLINK("http://141.218.60.56/~jnz1568/getInfo.php?workbook=16_15.xlsx&amp;sheet=A0&amp;row=615&amp;col=18&amp;number=&amp;sourceID=56","")</f>
        <v/>
      </c>
      <c r="S615" s="4" t="str">
        <f>HYPERLINK("http://141.218.60.56/~jnz1568/getInfo.php?workbook=16_15.xlsx&amp;sheet=A0&amp;row=615&amp;col=19&amp;number=&amp;sourceID=57","")</f>
        <v/>
      </c>
      <c r="T615" s="4" t="str">
        <f>HYPERLINK("http://141.218.60.56/~jnz1568/getInfo.php?workbook=16_15.xlsx&amp;sheet=A0&amp;row=615&amp;col=20&amp;number=&amp;sourceID=57","")</f>
        <v/>
      </c>
      <c r="U615" s="4" t="str">
        <f>HYPERLINK("http://141.218.60.56/~jnz1568/getInfo.php?workbook=16_15.xlsx&amp;sheet=A0&amp;row=615&amp;col=21&amp;number=&amp;sourceID=47","")</f>
        <v/>
      </c>
      <c r="V615" s="4" t="str">
        <f>HYPERLINK("http://141.218.60.56/~jnz1568/getInfo.php?workbook=16_15.xlsx&amp;sheet=A0&amp;row=615&amp;col=22&amp;number=&amp;sourceID=47","")</f>
        <v/>
      </c>
    </row>
    <row r="616" spans="1:22">
      <c r="A616" s="3">
        <v>16</v>
      </c>
      <c r="B616" s="3">
        <v>15</v>
      </c>
      <c r="C616" s="3">
        <v>41</v>
      </c>
      <c r="D616" s="3">
        <v>10</v>
      </c>
      <c r="E616" s="3">
        <f>((1/(INDEX(E0!J$4:J$73,C616,1)-INDEX(E0!J$4:J$73,D616,1))))*100000000</f>
        <v>0</v>
      </c>
      <c r="F616" s="4" t="str">
        <f>HYPERLINK("http://141.218.60.56/~jnz1568/getInfo.php?workbook=16_15.xlsx&amp;sheet=A0&amp;row=616&amp;col=6&amp;number=&amp;sourceID=54","")</f>
        <v/>
      </c>
      <c r="G616" s="4" t="str">
        <f>HYPERLINK("http://141.218.60.56/~jnz1568/getInfo.php?workbook=16_15.xlsx&amp;sheet=A0&amp;row=616&amp;col=7&amp;number=0.0015816&amp;sourceID=54","0.0015816")</f>
        <v>0.0015816</v>
      </c>
      <c r="H616" s="4" t="str">
        <f>HYPERLINK("http://141.218.60.56/~jnz1568/getInfo.php?workbook=16_15.xlsx&amp;sheet=A0&amp;row=616&amp;col=8&amp;number=9.6603e-05&amp;sourceID=54","9.6603e-05")</f>
        <v>9.6603e-05</v>
      </c>
      <c r="I616" s="4" t="str">
        <f>HYPERLINK("http://141.218.60.56/~jnz1568/getInfo.php?workbook=16_15.xlsx&amp;sheet=A0&amp;row=616&amp;col=9&amp;number=&amp;sourceID=54","")</f>
        <v/>
      </c>
      <c r="J616" s="4" t="str">
        <f>HYPERLINK("http://141.218.60.56/~jnz1568/getInfo.php?workbook=16_15.xlsx&amp;sheet=A0&amp;row=616&amp;col=10&amp;number=0.001365&amp;sourceID=54","0.001365")</f>
        <v>0.001365</v>
      </c>
      <c r="K616" s="4" t="str">
        <f>HYPERLINK("http://141.218.60.56/~jnz1568/getInfo.php?workbook=16_15.xlsx&amp;sheet=A0&amp;row=616&amp;col=11&amp;number=6.186e-05&amp;sourceID=54","6.186e-05")</f>
        <v>6.186e-05</v>
      </c>
      <c r="L616" s="4" t="str">
        <f>HYPERLINK("http://141.218.60.56/~jnz1568/getInfo.php?workbook=16_15.xlsx&amp;sheet=A0&amp;row=616&amp;col=12&amp;number=&amp;sourceID=53","")</f>
        <v/>
      </c>
      <c r="M616" s="4" t="str">
        <f>HYPERLINK("http://141.218.60.56/~jnz1568/getInfo.php?workbook=16_15.xlsx&amp;sheet=A0&amp;row=616&amp;col=13&amp;number=&amp;sourceID=53","")</f>
        <v/>
      </c>
      <c r="N616" s="4" t="str">
        <f>HYPERLINK("http://141.218.60.56/~jnz1568/getInfo.php?workbook=16_15.xlsx&amp;sheet=A0&amp;row=616&amp;col=14&amp;number=&amp;sourceID=53","")</f>
        <v/>
      </c>
      <c r="O616" s="4" t="str">
        <f>HYPERLINK("http://141.218.60.56/~jnz1568/getInfo.php?workbook=16_15.xlsx&amp;sheet=A0&amp;row=616&amp;col=15&amp;number=&amp;sourceID=55","")</f>
        <v/>
      </c>
      <c r="P616" s="4" t="str">
        <f>HYPERLINK("http://141.218.60.56/~jnz1568/getInfo.php?workbook=16_15.xlsx&amp;sheet=A0&amp;row=616&amp;col=16&amp;number=&amp;sourceID=55","")</f>
        <v/>
      </c>
      <c r="Q616" s="4" t="str">
        <f>HYPERLINK("http://141.218.60.56/~jnz1568/getInfo.php?workbook=16_15.xlsx&amp;sheet=A0&amp;row=616&amp;col=17&amp;number=&amp;sourceID=56","")</f>
        <v/>
      </c>
      <c r="R616" s="4" t="str">
        <f>HYPERLINK("http://141.218.60.56/~jnz1568/getInfo.php?workbook=16_15.xlsx&amp;sheet=A0&amp;row=616&amp;col=18&amp;number=&amp;sourceID=56","")</f>
        <v/>
      </c>
      <c r="S616" s="4" t="str">
        <f>HYPERLINK("http://141.218.60.56/~jnz1568/getInfo.php?workbook=16_15.xlsx&amp;sheet=A0&amp;row=616&amp;col=19&amp;number=&amp;sourceID=57","")</f>
        <v/>
      </c>
      <c r="T616" s="4" t="str">
        <f>HYPERLINK("http://141.218.60.56/~jnz1568/getInfo.php?workbook=16_15.xlsx&amp;sheet=A0&amp;row=616&amp;col=20&amp;number=&amp;sourceID=57","")</f>
        <v/>
      </c>
      <c r="U616" s="4" t="str">
        <f>HYPERLINK("http://141.218.60.56/~jnz1568/getInfo.php?workbook=16_15.xlsx&amp;sheet=A0&amp;row=616&amp;col=21&amp;number=&amp;sourceID=47","")</f>
        <v/>
      </c>
      <c r="V616" s="4" t="str">
        <f>HYPERLINK("http://141.218.60.56/~jnz1568/getInfo.php?workbook=16_15.xlsx&amp;sheet=A0&amp;row=616&amp;col=22&amp;number=&amp;sourceID=47","")</f>
        <v/>
      </c>
    </row>
    <row r="617" spans="1:22">
      <c r="A617" s="3">
        <v>16</v>
      </c>
      <c r="B617" s="3">
        <v>15</v>
      </c>
      <c r="C617" s="3">
        <v>41</v>
      </c>
      <c r="D617" s="3">
        <v>11</v>
      </c>
      <c r="E617" s="3">
        <f>((1/(INDEX(E0!J$4:J$73,C617,1)-INDEX(E0!J$4:J$73,D617,1))))*100000000</f>
        <v>0</v>
      </c>
      <c r="F617" s="4" t="str">
        <f>HYPERLINK("http://141.218.60.56/~jnz1568/getInfo.php?workbook=16_15.xlsx&amp;sheet=A0&amp;row=617&amp;col=6&amp;number=&amp;sourceID=54","")</f>
        <v/>
      </c>
      <c r="G617" s="4" t="str">
        <f>HYPERLINK("http://141.218.60.56/~jnz1568/getInfo.php?workbook=16_15.xlsx&amp;sheet=A0&amp;row=617&amp;col=7&amp;number=0.0021754&amp;sourceID=54","0.0021754")</f>
        <v>0.0021754</v>
      </c>
      <c r="H617" s="4" t="str">
        <f>HYPERLINK("http://141.218.60.56/~jnz1568/getInfo.php?workbook=16_15.xlsx&amp;sheet=A0&amp;row=617&amp;col=8&amp;number=0.00029512&amp;sourceID=54","0.00029512")</f>
        <v>0.00029512</v>
      </c>
      <c r="I617" s="4" t="str">
        <f>HYPERLINK("http://141.218.60.56/~jnz1568/getInfo.php?workbook=16_15.xlsx&amp;sheet=A0&amp;row=617&amp;col=9&amp;number=&amp;sourceID=54","")</f>
        <v/>
      </c>
      <c r="J617" s="4" t="str">
        <f>HYPERLINK("http://141.218.60.56/~jnz1568/getInfo.php?workbook=16_15.xlsx&amp;sheet=A0&amp;row=617&amp;col=10&amp;number=0.0020131&amp;sourceID=54","0.0020131")</f>
        <v>0.0020131</v>
      </c>
      <c r="K617" s="4" t="str">
        <f>HYPERLINK("http://141.218.60.56/~jnz1568/getInfo.php?workbook=16_15.xlsx&amp;sheet=A0&amp;row=617&amp;col=11&amp;number=0.00027108&amp;sourceID=54","0.00027108")</f>
        <v>0.00027108</v>
      </c>
      <c r="L617" s="4" t="str">
        <f>HYPERLINK("http://141.218.60.56/~jnz1568/getInfo.php?workbook=16_15.xlsx&amp;sheet=A0&amp;row=617&amp;col=12&amp;number=&amp;sourceID=53","")</f>
        <v/>
      </c>
      <c r="M617" s="4" t="str">
        <f>HYPERLINK("http://141.218.60.56/~jnz1568/getInfo.php?workbook=16_15.xlsx&amp;sheet=A0&amp;row=617&amp;col=13&amp;number=&amp;sourceID=53","")</f>
        <v/>
      </c>
      <c r="N617" s="4" t="str">
        <f>HYPERLINK("http://141.218.60.56/~jnz1568/getInfo.php?workbook=16_15.xlsx&amp;sheet=A0&amp;row=617&amp;col=14&amp;number=&amp;sourceID=53","")</f>
        <v/>
      </c>
      <c r="O617" s="4" t="str">
        <f>HYPERLINK("http://141.218.60.56/~jnz1568/getInfo.php?workbook=16_15.xlsx&amp;sheet=A0&amp;row=617&amp;col=15&amp;number=&amp;sourceID=55","")</f>
        <v/>
      </c>
      <c r="P617" s="4" t="str">
        <f>HYPERLINK("http://141.218.60.56/~jnz1568/getInfo.php?workbook=16_15.xlsx&amp;sheet=A0&amp;row=617&amp;col=16&amp;number=&amp;sourceID=55","")</f>
        <v/>
      </c>
      <c r="Q617" s="4" t="str">
        <f>HYPERLINK("http://141.218.60.56/~jnz1568/getInfo.php?workbook=16_15.xlsx&amp;sheet=A0&amp;row=617&amp;col=17&amp;number=&amp;sourceID=56","")</f>
        <v/>
      </c>
      <c r="R617" s="4" t="str">
        <f>HYPERLINK("http://141.218.60.56/~jnz1568/getInfo.php?workbook=16_15.xlsx&amp;sheet=A0&amp;row=617&amp;col=18&amp;number=&amp;sourceID=56","")</f>
        <v/>
      </c>
      <c r="S617" s="4" t="str">
        <f>HYPERLINK("http://141.218.60.56/~jnz1568/getInfo.php?workbook=16_15.xlsx&amp;sheet=A0&amp;row=617&amp;col=19&amp;number=&amp;sourceID=57","")</f>
        <v/>
      </c>
      <c r="T617" s="4" t="str">
        <f>HYPERLINK("http://141.218.60.56/~jnz1568/getInfo.php?workbook=16_15.xlsx&amp;sheet=A0&amp;row=617&amp;col=20&amp;number=&amp;sourceID=57","")</f>
        <v/>
      </c>
      <c r="U617" s="4" t="str">
        <f>HYPERLINK("http://141.218.60.56/~jnz1568/getInfo.php?workbook=16_15.xlsx&amp;sheet=A0&amp;row=617&amp;col=21&amp;number=&amp;sourceID=47","")</f>
        <v/>
      </c>
      <c r="V617" s="4" t="str">
        <f>HYPERLINK("http://141.218.60.56/~jnz1568/getInfo.php?workbook=16_15.xlsx&amp;sheet=A0&amp;row=617&amp;col=22&amp;number=&amp;sourceID=47","")</f>
        <v/>
      </c>
    </row>
    <row r="618" spans="1:22">
      <c r="A618" s="3">
        <v>16</v>
      </c>
      <c r="B618" s="3">
        <v>15</v>
      </c>
      <c r="C618" s="3">
        <v>41</v>
      </c>
      <c r="D618" s="3">
        <v>12</v>
      </c>
      <c r="E618" s="3">
        <f>((1/(INDEX(E0!J$4:J$73,C618,1)-INDEX(E0!J$4:J$73,D618,1))))*100000000</f>
        <v>0</v>
      </c>
      <c r="F618" s="4" t="str">
        <f>HYPERLINK("http://141.218.60.56/~jnz1568/getInfo.php?workbook=16_15.xlsx&amp;sheet=A0&amp;row=618&amp;col=6&amp;number=&amp;sourceID=54","")</f>
        <v/>
      </c>
      <c r="G618" s="4" t="str">
        <f>HYPERLINK("http://141.218.60.56/~jnz1568/getInfo.php?workbook=16_15.xlsx&amp;sheet=A0&amp;row=618&amp;col=7&amp;number=0.00045311&amp;sourceID=54","0.00045311")</f>
        <v>0.00045311</v>
      </c>
      <c r="H618" s="4" t="str">
        <f>HYPERLINK("http://141.218.60.56/~jnz1568/getInfo.php?workbook=16_15.xlsx&amp;sheet=A0&amp;row=618&amp;col=8&amp;number=&amp;sourceID=54","")</f>
        <v/>
      </c>
      <c r="I618" s="4" t="str">
        <f>HYPERLINK("http://141.218.60.56/~jnz1568/getInfo.php?workbook=16_15.xlsx&amp;sheet=A0&amp;row=618&amp;col=9&amp;number=&amp;sourceID=54","")</f>
        <v/>
      </c>
      <c r="J618" s="4" t="str">
        <f>HYPERLINK("http://141.218.60.56/~jnz1568/getInfo.php?workbook=16_15.xlsx&amp;sheet=A0&amp;row=618&amp;col=10&amp;number=0.00043108&amp;sourceID=54","0.00043108")</f>
        <v>0.00043108</v>
      </c>
      <c r="K618" s="4" t="str">
        <f>HYPERLINK("http://141.218.60.56/~jnz1568/getInfo.php?workbook=16_15.xlsx&amp;sheet=A0&amp;row=618&amp;col=11&amp;number=&amp;sourceID=54","")</f>
        <v/>
      </c>
      <c r="L618" s="4" t="str">
        <f>HYPERLINK("http://141.218.60.56/~jnz1568/getInfo.php?workbook=16_15.xlsx&amp;sheet=A0&amp;row=618&amp;col=12&amp;number=&amp;sourceID=53","")</f>
        <v/>
      </c>
      <c r="M618" s="4" t="str">
        <f>HYPERLINK("http://141.218.60.56/~jnz1568/getInfo.php?workbook=16_15.xlsx&amp;sheet=A0&amp;row=618&amp;col=13&amp;number=&amp;sourceID=53","")</f>
        <v/>
      </c>
      <c r="N618" s="4" t="str">
        <f>HYPERLINK("http://141.218.60.56/~jnz1568/getInfo.php?workbook=16_15.xlsx&amp;sheet=A0&amp;row=618&amp;col=14&amp;number=&amp;sourceID=53","")</f>
        <v/>
      </c>
      <c r="O618" s="4" t="str">
        <f>HYPERLINK("http://141.218.60.56/~jnz1568/getInfo.php?workbook=16_15.xlsx&amp;sheet=A0&amp;row=618&amp;col=15&amp;number=&amp;sourceID=55","")</f>
        <v/>
      </c>
      <c r="P618" s="4" t="str">
        <f>HYPERLINK("http://141.218.60.56/~jnz1568/getInfo.php?workbook=16_15.xlsx&amp;sheet=A0&amp;row=618&amp;col=16&amp;number=&amp;sourceID=55","")</f>
        <v/>
      </c>
      <c r="Q618" s="4" t="str">
        <f>HYPERLINK("http://141.218.60.56/~jnz1568/getInfo.php?workbook=16_15.xlsx&amp;sheet=A0&amp;row=618&amp;col=17&amp;number=&amp;sourceID=56","")</f>
        <v/>
      </c>
      <c r="R618" s="4" t="str">
        <f>HYPERLINK("http://141.218.60.56/~jnz1568/getInfo.php?workbook=16_15.xlsx&amp;sheet=A0&amp;row=618&amp;col=18&amp;number=&amp;sourceID=56","")</f>
        <v/>
      </c>
      <c r="S618" s="4" t="str">
        <f>HYPERLINK("http://141.218.60.56/~jnz1568/getInfo.php?workbook=16_15.xlsx&amp;sheet=A0&amp;row=618&amp;col=19&amp;number=&amp;sourceID=57","")</f>
        <v/>
      </c>
      <c r="T618" s="4" t="str">
        <f>HYPERLINK("http://141.218.60.56/~jnz1568/getInfo.php?workbook=16_15.xlsx&amp;sheet=A0&amp;row=618&amp;col=20&amp;number=&amp;sourceID=57","")</f>
        <v/>
      </c>
      <c r="U618" s="4" t="str">
        <f>HYPERLINK("http://141.218.60.56/~jnz1568/getInfo.php?workbook=16_15.xlsx&amp;sheet=A0&amp;row=618&amp;col=21&amp;number=&amp;sourceID=47","")</f>
        <v/>
      </c>
      <c r="V618" s="4" t="str">
        <f>HYPERLINK("http://141.218.60.56/~jnz1568/getInfo.php?workbook=16_15.xlsx&amp;sheet=A0&amp;row=618&amp;col=22&amp;number=&amp;sourceID=47","")</f>
        <v/>
      </c>
    </row>
    <row r="619" spans="1:22">
      <c r="A619" s="3">
        <v>16</v>
      </c>
      <c r="B619" s="3">
        <v>15</v>
      </c>
      <c r="C619" s="3">
        <v>41</v>
      </c>
      <c r="D619" s="3">
        <v>13</v>
      </c>
      <c r="E619" s="3">
        <f>((1/(INDEX(E0!J$4:J$73,C619,1)-INDEX(E0!J$4:J$73,D619,1))))*100000000</f>
        <v>0</v>
      </c>
      <c r="F619" s="4" t="str">
        <f>HYPERLINK("http://141.218.60.56/~jnz1568/getInfo.php?workbook=16_15.xlsx&amp;sheet=A0&amp;row=619&amp;col=6&amp;number=&amp;sourceID=54","")</f>
        <v/>
      </c>
      <c r="G619" s="4" t="str">
        <f>HYPERLINK("http://141.218.60.56/~jnz1568/getInfo.php?workbook=16_15.xlsx&amp;sheet=A0&amp;row=619&amp;col=7&amp;number=12.849&amp;sourceID=54","12.849")</f>
        <v>12.849</v>
      </c>
      <c r="H619" s="4" t="str">
        <f>HYPERLINK("http://141.218.60.56/~jnz1568/getInfo.php?workbook=16_15.xlsx&amp;sheet=A0&amp;row=619&amp;col=8&amp;number=&amp;sourceID=54","")</f>
        <v/>
      </c>
      <c r="I619" s="4" t="str">
        <f>HYPERLINK("http://141.218.60.56/~jnz1568/getInfo.php?workbook=16_15.xlsx&amp;sheet=A0&amp;row=619&amp;col=9&amp;number=&amp;sourceID=54","")</f>
        <v/>
      </c>
      <c r="J619" s="4" t="str">
        <f>HYPERLINK("http://141.218.60.56/~jnz1568/getInfo.php?workbook=16_15.xlsx&amp;sheet=A0&amp;row=619&amp;col=10&amp;number=9.7269&amp;sourceID=54","9.7269")</f>
        <v>9.7269</v>
      </c>
      <c r="K619" s="4" t="str">
        <f>HYPERLINK("http://141.218.60.56/~jnz1568/getInfo.php?workbook=16_15.xlsx&amp;sheet=A0&amp;row=619&amp;col=11&amp;number=&amp;sourceID=54","")</f>
        <v/>
      </c>
      <c r="L619" s="4" t="str">
        <f>HYPERLINK("http://141.218.60.56/~jnz1568/getInfo.php?workbook=16_15.xlsx&amp;sheet=A0&amp;row=619&amp;col=12&amp;number=&amp;sourceID=53","")</f>
        <v/>
      </c>
      <c r="M619" s="4" t="str">
        <f>HYPERLINK("http://141.218.60.56/~jnz1568/getInfo.php?workbook=16_15.xlsx&amp;sheet=A0&amp;row=619&amp;col=13&amp;number=&amp;sourceID=53","")</f>
        <v/>
      </c>
      <c r="N619" s="4" t="str">
        <f>HYPERLINK("http://141.218.60.56/~jnz1568/getInfo.php?workbook=16_15.xlsx&amp;sheet=A0&amp;row=619&amp;col=14&amp;number=&amp;sourceID=53","")</f>
        <v/>
      </c>
      <c r="O619" s="4" t="str">
        <f>HYPERLINK("http://141.218.60.56/~jnz1568/getInfo.php?workbook=16_15.xlsx&amp;sheet=A0&amp;row=619&amp;col=15&amp;number=&amp;sourceID=55","")</f>
        <v/>
      </c>
      <c r="P619" s="4" t="str">
        <f>HYPERLINK("http://141.218.60.56/~jnz1568/getInfo.php?workbook=16_15.xlsx&amp;sheet=A0&amp;row=619&amp;col=16&amp;number=&amp;sourceID=55","")</f>
        <v/>
      </c>
      <c r="Q619" s="4" t="str">
        <f>HYPERLINK("http://141.218.60.56/~jnz1568/getInfo.php?workbook=16_15.xlsx&amp;sheet=A0&amp;row=619&amp;col=17&amp;number=&amp;sourceID=56","")</f>
        <v/>
      </c>
      <c r="R619" s="4" t="str">
        <f>HYPERLINK("http://141.218.60.56/~jnz1568/getInfo.php?workbook=16_15.xlsx&amp;sheet=A0&amp;row=619&amp;col=18&amp;number=&amp;sourceID=56","")</f>
        <v/>
      </c>
      <c r="S619" s="4" t="str">
        <f>HYPERLINK("http://141.218.60.56/~jnz1568/getInfo.php?workbook=16_15.xlsx&amp;sheet=A0&amp;row=619&amp;col=19&amp;number=&amp;sourceID=57","")</f>
        <v/>
      </c>
      <c r="T619" s="4" t="str">
        <f>HYPERLINK("http://141.218.60.56/~jnz1568/getInfo.php?workbook=16_15.xlsx&amp;sheet=A0&amp;row=619&amp;col=20&amp;number=&amp;sourceID=57","")</f>
        <v/>
      </c>
      <c r="U619" s="4" t="str">
        <f>HYPERLINK("http://141.218.60.56/~jnz1568/getInfo.php?workbook=16_15.xlsx&amp;sheet=A0&amp;row=619&amp;col=21&amp;number=&amp;sourceID=47","")</f>
        <v/>
      </c>
      <c r="V619" s="4" t="str">
        <f>HYPERLINK("http://141.218.60.56/~jnz1568/getInfo.php?workbook=16_15.xlsx&amp;sheet=A0&amp;row=619&amp;col=22&amp;number=&amp;sourceID=47","")</f>
        <v/>
      </c>
    </row>
    <row r="620" spans="1:22">
      <c r="A620" s="3">
        <v>16</v>
      </c>
      <c r="B620" s="3">
        <v>15</v>
      </c>
      <c r="C620" s="3">
        <v>41</v>
      </c>
      <c r="D620" s="3">
        <v>14</v>
      </c>
      <c r="E620" s="3">
        <f>((1/(INDEX(E0!J$4:J$73,C620,1)-INDEX(E0!J$4:J$73,D620,1))))*100000000</f>
        <v>0</v>
      </c>
      <c r="F620" s="4" t="str">
        <f>HYPERLINK("http://141.218.60.56/~jnz1568/getInfo.php?workbook=16_15.xlsx&amp;sheet=A0&amp;row=620&amp;col=6&amp;number=&amp;sourceID=54","")</f>
        <v/>
      </c>
      <c r="G620" s="4" t="str">
        <f>HYPERLINK("http://141.218.60.56/~jnz1568/getInfo.php?workbook=16_15.xlsx&amp;sheet=A0&amp;row=620&amp;col=7&amp;number=17.255&amp;sourceID=54","17.255")</f>
        <v>17.255</v>
      </c>
      <c r="H620" s="4" t="str">
        <f>HYPERLINK("http://141.218.60.56/~jnz1568/getInfo.php?workbook=16_15.xlsx&amp;sheet=A0&amp;row=620&amp;col=8&amp;number=0.0014149&amp;sourceID=54","0.0014149")</f>
        <v>0.0014149</v>
      </c>
      <c r="I620" s="4" t="str">
        <f>HYPERLINK("http://141.218.60.56/~jnz1568/getInfo.php?workbook=16_15.xlsx&amp;sheet=A0&amp;row=620&amp;col=9&amp;number=&amp;sourceID=54","")</f>
        <v/>
      </c>
      <c r="J620" s="4" t="str">
        <f>HYPERLINK("http://141.218.60.56/~jnz1568/getInfo.php?workbook=16_15.xlsx&amp;sheet=A0&amp;row=620&amp;col=10&amp;number=13.032&amp;sourceID=54","13.032")</f>
        <v>13.032</v>
      </c>
      <c r="K620" s="4" t="str">
        <f>HYPERLINK("http://141.218.60.56/~jnz1568/getInfo.php?workbook=16_15.xlsx&amp;sheet=A0&amp;row=620&amp;col=11&amp;number=0.0012029&amp;sourceID=54","0.0012029")</f>
        <v>0.0012029</v>
      </c>
      <c r="L620" s="4" t="str">
        <f>HYPERLINK("http://141.218.60.56/~jnz1568/getInfo.php?workbook=16_15.xlsx&amp;sheet=A0&amp;row=620&amp;col=12&amp;number=&amp;sourceID=53","")</f>
        <v/>
      </c>
      <c r="M620" s="4" t="str">
        <f>HYPERLINK("http://141.218.60.56/~jnz1568/getInfo.php?workbook=16_15.xlsx&amp;sheet=A0&amp;row=620&amp;col=13&amp;number=&amp;sourceID=53","")</f>
        <v/>
      </c>
      <c r="N620" s="4" t="str">
        <f>HYPERLINK("http://141.218.60.56/~jnz1568/getInfo.php?workbook=16_15.xlsx&amp;sheet=A0&amp;row=620&amp;col=14&amp;number=&amp;sourceID=53","")</f>
        <v/>
      </c>
      <c r="O620" s="4" t="str">
        <f>HYPERLINK("http://141.218.60.56/~jnz1568/getInfo.php?workbook=16_15.xlsx&amp;sheet=A0&amp;row=620&amp;col=15&amp;number=&amp;sourceID=55","")</f>
        <v/>
      </c>
      <c r="P620" s="4" t="str">
        <f>HYPERLINK("http://141.218.60.56/~jnz1568/getInfo.php?workbook=16_15.xlsx&amp;sheet=A0&amp;row=620&amp;col=16&amp;number=&amp;sourceID=55","")</f>
        <v/>
      </c>
      <c r="Q620" s="4" t="str">
        <f>HYPERLINK("http://141.218.60.56/~jnz1568/getInfo.php?workbook=16_15.xlsx&amp;sheet=A0&amp;row=620&amp;col=17&amp;number=&amp;sourceID=56","")</f>
        <v/>
      </c>
      <c r="R620" s="4" t="str">
        <f>HYPERLINK("http://141.218.60.56/~jnz1568/getInfo.php?workbook=16_15.xlsx&amp;sheet=A0&amp;row=620&amp;col=18&amp;number=&amp;sourceID=56","")</f>
        <v/>
      </c>
      <c r="S620" s="4" t="str">
        <f>HYPERLINK("http://141.218.60.56/~jnz1568/getInfo.php?workbook=16_15.xlsx&amp;sheet=A0&amp;row=620&amp;col=19&amp;number=&amp;sourceID=57","")</f>
        <v/>
      </c>
      <c r="T620" s="4" t="str">
        <f>HYPERLINK("http://141.218.60.56/~jnz1568/getInfo.php?workbook=16_15.xlsx&amp;sheet=A0&amp;row=620&amp;col=20&amp;number=&amp;sourceID=57","")</f>
        <v/>
      </c>
      <c r="U620" s="4" t="str">
        <f>HYPERLINK("http://141.218.60.56/~jnz1568/getInfo.php?workbook=16_15.xlsx&amp;sheet=A0&amp;row=620&amp;col=21&amp;number=&amp;sourceID=47","")</f>
        <v/>
      </c>
      <c r="V620" s="4" t="str">
        <f>HYPERLINK("http://141.218.60.56/~jnz1568/getInfo.php?workbook=16_15.xlsx&amp;sheet=A0&amp;row=620&amp;col=22&amp;number=&amp;sourceID=47","")</f>
        <v/>
      </c>
    </row>
    <row r="621" spans="1:22">
      <c r="A621" s="3">
        <v>16</v>
      </c>
      <c r="B621" s="3">
        <v>15</v>
      </c>
      <c r="C621" s="3">
        <v>41</v>
      </c>
      <c r="D621" s="3">
        <v>15</v>
      </c>
      <c r="E621" s="3">
        <f>((1/(INDEX(E0!J$4:J$73,C621,1)-INDEX(E0!J$4:J$73,D621,1))))*100000000</f>
        <v>0</v>
      </c>
      <c r="F621" s="4" t="str">
        <f>HYPERLINK("http://141.218.60.56/~jnz1568/getInfo.php?workbook=16_15.xlsx&amp;sheet=A0&amp;row=621&amp;col=6&amp;number=&amp;sourceID=54","")</f>
        <v/>
      </c>
      <c r="G621" s="4" t="str">
        <f>HYPERLINK("http://141.218.60.56/~jnz1568/getInfo.php?workbook=16_15.xlsx&amp;sheet=A0&amp;row=621&amp;col=7&amp;number=7.2415e-05&amp;sourceID=54","7.2415e-05")</f>
        <v>7.2415e-05</v>
      </c>
      <c r="H621" s="4" t="str">
        <f>HYPERLINK("http://141.218.60.56/~jnz1568/getInfo.php?workbook=16_15.xlsx&amp;sheet=A0&amp;row=621&amp;col=8&amp;number=1.2796e-05&amp;sourceID=54","1.2796e-05")</f>
        <v>1.2796e-05</v>
      </c>
      <c r="I621" s="4" t="str">
        <f>HYPERLINK("http://141.218.60.56/~jnz1568/getInfo.php?workbook=16_15.xlsx&amp;sheet=A0&amp;row=621&amp;col=9&amp;number=&amp;sourceID=54","")</f>
        <v/>
      </c>
      <c r="J621" s="4" t="str">
        <f>HYPERLINK("http://141.218.60.56/~jnz1568/getInfo.php?workbook=16_15.xlsx&amp;sheet=A0&amp;row=621&amp;col=10&amp;number=0.00016945&amp;sourceID=54","0.00016945")</f>
        <v>0.00016945</v>
      </c>
      <c r="K621" s="4" t="str">
        <f>HYPERLINK("http://141.218.60.56/~jnz1568/getInfo.php?workbook=16_15.xlsx&amp;sheet=A0&amp;row=621&amp;col=11&amp;number=1.323e-05&amp;sourceID=54","1.323e-05")</f>
        <v>1.323e-05</v>
      </c>
      <c r="L621" s="4" t="str">
        <f>HYPERLINK("http://141.218.60.56/~jnz1568/getInfo.php?workbook=16_15.xlsx&amp;sheet=A0&amp;row=621&amp;col=12&amp;number=&amp;sourceID=53","")</f>
        <v/>
      </c>
      <c r="M621" s="4" t="str">
        <f>HYPERLINK("http://141.218.60.56/~jnz1568/getInfo.php?workbook=16_15.xlsx&amp;sheet=A0&amp;row=621&amp;col=13&amp;number=&amp;sourceID=53","")</f>
        <v/>
      </c>
      <c r="N621" s="4" t="str">
        <f>HYPERLINK("http://141.218.60.56/~jnz1568/getInfo.php?workbook=16_15.xlsx&amp;sheet=A0&amp;row=621&amp;col=14&amp;number=&amp;sourceID=53","")</f>
        <v/>
      </c>
      <c r="O621" s="4" t="str">
        <f>HYPERLINK("http://141.218.60.56/~jnz1568/getInfo.php?workbook=16_15.xlsx&amp;sheet=A0&amp;row=621&amp;col=15&amp;number=&amp;sourceID=55","")</f>
        <v/>
      </c>
      <c r="P621" s="4" t="str">
        <f>HYPERLINK("http://141.218.60.56/~jnz1568/getInfo.php?workbook=16_15.xlsx&amp;sheet=A0&amp;row=621&amp;col=16&amp;number=&amp;sourceID=55","")</f>
        <v/>
      </c>
      <c r="Q621" s="4" t="str">
        <f>HYPERLINK("http://141.218.60.56/~jnz1568/getInfo.php?workbook=16_15.xlsx&amp;sheet=A0&amp;row=621&amp;col=17&amp;number=&amp;sourceID=56","")</f>
        <v/>
      </c>
      <c r="R621" s="4" t="str">
        <f>HYPERLINK("http://141.218.60.56/~jnz1568/getInfo.php?workbook=16_15.xlsx&amp;sheet=A0&amp;row=621&amp;col=18&amp;number=&amp;sourceID=56","")</f>
        <v/>
      </c>
      <c r="S621" s="4" t="str">
        <f>HYPERLINK("http://141.218.60.56/~jnz1568/getInfo.php?workbook=16_15.xlsx&amp;sheet=A0&amp;row=621&amp;col=19&amp;number=&amp;sourceID=57","")</f>
        <v/>
      </c>
      <c r="T621" s="4" t="str">
        <f>HYPERLINK("http://141.218.60.56/~jnz1568/getInfo.php?workbook=16_15.xlsx&amp;sheet=A0&amp;row=621&amp;col=20&amp;number=&amp;sourceID=57","")</f>
        <v/>
      </c>
      <c r="U621" s="4" t="str">
        <f>HYPERLINK("http://141.218.60.56/~jnz1568/getInfo.php?workbook=16_15.xlsx&amp;sheet=A0&amp;row=621&amp;col=21&amp;number=&amp;sourceID=47","")</f>
        <v/>
      </c>
      <c r="V621" s="4" t="str">
        <f>HYPERLINK("http://141.218.60.56/~jnz1568/getInfo.php?workbook=16_15.xlsx&amp;sheet=A0&amp;row=621&amp;col=22&amp;number=&amp;sourceID=47","")</f>
        <v/>
      </c>
    </row>
    <row r="622" spans="1:22">
      <c r="A622" s="3">
        <v>16</v>
      </c>
      <c r="B622" s="3">
        <v>15</v>
      </c>
      <c r="C622" s="3">
        <v>41</v>
      </c>
      <c r="D622" s="3">
        <v>16</v>
      </c>
      <c r="E622" s="3">
        <f>((1/(INDEX(E0!J$4:J$73,C622,1)-INDEX(E0!J$4:J$73,D622,1))))*100000000</f>
        <v>0</v>
      </c>
      <c r="F622" s="4" t="str">
        <f>HYPERLINK("http://141.218.60.56/~jnz1568/getInfo.php?workbook=16_15.xlsx&amp;sheet=A0&amp;row=622&amp;col=6&amp;number=&amp;sourceID=54","")</f>
        <v/>
      </c>
      <c r="G622" s="4" t="str">
        <f>HYPERLINK("http://141.218.60.56/~jnz1568/getInfo.php?workbook=16_15.xlsx&amp;sheet=A0&amp;row=622&amp;col=7&amp;number=10.781&amp;sourceID=54","10.781")</f>
        <v>10.781</v>
      </c>
      <c r="H622" s="4" t="str">
        <f>HYPERLINK("http://141.218.60.56/~jnz1568/getInfo.php?workbook=16_15.xlsx&amp;sheet=A0&amp;row=622&amp;col=8&amp;number=5.8754e-06&amp;sourceID=54","5.8754e-06")</f>
        <v>5.8754e-06</v>
      </c>
      <c r="I622" s="4" t="str">
        <f>HYPERLINK("http://141.218.60.56/~jnz1568/getInfo.php?workbook=16_15.xlsx&amp;sheet=A0&amp;row=622&amp;col=9&amp;number=&amp;sourceID=54","")</f>
        <v/>
      </c>
      <c r="J622" s="4" t="str">
        <f>HYPERLINK("http://141.218.60.56/~jnz1568/getInfo.php?workbook=16_15.xlsx&amp;sheet=A0&amp;row=622&amp;col=10&amp;number=8.1119&amp;sourceID=54","8.1119")</f>
        <v>8.1119</v>
      </c>
      <c r="K622" s="4" t="str">
        <f>HYPERLINK("http://141.218.60.56/~jnz1568/getInfo.php?workbook=16_15.xlsx&amp;sheet=A0&amp;row=622&amp;col=11&amp;number=4.7765e-06&amp;sourceID=54","4.7765e-06")</f>
        <v>4.7765e-06</v>
      </c>
      <c r="L622" s="4" t="str">
        <f>HYPERLINK("http://141.218.60.56/~jnz1568/getInfo.php?workbook=16_15.xlsx&amp;sheet=A0&amp;row=622&amp;col=12&amp;number=&amp;sourceID=53","")</f>
        <v/>
      </c>
      <c r="M622" s="4" t="str">
        <f>HYPERLINK("http://141.218.60.56/~jnz1568/getInfo.php?workbook=16_15.xlsx&amp;sheet=A0&amp;row=622&amp;col=13&amp;number=&amp;sourceID=53","")</f>
        <v/>
      </c>
      <c r="N622" s="4" t="str">
        <f>HYPERLINK("http://141.218.60.56/~jnz1568/getInfo.php?workbook=16_15.xlsx&amp;sheet=A0&amp;row=622&amp;col=14&amp;number=&amp;sourceID=53","")</f>
        <v/>
      </c>
      <c r="O622" s="4" t="str">
        <f>HYPERLINK("http://141.218.60.56/~jnz1568/getInfo.php?workbook=16_15.xlsx&amp;sheet=A0&amp;row=622&amp;col=15&amp;number=&amp;sourceID=55","")</f>
        <v/>
      </c>
      <c r="P622" s="4" t="str">
        <f>HYPERLINK("http://141.218.60.56/~jnz1568/getInfo.php?workbook=16_15.xlsx&amp;sheet=A0&amp;row=622&amp;col=16&amp;number=&amp;sourceID=55","")</f>
        <v/>
      </c>
      <c r="Q622" s="4" t="str">
        <f>HYPERLINK("http://141.218.60.56/~jnz1568/getInfo.php?workbook=16_15.xlsx&amp;sheet=A0&amp;row=622&amp;col=17&amp;number=&amp;sourceID=56","")</f>
        <v/>
      </c>
      <c r="R622" s="4" t="str">
        <f>HYPERLINK("http://141.218.60.56/~jnz1568/getInfo.php?workbook=16_15.xlsx&amp;sheet=A0&amp;row=622&amp;col=18&amp;number=&amp;sourceID=56","")</f>
        <v/>
      </c>
      <c r="S622" s="4" t="str">
        <f>HYPERLINK("http://141.218.60.56/~jnz1568/getInfo.php?workbook=16_15.xlsx&amp;sheet=A0&amp;row=622&amp;col=19&amp;number=&amp;sourceID=57","")</f>
        <v/>
      </c>
      <c r="T622" s="4" t="str">
        <f>HYPERLINK("http://141.218.60.56/~jnz1568/getInfo.php?workbook=16_15.xlsx&amp;sheet=A0&amp;row=622&amp;col=20&amp;number=&amp;sourceID=57","")</f>
        <v/>
      </c>
      <c r="U622" s="4" t="str">
        <f>HYPERLINK("http://141.218.60.56/~jnz1568/getInfo.php?workbook=16_15.xlsx&amp;sheet=A0&amp;row=622&amp;col=21&amp;number=&amp;sourceID=47","")</f>
        <v/>
      </c>
      <c r="V622" s="4" t="str">
        <f>HYPERLINK("http://141.218.60.56/~jnz1568/getInfo.php?workbook=16_15.xlsx&amp;sheet=A0&amp;row=622&amp;col=22&amp;number=&amp;sourceID=47","")</f>
        <v/>
      </c>
    </row>
    <row r="623" spans="1:22">
      <c r="A623" s="3">
        <v>16</v>
      </c>
      <c r="B623" s="3">
        <v>15</v>
      </c>
      <c r="C623" s="3">
        <v>41</v>
      </c>
      <c r="D623" s="3">
        <v>17</v>
      </c>
      <c r="E623" s="3">
        <f>((1/(INDEX(E0!J$4:J$73,C623,1)-INDEX(E0!J$4:J$73,D623,1))))*100000000</f>
        <v>0</v>
      </c>
      <c r="F623" s="4" t="str">
        <f>HYPERLINK("http://141.218.60.56/~jnz1568/getInfo.php?workbook=16_15.xlsx&amp;sheet=A0&amp;row=623&amp;col=6&amp;number=&amp;sourceID=54","")</f>
        <v/>
      </c>
      <c r="G623" s="4" t="str">
        <f>HYPERLINK("http://141.218.60.56/~jnz1568/getInfo.php?workbook=16_15.xlsx&amp;sheet=A0&amp;row=623&amp;col=7&amp;number=0.0018684&amp;sourceID=54","0.0018684")</f>
        <v>0.0018684</v>
      </c>
      <c r="H623" s="4" t="str">
        <f>HYPERLINK("http://141.218.60.56/~jnz1568/getInfo.php?workbook=16_15.xlsx&amp;sheet=A0&amp;row=623&amp;col=8&amp;number=3.8165e-05&amp;sourceID=54","3.8165e-05")</f>
        <v>3.8165e-05</v>
      </c>
      <c r="I623" s="4" t="str">
        <f>HYPERLINK("http://141.218.60.56/~jnz1568/getInfo.php?workbook=16_15.xlsx&amp;sheet=A0&amp;row=623&amp;col=9&amp;number=&amp;sourceID=54","")</f>
        <v/>
      </c>
      <c r="J623" s="4" t="str">
        <f>HYPERLINK("http://141.218.60.56/~jnz1568/getInfo.php?workbook=16_15.xlsx&amp;sheet=A0&amp;row=623&amp;col=10&amp;number=0.0050761&amp;sourceID=54","0.0050761")</f>
        <v>0.0050761</v>
      </c>
      <c r="K623" s="4" t="str">
        <f>HYPERLINK("http://141.218.60.56/~jnz1568/getInfo.php?workbook=16_15.xlsx&amp;sheet=A0&amp;row=623&amp;col=11&amp;number=1.244e-05&amp;sourceID=54","1.244e-05")</f>
        <v>1.244e-05</v>
      </c>
      <c r="L623" s="4" t="str">
        <f>HYPERLINK("http://141.218.60.56/~jnz1568/getInfo.php?workbook=16_15.xlsx&amp;sheet=A0&amp;row=623&amp;col=12&amp;number=&amp;sourceID=53","")</f>
        <v/>
      </c>
      <c r="M623" s="4" t="str">
        <f>HYPERLINK("http://141.218.60.56/~jnz1568/getInfo.php?workbook=16_15.xlsx&amp;sheet=A0&amp;row=623&amp;col=13&amp;number=&amp;sourceID=53","")</f>
        <v/>
      </c>
      <c r="N623" s="4" t="str">
        <f>HYPERLINK("http://141.218.60.56/~jnz1568/getInfo.php?workbook=16_15.xlsx&amp;sheet=A0&amp;row=623&amp;col=14&amp;number=&amp;sourceID=53","")</f>
        <v/>
      </c>
      <c r="O623" s="4" t="str">
        <f>HYPERLINK("http://141.218.60.56/~jnz1568/getInfo.php?workbook=16_15.xlsx&amp;sheet=A0&amp;row=623&amp;col=15&amp;number=&amp;sourceID=55","")</f>
        <v/>
      </c>
      <c r="P623" s="4" t="str">
        <f>HYPERLINK("http://141.218.60.56/~jnz1568/getInfo.php?workbook=16_15.xlsx&amp;sheet=A0&amp;row=623&amp;col=16&amp;number=&amp;sourceID=55","")</f>
        <v/>
      </c>
      <c r="Q623" s="4" t="str">
        <f>HYPERLINK("http://141.218.60.56/~jnz1568/getInfo.php?workbook=16_15.xlsx&amp;sheet=A0&amp;row=623&amp;col=17&amp;number=&amp;sourceID=56","")</f>
        <v/>
      </c>
      <c r="R623" s="4" t="str">
        <f>HYPERLINK("http://141.218.60.56/~jnz1568/getInfo.php?workbook=16_15.xlsx&amp;sheet=A0&amp;row=623&amp;col=18&amp;number=&amp;sourceID=56","")</f>
        <v/>
      </c>
      <c r="S623" s="4" t="str">
        <f>HYPERLINK("http://141.218.60.56/~jnz1568/getInfo.php?workbook=16_15.xlsx&amp;sheet=A0&amp;row=623&amp;col=19&amp;number=&amp;sourceID=57","")</f>
        <v/>
      </c>
      <c r="T623" s="4" t="str">
        <f>HYPERLINK("http://141.218.60.56/~jnz1568/getInfo.php?workbook=16_15.xlsx&amp;sheet=A0&amp;row=623&amp;col=20&amp;number=&amp;sourceID=57","")</f>
        <v/>
      </c>
      <c r="U623" s="4" t="str">
        <f>HYPERLINK("http://141.218.60.56/~jnz1568/getInfo.php?workbook=16_15.xlsx&amp;sheet=A0&amp;row=623&amp;col=21&amp;number=&amp;sourceID=47","")</f>
        <v/>
      </c>
      <c r="V623" s="4" t="str">
        <f>HYPERLINK("http://141.218.60.56/~jnz1568/getInfo.php?workbook=16_15.xlsx&amp;sheet=A0&amp;row=623&amp;col=22&amp;number=&amp;sourceID=47","")</f>
        <v/>
      </c>
    </row>
    <row r="624" spans="1:22">
      <c r="A624" s="3">
        <v>16</v>
      </c>
      <c r="B624" s="3">
        <v>15</v>
      </c>
      <c r="C624" s="3">
        <v>41</v>
      </c>
      <c r="D624" s="3">
        <v>18</v>
      </c>
      <c r="E624" s="3">
        <f>((1/(INDEX(E0!J$4:J$73,C624,1)-INDEX(E0!J$4:J$73,D624,1))))*100000000</f>
        <v>0</v>
      </c>
      <c r="F624" s="4" t="str">
        <f>HYPERLINK("http://141.218.60.56/~jnz1568/getInfo.php?workbook=16_15.xlsx&amp;sheet=A0&amp;row=624&amp;col=6&amp;number=&amp;sourceID=54","")</f>
        <v/>
      </c>
      <c r="G624" s="4" t="str">
        <f>HYPERLINK("http://141.218.60.56/~jnz1568/getInfo.php?workbook=16_15.xlsx&amp;sheet=A0&amp;row=624&amp;col=7&amp;number=0.019639&amp;sourceID=54","0.019639")</f>
        <v>0.019639</v>
      </c>
      <c r="H624" s="4" t="str">
        <f>HYPERLINK("http://141.218.60.56/~jnz1568/getInfo.php?workbook=16_15.xlsx&amp;sheet=A0&amp;row=624&amp;col=8&amp;number=0.00011378&amp;sourceID=54","0.00011378")</f>
        <v>0.00011378</v>
      </c>
      <c r="I624" s="4" t="str">
        <f>HYPERLINK("http://141.218.60.56/~jnz1568/getInfo.php?workbook=16_15.xlsx&amp;sheet=A0&amp;row=624&amp;col=9&amp;number=&amp;sourceID=54","")</f>
        <v/>
      </c>
      <c r="J624" s="4" t="str">
        <f>HYPERLINK("http://141.218.60.56/~jnz1568/getInfo.php?workbook=16_15.xlsx&amp;sheet=A0&amp;row=624&amp;col=10&amp;number=0.018176&amp;sourceID=54","0.018176")</f>
        <v>0.018176</v>
      </c>
      <c r="K624" s="4" t="str">
        <f>HYPERLINK("http://141.218.60.56/~jnz1568/getInfo.php?workbook=16_15.xlsx&amp;sheet=A0&amp;row=624&amp;col=11&amp;number=0.00010469&amp;sourceID=54","0.00010469")</f>
        <v>0.00010469</v>
      </c>
      <c r="L624" s="4" t="str">
        <f>HYPERLINK("http://141.218.60.56/~jnz1568/getInfo.php?workbook=16_15.xlsx&amp;sheet=A0&amp;row=624&amp;col=12&amp;number=&amp;sourceID=53","")</f>
        <v/>
      </c>
      <c r="M624" s="4" t="str">
        <f>HYPERLINK("http://141.218.60.56/~jnz1568/getInfo.php?workbook=16_15.xlsx&amp;sheet=A0&amp;row=624&amp;col=13&amp;number=&amp;sourceID=53","")</f>
        <v/>
      </c>
      <c r="N624" s="4" t="str">
        <f>HYPERLINK("http://141.218.60.56/~jnz1568/getInfo.php?workbook=16_15.xlsx&amp;sheet=A0&amp;row=624&amp;col=14&amp;number=&amp;sourceID=53","")</f>
        <v/>
      </c>
      <c r="O624" s="4" t="str">
        <f>HYPERLINK("http://141.218.60.56/~jnz1568/getInfo.php?workbook=16_15.xlsx&amp;sheet=A0&amp;row=624&amp;col=15&amp;number=&amp;sourceID=55","")</f>
        <v/>
      </c>
      <c r="P624" s="4" t="str">
        <f>HYPERLINK("http://141.218.60.56/~jnz1568/getInfo.php?workbook=16_15.xlsx&amp;sheet=A0&amp;row=624&amp;col=16&amp;number=&amp;sourceID=55","")</f>
        <v/>
      </c>
      <c r="Q624" s="4" t="str">
        <f>HYPERLINK("http://141.218.60.56/~jnz1568/getInfo.php?workbook=16_15.xlsx&amp;sheet=A0&amp;row=624&amp;col=17&amp;number=&amp;sourceID=56","")</f>
        <v/>
      </c>
      <c r="R624" s="4" t="str">
        <f>HYPERLINK("http://141.218.60.56/~jnz1568/getInfo.php?workbook=16_15.xlsx&amp;sheet=A0&amp;row=624&amp;col=18&amp;number=&amp;sourceID=56","")</f>
        <v/>
      </c>
      <c r="S624" s="4" t="str">
        <f>HYPERLINK("http://141.218.60.56/~jnz1568/getInfo.php?workbook=16_15.xlsx&amp;sheet=A0&amp;row=624&amp;col=19&amp;number=&amp;sourceID=57","")</f>
        <v/>
      </c>
      <c r="T624" s="4" t="str">
        <f>HYPERLINK("http://141.218.60.56/~jnz1568/getInfo.php?workbook=16_15.xlsx&amp;sheet=A0&amp;row=624&amp;col=20&amp;number=&amp;sourceID=57","")</f>
        <v/>
      </c>
      <c r="U624" s="4" t="str">
        <f>HYPERLINK("http://141.218.60.56/~jnz1568/getInfo.php?workbook=16_15.xlsx&amp;sheet=A0&amp;row=624&amp;col=21&amp;number=&amp;sourceID=47","")</f>
        <v/>
      </c>
      <c r="V624" s="4" t="str">
        <f>HYPERLINK("http://141.218.60.56/~jnz1568/getInfo.php?workbook=16_15.xlsx&amp;sheet=A0&amp;row=624&amp;col=22&amp;number=&amp;sourceID=47","")</f>
        <v/>
      </c>
    </row>
    <row r="625" spans="1:22">
      <c r="A625" s="3">
        <v>16</v>
      </c>
      <c r="B625" s="3">
        <v>15</v>
      </c>
      <c r="C625" s="3">
        <v>41</v>
      </c>
      <c r="D625" s="3">
        <v>19</v>
      </c>
      <c r="E625" s="3">
        <f>((1/(INDEX(E0!J$4:J$73,C625,1)-INDEX(E0!J$4:J$73,D625,1))))*100000000</f>
        <v>0</v>
      </c>
      <c r="F625" s="4" t="str">
        <f>HYPERLINK("http://141.218.60.56/~jnz1568/getInfo.php?workbook=16_15.xlsx&amp;sheet=A0&amp;row=625&amp;col=6&amp;number=&amp;sourceID=54","")</f>
        <v/>
      </c>
      <c r="G625" s="4" t="str">
        <f>HYPERLINK("http://141.218.60.56/~jnz1568/getInfo.php?workbook=16_15.xlsx&amp;sheet=A0&amp;row=625&amp;col=7&amp;number=0.14&amp;sourceID=54","0.14")</f>
        <v>0.14</v>
      </c>
      <c r="H625" s="4" t="str">
        <f>HYPERLINK("http://141.218.60.56/~jnz1568/getInfo.php?workbook=16_15.xlsx&amp;sheet=A0&amp;row=625&amp;col=8&amp;number=&amp;sourceID=54","")</f>
        <v/>
      </c>
      <c r="I625" s="4" t="str">
        <f>HYPERLINK("http://141.218.60.56/~jnz1568/getInfo.php?workbook=16_15.xlsx&amp;sheet=A0&amp;row=625&amp;col=9&amp;number=&amp;sourceID=54","")</f>
        <v/>
      </c>
      <c r="J625" s="4" t="str">
        <f>HYPERLINK("http://141.218.60.56/~jnz1568/getInfo.php?workbook=16_15.xlsx&amp;sheet=A0&amp;row=625&amp;col=10&amp;number=0.12124&amp;sourceID=54","0.12124")</f>
        <v>0.12124</v>
      </c>
      <c r="K625" s="4" t="str">
        <f>HYPERLINK("http://141.218.60.56/~jnz1568/getInfo.php?workbook=16_15.xlsx&amp;sheet=A0&amp;row=625&amp;col=11&amp;number=&amp;sourceID=54","")</f>
        <v/>
      </c>
      <c r="L625" s="4" t="str">
        <f>HYPERLINK("http://141.218.60.56/~jnz1568/getInfo.php?workbook=16_15.xlsx&amp;sheet=A0&amp;row=625&amp;col=12&amp;number=&amp;sourceID=53","")</f>
        <v/>
      </c>
      <c r="M625" s="4" t="str">
        <f>HYPERLINK("http://141.218.60.56/~jnz1568/getInfo.php?workbook=16_15.xlsx&amp;sheet=A0&amp;row=625&amp;col=13&amp;number=&amp;sourceID=53","")</f>
        <v/>
      </c>
      <c r="N625" s="4" t="str">
        <f>HYPERLINK("http://141.218.60.56/~jnz1568/getInfo.php?workbook=16_15.xlsx&amp;sheet=A0&amp;row=625&amp;col=14&amp;number=&amp;sourceID=53","")</f>
        <v/>
      </c>
      <c r="O625" s="4" t="str">
        <f>HYPERLINK("http://141.218.60.56/~jnz1568/getInfo.php?workbook=16_15.xlsx&amp;sheet=A0&amp;row=625&amp;col=15&amp;number=&amp;sourceID=55","")</f>
        <v/>
      </c>
      <c r="P625" s="4" t="str">
        <f>HYPERLINK("http://141.218.60.56/~jnz1568/getInfo.php?workbook=16_15.xlsx&amp;sheet=A0&amp;row=625&amp;col=16&amp;number=&amp;sourceID=55","")</f>
        <v/>
      </c>
      <c r="Q625" s="4" t="str">
        <f>HYPERLINK("http://141.218.60.56/~jnz1568/getInfo.php?workbook=16_15.xlsx&amp;sheet=A0&amp;row=625&amp;col=17&amp;number=&amp;sourceID=56","")</f>
        <v/>
      </c>
      <c r="R625" s="4" t="str">
        <f>HYPERLINK("http://141.218.60.56/~jnz1568/getInfo.php?workbook=16_15.xlsx&amp;sheet=A0&amp;row=625&amp;col=18&amp;number=&amp;sourceID=56","")</f>
        <v/>
      </c>
      <c r="S625" s="4" t="str">
        <f>HYPERLINK("http://141.218.60.56/~jnz1568/getInfo.php?workbook=16_15.xlsx&amp;sheet=A0&amp;row=625&amp;col=19&amp;number=&amp;sourceID=57","")</f>
        <v/>
      </c>
      <c r="T625" s="4" t="str">
        <f>HYPERLINK("http://141.218.60.56/~jnz1568/getInfo.php?workbook=16_15.xlsx&amp;sheet=A0&amp;row=625&amp;col=20&amp;number=&amp;sourceID=57","")</f>
        <v/>
      </c>
      <c r="U625" s="4" t="str">
        <f>HYPERLINK("http://141.218.60.56/~jnz1568/getInfo.php?workbook=16_15.xlsx&amp;sheet=A0&amp;row=625&amp;col=21&amp;number=&amp;sourceID=47","")</f>
        <v/>
      </c>
      <c r="V625" s="4" t="str">
        <f>HYPERLINK("http://141.218.60.56/~jnz1568/getInfo.php?workbook=16_15.xlsx&amp;sheet=A0&amp;row=625&amp;col=22&amp;number=&amp;sourceID=47","")</f>
        <v/>
      </c>
    </row>
    <row r="626" spans="1:22">
      <c r="A626" s="3">
        <v>16</v>
      </c>
      <c r="B626" s="3">
        <v>15</v>
      </c>
      <c r="C626" s="3">
        <v>41</v>
      </c>
      <c r="D626" s="3">
        <v>20</v>
      </c>
      <c r="E626" s="3">
        <f>((1/(INDEX(E0!J$4:J$73,C626,1)-INDEX(E0!J$4:J$73,D626,1))))*100000000</f>
        <v>0</v>
      </c>
      <c r="F626" s="4" t="str">
        <f>HYPERLINK("http://141.218.60.56/~jnz1568/getInfo.php?workbook=16_15.xlsx&amp;sheet=A0&amp;row=626&amp;col=6&amp;number=&amp;sourceID=54","")</f>
        <v/>
      </c>
      <c r="G626" s="4" t="str">
        <f>HYPERLINK("http://141.218.60.56/~jnz1568/getInfo.php?workbook=16_15.xlsx&amp;sheet=A0&amp;row=626&amp;col=7&amp;number=0.0019925&amp;sourceID=54","0.0019925")</f>
        <v>0.0019925</v>
      </c>
      <c r="H626" s="4" t="str">
        <f>HYPERLINK("http://141.218.60.56/~jnz1568/getInfo.php?workbook=16_15.xlsx&amp;sheet=A0&amp;row=626&amp;col=8&amp;number=&amp;sourceID=54","")</f>
        <v/>
      </c>
      <c r="I626" s="4" t="str">
        <f>HYPERLINK("http://141.218.60.56/~jnz1568/getInfo.php?workbook=16_15.xlsx&amp;sheet=A0&amp;row=626&amp;col=9&amp;number=&amp;sourceID=54","")</f>
        <v/>
      </c>
      <c r="J626" s="4" t="str">
        <f>HYPERLINK("http://141.218.60.56/~jnz1568/getInfo.php?workbook=16_15.xlsx&amp;sheet=A0&amp;row=626&amp;col=10&amp;number=0.00052877&amp;sourceID=54","0.00052877")</f>
        <v>0.00052877</v>
      </c>
      <c r="K626" s="4" t="str">
        <f>HYPERLINK("http://141.218.60.56/~jnz1568/getInfo.php?workbook=16_15.xlsx&amp;sheet=A0&amp;row=626&amp;col=11&amp;number=&amp;sourceID=54","")</f>
        <v/>
      </c>
      <c r="L626" s="4" t="str">
        <f>HYPERLINK("http://141.218.60.56/~jnz1568/getInfo.php?workbook=16_15.xlsx&amp;sheet=A0&amp;row=626&amp;col=12&amp;number=&amp;sourceID=53","")</f>
        <v/>
      </c>
      <c r="M626" s="4" t="str">
        <f>HYPERLINK("http://141.218.60.56/~jnz1568/getInfo.php?workbook=16_15.xlsx&amp;sheet=A0&amp;row=626&amp;col=13&amp;number=&amp;sourceID=53","")</f>
        <v/>
      </c>
      <c r="N626" s="4" t="str">
        <f>HYPERLINK("http://141.218.60.56/~jnz1568/getInfo.php?workbook=16_15.xlsx&amp;sheet=A0&amp;row=626&amp;col=14&amp;number=&amp;sourceID=53","")</f>
        <v/>
      </c>
      <c r="O626" s="4" t="str">
        <f>HYPERLINK("http://141.218.60.56/~jnz1568/getInfo.php?workbook=16_15.xlsx&amp;sheet=A0&amp;row=626&amp;col=15&amp;number=&amp;sourceID=55","")</f>
        <v/>
      </c>
      <c r="P626" s="4" t="str">
        <f>HYPERLINK("http://141.218.60.56/~jnz1568/getInfo.php?workbook=16_15.xlsx&amp;sheet=A0&amp;row=626&amp;col=16&amp;number=&amp;sourceID=55","")</f>
        <v/>
      </c>
      <c r="Q626" s="4" t="str">
        <f>HYPERLINK("http://141.218.60.56/~jnz1568/getInfo.php?workbook=16_15.xlsx&amp;sheet=A0&amp;row=626&amp;col=17&amp;number=&amp;sourceID=56","")</f>
        <v/>
      </c>
      <c r="R626" s="4" t="str">
        <f>HYPERLINK("http://141.218.60.56/~jnz1568/getInfo.php?workbook=16_15.xlsx&amp;sheet=A0&amp;row=626&amp;col=18&amp;number=&amp;sourceID=56","")</f>
        <v/>
      </c>
      <c r="S626" s="4" t="str">
        <f>HYPERLINK("http://141.218.60.56/~jnz1568/getInfo.php?workbook=16_15.xlsx&amp;sheet=A0&amp;row=626&amp;col=19&amp;number=&amp;sourceID=57","")</f>
        <v/>
      </c>
      <c r="T626" s="4" t="str">
        <f>HYPERLINK("http://141.218.60.56/~jnz1568/getInfo.php?workbook=16_15.xlsx&amp;sheet=A0&amp;row=626&amp;col=20&amp;number=&amp;sourceID=57","")</f>
        <v/>
      </c>
      <c r="U626" s="4" t="str">
        <f>HYPERLINK("http://141.218.60.56/~jnz1568/getInfo.php?workbook=16_15.xlsx&amp;sheet=A0&amp;row=626&amp;col=21&amp;number=&amp;sourceID=47","")</f>
        <v/>
      </c>
      <c r="V626" s="4" t="str">
        <f>HYPERLINK("http://141.218.60.56/~jnz1568/getInfo.php?workbook=16_15.xlsx&amp;sheet=A0&amp;row=626&amp;col=22&amp;number=&amp;sourceID=47","")</f>
        <v/>
      </c>
    </row>
    <row r="627" spans="1:22">
      <c r="A627" s="3">
        <v>16</v>
      </c>
      <c r="B627" s="3">
        <v>15</v>
      </c>
      <c r="C627" s="3">
        <v>41</v>
      </c>
      <c r="D627" s="3">
        <v>21</v>
      </c>
      <c r="E627" s="3">
        <f>((1/(INDEX(E0!J$4:J$73,C627,1)-INDEX(E0!J$4:J$73,D627,1))))*100000000</f>
        <v>0</v>
      </c>
      <c r="F627" s="4" t="str">
        <f>HYPERLINK("http://141.218.60.56/~jnz1568/getInfo.php?workbook=16_15.xlsx&amp;sheet=A0&amp;row=627&amp;col=6&amp;number=&amp;sourceID=54","")</f>
        <v/>
      </c>
      <c r="G627" s="4" t="str">
        <f>HYPERLINK("http://141.218.60.56/~jnz1568/getInfo.php?workbook=16_15.xlsx&amp;sheet=A0&amp;row=627&amp;col=7&amp;number=0.004444&amp;sourceID=54","0.004444")</f>
        <v>0.004444</v>
      </c>
      <c r="H627" s="4" t="str">
        <f>HYPERLINK("http://141.218.60.56/~jnz1568/getInfo.php?workbook=16_15.xlsx&amp;sheet=A0&amp;row=627&amp;col=8&amp;number=4.6215e-05&amp;sourceID=54","4.6215e-05")</f>
        <v>4.6215e-05</v>
      </c>
      <c r="I627" s="4" t="str">
        <f>HYPERLINK("http://141.218.60.56/~jnz1568/getInfo.php?workbook=16_15.xlsx&amp;sheet=A0&amp;row=627&amp;col=9&amp;number=&amp;sourceID=54","")</f>
        <v/>
      </c>
      <c r="J627" s="4" t="str">
        <f>HYPERLINK("http://141.218.60.56/~jnz1568/getInfo.php?workbook=16_15.xlsx&amp;sheet=A0&amp;row=627&amp;col=10&amp;number=0.0013054&amp;sourceID=54","0.0013054")</f>
        <v>0.0013054</v>
      </c>
      <c r="K627" s="4" t="str">
        <f>HYPERLINK("http://141.218.60.56/~jnz1568/getInfo.php?workbook=16_15.xlsx&amp;sheet=A0&amp;row=627&amp;col=11&amp;number=4.8401e-05&amp;sourceID=54","4.8401e-05")</f>
        <v>4.8401e-05</v>
      </c>
      <c r="L627" s="4" t="str">
        <f>HYPERLINK("http://141.218.60.56/~jnz1568/getInfo.php?workbook=16_15.xlsx&amp;sheet=A0&amp;row=627&amp;col=12&amp;number=&amp;sourceID=53","")</f>
        <v/>
      </c>
      <c r="M627" s="4" t="str">
        <f>HYPERLINK("http://141.218.60.56/~jnz1568/getInfo.php?workbook=16_15.xlsx&amp;sheet=A0&amp;row=627&amp;col=13&amp;number=&amp;sourceID=53","")</f>
        <v/>
      </c>
      <c r="N627" s="4" t="str">
        <f>HYPERLINK("http://141.218.60.56/~jnz1568/getInfo.php?workbook=16_15.xlsx&amp;sheet=A0&amp;row=627&amp;col=14&amp;number=&amp;sourceID=53","")</f>
        <v/>
      </c>
      <c r="O627" s="4" t="str">
        <f>HYPERLINK("http://141.218.60.56/~jnz1568/getInfo.php?workbook=16_15.xlsx&amp;sheet=A0&amp;row=627&amp;col=15&amp;number=&amp;sourceID=55","")</f>
        <v/>
      </c>
      <c r="P627" s="4" t="str">
        <f>HYPERLINK("http://141.218.60.56/~jnz1568/getInfo.php?workbook=16_15.xlsx&amp;sheet=A0&amp;row=627&amp;col=16&amp;number=&amp;sourceID=55","")</f>
        <v/>
      </c>
      <c r="Q627" s="4" t="str">
        <f>HYPERLINK("http://141.218.60.56/~jnz1568/getInfo.php?workbook=16_15.xlsx&amp;sheet=A0&amp;row=627&amp;col=17&amp;number=&amp;sourceID=56","")</f>
        <v/>
      </c>
      <c r="R627" s="4" t="str">
        <f>HYPERLINK("http://141.218.60.56/~jnz1568/getInfo.php?workbook=16_15.xlsx&amp;sheet=A0&amp;row=627&amp;col=18&amp;number=&amp;sourceID=56","")</f>
        <v/>
      </c>
      <c r="S627" s="4" t="str">
        <f>HYPERLINK("http://141.218.60.56/~jnz1568/getInfo.php?workbook=16_15.xlsx&amp;sheet=A0&amp;row=627&amp;col=19&amp;number=&amp;sourceID=57","")</f>
        <v/>
      </c>
      <c r="T627" s="4" t="str">
        <f>HYPERLINK("http://141.218.60.56/~jnz1568/getInfo.php?workbook=16_15.xlsx&amp;sheet=A0&amp;row=627&amp;col=20&amp;number=&amp;sourceID=57","")</f>
        <v/>
      </c>
      <c r="U627" s="4" t="str">
        <f>HYPERLINK("http://141.218.60.56/~jnz1568/getInfo.php?workbook=16_15.xlsx&amp;sheet=A0&amp;row=627&amp;col=21&amp;number=&amp;sourceID=47","")</f>
        <v/>
      </c>
      <c r="V627" s="4" t="str">
        <f>HYPERLINK("http://141.218.60.56/~jnz1568/getInfo.php?workbook=16_15.xlsx&amp;sheet=A0&amp;row=627&amp;col=22&amp;number=&amp;sourceID=47","")</f>
        <v/>
      </c>
    </row>
    <row r="628" spans="1:22">
      <c r="A628" s="3">
        <v>16</v>
      </c>
      <c r="B628" s="3">
        <v>15</v>
      </c>
      <c r="C628" s="3">
        <v>41</v>
      </c>
      <c r="D628" s="3">
        <v>22</v>
      </c>
      <c r="E628" s="3">
        <f>((1/(INDEX(E0!J$4:J$73,C628,1)-INDEX(E0!J$4:J$73,D628,1))))*100000000</f>
        <v>0</v>
      </c>
      <c r="F628" s="4" t="str">
        <f>HYPERLINK("http://141.218.60.56/~jnz1568/getInfo.php?workbook=16_15.xlsx&amp;sheet=A0&amp;row=628&amp;col=6&amp;number=&amp;sourceID=54","")</f>
        <v/>
      </c>
      <c r="G628" s="4" t="str">
        <f>HYPERLINK("http://141.218.60.56/~jnz1568/getInfo.php?workbook=16_15.xlsx&amp;sheet=A0&amp;row=628&amp;col=7&amp;number=0.074792&amp;sourceID=54","0.074792")</f>
        <v>0.074792</v>
      </c>
      <c r="H628" s="4" t="str">
        <f>HYPERLINK("http://141.218.60.56/~jnz1568/getInfo.php?workbook=16_15.xlsx&amp;sheet=A0&amp;row=628&amp;col=8&amp;number=&amp;sourceID=54","")</f>
        <v/>
      </c>
      <c r="I628" s="4" t="str">
        <f>HYPERLINK("http://141.218.60.56/~jnz1568/getInfo.php?workbook=16_15.xlsx&amp;sheet=A0&amp;row=628&amp;col=9&amp;number=&amp;sourceID=54","")</f>
        <v/>
      </c>
      <c r="J628" s="4" t="str">
        <f>HYPERLINK("http://141.218.60.56/~jnz1568/getInfo.php?workbook=16_15.xlsx&amp;sheet=A0&amp;row=628&amp;col=10&amp;number=0.060798&amp;sourceID=54","0.060798")</f>
        <v>0.060798</v>
      </c>
      <c r="K628" s="4" t="str">
        <f>HYPERLINK("http://141.218.60.56/~jnz1568/getInfo.php?workbook=16_15.xlsx&amp;sheet=A0&amp;row=628&amp;col=11&amp;number=&amp;sourceID=54","")</f>
        <v/>
      </c>
      <c r="L628" s="4" t="str">
        <f>HYPERLINK("http://141.218.60.56/~jnz1568/getInfo.php?workbook=16_15.xlsx&amp;sheet=A0&amp;row=628&amp;col=12&amp;number=&amp;sourceID=53","")</f>
        <v/>
      </c>
      <c r="M628" s="4" t="str">
        <f>HYPERLINK("http://141.218.60.56/~jnz1568/getInfo.php?workbook=16_15.xlsx&amp;sheet=A0&amp;row=628&amp;col=13&amp;number=&amp;sourceID=53","")</f>
        <v/>
      </c>
      <c r="N628" s="4" t="str">
        <f>HYPERLINK("http://141.218.60.56/~jnz1568/getInfo.php?workbook=16_15.xlsx&amp;sheet=A0&amp;row=628&amp;col=14&amp;number=&amp;sourceID=53","")</f>
        <v/>
      </c>
      <c r="O628" s="4" t="str">
        <f>HYPERLINK("http://141.218.60.56/~jnz1568/getInfo.php?workbook=16_15.xlsx&amp;sheet=A0&amp;row=628&amp;col=15&amp;number=&amp;sourceID=55","")</f>
        <v/>
      </c>
      <c r="P628" s="4" t="str">
        <f>HYPERLINK("http://141.218.60.56/~jnz1568/getInfo.php?workbook=16_15.xlsx&amp;sheet=A0&amp;row=628&amp;col=16&amp;number=&amp;sourceID=55","")</f>
        <v/>
      </c>
      <c r="Q628" s="4" t="str">
        <f>HYPERLINK("http://141.218.60.56/~jnz1568/getInfo.php?workbook=16_15.xlsx&amp;sheet=A0&amp;row=628&amp;col=17&amp;number=&amp;sourceID=56","")</f>
        <v/>
      </c>
      <c r="R628" s="4" t="str">
        <f>HYPERLINK("http://141.218.60.56/~jnz1568/getInfo.php?workbook=16_15.xlsx&amp;sheet=A0&amp;row=628&amp;col=18&amp;number=&amp;sourceID=56","")</f>
        <v/>
      </c>
      <c r="S628" s="4" t="str">
        <f>HYPERLINK("http://141.218.60.56/~jnz1568/getInfo.php?workbook=16_15.xlsx&amp;sheet=A0&amp;row=628&amp;col=19&amp;number=&amp;sourceID=57","")</f>
        <v/>
      </c>
      <c r="T628" s="4" t="str">
        <f>HYPERLINK("http://141.218.60.56/~jnz1568/getInfo.php?workbook=16_15.xlsx&amp;sheet=A0&amp;row=628&amp;col=20&amp;number=&amp;sourceID=57","")</f>
        <v/>
      </c>
      <c r="U628" s="4" t="str">
        <f>HYPERLINK("http://141.218.60.56/~jnz1568/getInfo.php?workbook=16_15.xlsx&amp;sheet=A0&amp;row=628&amp;col=21&amp;number=&amp;sourceID=47","")</f>
        <v/>
      </c>
      <c r="V628" s="4" t="str">
        <f>HYPERLINK("http://141.218.60.56/~jnz1568/getInfo.php?workbook=16_15.xlsx&amp;sheet=A0&amp;row=628&amp;col=22&amp;number=&amp;sourceID=47","")</f>
        <v/>
      </c>
    </row>
    <row r="629" spans="1:22">
      <c r="A629" s="3">
        <v>16</v>
      </c>
      <c r="B629" s="3">
        <v>15</v>
      </c>
      <c r="C629" s="3">
        <v>41</v>
      </c>
      <c r="D629" s="3">
        <v>23</v>
      </c>
      <c r="E629" s="3">
        <f>((1/(INDEX(E0!J$4:J$73,C629,1)-INDEX(E0!J$4:J$73,D629,1))))*100000000</f>
        <v>0</v>
      </c>
      <c r="F629" s="4" t="str">
        <f>HYPERLINK("http://141.218.60.56/~jnz1568/getInfo.php?workbook=16_15.xlsx&amp;sheet=A0&amp;row=629&amp;col=6&amp;number=&amp;sourceID=54","")</f>
        <v/>
      </c>
      <c r="G629" s="4" t="str">
        <f>HYPERLINK("http://141.218.60.56/~jnz1568/getInfo.php?workbook=16_15.xlsx&amp;sheet=A0&amp;row=629&amp;col=7&amp;number=0.52322&amp;sourceID=54","0.52322")</f>
        <v>0.52322</v>
      </c>
      <c r="H629" s="4" t="str">
        <f>HYPERLINK("http://141.218.60.56/~jnz1568/getInfo.php?workbook=16_15.xlsx&amp;sheet=A0&amp;row=629&amp;col=8&amp;number=0.0055234&amp;sourceID=54","0.0055234")</f>
        <v>0.0055234</v>
      </c>
      <c r="I629" s="4" t="str">
        <f>HYPERLINK("http://141.218.60.56/~jnz1568/getInfo.php?workbook=16_15.xlsx&amp;sheet=A0&amp;row=629&amp;col=9&amp;number=&amp;sourceID=54","")</f>
        <v/>
      </c>
      <c r="J629" s="4" t="str">
        <f>HYPERLINK("http://141.218.60.56/~jnz1568/getInfo.php?workbook=16_15.xlsx&amp;sheet=A0&amp;row=629&amp;col=10&amp;number=0.42554&amp;sourceID=54","0.42554")</f>
        <v>0.42554</v>
      </c>
      <c r="K629" s="4" t="str">
        <f>HYPERLINK("http://141.218.60.56/~jnz1568/getInfo.php?workbook=16_15.xlsx&amp;sheet=A0&amp;row=629&amp;col=11&amp;number=0.0062247&amp;sourceID=54","0.0062247")</f>
        <v>0.0062247</v>
      </c>
      <c r="L629" s="4" t="str">
        <f>HYPERLINK("http://141.218.60.56/~jnz1568/getInfo.php?workbook=16_15.xlsx&amp;sheet=A0&amp;row=629&amp;col=12&amp;number=&amp;sourceID=53","")</f>
        <v/>
      </c>
      <c r="M629" s="4" t="str">
        <f>HYPERLINK("http://141.218.60.56/~jnz1568/getInfo.php?workbook=16_15.xlsx&amp;sheet=A0&amp;row=629&amp;col=13&amp;number=&amp;sourceID=53","")</f>
        <v/>
      </c>
      <c r="N629" s="4" t="str">
        <f>HYPERLINK("http://141.218.60.56/~jnz1568/getInfo.php?workbook=16_15.xlsx&amp;sheet=A0&amp;row=629&amp;col=14&amp;number=&amp;sourceID=53","")</f>
        <v/>
      </c>
      <c r="O629" s="4" t="str">
        <f>HYPERLINK("http://141.218.60.56/~jnz1568/getInfo.php?workbook=16_15.xlsx&amp;sheet=A0&amp;row=629&amp;col=15&amp;number=&amp;sourceID=55","")</f>
        <v/>
      </c>
      <c r="P629" s="4" t="str">
        <f>HYPERLINK("http://141.218.60.56/~jnz1568/getInfo.php?workbook=16_15.xlsx&amp;sheet=A0&amp;row=629&amp;col=16&amp;number=&amp;sourceID=55","")</f>
        <v/>
      </c>
      <c r="Q629" s="4" t="str">
        <f>HYPERLINK("http://141.218.60.56/~jnz1568/getInfo.php?workbook=16_15.xlsx&amp;sheet=A0&amp;row=629&amp;col=17&amp;number=&amp;sourceID=56","")</f>
        <v/>
      </c>
      <c r="R629" s="4" t="str">
        <f>HYPERLINK("http://141.218.60.56/~jnz1568/getInfo.php?workbook=16_15.xlsx&amp;sheet=A0&amp;row=629&amp;col=18&amp;number=&amp;sourceID=56","")</f>
        <v/>
      </c>
      <c r="S629" s="4" t="str">
        <f>HYPERLINK("http://141.218.60.56/~jnz1568/getInfo.php?workbook=16_15.xlsx&amp;sheet=A0&amp;row=629&amp;col=19&amp;number=&amp;sourceID=57","")</f>
        <v/>
      </c>
      <c r="T629" s="4" t="str">
        <f>HYPERLINK("http://141.218.60.56/~jnz1568/getInfo.php?workbook=16_15.xlsx&amp;sheet=A0&amp;row=629&amp;col=20&amp;number=&amp;sourceID=57","")</f>
        <v/>
      </c>
      <c r="U629" s="4" t="str">
        <f>HYPERLINK("http://141.218.60.56/~jnz1568/getInfo.php?workbook=16_15.xlsx&amp;sheet=A0&amp;row=629&amp;col=21&amp;number=&amp;sourceID=47","")</f>
        <v/>
      </c>
      <c r="V629" s="4" t="str">
        <f>HYPERLINK("http://141.218.60.56/~jnz1568/getInfo.php?workbook=16_15.xlsx&amp;sheet=A0&amp;row=629&amp;col=22&amp;number=&amp;sourceID=47","")</f>
        <v/>
      </c>
    </row>
    <row r="630" spans="1:22">
      <c r="A630" s="3">
        <v>16</v>
      </c>
      <c r="B630" s="3">
        <v>15</v>
      </c>
      <c r="C630" s="3">
        <v>41</v>
      </c>
      <c r="D630" s="3">
        <v>24</v>
      </c>
      <c r="E630" s="3">
        <f>((1/(INDEX(E0!J$4:J$73,C630,1)-INDEX(E0!J$4:J$73,D630,1))))*100000000</f>
        <v>0</v>
      </c>
      <c r="F630" s="4" t="str">
        <f>HYPERLINK("http://141.218.60.56/~jnz1568/getInfo.php?workbook=16_15.xlsx&amp;sheet=A0&amp;row=630&amp;col=6&amp;number=&amp;sourceID=54","")</f>
        <v/>
      </c>
      <c r="G630" s="4" t="str">
        <f>HYPERLINK("http://141.218.60.56/~jnz1568/getInfo.php?workbook=16_15.xlsx&amp;sheet=A0&amp;row=630&amp;col=7&amp;number=1.3285&amp;sourceID=54","1.3285")</f>
        <v>1.3285</v>
      </c>
      <c r="H630" s="4" t="str">
        <f>HYPERLINK("http://141.218.60.56/~jnz1568/getInfo.php?workbook=16_15.xlsx&amp;sheet=A0&amp;row=630&amp;col=8&amp;number=0.008965&amp;sourceID=54","0.008965")</f>
        <v>0.008965</v>
      </c>
      <c r="I630" s="4" t="str">
        <f>HYPERLINK("http://141.218.60.56/~jnz1568/getInfo.php?workbook=16_15.xlsx&amp;sheet=A0&amp;row=630&amp;col=9&amp;number=&amp;sourceID=54","")</f>
        <v/>
      </c>
      <c r="J630" s="4" t="str">
        <f>HYPERLINK("http://141.218.60.56/~jnz1568/getInfo.php?workbook=16_15.xlsx&amp;sheet=A0&amp;row=630&amp;col=10&amp;number=1.058&amp;sourceID=54","1.058")</f>
        <v>1.058</v>
      </c>
      <c r="K630" s="4" t="str">
        <f>HYPERLINK("http://141.218.60.56/~jnz1568/getInfo.php?workbook=16_15.xlsx&amp;sheet=A0&amp;row=630&amp;col=11&amp;number=0.0023555&amp;sourceID=54","0.0023555")</f>
        <v>0.0023555</v>
      </c>
      <c r="L630" s="4" t="str">
        <f>HYPERLINK("http://141.218.60.56/~jnz1568/getInfo.php?workbook=16_15.xlsx&amp;sheet=A0&amp;row=630&amp;col=12&amp;number=&amp;sourceID=53","")</f>
        <v/>
      </c>
      <c r="M630" s="4" t="str">
        <f>HYPERLINK("http://141.218.60.56/~jnz1568/getInfo.php?workbook=16_15.xlsx&amp;sheet=A0&amp;row=630&amp;col=13&amp;number=&amp;sourceID=53","")</f>
        <v/>
      </c>
      <c r="N630" s="4" t="str">
        <f>HYPERLINK("http://141.218.60.56/~jnz1568/getInfo.php?workbook=16_15.xlsx&amp;sheet=A0&amp;row=630&amp;col=14&amp;number=&amp;sourceID=53","")</f>
        <v/>
      </c>
      <c r="O630" s="4" t="str">
        <f>HYPERLINK("http://141.218.60.56/~jnz1568/getInfo.php?workbook=16_15.xlsx&amp;sheet=A0&amp;row=630&amp;col=15&amp;number=&amp;sourceID=55","")</f>
        <v/>
      </c>
      <c r="P630" s="4" t="str">
        <f>HYPERLINK("http://141.218.60.56/~jnz1568/getInfo.php?workbook=16_15.xlsx&amp;sheet=A0&amp;row=630&amp;col=16&amp;number=&amp;sourceID=55","")</f>
        <v/>
      </c>
      <c r="Q630" s="4" t="str">
        <f>HYPERLINK("http://141.218.60.56/~jnz1568/getInfo.php?workbook=16_15.xlsx&amp;sheet=A0&amp;row=630&amp;col=17&amp;number=&amp;sourceID=56","")</f>
        <v/>
      </c>
      <c r="R630" s="4" t="str">
        <f>HYPERLINK("http://141.218.60.56/~jnz1568/getInfo.php?workbook=16_15.xlsx&amp;sheet=A0&amp;row=630&amp;col=18&amp;number=&amp;sourceID=56","")</f>
        <v/>
      </c>
      <c r="S630" s="4" t="str">
        <f>HYPERLINK("http://141.218.60.56/~jnz1568/getInfo.php?workbook=16_15.xlsx&amp;sheet=A0&amp;row=630&amp;col=19&amp;number=&amp;sourceID=57","")</f>
        <v/>
      </c>
      <c r="T630" s="4" t="str">
        <f>HYPERLINK("http://141.218.60.56/~jnz1568/getInfo.php?workbook=16_15.xlsx&amp;sheet=A0&amp;row=630&amp;col=20&amp;number=&amp;sourceID=57","")</f>
        <v/>
      </c>
      <c r="U630" s="4" t="str">
        <f>HYPERLINK("http://141.218.60.56/~jnz1568/getInfo.php?workbook=16_15.xlsx&amp;sheet=A0&amp;row=630&amp;col=21&amp;number=&amp;sourceID=47","")</f>
        <v/>
      </c>
      <c r="V630" s="4" t="str">
        <f>HYPERLINK("http://141.218.60.56/~jnz1568/getInfo.php?workbook=16_15.xlsx&amp;sheet=A0&amp;row=630&amp;col=22&amp;number=&amp;sourceID=47","")</f>
        <v/>
      </c>
    </row>
    <row r="631" spans="1:22">
      <c r="A631" s="3">
        <v>16</v>
      </c>
      <c r="B631" s="3">
        <v>15</v>
      </c>
      <c r="C631" s="3">
        <v>41</v>
      </c>
      <c r="D631" s="3">
        <v>25</v>
      </c>
      <c r="E631" s="3">
        <f>((1/(INDEX(E0!J$4:J$73,C631,1)-INDEX(E0!J$4:J$73,D631,1))))*100000000</f>
        <v>0</v>
      </c>
      <c r="F631" s="4" t="str">
        <f>HYPERLINK("http://141.218.60.56/~jnz1568/getInfo.php?workbook=16_15.xlsx&amp;sheet=A0&amp;row=631&amp;col=6&amp;number=&amp;sourceID=54","")</f>
        <v/>
      </c>
      <c r="G631" s="4" t="str">
        <f>HYPERLINK("http://141.218.60.56/~jnz1568/getInfo.php?workbook=16_15.xlsx&amp;sheet=A0&amp;row=631&amp;col=7&amp;number=1.7509&amp;sourceID=54","1.7509")</f>
        <v>1.7509</v>
      </c>
      <c r="H631" s="4" t="str">
        <f>HYPERLINK("http://141.218.60.56/~jnz1568/getInfo.php?workbook=16_15.xlsx&amp;sheet=A0&amp;row=631&amp;col=8&amp;number=0.021892&amp;sourceID=54","0.021892")</f>
        <v>0.021892</v>
      </c>
      <c r="I631" s="4" t="str">
        <f>HYPERLINK("http://141.218.60.56/~jnz1568/getInfo.php?workbook=16_15.xlsx&amp;sheet=A0&amp;row=631&amp;col=9&amp;number=&amp;sourceID=54","")</f>
        <v/>
      </c>
      <c r="J631" s="4" t="str">
        <f>HYPERLINK("http://141.218.60.56/~jnz1568/getInfo.php?workbook=16_15.xlsx&amp;sheet=A0&amp;row=631&amp;col=10&amp;number=1.3915&amp;sourceID=54","1.3915")</f>
        <v>1.3915</v>
      </c>
      <c r="K631" s="4" t="str">
        <f>HYPERLINK("http://141.218.60.56/~jnz1568/getInfo.php?workbook=16_15.xlsx&amp;sheet=A0&amp;row=631&amp;col=11&amp;number=0.020331&amp;sourceID=54","0.020331")</f>
        <v>0.020331</v>
      </c>
      <c r="L631" s="4" t="str">
        <f>HYPERLINK("http://141.218.60.56/~jnz1568/getInfo.php?workbook=16_15.xlsx&amp;sheet=A0&amp;row=631&amp;col=12&amp;number=&amp;sourceID=53","")</f>
        <v/>
      </c>
      <c r="M631" s="4" t="str">
        <f>HYPERLINK("http://141.218.60.56/~jnz1568/getInfo.php?workbook=16_15.xlsx&amp;sheet=A0&amp;row=631&amp;col=13&amp;number=&amp;sourceID=53","")</f>
        <v/>
      </c>
      <c r="N631" s="4" t="str">
        <f>HYPERLINK("http://141.218.60.56/~jnz1568/getInfo.php?workbook=16_15.xlsx&amp;sheet=A0&amp;row=631&amp;col=14&amp;number=&amp;sourceID=53","")</f>
        <v/>
      </c>
      <c r="O631" s="4" t="str">
        <f>HYPERLINK("http://141.218.60.56/~jnz1568/getInfo.php?workbook=16_15.xlsx&amp;sheet=A0&amp;row=631&amp;col=15&amp;number=&amp;sourceID=55","")</f>
        <v/>
      </c>
      <c r="P631" s="4" t="str">
        <f>HYPERLINK("http://141.218.60.56/~jnz1568/getInfo.php?workbook=16_15.xlsx&amp;sheet=A0&amp;row=631&amp;col=16&amp;number=&amp;sourceID=55","")</f>
        <v/>
      </c>
      <c r="Q631" s="4" t="str">
        <f>HYPERLINK("http://141.218.60.56/~jnz1568/getInfo.php?workbook=16_15.xlsx&amp;sheet=A0&amp;row=631&amp;col=17&amp;number=&amp;sourceID=56","")</f>
        <v/>
      </c>
      <c r="R631" s="4" t="str">
        <f>HYPERLINK("http://141.218.60.56/~jnz1568/getInfo.php?workbook=16_15.xlsx&amp;sheet=A0&amp;row=631&amp;col=18&amp;number=&amp;sourceID=56","")</f>
        <v/>
      </c>
      <c r="S631" s="4" t="str">
        <f>HYPERLINK("http://141.218.60.56/~jnz1568/getInfo.php?workbook=16_15.xlsx&amp;sheet=A0&amp;row=631&amp;col=19&amp;number=&amp;sourceID=57","")</f>
        <v/>
      </c>
      <c r="T631" s="4" t="str">
        <f>HYPERLINK("http://141.218.60.56/~jnz1568/getInfo.php?workbook=16_15.xlsx&amp;sheet=A0&amp;row=631&amp;col=20&amp;number=&amp;sourceID=57","")</f>
        <v/>
      </c>
      <c r="U631" s="4" t="str">
        <f>HYPERLINK("http://141.218.60.56/~jnz1568/getInfo.php?workbook=16_15.xlsx&amp;sheet=A0&amp;row=631&amp;col=21&amp;number=&amp;sourceID=47","")</f>
        <v/>
      </c>
      <c r="V631" s="4" t="str">
        <f>HYPERLINK("http://141.218.60.56/~jnz1568/getInfo.php?workbook=16_15.xlsx&amp;sheet=A0&amp;row=631&amp;col=22&amp;number=&amp;sourceID=47","")</f>
        <v/>
      </c>
    </row>
    <row r="632" spans="1:22">
      <c r="A632" s="3">
        <v>16</v>
      </c>
      <c r="B632" s="3">
        <v>15</v>
      </c>
      <c r="C632" s="3">
        <v>41</v>
      </c>
      <c r="D632" s="3">
        <v>26</v>
      </c>
      <c r="E632" s="3">
        <f>((1/(INDEX(E0!J$4:J$73,C632,1)-INDEX(E0!J$4:J$73,D632,1))))*100000000</f>
        <v>0</v>
      </c>
      <c r="F632" s="4" t="str">
        <f>HYPERLINK("http://141.218.60.56/~jnz1568/getInfo.php?workbook=16_15.xlsx&amp;sheet=A0&amp;row=632&amp;col=6&amp;number=&amp;sourceID=54","")</f>
        <v/>
      </c>
      <c r="G632" s="4" t="str">
        <f>HYPERLINK("http://141.218.60.56/~jnz1568/getInfo.php?workbook=16_15.xlsx&amp;sheet=A0&amp;row=632&amp;col=7&amp;number=0.01703&amp;sourceID=54","0.01703")</f>
        <v>0.01703</v>
      </c>
      <c r="H632" s="4" t="str">
        <f>HYPERLINK("http://141.218.60.56/~jnz1568/getInfo.php?workbook=16_15.xlsx&amp;sheet=A0&amp;row=632&amp;col=8&amp;number=0.00012853&amp;sourceID=54","0.00012853")</f>
        <v>0.00012853</v>
      </c>
      <c r="I632" s="4" t="str">
        <f>HYPERLINK("http://141.218.60.56/~jnz1568/getInfo.php?workbook=16_15.xlsx&amp;sheet=A0&amp;row=632&amp;col=9&amp;number=&amp;sourceID=54","")</f>
        <v/>
      </c>
      <c r="J632" s="4" t="str">
        <f>HYPERLINK("http://141.218.60.56/~jnz1568/getInfo.php?workbook=16_15.xlsx&amp;sheet=A0&amp;row=632&amp;col=10&amp;number=0.037743&amp;sourceID=54","0.037743")</f>
        <v>0.037743</v>
      </c>
      <c r="K632" s="4" t="str">
        <f>HYPERLINK("http://141.218.60.56/~jnz1568/getInfo.php?workbook=16_15.xlsx&amp;sheet=A0&amp;row=632&amp;col=11&amp;number=8.2208e-05&amp;sourceID=54","8.2208e-05")</f>
        <v>8.2208e-05</v>
      </c>
      <c r="L632" s="4" t="str">
        <f>HYPERLINK("http://141.218.60.56/~jnz1568/getInfo.php?workbook=16_15.xlsx&amp;sheet=A0&amp;row=632&amp;col=12&amp;number=&amp;sourceID=53","")</f>
        <v/>
      </c>
      <c r="M632" s="4" t="str">
        <f>HYPERLINK("http://141.218.60.56/~jnz1568/getInfo.php?workbook=16_15.xlsx&amp;sheet=A0&amp;row=632&amp;col=13&amp;number=&amp;sourceID=53","")</f>
        <v/>
      </c>
      <c r="N632" s="4" t="str">
        <f>HYPERLINK("http://141.218.60.56/~jnz1568/getInfo.php?workbook=16_15.xlsx&amp;sheet=A0&amp;row=632&amp;col=14&amp;number=&amp;sourceID=53","")</f>
        <v/>
      </c>
      <c r="O632" s="4" t="str">
        <f>HYPERLINK("http://141.218.60.56/~jnz1568/getInfo.php?workbook=16_15.xlsx&amp;sheet=A0&amp;row=632&amp;col=15&amp;number=&amp;sourceID=55","")</f>
        <v/>
      </c>
      <c r="P632" s="4" t="str">
        <f>HYPERLINK("http://141.218.60.56/~jnz1568/getInfo.php?workbook=16_15.xlsx&amp;sheet=A0&amp;row=632&amp;col=16&amp;number=&amp;sourceID=55","")</f>
        <v/>
      </c>
      <c r="Q632" s="4" t="str">
        <f>HYPERLINK("http://141.218.60.56/~jnz1568/getInfo.php?workbook=16_15.xlsx&amp;sheet=A0&amp;row=632&amp;col=17&amp;number=&amp;sourceID=56","")</f>
        <v/>
      </c>
      <c r="R632" s="4" t="str">
        <f>HYPERLINK("http://141.218.60.56/~jnz1568/getInfo.php?workbook=16_15.xlsx&amp;sheet=A0&amp;row=632&amp;col=18&amp;number=&amp;sourceID=56","")</f>
        <v/>
      </c>
      <c r="S632" s="4" t="str">
        <f>HYPERLINK("http://141.218.60.56/~jnz1568/getInfo.php?workbook=16_15.xlsx&amp;sheet=A0&amp;row=632&amp;col=19&amp;number=&amp;sourceID=57","")</f>
        <v/>
      </c>
      <c r="T632" s="4" t="str">
        <f>HYPERLINK("http://141.218.60.56/~jnz1568/getInfo.php?workbook=16_15.xlsx&amp;sheet=A0&amp;row=632&amp;col=20&amp;number=&amp;sourceID=57","")</f>
        <v/>
      </c>
      <c r="U632" s="4" t="str">
        <f>HYPERLINK("http://141.218.60.56/~jnz1568/getInfo.php?workbook=16_15.xlsx&amp;sheet=A0&amp;row=632&amp;col=21&amp;number=&amp;sourceID=47","")</f>
        <v/>
      </c>
      <c r="V632" s="4" t="str">
        <f>HYPERLINK("http://141.218.60.56/~jnz1568/getInfo.php?workbook=16_15.xlsx&amp;sheet=A0&amp;row=632&amp;col=22&amp;number=&amp;sourceID=47","")</f>
        <v/>
      </c>
    </row>
    <row r="633" spans="1:22">
      <c r="A633" s="3">
        <v>16</v>
      </c>
      <c r="B633" s="3">
        <v>15</v>
      </c>
      <c r="C633" s="3">
        <v>41</v>
      </c>
      <c r="D633" s="3">
        <v>27</v>
      </c>
      <c r="E633" s="3">
        <f>((1/(INDEX(E0!J$4:J$73,C633,1)-INDEX(E0!J$4:J$73,D633,1))))*100000000</f>
        <v>0</v>
      </c>
      <c r="F633" s="4" t="str">
        <f>HYPERLINK("http://141.218.60.56/~jnz1568/getInfo.php?workbook=16_15.xlsx&amp;sheet=A0&amp;row=633&amp;col=6&amp;number=&amp;sourceID=54","")</f>
        <v/>
      </c>
      <c r="G633" s="4" t="str">
        <f>HYPERLINK("http://141.218.60.56/~jnz1568/getInfo.php?workbook=16_15.xlsx&amp;sheet=A0&amp;row=633&amp;col=7&amp;number=0.046609&amp;sourceID=54","0.046609")</f>
        <v>0.046609</v>
      </c>
      <c r="H633" s="4" t="str">
        <f>HYPERLINK("http://141.218.60.56/~jnz1568/getInfo.php?workbook=16_15.xlsx&amp;sheet=A0&amp;row=633&amp;col=8&amp;number=0.00073467&amp;sourceID=54","0.00073467")</f>
        <v>0.00073467</v>
      </c>
      <c r="I633" s="4" t="str">
        <f>HYPERLINK("http://141.218.60.56/~jnz1568/getInfo.php?workbook=16_15.xlsx&amp;sheet=A0&amp;row=633&amp;col=9&amp;number=&amp;sourceID=54","")</f>
        <v/>
      </c>
      <c r="J633" s="4" t="str">
        <f>HYPERLINK("http://141.218.60.56/~jnz1568/getInfo.php?workbook=16_15.xlsx&amp;sheet=A0&amp;row=633&amp;col=10&amp;number=0.075786&amp;sourceID=54","0.075786")</f>
        <v>0.075786</v>
      </c>
      <c r="K633" s="4" t="str">
        <f>HYPERLINK("http://141.218.60.56/~jnz1568/getInfo.php?workbook=16_15.xlsx&amp;sheet=A0&amp;row=633&amp;col=11&amp;number=0.0013317&amp;sourceID=54","0.0013317")</f>
        <v>0.0013317</v>
      </c>
      <c r="L633" s="4" t="str">
        <f>HYPERLINK("http://141.218.60.56/~jnz1568/getInfo.php?workbook=16_15.xlsx&amp;sheet=A0&amp;row=633&amp;col=12&amp;number=&amp;sourceID=53","")</f>
        <v/>
      </c>
      <c r="M633" s="4" t="str">
        <f>HYPERLINK("http://141.218.60.56/~jnz1568/getInfo.php?workbook=16_15.xlsx&amp;sheet=A0&amp;row=633&amp;col=13&amp;number=&amp;sourceID=53","")</f>
        <v/>
      </c>
      <c r="N633" s="4" t="str">
        <f>HYPERLINK("http://141.218.60.56/~jnz1568/getInfo.php?workbook=16_15.xlsx&amp;sheet=A0&amp;row=633&amp;col=14&amp;number=&amp;sourceID=53","")</f>
        <v/>
      </c>
      <c r="O633" s="4" t="str">
        <f>HYPERLINK("http://141.218.60.56/~jnz1568/getInfo.php?workbook=16_15.xlsx&amp;sheet=A0&amp;row=633&amp;col=15&amp;number=&amp;sourceID=55","")</f>
        <v/>
      </c>
      <c r="P633" s="4" t="str">
        <f>HYPERLINK("http://141.218.60.56/~jnz1568/getInfo.php?workbook=16_15.xlsx&amp;sheet=A0&amp;row=633&amp;col=16&amp;number=&amp;sourceID=55","")</f>
        <v/>
      </c>
      <c r="Q633" s="4" t="str">
        <f>HYPERLINK("http://141.218.60.56/~jnz1568/getInfo.php?workbook=16_15.xlsx&amp;sheet=A0&amp;row=633&amp;col=17&amp;number=&amp;sourceID=56","")</f>
        <v/>
      </c>
      <c r="R633" s="4" t="str">
        <f>HYPERLINK("http://141.218.60.56/~jnz1568/getInfo.php?workbook=16_15.xlsx&amp;sheet=A0&amp;row=633&amp;col=18&amp;number=&amp;sourceID=56","")</f>
        <v/>
      </c>
      <c r="S633" s="4" t="str">
        <f>HYPERLINK("http://141.218.60.56/~jnz1568/getInfo.php?workbook=16_15.xlsx&amp;sheet=A0&amp;row=633&amp;col=19&amp;number=&amp;sourceID=57","")</f>
        <v/>
      </c>
      <c r="T633" s="4" t="str">
        <f>HYPERLINK("http://141.218.60.56/~jnz1568/getInfo.php?workbook=16_15.xlsx&amp;sheet=A0&amp;row=633&amp;col=20&amp;number=&amp;sourceID=57","")</f>
        <v/>
      </c>
      <c r="U633" s="4" t="str">
        <f>HYPERLINK("http://141.218.60.56/~jnz1568/getInfo.php?workbook=16_15.xlsx&amp;sheet=A0&amp;row=633&amp;col=21&amp;number=&amp;sourceID=47","")</f>
        <v/>
      </c>
      <c r="V633" s="4" t="str">
        <f>HYPERLINK("http://141.218.60.56/~jnz1568/getInfo.php?workbook=16_15.xlsx&amp;sheet=A0&amp;row=633&amp;col=22&amp;number=&amp;sourceID=47","")</f>
        <v/>
      </c>
    </row>
    <row r="634" spans="1:22">
      <c r="A634" s="3">
        <v>16</v>
      </c>
      <c r="B634" s="3">
        <v>15</v>
      </c>
      <c r="C634" s="3">
        <v>41</v>
      </c>
      <c r="D634" s="3">
        <v>28</v>
      </c>
      <c r="E634" s="3">
        <f>((1/(INDEX(E0!J$4:J$73,C634,1)-INDEX(E0!J$4:J$73,D634,1))))*100000000</f>
        <v>0</v>
      </c>
      <c r="F634" s="4" t="str">
        <f>HYPERLINK("http://141.218.60.56/~jnz1568/getInfo.php?workbook=16_15.xlsx&amp;sheet=A0&amp;row=634&amp;col=6&amp;number=&amp;sourceID=54","")</f>
        <v/>
      </c>
      <c r="G634" s="4" t="str">
        <f>HYPERLINK("http://141.218.60.56/~jnz1568/getInfo.php?workbook=16_15.xlsx&amp;sheet=A0&amp;row=634&amp;col=7&amp;number=4.0793e-06&amp;sourceID=54","4.0793e-06")</f>
        <v>4.0793e-06</v>
      </c>
      <c r="H634" s="4" t="str">
        <f>HYPERLINK("http://141.218.60.56/~jnz1568/getInfo.php?workbook=16_15.xlsx&amp;sheet=A0&amp;row=634&amp;col=8&amp;number=&amp;sourceID=54","")</f>
        <v/>
      </c>
      <c r="I634" s="4" t="str">
        <f>HYPERLINK("http://141.218.60.56/~jnz1568/getInfo.php?workbook=16_15.xlsx&amp;sheet=A0&amp;row=634&amp;col=9&amp;number=&amp;sourceID=54","")</f>
        <v/>
      </c>
      <c r="J634" s="4" t="str">
        <f>HYPERLINK("http://141.218.60.56/~jnz1568/getInfo.php?workbook=16_15.xlsx&amp;sheet=A0&amp;row=634&amp;col=10&amp;number=3.4468e-06&amp;sourceID=54","3.4468e-06")</f>
        <v>3.4468e-06</v>
      </c>
      <c r="K634" s="4" t="str">
        <f>HYPERLINK("http://141.218.60.56/~jnz1568/getInfo.php?workbook=16_15.xlsx&amp;sheet=A0&amp;row=634&amp;col=11&amp;number=&amp;sourceID=54","")</f>
        <v/>
      </c>
      <c r="L634" s="4" t="str">
        <f>HYPERLINK("http://141.218.60.56/~jnz1568/getInfo.php?workbook=16_15.xlsx&amp;sheet=A0&amp;row=634&amp;col=12&amp;number=&amp;sourceID=53","")</f>
        <v/>
      </c>
      <c r="M634" s="4" t="str">
        <f>HYPERLINK("http://141.218.60.56/~jnz1568/getInfo.php?workbook=16_15.xlsx&amp;sheet=A0&amp;row=634&amp;col=13&amp;number=&amp;sourceID=53","")</f>
        <v/>
      </c>
      <c r="N634" s="4" t="str">
        <f>HYPERLINK("http://141.218.60.56/~jnz1568/getInfo.php?workbook=16_15.xlsx&amp;sheet=A0&amp;row=634&amp;col=14&amp;number=&amp;sourceID=53","")</f>
        <v/>
      </c>
      <c r="O634" s="4" t="str">
        <f>HYPERLINK("http://141.218.60.56/~jnz1568/getInfo.php?workbook=16_15.xlsx&amp;sheet=A0&amp;row=634&amp;col=15&amp;number=&amp;sourceID=55","")</f>
        <v/>
      </c>
      <c r="P634" s="4" t="str">
        <f>HYPERLINK("http://141.218.60.56/~jnz1568/getInfo.php?workbook=16_15.xlsx&amp;sheet=A0&amp;row=634&amp;col=16&amp;number=&amp;sourceID=55","")</f>
        <v/>
      </c>
      <c r="Q634" s="4" t="str">
        <f>HYPERLINK("http://141.218.60.56/~jnz1568/getInfo.php?workbook=16_15.xlsx&amp;sheet=A0&amp;row=634&amp;col=17&amp;number=&amp;sourceID=56","")</f>
        <v/>
      </c>
      <c r="R634" s="4" t="str">
        <f>HYPERLINK("http://141.218.60.56/~jnz1568/getInfo.php?workbook=16_15.xlsx&amp;sheet=A0&amp;row=634&amp;col=18&amp;number=&amp;sourceID=56","")</f>
        <v/>
      </c>
      <c r="S634" s="4" t="str">
        <f>HYPERLINK("http://141.218.60.56/~jnz1568/getInfo.php?workbook=16_15.xlsx&amp;sheet=A0&amp;row=634&amp;col=19&amp;number=&amp;sourceID=57","")</f>
        <v/>
      </c>
      <c r="T634" s="4" t="str">
        <f>HYPERLINK("http://141.218.60.56/~jnz1568/getInfo.php?workbook=16_15.xlsx&amp;sheet=A0&amp;row=634&amp;col=20&amp;number=&amp;sourceID=57","")</f>
        <v/>
      </c>
      <c r="U634" s="4" t="str">
        <f>HYPERLINK("http://141.218.60.56/~jnz1568/getInfo.php?workbook=16_15.xlsx&amp;sheet=A0&amp;row=634&amp;col=21&amp;number=&amp;sourceID=47","")</f>
        <v/>
      </c>
      <c r="V634" s="4" t="str">
        <f>HYPERLINK("http://141.218.60.56/~jnz1568/getInfo.php?workbook=16_15.xlsx&amp;sheet=A0&amp;row=634&amp;col=22&amp;number=&amp;sourceID=47","")</f>
        <v/>
      </c>
    </row>
    <row r="635" spans="1:22">
      <c r="A635" s="3">
        <v>16</v>
      </c>
      <c r="B635" s="3">
        <v>15</v>
      </c>
      <c r="C635" s="3">
        <v>41</v>
      </c>
      <c r="D635" s="3">
        <v>29</v>
      </c>
      <c r="E635" s="3">
        <f>((1/(INDEX(E0!J$4:J$73,C635,1)-INDEX(E0!J$4:J$73,D635,1))))*100000000</f>
        <v>0</v>
      </c>
      <c r="F635" s="4" t="str">
        <f>HYPERLINK("http://141.218.60.56/~jnz1568/getInfo.php?workbook=16_15.xlsx&amp;sheet=A0&amp;row=635&amp;col=6&amp;number=&amp;sourceID=54","")</f>
        <v/>
      </c>
      <c r="G635" s="4" t="str">
        <f>HYPERLINK("http://141.218.60.56/~jnz1568/getInfo.php?workbook=16_15.xlsx&amp;sheet=A0&amp;row=635&amp;col=7&amp;number=8.7345e-06&amp;sourceID=54","8.7345e-06")</f>
        <v>8.7345e-06</v>
      </c>
      <c r="H635" s="4" t="str">
        <f>HYPERLINK("http://141.218.60.56/~jnz1568/getInfo.php?workbook=16_15.xlsx&amp;sheet=A0&amp;row=635&amp;col=8&amp;number=4.2659e-05&amp;sourceID=54","4.2659e-05")</f>
        <v>4.2659e-05</v>
      </c>
      <c r="I635" s="4" t="str">
        <f>HYPERLINK("http://141.218.60.56/~jnz1568/getInfo.php?workbook=16_15.xlsx&amp;sheet=A0&amp;row=635&amp;col=9&amp;number=&amp;sourceID=54","")</f>
        <v/>
      </c>
      <c r="J635" s="4" t="str">
        <f>HYPERLINK("http://141.218.60.56/~jnz1568/getInfo.php?workbook=16_15.xlsx&amp;sheet=A0&amp;row=635&amp;col=10&amp;number=7.1192e-06&amp;sourceID=54","7.1192e-06")</f>
        <v>7.1192e-06</v>
      </c>
      <c r="K635" s="4" t="str">
        <f>HYPERLINK("http://141.218.60.56/~jnz1568/getInfo.php?workbook=16_15.xlsx&amp;sheet=A0&amp;row=635&amp;col=11&amp;number=3.6746e-05&amp;sourceID=54","3.6746e-05")</f>
        <v>3.6746e-05</v>
      </c>
      <c r="L635" s="4" t="str">
        <f>HYPERLINK("http://141.218.60.56/~jnz1568/getInfo.php?workbook=16_15.xlsx&amp;sheet=A0&amp;row=635&amp;col=12&amp;number=&amp;sourceID=53","")</f>
        <v/>
      </c>
      <c r="M635" s="4" t="str">
        <f>HYPERLINK("http://141.218.60.56/~jnz1568/getInfo.php?workbook=16_15.xlsx&amp;sheet=A0&amp;row=635&amp;col=13&amp;number=&amp;sourceID=53","")</f>
        <v/>
      </c>
      <c r="N635" s="4" t="str">
        <f>HYPERLINK("http://141.218.60.56/~jnz1568/getInfo.php?workbook=16_15.xlsx&amp;sheet=A0&amp;row=635&amp;col=14&amp;number=&amp;sourceID=53","")</f>
        <v/>
      </c>
      <c r="O635" s="4" t="str">
        <f>HYPERLINK("http://141.218.60.56/~jnz1568/getInfo.php?workbook=16_15.xlsx&amp;sheet=A0&amp;row=635&amp;col=15&amp;number=&amp;sourceID=55","")</f>
        <v/>
      </c>
      <c r="P635" s="4" t="str">
        <f>HYPERLINK("http://141.218.60.56/~jnz1568/getInfo.php?workbook=16_15.xlsx&amp;sheet=A0&amp;row=635&amp;col=16&amp;number=&amp;sourceID=55","")</f>
        <v/>
      </c>
      <c r="Q635" s="4" t="str">
        <f>HYPERLINK("http://141.218.60.56/~jnz1568/getInfo.php?workbook=16_15.xlsx&amp;sheet=A0&amp;row=635&amp;col=17&amp;number=&amp;sourceID=56","")</f>
        <v/>
      </c>
      <c r="R635" s="4" t="str">
        <f>HYPERLINK("http://141.218.60.56/~jnz1568/getInfo.php?workbook=16_15.xlsx&amp;sheet=A0&amp;row=635&amp;col=18&amp;number=&amp;sourceID=56","")</f>
        <v/>
      </c>
      <c r="S635" s="4" t="str">
        <f>HYPERLINK("http://141.218.60.56/~jnz1568/getInfo.php?workbook=16_15.xlsx&amp;sheet=A0&amp;row=635&amp;col=19&amp;number=&amp;sourceID=57","")</f>
        <v/>
      </c>
      <c r="T635" s="4" t="str">
        <f>HYPERLINK("http://141.218.60.56/~jnz1568/getInfo.php?workbook=16_15.xlsx&amp;sheet=A0&amp;row=635&amp;col=20&amp;number=&amp;sourceID=57","")</f>
        <v/>
      </c>
      <c r="U635" s="4" t="str">
        <f>HYPERLINK("http://141.218.60.56/~jnz1568/getInfo.php?workbook=16_15.xlsx&amp;sheet=A0&amp;row=635&amp;col=21&amp;number=&amp;sourceID=47","")</f>
        <v/>
      </c>
      <c r="V635" s="4" t="str">
        <f>HYPERLINK("http://141.218.60.56/~jnz1568/getInfo.php?workbook=16_15.xlsx&amp;sheet=A0&amp;row=635&amp;col=22&amp;number=&amp;sourceID=47","")</f>
        <v/>
      </c>
    </row>
    <row r="636" spans="1:22">
      <c r="A636" s="3">
        <v>16</v>
      </c>
      <c r="B636" s="3">
        <v>15</v>
      </c>
      <c r="C636" s="3">
        <v>41</v>
      </c>
      <c r="D636" s="3">
        <v>30</v>
      </c>
      <c r="E636" s="3">
        <f>((1/(INDEX(E0!J$4:J$73,C636,1)-INDEX(E0!J$4:J$73,D636,1))))*100000000</f>
        <v>0</v>
      </c>
      <c r="F636" s="4" t="str">
        <f>HYPERLINK("http://141.218.60.56/~jnz1568/getInfo.php?workbook=16_15.xlsx&amp;sheet=A0&amp;row=636&amp;col=6&amp;number=&amp;sourceID=54","")</f>
        <v/>
      </c>
      <c r="G636" s="4" t="str">
        <f>HYPERLINK("http://141.218.60.56/~jnz1568/getInfo.php?workbook=16_15.xlsx&amp;sheet=A0&amp;row=636&amp;col=7&amp;number=2.9122e-05&amp;sourceID=54","2.9122e-05")</f>
        <v>2.9122e-05</v>
      </c>
      <c r="H636" s="4" t="str">
        <f>HYPERLINK("http://141.218.60.56/~jnz1568/getInfo.php?workbook=16_15.xlsx&amp;sheet=A0&amp;row=636&amp;col=8&amp;number=0.00060597&amp;sourceID=54","0.00060597")</f>
        <v>0.00060597</v>
      </c>
      <c r="I636" s="4" t="str">
        <f>HYPERLINK("http://141.218.60.56/~jnz1568/getInfo.php?workbook=16_15.xlsx&amp;sheet=A0&amp;row=636&amp;col=9&amp;number=&amp;sourceID=54","")</f>
        <v/>
      </c>
      <c r="J636" s="4" t="str">
        <f>HYPERLINK("http://141.218.60.56/~jnz1568/getInfo.php?workbook=16_15.xlsx&amp;sheet=A0&amp;row=636&amp;col=10&amp;number=2.3236e-05&amp;sourceID=54","2.3236e-05")</f>
        <v>2.3236e-05</v>
      </c>
      <c r="K636" s="4" t="str">
        <f>HYPERLINK("http://141.218.60.56/~jnz1568/getInfo.php?workbook=16_15.xlsx&amp;sheet=A0&amp;row=636&amp;col=11&amp;number=0.00032603&amp;sourceID=54","0.00032603")</f>
        <v>0.00032603</v>
      </c>
      <c r="L636" s="4" t="str">
        <f>HYPERLINK("http://141.218.60.56/~jnz1568/getInfo.php?workbook=16_15.xlsx&amp;sheet=A0&amp;row=636&amp;col=12&amp;number=&amp;sourceID=53","")</f>
        <v/>
      </c>
      <c r="M636" s="4" t="str">
        <f>HYPERLINK("http://141.218.60.56/~jnz1568/getInfo.php?workbook=16_15.xlsx&amp;sheet=A0&amp;row=636&amp;col=13&amp;number=&amp;sourceID=53","")</f>
        <v/>
      </c>
      <c r="N636" s="4" t="str">
        <f>HYPERLINK("http://141.218.60.56/~jnz1568/getInfo.php?workbook=16_15.xlsx&amp;sheet=A0&amp;row=636&amp;col=14&amp;number=&amp;sourceID=53","")</f>
        <v/>
      </c>
      <c r="O636" s="4" t="str">
        <f>HYPERLINK("http://141.218.60.56/~jnz1568/getInfo.php?workbook=16_15.xlsx&amp;sheet=A0&amp;row=636&amp;col=15&amp;number=&amp;sourceID=55","")</f>
        <v/>
      </c>
      <c r="P636" s="4" t="str">
        <f>HYPERLINK("http://141.218.60.56/~jnz1568/getInfo.php?workbook=16_15.xlsx&amp;sheet=A0&amp;row=636&amp;col=16&amp;number=&amp;sourceID=55","")</f>
        <v/>
      </c>
      <c r="Q636" s="4" t="str">
        <f>HYPERLINK("http://141.218.60.56/~jnz1568/getInfo.php?workbook=16_15.xlsx&amp;sheet=A0&amp;row=636&amp;col=17&amp;number=&amp;sourceID=56","")</f>
        <v/>
      </c>
      <c r="R636" s="4" t="str">
        <f>HYPERLINK("http://141.218.60.56/~jnz1568/getInfo.php?workbook=16_15.xlsx&amp;sheet=A0&amp;row=636&amp;col=18&amp;number=&amp;sourceID=56","")</f>
        <v/>
      </c>
      <c r="S636" s="4" t="str">
        <f>HYPERLINK("http://141.218.60.56/~jnz1568/getInfo.php?workbook=16_15.xlsx&amp;sheet=A0&amp;row=636&amp;col=19&amp;number=&amp;sourceID=57","")</f>
        <v/>
      </c>
      <c r="T636" s="4" t="str">
        <f>HYPERLINK("http://141.218.60.56/~jnz1568/getInfo.php?workbook=16_15.xlsx&amp;sheet=A0&amp;row=636&amp;col=20&amp;number=&amp;sourceID=57","")</f>
        <v/>
      </c>
      <c r="U636" s="4" t="str">
        <f>HYPERLINK("http://141.218.60.56/~jnz1568/getInfo.php?workbook=16_15.xlsx&amp;sheet=A0&amp;row=636&amp;col=21&amp;number=&amp;sourceID=47","")</f>
        <v/>
      </c>
      <c r="V636" s="4" t="str">
        <f>HYPERLINK("http://141.218.60.56/~jnz1568/getInfo.php?workbook=16_15.xlsx&amp;sheet=A0&amp;row=636&amp;col=22&amp;number=&amp;sourceID=47","")</f>
        <v/>
      </c>
    </row>
    <row r="637" spans="1:22">
      <c r="A637" s="3">
        <v>16</v>
      </c>
      <c r="B637" s="3">
        <v>15</v>
      </c>
      <c r="C637" s="3">
        <v>41</v>
      </c>
      <c r="D637" s="3">
        <v>32</v>
      </c>
      <c r="E637" s="3">
        <f>((1/(INDEX(E0!J$4:J$73,C637,1)-INDEX(E0!J$4:J$73,D637,1))))*100000000</f>
        <v>0</v>
      </c>
      <c r="F637" s="4" t="str">
        <f>HYPERLINK("http://141.218.60.56/~jnz1568/getInfo.php?workbook=16_15.xlsx&amp;sheet=A0&amp;row=637&amp;col=6&amp;number=&amp;sourceID=54","")</f>
        <v/>
      </c>
      <c r="G637" s="4" t="str">
        <f>HYPERLINK("http://141.218.60.56/~jnz1568/getInfo.php?workbook=16_15.xlsx&amp;sheet=A0&amp;row=637&amp;col=7&amp;number=8.9095e-09&amp;sourceID=54","8.9095e-09")</f>
        <v>8.9095e-09</v>
      </c>
      <c r="H637" s="4" t="str">
        <f>HYPERLINK("http://141.218.60.56/~jnz1568/getInfo.php?workbook=16_15.xlsx&amp;sheet=A0&amp;row=637&amp;col=8&amp;number=5.6973e-11&amp;sourceID=54","5.6973e-11")</f>
        <v>5.6973e-11</v>
      </c>
      <c r="I637" s="4" t="str">
        <f>HYPERLINK("http://141.218.60.56/~jnz1568/getInfo.php?workbook=16_15.xlsx&amp;sheet=A0&amp;row=637&amp;col=9&amp;number=&amp;sourceID=54","")</f>
        <v/>
      </c>
      <c r="J637" s="4" t="str">
        <f>HYPERLINK("http://141.218.60.56/~jnz1568/getInfo.php?workbook=16_15.xlsx&amp;sheet=A0&amp;row=637&amp;col=10&amp;number=1.1059e-08&amp;sourceID=54","1.1059e-08")</f>
        <v>1.1059e-08</v>
      </c>
      <c r="K637" s="4" t="str">
        <f>HYPERLINK("http://141.218.60.56/~jnz1568/getInfo.php?workbook=16_15.xlsx&amp;sheet=A0&amp;row=637&amp;col=11&amp;number=7.3039e-11&amp;sourceID=54","7.3039e-11")</f>
        <v>7.3039e-11</v>
      </c>
      <c r="L637" s="4" t="str">
        <f>HYPERLINK("http://141.218.60.56/~jnz1568/getInfo.php?workbook=16_15.xlsx&amp;sheet=A0&amp;row=637&amp;col=12&amp;number=&amp;sourceID=53","")</f>
        <v/>
      </c>
      <c r="M637" s="4" t="str">
        <f>HYPERLINK("http://141.218.60.56/~jnz1568/getInfo.php?workbook=16_15.xlsx&amp;sheet=A0&amp;row=637&amp;col=13&amp;number=&amp;sourceID=53","")</f>
        <v/>
      </c>
      <c r="N637" s="4" t="str">
        <f>HYPERLINK("http://141.218.60.56/~jnz1568/getInfo.php?workbook=16_15.xlsx&amp;sheet=A0&amp;row=637&amp;col=14&amp;number=&amp;sourceID=53","")</f>
        <v/>
      </c>
      <c r="O637" s="4" t="str">
        <f>HYPERLINK("http://141.218.60.56/~jnz1568/getInfo.php?workbook=16_15.xlsx&amp;sheet=A0&amp;row=637&amp;col=15&amp;number=&amp;sourceID=55","")</f>
        <v/>
      </c>
      <c r="P637" s="4" t="str">
        <f>HYPERLINK("http://141.218.60.56/~jnz1568/getInfo.php?workbook=16_15.xlsx&amp;sheet=A0&amp;row=637&amp;col=16&amp;number=&amp;sourceID=55","")</f>
        <v/>
      </c>
      <c r="Q637" s="4" t="str">
        <f>HYPERLINK("http://141.218.60.56/~jnz1568/getInfo.php?workbook=16_15.xlsx&amp;sheet=A0&amp;row=637&amp;col=17&amp;number=&amp;sourceID=56","")</f>
        <v/>
      </c>
      <c r="R637" s="4" t="str">
        <f>HYPERLINK("http://141.218.60.56/~jnz1568/getInfo.php?workbook=16_15.xlsx&amp;sheet=A0&amp;row=637&amp;col=18&amp;number=&amp;sourceID=56","")</f>
        <v/>
      </c>
      <c r="S637" s="4" t="str">
        <f>HYPERLINK("http://141.218.60.56/~jnz1568/getInfo.php?workbook=16_15.xlsx&amp;sheet=A0&amp;row=637&amp;col=19&amp;number=&amp;sourceID=57","")</f>
        <v/>
      </c>
      <c r="T637" s="4" t="str">
        <f>HYPERLINK("http://141.218.60.56/~jnz1568/getInfo.php?workbook=16_15.xlsx&amp;sheet=A0&amp;row=637&amp;col=20&amp;number=&amp;sourceID=57","")</f>
        <v/>
      </c>
      <c r="U637" s="4" t="str">
        <f>HYPERLINK("http://141.218.60.56/~jnz1568/getInfo.php?workbook=16_15.xlsx&amp;sheet=A0&amp;row=637&amp;col=21&amp;number=&amp;sourceID=47","")</f>
        <v/>
      </c>
      <c r="V637" s="4" t="str">
        <f>HYPERLINK("http://141.218.60.56/~jnz1568/getInfo.php?workbook=16_15.xlsx&amp;sheet=A0&amp;row=637&amp;col=22&amp;number=&amp;sourceID=47","")</f>
        <v/>
      </c>
    </row>
    <row r="638" spans="1:22">
      <c r="A638" s="3">
        <v>16</v>
      </c>
      <c r="B638" s="3">
        <v>15</v>
      </c>
      <c r="C638" s="3">
        <v>41</v>
      </c>
      <c r="D638" s="3">
        <v>33</v>
      </c>
      <c r="E638" s="3">
        <f>((1/(INDEX(E0!J$4:J$73,C638,1)-INDEX(E0!J$4:J$73,D638,1))))*100000000</f>
        <v>0</v>
      </c>
      <c r="F638" s="4" t="str">
        <f>HYPERLINK("http://141.218.60.56/~jnz1568/getInfo.php?workbook=16_15.xlsx&amp;sheet=A0&amp;row=638&amp;col=6&amp;number=&amp;sourceID=54","")</f>
        <v/>
      </c>
      <c r="G638" s="4" t="str">
        <f>HYPERLINK("http://141.218.60.56/~jnz1568/getInfo.php?workbook=16_15.xlsx&amp;sheet=A0&amp;row=638&amp;col=7&amp;number=1.8118e-07&amp;sourceID=54","1.8118e-07")</f>
        <v>1.8118e-07</v>
      </c>
      <c r="H638" s="4" t="str">
        <f>HYPERLINK("http://141.218.60.56/~jnz1568/getInfo.php?workbook=16_15.xlsx&amp;sheet=A0&amp;row=638&amp;col=8&amp;number=&amp;sourceID=54","")</f>
        <v/>
      </c>
      <c r="I638" s="4" t="str">
        <f>HYPERLINK("http://141.218.60.56/~jnz1568/getInfo.php?workbook=16_15.xlsx&amp;sheet=A0&amp;row=638&amp;col=9&amp;number=&amp;sourceID=54","")</f>
        <v/>
      </c>
      <c r="J638" s="4" t="str">
        <f>HYPERLINK("http://141.218.60.56/~jnz1568/getInfo.php?workbook=16_15.xlsx&amp;sheet=A0&amp;row=638&amp;col=10&amp;number=2.2998e-07&amp;sourceID=54","2.2998e-07")</f>
        <v>2.2998e-07</v>
      </c>
      <c r="K638" s="4" t="str">
        <f>HYPERLINK("http://141.218.60.56/~jnz1568/getInfo.php?workbook=16_15.xlsx&amp;sheet=A0&amp;row=638&amp;col=11&amp;number=&amp;sourceID=54","")</f>
        <v/>
      </c>
      <c r="L638" s="4" t="str">
        <f>HYPERLINK("http://141.218.60.56/~jnz1568/getInfo.php?workbook=16_15.xlsx&amp;sheet=A0&amp;row=638&amp;col=12&amp;number=&amp;sourceID=53","")</f>
        <v/>
      </c>
      <c r="M638" s="4" t="str">
        <f>HYPERLINK("http://141.218.60.56/~jnz1568/getInfo.php?workbook=16_15.xlsx&amp;sheet=A0&amp;row=638&amp;col=13&amp;number=&amp;sourceID=53","")</f>
        <v/>
      </c>
      <c r="N638" s="4" t="str">
        <f>HYPERLINK("http://141.218.60.56/~jnz1568/getInfo.php?workbook=16_15.xlsx&amp;sheet=A0&amp;row=638&amp;col=14&amp;number=&amp;sourceID=53","")</f>
        <v/>
      </c>
      <c r="O638" s="4" t="str">
        <f>HYPERLINK("http://141.218.60.56/~jnz1568/getInfo.php?workbook=16_15.xlsx&amp;sheet=A0&amp;row=638&amp;col=15&amp;number=&amp;sourceID=55","")</f>
        <v/>
      </c>
      <c r="P638" s="4" t="str">
        <f>HYPERLINK("http://141.218.60.56/~jnz1568/getInfo.php?workbook=16_15.xlsx&amp;sheet=A0&amp;row=638&amp;col=16&amp;number=&amp;sourceID=55","")</f>
        <v/>
      </c>
      <c r="Q638" s="4" t="str">
        <f>HYPERLINK("http://141.218.60.56/~jnz1568/getInfo.php?workbook=16_15.xlsx&amp;sheet=A0&amp;row=638&amp;col=17&amp;number=&amp;sourceID=56","")</f>
        <v/>
      </c>
      <c r="R638" s="4" t="str">
        <f>HYPERLINK("http://141.218.60.56/~jnz1568/getInfo.php?workbook=16_15.xlsx&amp;sheet=A0&amp;row=638&amp;col=18&amp;number=&amp;sourceID=56","")</f>
        <v/>
      </c>
      <c r="S638" s="4" t="str">
        <f>HYPERLINK("http://141.218.60.56/~jnz1568/getInfo.php?workbook=16_15.xlsx&amp;sheet=A0&amp;row=638&amp;col=19&amp;number=&amp;sourceID=57","")</f>
        <v/>
      </c>
      <c r="T638" s="4" t="str">
        <f>HYPERLINK("http://141.218.60.56/~jnz1568/getInfo.php?workbook=16_15.xlsx&amp;sheet=A0&amp;row=638&amp;col=20&amp;number=&amp;sourceID=57","")</f>
        <v/>
      </c>
      <c r="U638" s="4" t="str">
        <f>HYPERLINK("http://141.218.60.56/~jnz1568/getInfo.php?workbook=16_15.xlsx&amp;sheet=A0&amp;row=638&amp;col=21&amp;number=&amp;sourceID=47","")</f>
        <v/>
      </c>
      <c r="V638" s="4" t="str">
        <f>HYPERLINK("http://141.218.60.56/~jnz1568/getInfo.php?workbook=16_15.xlsx&amp;sheet=A0&amp;row=638&amp;col=22&amp;number=&amp;sourceID=47","")</f>
        <v/>
      </c>
    </row>
    <row r="639" spans="1:22">
      <c r="A639" s="3">
        <v>16</v>
      </c>
      <c r="B639" s="3">
        <v>15</v>
      </c>
      <c r="C639" s="3">
        <v>41</v>
      </c>
      <c r="D639" s="3">
        <v>35</v>
      </c>
      <c r="E639" s="3">
        <f>((1/(INDEX(E0!J$4:J$73,C639,1)-INDEX(E0!J$4:J$73,D639,1))))*100000000</f>
        <v>0</v>
      </c>
      <c r="F639" s="4" t="str">
        <f>HYPERLINK("http://141.218.60.56/~jnz1568/getInfo.php?workbook=16_15.xlsx&amp;sheet=A0&amp;row=639&amp;col=6&amp;number=759.74&amp;sourceID=54","759.74")</f>
        <v>759.74</v>
      </c>
      <c r="G639" s="4" t="str">
        <f>HYPERLINK("http://141.218.60.56/~jnz1568/getInfo.php?workbook=16_15.xlsx&amp;sheet=A0&amp;row=639&amp;col=7&amp;number=&amp;sourceID=54","")</f>
        <v/>
      </c>
      <c r="H639" s="4" t="str">
        <f>HYPERLINK("http://141.218.60.56/~jnz1568/getInfo.php?workbook=16_15.xlsx&amp;sheet=A0&amp;row=639&amp;col=8&amp;number=&amp;sourceID=54","")</f>
        <v/>
      </c>
      <c r="I639" s="4" t="str">
        <f>HYPERLINK("http://141.218.60.56/~jnz1568/getInfo.php?workbook=16_15.xlsx&amp;sheet=A0&amp;row=639&amp;col=9&amp;number=294.83&amp;sourceID=54","294.83")</f>
        <v>294.83</v>
      </c>
      <c r="J639" s="4" t="str">
        <f>HYPERLINK("http://141.218.60.56/~jnz1568/getInfo.php?workbook=16_15.xlsx&amp;sheet=A0&amp;row=639&amp;col=10&amp;number=&amp;sourceID=54","")</f>
        <v/>
      </c>
      <c r="K639" s="4" t="str">
        <f>HYPERLINK("http://141.218.60.56/~jnz1568/getInfo.php?workbook=16_15.xlsx&amp;sheet=A0&amp;row=639&amp;col=11&amp;number=&amp;sourceID=54","")</f>
        <v/>
      </c>
      <c r="L639" s="4" t="str">
        <f>HYPERLINK("http://141.218.60.56/~jnz1568/getInfo.php?workbook=16_15.xlsx&amp;sheet=A0&amp;row=639&amp;col=12&amp;number=1424.59356297&amp;sourceID=53","1424.59356297")</f>
        <v>1424.59356297</v>
      </c>
      <c r="M639" s="4" t="str">
        <f>HYPERLINK("http://141.218.60.56/~jnz1568/getInfo.php?workbook=16_15.xlsx&amp;sheet=A0&amp;row=639&amp;col=13&amp;number=&amp;sourceID=53","")</f>
        <v/>
      </c>
      <c r="N639" s="4" t="str">
        <f>HYPERLINK("http://141.218.60.56/~jnz1568/getInfo.php?workbook=16_15.xlsx&amp;sheet=A0&amp;row=639&amp;col=14&amp;number=&amp;sourceID=53","")</f>
        <v/>
      </c>
      <c r="O639" s="4" t="str">
        <f>HYPERLINK("http://141.218.60.56/~jnz1568/getInfo.php?workbook=16_15.xlsx&amp;sheet=A0&amp;row=639&amp;col=15&amp;number=&amp;sourceID=55","")</f>
        <v/>
      </c>
      <c r="P639" s="4" t="str">
        <f>HYPERLINK("http://141.218.60.56/~jnz1568/getInfo.php?workbook=16_15.xlsx&amp;sheet=A0&amp;row=639&amp;col=16&amp;number=&amp;sourceID=55","")</f>
        <v/>
      </c>
      <c r="Q639" s="4" t="str">
        <f>HYPERLINK("http://141.218.60.56/~jnz1568/getInfo.php?workbook=16_15.xlsx&amp;sheet=A0&amp;row=639&amp;col=17&amp;number=&amp;sourceID=56","")</f>
        <v/>
      </c>
      <c r="R639" s="4" t="str">
        <f>HYPERLINK("http://141.218.60.56/~jnz1568/getInfo.php?workbook=16_15.xlsx&amp;sheet=A0&amp;row=639&amp;col=18&amp;number=&amp;sourceID=56","")</f>
        <v/>
      </c>
      <c r="S639" s="4" t="str">
        <f>HYPERLINK("http://141.218.60.56/~jnz1568/getInfo.php?workbook=16_15.xlsx&amp;sheet=A0&amp;row=639&amp;col=19&amp;number=&amp;sourceID=57","")</f>
        <v/>
      </c>
      <c r="T639" s="4" t="str">
        <f>HYPERLINK("http://141.218.60.56/~jnz1568/getInfo.php?workbook=16_15.xlsx&amp;sheet=A0&amp;row=639&amp;col=20&amp;number=&amp;sourceID=57","")</f>
        <v/>
      </c>
      <c r="U639" s="4" t="str">
        <f>HYPERLINK("http://141.218.60.56/~jnz1568/getInfo.php?workbook=16_15.xlsx&amp;sheet=A0&amp;row=639&amp;col=21&amp;number=&amp;sourceID=47","")</f>
        <v/>
      </c>
      <c r="V639" s="4" t="str">
        <f>HYPERLINK("http://141.218.60.56/~jnz1568/getInfo.php?workbook=16_15.xlsx&amp;sheet=A0&amp;row=639&amp;col=22&amp;number=&amp;sourceID=47","")</f>
        <v/>
      </c>
    </row>
    <row r="640" spans="1:22">
      <c r="A640" s="3">
        <v>16</v>
      </c>
      <c r="B640" s="3">
        <v>15</v>
      </c>
      <c r="C640" s="3">
        <v>41</v>
      </c>
      <c r="D640" s="3">
        <v>36</v>
      </c>
      <c r="E640" s="3">
        <f>((1/(INDEX(E0!J$4:J$73,C640,1)-INDEX(E0!J$4:J$73,D640,1))))*100000000</f>
        <v>0</v>
      </c>
      <c r="F640" s="4" t="str">
        <f>HYPERLINK("http://141.218.60.56/~jnz1568/getInfo.php?workbook=16_15.xlsx&amp;sheet=A0&amp;row=640&amp;col=6&amp;number=2058.1&amp;sourceID=54","2058.1")</f>
        <v>2058.1</v>
      </c>
      <c r="G640" s="4" t="str">
        <f>HYPERLINK("http://141.218.60.56/~jnz1568/getInfo.php?workbook=16_15.xlsx&amp;sheet=A0&amp;row=640&amp;col=7&amp;number=&amp;sourceID=54","")</f>
        <v/>
      </c>
      <c r="H640" s="4" t="str">
        <f>HYPERLINK("http://141.218.60.56/~jnz1568/getInfo.php?workbook=16_15.xlsx&amp;sheet=A0&amp;row=640&amp;col=8&amp;number=&amp;sourceID=54","")</f>
        <v/>
      </c>
      <c r="I640" s="4" t="str">
        <f>HYPERLINK("http://141.218.60.56/~jnz1568/getInfo.php?workbook=16_15.xlsx&amp;sheet=A0&amp;row=640&amp;col=9&amp;number=753.04&amp;sourceID=54","753.04")</f>
        <v>753.04</v>
      </c>
      <c r="J640" s="4" t="str">
        <f>HYPERLINK("http://141.218.60.56/~jnz1568/getInfo.php?workbook=16_15.xlsx&amp;sheet=A0&amp;row=640&amp;col=10&amp;number=&amp;sourceID=54","")</f>
        <v/>
      </c>
      <c r="K640" s="4" t="str">
        <f>HYPERLINK("http://141.218.60.56/~jnz1568/getInfo.php?workbook=16_15.xlsx&amp;sheet=A0&amp;row=640&amp;col=11&amp;number=&amp;sourceID=54","")</f>
        <v/>
      </c>
      <c r="L640" s="4" t="str">
        <f>HYPERLINK("http://141.218.60.56/~jnz1568/getInfo.php?workbook=16_15.xlsx&amp;sheet=A0&amp;row=640&amp;col=12&amp;number=4893.75893076&amp;sourceID=53","4893.75893076")</f>
        <v>4893.75893076</v>
      </c>
      <c r="M640" s="4" t="str">
        <f>HYPERLINK("http://141.218.60.56/~jnz1568/getInfo.php?workbook=16_15.xlsx&amp;sheet=A0&amp;row=640&amp;col=13&amp;number=&amp;sourceID=53","")</f>
        <v/>
      </c>
      <c r="N640" s="4" t="str">
        <f>HYPERLINK("http://141.218.60.56/~jnz1568/getInfo.php?workbook=16_15.xlsx&amp;sheet=A0&amp;row=640&amp;col=14&amp;number=&amp;sourceID=53","")</f>
        <v/>
      </c>
      <c r="O640" s="4" t="str">
        <f>HYPERLINK("http://141.218.60.56/~jnz1568/getInfo.php?workbook=16_15.xlsx&amp;sheet=A0&amp;row=640&amp;col=15&amp;number=&amp;sourceID=55","")</f>
        <v/>
      </c>
      <c r="P640" s="4" t="str">
        <f>HYPERLINK("http://141.218.60.56/~jnz1568/getInfo.php?workbook=16_15.xlsx&amp;sheet=A0&amp;row=640&amp;col=16&amp;number=&amp;sourceID=55","")</f>
        <v/>
      </c>
      <c r="Q640" s="4" t="str">
        <f>HYPERLINK("http://141.218.60.56/~jnz1568/getInfo.php?workbook=16_15.xlsx&amp;sheet=A0&amp;row=640&amp;col=17&amp;number=&amp;sourceID=56","")</f>
        <v/>
      </c>
      <c r="R640" s="4" t="str">
        <f>HYPERLINK("http://141.218.60.56/~jnz1568/getInfo.php?workbook=16_15.xlsx&amp;sheet=A0&amp;row=640&amp;col=18&amp;number=&amp;sourceID=56","")</f>
        <v/>
      </c>
      <c r="S640" s="4" t="str">
        <f>HYPERLINK("http://141.218.60.56/~jnz1568/getInfo.php?workbook=16_15.xlsx&amp;sheet=A0&amp;row=640&amp;col=19&amp;number=&amp;sourceID=57","")</f>
        <v/>
      </c>
      <c r="T640" s="4" t="str">
        <f>HYPERLINK("http://141.218.60.56/~jnz1568/getInfo.php?workbook=16_15.xlsx&amp;sheet=A0&amp;row=640&amp;col=20&amp;number=&amp;sourceID=57","")</f>
        <v/>
      </c>
      <c r="U640" s="4" t="str">
        <f>HYPERLINK("http://141.218.60.56/~jnz1568/getInfo.php?workbook=16_15.xlsx&amp;sheet=A0&amp;row=640&amp;col=21&amp;number=&amp;sourceID=47","")</f>
        <v/>
      </c>
      <c r="V640" s="4" t="str">
        <f>HYPERLINK("http://141.218.60.56/~jnz1568/getInfo.php?workbook=16_15.xlsx&amp;sheet=A0&amp;row=640&amp;col=22&amp;number=&amp;sourceID=47","")</f>
        <v/>
      </c>
    </row>
    <row r="641" spans="1:22">
      <c r="A641" s="3">
        <v>16</v>
      </c>
      <c r="B641" s="3">
        <v>15</v>
      </c>
      <c r="C641" s="3">
        <v>41</v>
      </c>
      <c r="D641" s="3">
        <v>37</v>
      </c>
      <c r="E641" s="3">
        <f>((1/(INDEX(E0!J$4:J$73,C641,1)-INDEX(E0!J$4:J$73,D641,1))))*100000000</f>
        <v>0</v>
      </c>
      <c r="F641" s="4" t="str">
        <f>HYPERLINK("http://141.218.60.56/~jnz1568/getInfo.php?workbook=16_15.xlsx&amp;sheet=A0&amp;row=641&amp;col=6&amp;number=826.47&amp;sourceID=54","826.47")</f>
        <v>826.47</v>
      </c>
      <c r="G641" s="4" t="str">
        <f>HYPERLINK("http://141.218.60.56/~jnz1568/getInfo.php?workbook=16_15.xlsx&amp;sheet=A0&amp;row=641&amp;col=7&amp;number=&amp;sourceID=54","")</f>
        <v/>
      </c>
      <c r="H641" s="4" t="str">
        <f>HYPERLINK("http://141.218.60.56/~jnz1568/getInfo.php?workbook=16_15.xlsx&amp;sheet=A0&amp;row=641&amp;col=8&amp;number=&amp;sourceID=54","")</f>
        <v/>
      </c>
      <c r="I641" s="4" t="str">
        <f>HYPERLINK("http://141.218.60.56/~jnz1568/getInfo.php?workbook=16_15.xlsx&amp;sheet=A0&amp;row=641&amp;col=9&amp;number=274.72&amp;sourceID=54","274.72")</f>
        <v>274.72</v>
      </c>
      <c r="J641" s="4" t="str">
        <f>HYPERLINK("http://141.218.60.56/~jnz1568/getInfo.php?workbook=16_15.xlsx&amp;sheet=A0&amp;row=641&amp;col=10&amp;number=&amp;sourceID=54","")</f>
        <v/>
      </c>
      <c r="K641" s="4" t="str">
        <f>HYPERLINK("http://141.218.60.56/~jnz1568/getInfo.php?workbook=16_15.xlsx&amp;sheet=A0&amp;row=641&amp;col=11&amp;number=&amp;sourceID=54","")</f>
        <v/>
      </c>
      <c r="L641" s="4" t="str">
        <f>HYPERLINK("http://141.218.60.56/~jnz1568/getInfo.php?workbook=16_15.xlsx&amp;sheet=A0&amp;row=641&amp;col=12&amp;number=1793.8751857&amp;sourceID=53","1793.8751857")</f>
        <v>1793.8751857</v>
      </c>
      <c r="M641" s="4" t="str">
        <f>HYPERLINK("http://141.218.60.56/~jnz1568/getInfo.php?workbook=16_15.xlsx&amp;sheet=A0&amp;row=641&amp;col=13&amp;number=&amp;sourceID=53","")</f>
        <v/>
      </c>
      <c r="N641" s="4" t="str">
        <f>HYPERLINK("http://141.218.60.56/~jnz1568/getInfo.php?workbook=16_15.xlsx&amp;sheet=A0&amp;row=641&amp;col=14&amp;number=&amp;sourceID=53","")</f>
        <v/>
      </c>
      <c r="O641" s="4" t="str">
        <f>HYPERLINK("http://141.218.60.56/~jnz1568/getInfo.php?workbook=16_15.xlsx&amp;sheet=A0&amp;row=641&amp;col=15&amp;number=&amp;sourceID=55","")</f>
        <v/>
      </c>
      <c r="P641" s="4" t="str">
        <f>HYPERLINK("http://141.218.60.56/~jnz1568/getInfo.php?workbook=16_15.xlsx&amp;sheet=A0&amp;row=641&amp;col=16&amp;number=&amp;sourceID=55","")</f>
        <v/>
      </c>
      <c r="Q641" s="4" t="str">
        <f>HYPERLINK("http://141.218.60.56/~jnz1568/getInfo.php?workbook=16_15.xlsx&amp;sheet=A0&amp;row=641&amp;col=17&amp;number=&amp;sourceID=56","")</f>
        <v/>
      </c>
      <c r="R641" s="4" t="str">
        <f>HYPERLINK("http://141.218.60.56/~jnz1568/getInfo.php?workbook=16_15.xlsx&amp;sheet=A0&amp;row=641&amp;col=18&amp;number=&amp;sourceID=56","")</f>
        <v/>
      </c>
      <c r="S641" s="4" t="str">
        <f>HYPERLINK("http://141.218.60.56/~jnz1568/getInfo.php?workbook=16_15.xlsx&amp;sheet=A0&amp;row=641&amp;col=19&amp;number=&amp;sourceID=57","")</f>
        <v/>
      </c>
      <c r="T641" s="4" t="str">
        <f>HYPERLINK("http://141.218.60.56/~jnz1568/getInfo.php?workbook=16_15.xlsx&amp;sheet=A0&amp;row=641&amp;col=20&amp;number=&amp;sourceID=57","")</f>
        <v/>
      </c>
      <c r="U641" s="4" t="str">
        <f>HYPERLINK("http://141.218.60.56/~jnz1568/getInfo.php?workbook=16_15.xlsx&amp;sheet=A0&amp;row=641&amp;col=21&amp;number=&amp;sourceID=47","")</f>
        <v/>
      </c>
      <c r="V641" s="4" t="str">
        <f>HYPERLINK("http://141.218.60.56/~jnz1568/getInfo.php?workbook=16_15.xlsx&amp;sheet=A0&amp;row=641&amp;col=22&amp;number=&amp;sourceID=47","")</f>
        <v/>
      </c>
    </row>
    <row r="642" spans="1:22">
      <c r="A642" s="3">
        <v>16</v>
      </c>
      <c r="B642" s="3">
        <v>15</v>
      </c>
      <c r="C642" s="3">
        <v>41</v>
      </c>
      <c r="D642" s="3">
        <v>39</v>
      </c>
      <c r="E642" s="3">
        <f>((1/(INDEX(E0!J$4:J$73,C642,1)-INDEX(E0!J$4:J$73,D642,1))))*100000000</f>
        <v>0</v>
      </c>
      <c r="F642" s="4" t="str">
        <f>HYPERLINK("http://141.218.60.56/~jnz1568/getInfo.php?workbook=16_15.xlsx&amp;sheet=A0&amp;row=642&amp;col=6&amp;number=12248&amp;sourceID=54","12248")</f>
        <v>12248</v>
      </c>
      <c r="G642" s="4" t="str">
        <f>HYPERLINK("http://141.218.60.56/~jnz1568/getInfo.php?workbook=16_15.xlsx&amp;sheet=A0&amp;row=642&amp;col=7&amp;number=&amp;sourceID=54","")</f>
        <v/>
      </c>
      <c r="H642" s="4" t="str">
        <f>HYPERLINK("http://141.218.60.56/~jnz1568/getInfo.php?workbook=16_15.xlsx&amp;sheet=A0&amp;row=642&amp;col=8&amp;number=&amp;sourceID=54","")</f>
        <v/>
      </c>
      <c r="I642" s="4" t="str">
        <f>HYPERLINK("http://141.218.60.56/~jnz1568/getInfo.php?workbook=16_15.xlsx&amp;sheet=A0&amp;row=642&amp;col=9&amp;number=970.51&amp;sourceID=54","970.51")</f>
        <v>970.51</v>
      </c>
      <c r="J642" s="4" t="str">
        <f>HYPERLINK("http://141.218.60.56/~jnz1568/getInfo.php?workbook=16_15.xlsx&amp;sheet=A0&amp;row=642&amp;col=10&amp;number=&amp;sourceID=54","")</f>
        <v/>
      </c>
      <c r="K642" s="4" t="str">
        <f>HYPERLINK("http://141.218.60.56/~jnz1568/getInfo.php?workbook=16_15.xlsx&amp;sheet=A0&amp;row=642&amp;col=11&amp;number=&amp;sourceID=54","")</f>
        <v/>
      </c>
      <c r="L642" s="4" t="str">
        <f>HYPERLINK("http://141.218.60.56/~jnz1568/getInfo.php?workbook=16_15.xlsx&amp;sheet=A0&amp;row=642&amp;col=12&amp;number=3560.62878659&amp;sourceID=53","3560.62878659")</f>
        <v>3560.62878659</v>
      </c>
      <c r="M642" s="4" t="str">
        <f>HYPERLINK("http://141.218.60.56/~jnz1568/getInfo.php?workbook=16_15.xlsx&amp;sheet=A0&amp;row=642&amp;col=13&amp;number=&amp;sourceID=53","")</f>
        <v/>
      </c>
      <c r="N642" s="4" t="str">
        <f>HYPERLINK("http://141.218.60.56/~jnz1568/getInfo.php?workbook=16_15.xlsx&amp;sheet=A0&amp;row=642&amp;col=14&amp;number=&amp;sourceID=53","")</f>
        <v/>
      </c>
      <c r="O642" s="4" t="str">
        <f>HYPERLINK("http://141.218.60.56/~jnz1568/getInfo.php?workbook=16_15.xlsx&amp;sheet=A0&amp;row=642&amp;col=15&amp;number=&amp;sourceID=55","")</f>
        <v/>
      </c>
      <c r="P642" s="4" t="str">
        <f>HYPERLINK("http://141.218.60.56/~jnz1568/getInfo.php?workbook=16_15.xlsx&amp;sheet=A0&amp;row=642&amp;col=16&amp;number=&amp;sourceID=55","")</f>
        <v/>
      </c>
      <c r="Q642" s="4" t="str">
        <f>HYPERLINK("http://141.218.60.56/~jnz1568/getInfo.php?workbook=16_15.xlsx&amp;sheet=A0&amp;row=642&amp;col=17&amp;number=&amp;sourceID=56","")</f>
        <v/>
      </c>
      <c r="R642" s="4" t="str">
        <f>HYPERLINK("http://141.218.60.56/~jnz1568/getInfo.php?workbook=16_15.xlsx&amp;sheet=A0&amp;row=642&amp;col=18&amp;number=&amp;sourceID=56","")</f>
        <v/>
      </c>
      <c r="S642" s="4" t="str">
        <f>HYPERLINK("http://141.218.60.56/~jnz1568/getInfo.php?workbook=16_15.xlsx&amp;sheet=A0&amp;row=642&amp;col=19&amp;number=&amp;sourceID=57","")</f>
        <v/>
      </c>
      <c r="T642" s="4" t="str">
        <f>HYPERLINK("http://141.218.60.56/~jnz1568/getInfo.php?workbook=16_15.xlsx&amp;sheet=A0&amp;row=642&amp;col=20&amp;number=&amp;sourceID=57","")</f>
        <v/>
      </c>
      <c r="U642" s="4" t="str">
        <f>HYPERLINK("http://141.218.60.56/~jnz1568/getInfo.php?workbook=16_15.xlsx&amp;sheet=A0&amp;row=642&amp;col=21&amp;number=&amp;sourceID=47","")</f>
        <v/>
      </c>
      <c r="V642" s="4" t="str">
        <f>HYPERLINK("http://141.218.60.56/~jnz1568/getInfo.php?workbook=16_15.xlsx&amp;sheet=A0&amp;row=642&amp;col=22&amp;number=&amp;sourceID=47","")</f>
        <v/>
      </c>
    </row>
    <row r="643" spans="1:22">
      <c r="A643" s="3">
        <v>16</v>
      </c>
      <c r="B643" s="3">
        <v>15</v>
      </c>
      <c r="C643" s="3">
        <v>41</v>
      </c>
      <c r="D643" s="3">
        <v>40</v>
      </c>
      <c r="E643" s="3">
        <f>((1/(INDEX(E0!J$4:J$73,C643,1)-INDEX(E0!J$4:J$73,D643,1))))*100000000</f>
        <v>0</v>
      </c>
      <c r="F643" s="4" t="str">
        <f>HYPERLINK("http://141.218.60.56/~jnz1568/getInfo.php?workbook=16_15.xlsx&amp;sheet=A0&amp;row=643&amp;col=6&amp;number=9965.6&amp;sourceID=54","9965.6")</f>
        <v>9965.6</v>
      </c>
      <c r="G643" s="4" t="str">
        <f>HYPERLINK("http://141.218.60.56/~jnz1568/getInfo.php?workbook=16_15.xlsx&amp;sheet=A0&amp;row=643&amp;col=7&amp;number=&amp;sourceID=54","")</f>
        <v/>
      </c>
      <c r="H643" s="4" t="str">
        <f>HYPERLINK("http://141.218.60.56/~jnz1568/getInfo.php?workbook=16_15.xlsx&amp;sheet=A0&amp;row=643&amp;col=8&amp;number=&amp;sourceID=54","")</f>
        <v/>
      </c>
      <c r="I643" s="4" t="str">
        <f>HYPERLINK("http://141.218.60.56/~jnz1568/getInfo.php?workbook=16_15.xlsx&amp;sheet=A0&amp;row=643&amp;col=9&amp;number=373.15&amp;sourceID=54","373.15")</f>
        <v>373.15</v>
      </c>
      <c r="J643" s="4" t="str">
        <f>HYPERLINK("http://141.218.60.56/~jnz1568/getInfo.php?workbook=16_15.xlsx&amp;sheet=A0&amp;row=643&amp;col=10&amp;number=&amp;sourceID=54","")</f>
        <v/>
      </c>
      <c r="K643" s="4" t="str">
        <f>HYPERLINK("http://141.218.60.56/~jnz1568/getInfo.php?workbook=16_15.xlsx&amp;sheet=A0&amp;row=643&amp;col=11&amp;number=&amp;sourceID=54","")</f>
        <v/>
      </c>
      <c r="L643" s="4" t="str">
        <f>HYPERLINK("http://141.218.60.56/~jnz1568/getInfo.php?workbook=16_15.xlsx&amp;sheet=A0&amp;row=643&amp;col=12&amp;number=2015.18594516&amp;sourceID=53","2015.18594516")</f>
        <v>2015.18594516</v>
      </c>
      <c r="M643" s="4" t="str">
        <f>HYPERLINK("http://141.218.60.56/~jnz1568/getInfo.php?workbook=16_15.xlsx&amp;sheet=A0&amp;row=643&amp;col=13&amp;number=&amp;sourceID=53","")</f>
        <v/>
      </c>
      <c r="N643" s="4" t="str">
        <f>HYPERLINK("http://141.218.60.56/~jnz1568/getInfo.php?workbook=16_15.xlsx&amp;sheet=A0&amp;row=643&amp;col=14&amp;number=&amp;sourceID=53","")</f>
        <v/>
      </c>
      <c r="O643" s="4" t="str">
        <f>HYPERLINK("http://141.218.60.56/~jnz1568/getInfo.php?workbook=16_15.xlsx&amp;sheet=A0&amp;row=643&amp;col=15&amp;number=&amp;sourceID=55","")</f>
        <v/>
      </c>
      <c r="P643" s="4" t="str">
        <f>HYPERLINK("http://141.218.60.56/~jnz1568/getInfo.php?workbook=16_15.xlsx&amp;sheet=A0&amp;row=643&amp;col=16&amp;number=&amp;sourceID=55","")</f>
        <v/>
      </c>
      <c r="Q643" s="4" t="str">
        <f>HYPERLINK("http://141.218.60.56/~jnz1568/getInfo.php?workbook=16_15.xlsx&amp;sheet=A0&amp;row=643&amp;col=17&amp;number=&amp;sourceID=56","")</f>
        <v/>
      </c>
      <c r="R643" s="4" t="str">
        <f>HYPERLINK("http://141.218.60.56/~jnz1568/getInfo.php?workbook=16_15.xlsx&amp;sheet=A0&amp;row=643&amp;col=18&amp;number=&amp;sourceID=56","")</f>
        <v/>
      </c>
      <c r="S643" s="4" t="str">
        <f>HYPERLINK("http://141.218.60.56/~jnz1568/getInfo.php?workbook=16_15.xlsx&amp;sheet=A0&amp;row=643&amp;col=19&amp;number=&amp;sourceID=57","")</f>
        <v/>
      </c>
      <c r="T643" s="4" t="str">
        <f>HYPERLINK("http://141.218.60.56/~jnz1568/getInfo.php?workbook=16_15.xlsx&amp;sheet=A0&amp;row=643&amp;col=20&amp;number=&amp;sourceID=57","")</f>
        <v/>
      </c>
      <c r="U643" s="4" t="str">
        <f>HYPERLINK("http://141.218.60.56/~jnz1568/getInfo.php?workbook=16_15.xlsx&amp;sheet=A0&amp;row=643&amp;col=21&amp;number=&amp;sourceID=47","")</f>
        <v/>
      </c>
      <c r="V643" s="4" t="str">
        <f>HYPERLINK("http://141.218.60.56/~jnz1568/getInfo.php?workbook=16_15.xlsx&amp;sheet=A0&amp;row=643&amp;col=22&amp;number=&amp;sourceID=47","")</f>
        <v/>
      </c>
    </row>
    <row r="644" spans="1:22">
      <c r="A644" s="3">
        <v>16</v>
      </c>
      <c r="B644" s="3">
        <v>15</v>
      </c>
      <c r="C644" s="3">
        <v>42</v>
      </c>
      <c r="D644" s="3">
        <v>1</v>
      </c>
      <c r="E644" s="3">
        <f>((1/(INDEX(E0!J$4:J$73,C644,1)-INDEX(E0!J$4:J$73,D644,1))))*100000000</f>
        <v>0</v>
      </c>
      <c r="F644" s="4" t="str">
        <f>HYPERLINK("http://141.218.60.56/~jnz1568/getInfo.php?workbook=16_15.xlsx&amp;sheet=A0&amp;row=644&amp;col=6&amp;number=&amp;sourceID=54","")</f>
        <v/>
      </c>
      <c r="G644" s="4" t="str">
        <f>HYPERLINK("http://141.218.60.56/~jnz1568/getInfo.php?workbook=16_15.xlsx&amp;sheet=A0&amp;row=644&amp;col=7&amp;number=0.24134&amp;sourceID=54","0.24134")</f>
        <v>0.24134</v>
      </c>
      <c r="H644" s="4" t="str">
        <f>HYPERLINK("http://141.218.60.56/~jnz1568/getInfo.php?workbook=16_15.xlsx&amp;sheet=A0&amp;row=644&amp;col=8&amp;number=0.00031443&amp;sourceID=54","0.00031443")</f>
        <v>0.00031443</v>
      </c>
      <c r="I644" s="4" t="str">
        <f>HYPERLINK("http://141.218.60.56/~jnz1568/getInfo.php?workbook=16_15.xlsx&amp;sheet=A0&amp;row=644&amp;col=9&amp;number=&amp;sourceID=54","")</f>
        <v/>
      </c>
      <c r="J644" s="4" t="str">
        <f>HYPERLINK("http://141.218.60.56/~jnz1568/getInfo.php?workbook=16_15.xlsx&amp;sheet=A0&amp;row=644&amp;col=10&amp;number=0.16185&amp;sourceID=54","0.16185")</f>
        <v>0.16185</v>
      </c>
      <c r="K644" s="4" t="str">
        <f>HYPERLINK("http://141.218.60.56/~jnz1568/getInfo.php?workbook=16_15.xlsx&amp;sheet=A0&amp;row=644&amp;col=11&amp;number=0.0025244&amp;sourceID=54","0.0025244")</f>
        <v>0.0025244</v>
      </c>
      <c r="L644" s="4" t="str">
        <f>HYPERLINK("http://141.218.60.56/~jnz1568/getInfo.php?workbook=16_15.xlsx&amp;sheet=A0&amp;row=644&amp;col=12&amp;number=&amp;sourceID=53","")</f>
        <v/>
      </c>
      <c r="M644" s="4" t="str">
        <f>HYPERLINK("http://141.218.60.56/~jnz1568/getInfo.php?workbook=16_15.xlsx&amp;sheet=A0&amp;row=644&amp;col=13&amp;number=&amp;sourceID=53","")</f>
        <v/>
      </c>
      <c r="N644" s="4" t="str">
        <f>HYPERLINK("http://141.218.60.56/~jnz1568/getInfo.php?workbook=16_15.xlsx&amp;sheet=A0&amp;row=644&amp;col=14&amp;number=&amp;sourceID=53","")</f>
        <v/>
      </c>
      <c r="O644" s="4" t="str">
        <f>HYPERLINK("http://141.218.60.56/~jnz1568/getInfo.php?workbook=16_15.xlsx&amp;sheet=A0&amp;row=644&amp;col=15&amp;number=&amp;sourceID=55","")</f>
        <v/>
      </c>
      <c r="P644" s="4" t="str">
        <f>HYPERLINK("http://141.218.60.56/~jnz1568/getInfo.php?workbook=16_15.xlsx&amp;sheet=A0&amp;row=644&amp;col=16&amp;number=&amp;sourceID=55","")</f>
        <v/>
      </c>
      <c r="Q644" s="4" t="str">
        <f>HYPERLINK("http://141.218.60.56/~jnz1568/getInfo.php?workbook=16_15.xlsx&amp;sheet=A0&amp;row=644&amp;col=17&amp;number=&amp;sourceID=56","")</f>
        <v/>
      </c>
      <c r="R644" s="4" t="str">
        <f>HYPERLINK("http://141.218.60.56/~jnz1568/getInfo.php?workbook=16_15.xlsx&amp;sheet=A0&amp;row=644&amp;col=18&amp;number=&amp;sourceID=56","")</f>
        <v/>
      </c>
      <c r="S644" s="4" t="str">
        <f>HYPERLINK("http://141.218.60.56/~jnz1568/getInfo.php?workbook=16_15.xlsx&amp;sheet=A0&amp;row=644&amp;col=19&amp;number=&amp;sourceID=57","")</f>
        <v/>
      </c>
      <c r="T644" s="4" t="str">
        <f>HYPERLINK("http://141.218.60.56/~jnz1568/getInfo.php?workbook=16_15.xlsx&amp;sheet=A0&amp;row=644&amp;col=20&amp;number=&amp;sourceID=57","")</f>
        <v/>
      </c>
      <c r="U644" s="4" t="str">
        <f>HYPERLINK("http://141.218.60.56/~jnz1568/getInfo.php?workbook=16_15.xlsx&amp;sheet=A0&amp;row=644&amp;col=21&amp;number=&amp;sourceID=47","")</f>
        <v/>
      </c>
      <c r="V644" s="4" t="str">
        <f>HYPERLINK("http://141.218.60.56/~jnz1568/getInfo.php?workbook=16_15.xlsx&amp;sheet=A0&amp;row=644&amp;col=22&amp;number=&amp;sourceID=47","")</f>
        <v/>
      </c>
    </row>
    <row r="645" spans="1:22">
      <c r="A645" s="3">
        <v>16</v>
      </c>
      <c r="B645" s="3">
        <v>15</v>
      </c>
      <c r="C645" s="3">
        <v>42</v>
      </c>
      <c r="D645" s="3">
        <v>2</v>
      </c>
      <c r="E645" s="3">
        <f>((1/(INDEX(E0!J$4:J$73,C645,1)-INDEX(E0!J$4:J$73,D645,1))))*100000000</f>
        <v>0</v>
      </c>
      <c r="F645" s="4" t="str">
        <f>HYPERLINK("http://141.218.60.56/~jnz1568/getInfo.php?workbook=16_15.xlsx&amp;sheet=A0&amp;row=645&amp;col=6&amp;number=&amp;sourceID=54","")</f>
        <v/>
      </c>
      <c r="G645" s="4" t="str">
        <f>HYPERLINK("http://141.218.60.56/~jnz1568/getInfo.php?workbook=16_15.xlsx&amp;sheet=A0&amp;row=645&amp;col=7&amp;number=6115&amp;sourceID=54","6115")</f>
        <v>6115</v>
      </c>
      <c r="H645" s="4" t="str">
        <f>HYPERLINK("http://141.218.60.56/~jnz1568/getInfo.php?workbook=16_15.xlsx&amp;sheet=A0&amp;row=645&amp;col=8&amp;number=0.39848&amp;sourceID=54","0.39848")</f>
        <v>0.39848</v>
      </c>
      <c r="I645" s="4" t="str">
        <f>HYPERLINK("http://141.218.60.56/~jnz1568/getInfo.php?workbook=16_15.xlsx&amp;sheet=A0&amp;row=645&amp;col=9&amp;number=&amp;sourceID=54","")</f>
        <v/>
      </c>
      <c r="J645" s="4" t="str">
        <f>HYPERLINK("http://141.218.60.56/~jnz1568/getInfo.php?workbook=16_15.xlsx&amp;sheet=A0&amp;row=645&amp;col=10&amp;number=6334&amp;sourceID=54","6334")</f>
        <v>6334</v>
      </c>
      <c r="K645" s="4" t="str">
        <f>HYPERLINK("http://141.218.60.56/~jnz1568/getInfo.php?workbook=16_15.xlsx&amp;sheet=A0&amp;row=645&amp;col=11&amp;number=0.41028&amp;sourceID=54","0.41028")</f>
        <v>0.41028</v>
      </c>
      <c r="L645" s="4" t="str">
        <f>HYPERLINK("http://141.218.60.56/~jnz1568/getInfo.php?workbook=16_15.xlsx&amp;sheet=A0&amp;row=645&amp;col=12&amp;number=&amp;sourceID=53","")</f>
        <v/>
      </c>
      <c r="M645" s="4" t="str">
        <f>HYPERLINK("http://141.218.60.56/~jnz1568/getInfo.php?workbook=16_15.xlsx&amp;sheet=A0&amp;row=645&amp;col=13&amp;number=&amp;sourceID=53","")</f>
        <v/>
      </c>
      <c r="N645" s="4" t="str">
        <f>HYPERLINK("http://141.218.60.56/~jnz1568/getInfo.php?workbook=16_15.xlsx&amp;sheet=A0&amp;row=645&amp;col=14&amp;number=&amp;sourceID=53","")</f>
        <v/>
      </c>
      <c r="O645" s="4" t="str">
        <f>HYPERLINK("http://141.218.60.56/~jnz1568/getInfo.php?workbook=16_15.xlsx&amp;sheet=A0&amp;row=645&amp;col=15&amp;number=&amp;sourceID=55","")</f>
        <v/>
      </c>
      <c r="P645" s="4" t="str">
        <f>HYPERLINK("http://141.218.60.56/~jnz1568/getInfo.php?workbook=16_15.xlsx&amp;sheet=A0&amp;row=645&amp;col=16&amp;number=&amp;sourceID=55","")</f>
        <v/>
      </c>
      <c r="Q645" s="4" t="str">
        <f>HYPERLINK("http://141.218.60.56/~jnz1568/getInfo.php?workbook=16_15.xlsx&amp;sheet=A0&amp;row=645&amp;col=17&amp;number=&amp;sourceID=56","")</f>
        <v/>
      </c>
      <c r="R645" s="4" t="str">
        <f>HYPERLINK("http://141.218.60.56/~jnz1568/getInfo.php?workbook=16_15.xlsx&amp;sheet=A0&amp;row=645&amp;col=18&amp;number=&amp;sourceID=56","")</f>
        <v/>
      </c>
      <c r="S645" s="4" t="str">
        <f>HYPERLINK("http://141.218.60.56/~jnz1568/getInfo.php?workbook=16_15.xlsx&amp;sheet=A0&amp;row=645&amp;col=19&amp;number=&amp;sourceID=57","")</f>
        <v/>
      </c>
      <c r="T645" s="4" t="str">
        <f>HYPERLINK("http://141.218.60.56/~jnz1568/getInfo.php?workbook=16_15.xlsx&amp;sheet=A0&amp;row=645&amp;col=20&amp;number=&amp;sourceID=57","")</f>
        <v/>
      </c>
      <c r="U645" s="4" t="str">
        <f>HYPERLINK("http://141.218.60.56/~jnz1568/getInfo.php?workbook=16_15.xlsx&amp;sheet=A0&amp;row=645&amp;col=21&amp;number=&amp;sourceID=47","")</f>
        <v/>
      </c>
      <c r="V645" s="4" t="str">
        <f>HYPERLINK("http://141.218.60.56/~jnz1568/getInfo.php?workbook=16_15.xlsx&amp;sheet=A0&amp;row=645&amp;col=22&amp;number=&amp;sourceID=47","")</f>
        <v/>
      </c>
    </row>
    <row r="646" spans="1:22">
      <c r="A646" s="3">
        <v>16</v>
      </c>
      <c r="B646" s="3">
        <v>15</v>
      </c>
      <c r="C646" s="3">
        <v>42</v>
      </c>
      <c r="D646" s="3">
        <v>3</v>
      </c>
      <c r="E646" s="3">
        <f>((1/(INDEX(E0!J$4:J$73,C646,1)-INDEX(E0!J$4:J$73,D646,1))))*100000000</f>
        <v>0</v>
      </c>
      <c r="F646" s="4" t="str">
        <f>HYPERLINK("http://141.218.60.56/~jnz1568/getInfo.php?workbook=16_15.xlsx&amp;sheet=A0&amp;row=646&amp;col=6&amp;number=&amp;sourceID=54","")</f>
        <v/>
      </c>
      <c r="G646" s="4" t="str">
        <f>HYPERLINK("http://141.218.60.56/~jnz1568/getInfo.php?workbook=16_15.xlsx&amp;sheet=A0&amp;row=646&amp;col=7&amp;number=2292.9&amp;sourceID=54","2292.9")</f>
        <v>2292.9</v>
      </c>
      <c r="H646" s="4" t="str">
        <f>HYPERLINK("http://141.218.60.56/~jnz1568/getInfo.php?workbook=16_15.xlsx&amp;sheet=A0&amp;row=646&amp;col=8&amp;number=0.21269&amp;sourceID=54","0.21269")</f>
        <v>0.21269</v>
      </c>
      <c r="I646" s="4" t="str">
        <f>HYPERLINK("http://141.218.60.56/~jnz1568/getInfo.php?workbook=16_15.xlsx&amp;sheet=A0&amp;row=646&amp;col=9&amp;number=&amp;sourceID=54","")</f>
        <v/>
      </c>
      <c r="J646" s="4" t="str">
        <f>HYPERLINK("http://141.218.60.56/~jnz1568/getInfo.php?workbook=16_15.xlsx&amp;sheet=A0&amp;row=646&amp;col=10&amp;number=2367.8&amp;sourceID=54","2367.8")</f>
        <v>2367.8</v>
      </c>
      <c r="K646" s="4" t="str">
        <f>HYPERLINK("http://141.218.60.56/~jnz1568/getInfo.php?workbook=16_15.xlsx&amp;sheet=A0&amp;row=646&amp;col=11&amp;number=0.21826&amp;sourceID=54","0.21826")</f>
        <v>0.21826</v>
      </c>
      <c r="L646" s="4" t="str">
        <f>HYPERLINK("http://141.218.60.56/~jnz1568/getInfo.php?workbook=16_15.xlsx&amp;sheet=A0&amp;row=646&amp;col=12&amp;number=&amp;sourceID=53","")</f>
        <v/>
      </c>
      <c r="M646" s="4" t="str">
        <f>HYPERLINK("http://141.218.60.56/~jnz1568/getInfo.php?workbook=16_15.xlsx&amp;sheet=A0&amp;row=646&amp;col=13&amp;number=&amp;sourceID=53","")</f>
        <v/>
      </c>
      <c r="N646" s="4" t="str">
        <f>HYPERLINK("http://141.218.60.56/~jnz1568/getInfo.php?workbook=16_15.xlsx&amp;sheet=A0&amp;row=646&amp;col=14&amp;number=&amp;sourceID=53","")</f>
        <v/>
      </c>
      <c r="O646" s="4" t="str">
        <f>HYPERLINK("http://141.218.60.56/~jnz1568/getInfo.php?workbook=16_15.xlsx&amp;sheet=A0&amp;row=646&amp;col=15&amp;number=&amp;sourceID=55","")</f>
        <v/>
      </c>
      <c r="P646" s="4" t="str">
        <f>HYPERLINK("http://141.218.60.56/~jnz1568/getInfo.php?workbook=16_15.xlsx&amp;sheet=A0&amp;row=646&amp;col=16&amp;number=&amp;sourceID=55","")</f>
        <v/>
      </c>
      <c r="Q646" s="4" t="str">
        <f>HYPERLINK("http://141.218.60.56/~jnz1568/getInfo.php?workbook=16_15.xlsx&amp;sheet=A0&amp;row=646&amp;col=17&amp;number=&amp;sourceID=56","")</f>
        <v/>
      </c>
      <c r="R646" s="4" t="str">
        <f>HYPERLINK("http://141.218.60.56/~jnz1568/getInfo.php?workbook=16_15.xlsx&amp;sheet=A0&amp;row=646&amp;col=18&amp;number=&amp;sourceID=56","")</f>
        <v/>
      </c>
      <c r="S646" s="4" t="str">
        <f>HYPERLINK("http://141.218.60.56/~jnz1568/getInfo.php?workbook=16_15.xlsx&amp;sheet=A0&amp;row=646&amp;col=19&amp;number=&amp;sourceID=57","")</f>
        <v/>
      </c>
      <c r="T646" s="4" t="str">
        <f>HYPERLINK("http://141.218.60.56/~jnz1568/getInfo.php?workbook=16_15.xlsx&amp;sheet=A0&amp;row=646&amp;col=20&amp;number=&amp;sourceID=57","")</f>
        <v/>
      </c>
      <c r="U646" s="4" t="str">
        <f>HYPERLINK("http://141.218.60.56/~jnz1568/getInfo.php?workbook=16_15.xlsx&amp;sheet=A0&amp;row=646&amp;col=21&amp;number=&amp;sourceID=47","")</f>
        <v/>
      </c>
      <c r="V646" s="4" t="str">
        <f>HYPERLINK("http://141.218.60.56/~jnz1568/getInfo.php?workbook=16_15.xlsx&amp;sheet=A0&amp;row=646&amp;col=22&amp;number=&amp;sourceID=47","")</f>
        <v/>
      </c>
    </row>
    <row r="647" spans="1:22">
      <c r="A647" s="3">
        <v>16</v>
      </c>
      <c r="B647" s="3">
        <v>15</v>
      </c>
      <c r="C647" s="3">
        <v>42</v>
      </c>
      <c r="D647" s="3">
        <v>4</v>
      </c>
      <c r="E647" s="3">
        <f>((1/(INDEX(E0!J$4:J$73,C647,1)-INDEX(E0!J$4:J$73,D647,1))))*100000000</f>
        <v>0</v>
      </c>
      <c r="F647" s="4" t="str">
        <f>HYPERLINK("http://141.218.60.56/~jnz1568/getInfo.php?workbook=16_15.xlsx&amp;sheet=A0&amp;row=647&amp;col=6&amp;number=&amp;sourceID=54","")</f>
        <v/>
      </c>
      <c r="G647" s="4" t="str">
        <f>HYPERLINK("http://141.218.60.56/~jnz1568/getInfo.php?workbook=16_15.xlsx&amp;sheet=A0&amp;row=647&amp;col=7&amp;number=1448.3&amp;sourceID=54","1448.3")</f>
        <v>1448.3</v>
      </c>
      <c r="H647" s="4" t="str">
        <f>HYPERLINK("http://141.218.60.56/~jnz1568/getInfo.php?workbook=16_15.xlsx&amp;sheet=A0&amp;row=647&amp;col=8&amp;number=0.00041555&amp;sourceID=54","0.00041555")</f>
        <v>0.00041555</v>
      </c>
      <c r="I647" s="4" t="str">
        <f>HYPERLINK("http://141.218.60.56/~jnz1568/getInfo.php?workbook=16_15.xlsx&amp;sheet=A0&amp;row=647&amp;col=9&amp;number=&amp;sourceID=54","")</f>
        <v/>
      </c>
      <c r="J647" s="4" t="str">
        <f>HYPERLINK("http://141.218.60.56/~jnz1568/getInfo.php?workbook=16_15.xlsx&amp;sheet=A0&amp;row=647&amp;col=10&amp;number=1494.8&amp;sourceID=54","1494.8")</f>
        <v>1494.8</v>
      </c>
      <c r="K647" s="4" t="str">
        <f>HYPERLINK("http://141.218.60.56/~jnz1568/getInfo.php?workbook=16_15.xlsx&amp;sheet=A0&amp;row=647&amp;col=11&amp;number=0.00029387&amp;sourceID=54","0.00029387")</f>
        <v>0.00029387</v>
      </c>
      <c r="L647" s="4" t="str">
        <f>HYPERLINK("http://141.218.60.56/~jnz1568/getInfo.php?workbook=16_15.xlsx&amp;sheet=A0&amp;row=647&amp;col=12&amp;number=&amp;sourceID=53","")</f>
        <v/>
      </c>
      <c r="M647" s="4" t="str">
        <f>HYPERLINK("http://141.218.60.56/~jnz1568/getInfo.php?workbook=16_15.xlsx&amp;sheet=A0&amp;row=647&amp;col=13&amp;number=&amp;sourceID=53","")</f>
        <v/>
      </c>
      <c r="N647" s="4" t="str">
        <f>HYPERLINK("http://141.218.60.56/~jnz1568/getInfo.php?workbook=16_15.xlsx&amp;sheet=A0&amp;row=647&amp;col=14&amp;number=&amp;sourceID=53","")</f>
        <v/>
      </c>
      <c r="O647" s="4" t="str">
        <f>HYPERLINK("http://141.218.60.56/~jnz1568/getInfo.php?workbook=16_15.xlsx&amp;sheet=A0&amp;row=647&amp;col=15&amp;number=&amp;sourceID=55","")</f>
        <v/>
      </c>
      <c r="P647" s="4" t="str">
        <f>HYPERLINK("http://141.218.60.56/~jnz1568/getInfo.php?workbook=16_15.xlsx&amp;sheet=A0&amp;row=647&amp;col=16&amp;number=&amp;sourceID=55","")</f>
        <v/>
      </c>
      <c r="Q647" s="4" t="str">
        <f>HYPERLINK("http://141.218.60.56/~jnz1568/getInfo.php?workbook=16_15.xlsx&amp;sheet=A0&amp;row=647&amp;col=17&amp;number=&amp;sourceID=56","")</f>
        <v/>
      </c>
      <c r="R647" s="4" t="str">
        <f>HYPERLINK("http://141.218.60.56/~jnz1568/getInfo.php?workbook=16_15.xlsx&amp;sheet=A0&amp;row=647&amp;col=18&amp;number=&amp;sourceID=56","")</f>
        <v/>
      </c>
      <c r="S647" s="4" t="str">
        <f>HYPERLINK("http://141.218.60.56/~jnz1568/getInfo.php?workbook=16_15.xlsx&amp;sheet=A0&amp;row=647&amp;col=19&amp;number=&amp;sourceID=57","")</f>
        <v/>
      </c>
      <c r="T647" s="4" t="str">
        <f>HYPERLINK("http://141.218.60.56/~jnz1568/getInfo.php?workbook=16_15.xlsx&amp;sheet=A0&amp;row=647&amp;col=20&amp;number=&amp;sourceID=57","")</f>
        <v/>
      </c>
      <c r="U647" s="4" t="str">
        <f>HYPERLINK("http://141.218.60.56/~jnz1568/getInfo.php?workbook=16_15.xlsx&amp;sheet=A0&amp;row=647&amp;col=21&amp;number=&amp;sourceID=47","")</f>
        <v/>
      </c>
      <c r="V647" s="4" t="str">
        <f>HYPERLINK("http://141.218.60.56/~jnz1568/getInfo.php?workbook=16_15.xlsx&amp;sheet=A0&amp;row=647&amp;col=22&amp;number=&amp;sourceID=47","")</f>
        <v/>
      </c>
    </row>
    <row r="648" spans="1:22">
      <c r="A648" s="3">
        <v>16</v>
      </c>
      <c r="B648" s="3">
        <v>15</v>
      </c>
      <c r="C648" s="3">
        <v>42</v>
      </c>
      <c r="D648" s="3">
        <v>5</v>
      </c>
      <c r="E648" s="3">
        <f>((1/(INDEX(E0!J$4:J$73,C648,1)-INDEX(E0!J$4:J$73,D648,1))))*100000000</f>
        <v>0</v>
      </c>
      <c r="F648" s="4" t="str">
        <f>HYPERLINK("http://141.218.60.56/~jnz1568/getInfo.php?workbook=16_15.xlsx&amp;sheet=A0&amp;row=648&amp;col=6&amp;number=&amp;sourceID=54","")</f>
        <v/>
      </c>
      <c r="G648" s="4" t="str">
        <f>HYPERLINK("http://141.218.60.56/~jnz1568/getInfo.php?workbook=16_15.xlsx&amp;sheet=A0&amp;row=648&amp;col=7&amp;number=1178.8&amp;sourceID=54","1178.8")</f>
        <v>1178.8</v>
      </c>
      <c r="H648" s="4" t="str">
        <f>HYPERLINK("http://141.218.60.56/~jnz1568/getInfo.php?workbook=16_15.xlsx&amp;sheet=A0&amp;row=648&amp;col=8&amp;number=7.5854e-05&amp;sourceID=54","7.5854e-05")</f>
        <v>7.5854e-05</v>
      </c>
      <c r="I648" s="4" t="str">
        <f>HYPERLINK("http://141.218.60.56/~jnz1568/getInfo.php?workbook=16_15.xlsx&amp;sheet=A0&amp;row=648&amp;col=9&amp;number=&amp;sourceID=54","")</f>
        <v/>
      </c>
      <c r="J648" s="4" t="str">
        <f>HYPERLINK("http://141.218.60.56/~jnz1568/getInfo.php?workbook=16_15.xlsx&amp;sheet=A0&amp;row=648&amp;col=10&amp;number=1219.2&amp;sourceID=54","1219.2")</f>
        <v>1219.2</v>
      </c>
      <c r="K648" s="4" t="str">
        <f>HYPERLINK("http://141.218.60.56/~jnz1568/getInfo.php?workbook=16_15.xlsx&amp;sheet=A0&amp;row=648&amp;col=11&amp;number=0.00010772&amp;sourceID=54","0.00010772")</f>
        <v>0.00010772</v>
      </c>
      <c r="L648" s="4" t="str">
        <f>HYPERLINK("http://141.218.60.56/~jnz1568/getInfo.php?workbook=16_15.xlsx&amp;sheet=A0&amp;row=648&amp;col=12&amp;number=&amp;sourceID=53","")</f>
        <v/>
      </c>
      <c r="M648" s="4" t="str">
        <f>HYPERLINK("http://141.218.60.56/~jnz1568/getInfo.php?workbook=16_15.xlsx&amp;sheet=A0&amp;row=648&amp;col=13&amp;number=&amp;sourceID=53","")</f>
        <v/>
      </c>
      <c r="N648" s="4" t="str">
        <f>HYPERLINK("http://141.218.60.56/~jnz1568/getInfo.php?workbook=16_15.xlsx&amp;sheet=A0&amp;row=648&amp;col=14&amp;number=&amp;sourceID=53","")</f>
        <v/>
      </c>
      <c r="O648" s="4" t="str">
        <f>HYPERLINK("http://141.218.60.56/~jnz1568/getInfo.php?workbook=16_15.xlsx&amp;sheet=A0&amp;row=648&amp;col=15&amp;number=&amp;sourceID=55","")</f>
        <v/>
      </c>
      <c r="P648" s="4" t="str">
        <f>HYPERLINK("http://141.218.60.56/~jnz1568/getInfo.php?workbook=16_15.xlsx&amp;sheet=A0&amp;row=648&amp;col=16&amp;number=&amp;sourceID=55","")</f>
        <v/>
      </c>
      <c r="Q648" s="4" t="str">
        <f>HYPERLINK("http://141.218.60.56/~jnz1568/getInfo.php?workbook=16_15.xlsx&amp;sheet=A0&amp;row=648&amp;col=17&amp;number=&amp;sourceID=56","")</f>
        <v/>
      </c>
      <c r="R648" s="4" t="str">
        <f>HYPERLINK("http://141.218.60.56/~jnz1568/getInfo.php?workbook=16_15.xlsx&amp;sheet=A0&amp;row=648&amp;col=18&amp;number=&amp;sourceID=56","")</f>
        <v/>
      </c>
      <c r="S648" s="4" t="str">
        <f>HYPERLINK("http://141.218.60.56/~jnz1568/getInfo.php?workbook=16_15.xlsx&amp;sheet=A0&amp;row=648&amp;col=19&amp;number=&amp;sourceID=57","")</f>
        <v/>
      </c>
      <c r="T648" s="4" t="str">
        <f>HYPERLINK("http://141.218.60.56/~jnz1568/getInfo.php?workbook=16_15.xlsx&amp;sheet=A0&amp;row=648&amp;col=20&amp;number=&amp;sourceID=57","")</f>
        <v/>
      </c>
      <c r="U648" s="4" t="str">
        <f>HYPERLINK("http://141.218.60.56/~jnz1568/getInfo.php?workbook=16_15.xlsx&amp;sheet=A0&amp;row=648&amp;col=21&amp;number=&amp;sourceID=47","")</f>
        <v/>
      </c>
      <c r="V648" s="4" t="str">
        <f>HYPERLINK("http://141.218.60.56/~jnz1568/getInfo.php?workbook=16_15.xlsx&amp;sheet=A0&amp;row=648&amp;col=22&amp;number=&amp;sourceID=47","")</f>
        <v/>
      </c>
    </row>
    <row r="649" spans="1:22">
      <c r="A649" s="3">
        <v>16</v>
      </c>
      <c r="B649" s="3">
        <v>15</v>
      </c>
      <c r="C649" s="3">
        <v>42</v>
      </c>
      <c r="D649" s="3">
        <v>6</v>
      </c>
      <c r="E649" s="3">
        <f>((1/(INDEX(E0!J$4:J$73,C649,1)-INDEX(E0!J$4:J$73,D649,1))))*100000000</f>
        <v>0</v>
      </c>
      <c r="F649" s="4" t="str">
        <f>HYPERLINK("http://141.218.60.56/~jnz1568/getInfo.php?workbook=16_15.xlsx&amp;sheet=A0&amp;row=649&amp;col=6&amp;number=687940&amp;sourceID=54","687940")</f>
        <v>687940</v>
      </c>
      <c r="G649" s="4" t="str">
        <f>HYPERLINK("http://141.218.60.56/~jnz1568/getInfo.php?workbook=16_15.xlsx&amp;sheet=A0&amp;row=649&amp;col=7&amp;number=&amp;sourceID=54","")</f>
        <v/>
      </c>
      <c r="H649" s="4" t="str">
        <f>HYPERLINK("http://141.218.60.56/~jnz1568/getInfo.php?workbook=16_15.xlsx&amp;sheet=A0&amp;row=649&amp;col=8&amp;number=&amp;sourceID=54","")</f>
        <v/>
      </c>
      <c r="I649" s="4" t="str">
        <f>HYPERLINK("http://141.218.60.56/~jnz1568/getInfo.php?workbook=16_15.xlsx&amp;sheet=A0&amp;row=649&amp;col=9&amp;number=456740&amp;sourceID=54","456740")</f>
        <v>456740</v>
      </c>
      <c r="J649" s="4" t="str">
        <f>HYPERLINK("http://141.218.60.56/~jnz1568/getInfo.php?workbook=16_15.xlsx&amp;sheet=A0&amp;row=649&amp;col=10&amp;number=&amp;sourceID=54","")</f>
        <v/>
      </c>
      <c r="K649" s="4" t="str">
        <f>HYPERLINK("http://141.218.60.56/~jnz1568/getInfo.php?workbook=16_15.xlsx&amp;sheet=A0&amp;row=649&amp;col=11&amp;number=&amp;sourceID=54","")</f>
        <v/>
      </c>
      <c r="L649" s="4" t="str">
        <f>HYPERLINK("http://141.218.60.56/~jnz1568/getInfo.php?workbook=16_15.xlsx&amp;sheet=A0&amp;row=649&amp;col=12&amp;number=340157.455992&amp;sourceID=53","340157.455992")</f>
        <v>340157.455992</v>
      </c>
      <c r="M649" s="4" t="str">
        <f>HYPERLINK("http://141.218.60.56/~jnz1568/getInfo.php?workbook=16_15.xlsx&amp;sheet=A0&amp;row=649&amp;col=13&amp;number=&amp;sourceID=53","")</f>
        <v/>
      </c>
      <c r="N649" s="4" t="str">
        <f>HYPERLINK("http://141.218.60.56/~jnz1568/getInfo.php?workbook=16_15.xlsx&amp;sheet=A0&amp;row=649&amp;col=14&amp;number=&amp;sourceID=53","")</f>
        <v/>
      </c>
      <c r="O649" s="4" t="str">
        <f>HYPERLINK("http://141.218.60.56/~jnz1568/getInfo.php?workbook=16_15.xlsx&amp;sheet=A0&amp;row=649&amp;col=15&amp;number=&amp;sourceID=55","")</f>
        <v/>
      </c>
      <c r="P649" s="4" t="str">
        <f>HYPERLINK("http://141.218.60.56/~jnz1568/getInfo.php?workbook=16_15.xlsx&amp;sheet=A0&amp;row=649&amp;col=16&amp;number=&amp;sourceID=55","")</f>
        <v/>
      </c>
      <c r="Q649" s="4" t="str">
        <f>HYPERLINK("http://141.218.60.56/~jnz1568/getInfo.php?workbook=16_15.xlsx&amp;sheet=A0&amp;row=649&amp;col=17&amp;number=&amp;sourceID=56","")</f>
        <v/>
      </c>
      <c r="R649" s="4" t="str">
        <f>HYPERLINK("http://141.218.60.56/~jnz1568/getInfo.php?workbook=16_15.xlsx&amp;sheet=A0&amp;row=649&amp;col=18&amp;number=&amp;sourceID=56","")</f>
        <v/>
      </c>
      <c r="S649" s="4" t="str">
        <f>HYPERLINK("http://141.218.60.56/~jnz1568/getInfo.php?workbook=16_15.xlsx&amp;sheet=A0&amp;row=649&amp;col=19&amp;number=&amp;sourceID=57","")</f>
        <v/>
      </c>
      <c r="T649" s="4" t="str">
        <f>HYPERLINK("http://141.218.60.56/~jnz1568/getInfo.php?workbook=16_15.xlsx&amp;sheet=A0&amp;row=649&amp;col=20&amp;number=&amp;sourceID=57","")</f>
        <v/>
      </c>
      <c r="U649" s="4" t="str">
        <f>HYPERLINK("http://141.218.60.56/~jnz1568/getInfo.php?workbook=16_15.xlsx&amp;sheet=A0&amp;row=649&amp;col=21&amp;number=&amp;sourceID=47","")</f>
        <v/>
      </c>
      <c r="V649" s="4" t="str">
        <f>HYPERLINK("http://141.218.60.56/~jnz1568/getInfo.php?workbook=16_15.xlsx&amp;sheet=A0&amp;row=649&amp;col=22&amp;number=&amp;sourceID=47","")</f>
        <v/>
      </c>
    </row>
    <row r="650" spans="1:22">
      <c r="A650" s="3">
        <v>16</v>
      </c>
      <c r="B650" s="3">
        <v>15</v>
      </c>
      <c r="C650" s="3">
        <v>42</v>
      </c>
      <c r="D650" s="3">
        <v>7</v>
      </c>
      <c r="E650" s="3">
        <f>((1/(INDEX(E0!J$4:J$73,C650,1)-INDEX(E0!J$4:J$73,D650,1))))*100000000</f>
        <v>0</v>
      </c>
      <c r="F650" s="4" t="str">
        <f>HYPERLINK("http://141.218.60.56/~jnz1568/getInfo.php?workbook=16_15.xlsx&amp;sheet=A0&amp;row=650&amp;col=6&amp;number=96313&amp;sourceID=54","96313")</f>
        <v>96313</v>
      </c>
      <c r="G650" s="4" t="str">
        <f>HYPERLINK("http://141.218.60.56/~jnz1568/getInfo.php?workbook=16_15.xlsx&amp;sheet=A0&amp;row=650&amp;col=7&amp;number=&amp;sourceID=54","")</f>
        <v/>
      </c>
      <c r="H650" s="4" t="str">
        <f>HYPERLINK("http://141.218.60.56/~jnz1568/getInfo.php?workbook=16_15.xlsx&amp;sheet=A0&amp;row=650&amp;col=8&amp;number=&amp;sourceID=54","")</f>
        <v/>
      </c>
      <c r="I650" s="4" t="str">
        <f>HYPERLINK("http://141.218.60.56/~jnz1568/getInfo.php?workbook=16_15.xlsx&amp;sheet=A0&amp;row=650&amp;col=9&amp;number=9542.3&amp;sourceID=54","9542.3")</f>
        <v>9542.3</v>
      </c>
      <c r="J650" s="4" t="str">
        <f>HYPERLINK("http://141.218.60.56/~jnz1568/getInfo.php?workbook=16_15.xlsx&amp;sheet=A0&amp;row=650&amp;col=10&amp;number=&amp;sourceID=54","")</f>
        <v/>
      </c>
      <c r="K650" s="4" t="str">
        <f>HYPERLINK("http://141.218.60.56/~jnz1568/getInfo.php?workbook=16_15.xlsx&amp;sheet=A0&amp;row=650&amp;col=11&amp;number=&amp;sourceID=54","")</f>
        <v/>
      </c>
      <c r="L650" s="4" t="str">
        <f>HYPERLINK("http://141.218.60.56/~jnz1568/getInfo.php?workbook=16_15.xlsx&amp;sheet=A0&amp;row=650&amp;col=12&amp;number=2.86295712777&amp;sourceID=53","2.86295712777")</f>
        <v>2.86295712777</v>
      </c>
      <c r="M650" s="4" t="str">
        <f>HYPERLINK("http://141.218.60.56/~jnz1568/getInfo.php?workbook=16_15.xlsx&amp;sheet=A0&amp;row=650&amp;col=13&amp;number=&amp;sourceID=53","")</f>
        <v/>
      </c>
      <c r="N650" s="4" t="str">
        <f>HYPERLINK("http://141.218.60.56/~jnz1568/getInfo.php?workbook=16_15.xlsx&amp;sheet=A0&amp;row=650&amp;col=14&amp;number=&amp;sourceID=53","")</f>
        <v/>
      </c>
      <c r="O650" s="4" t="str">
        <f>HYPERLINK("http://141.218.60.56/~jnz1568/getInfo.php?workbook=16_15.xlsx&amp;sheet=A0&amp;row=650&amp;col=15&amp;number=&amp;sourceID=55","")</f>
        <v/>
      </c>
      <c r="P650" s="4" t="str">
        <f>HYPERLINK("http://141.218.60.56/~jnz1568/getInfo.php?workbook=16_15.xlsx&amp;sheet=A0&amp;row=650&amp;col=16&amp;number=&amp;sourceID=55","")</f>
        <v/>
      </c>
      <c r="Q650" s="4" t="str">
        <f>HYPERLINK("http://141.218.60.56/~jnz1568/getInfo.php?workbook=16_15.xlsx&amp;sheet=A0&amp;row=650&amp;col=17&amp;number=&amp;sourceID=56","")</f>
        <v/>
      </c>
      <c r="R650" s="4" t="str">
        <f>HYPERLINK("http://141.218.60.56/~jnz1568/getInfo.php?workbook=16_15.xlsx&amp;sheet=A0&amp;row=650&amp;col=18&amp;number=&amp;sourceID=56","")</f>
        <v/>
      </c>
      <c r="S650" s="4" t="str">
        <f>HYPERLINK("http://141.218.60.56/~jnz1568/getInfo.php?workbook=16_15.xlsx&amp;sheet=A0&amp;row=650&amp;col=19&amp;number=&amp;sourceID=57","")</f>
        <v/>
      </c>
      <c r="T650" s="4" t="str">
        <f>HYPERLINK("http://141.218.60.56/~jnz1568/getInfo.php?workbook=16_15.xlsx&amp;sheet=A0&amp;row=650&amp;col=20&amp;number=&amp;sourceID=57","")</f>
        <v/>
      </c>
      <c r="U650" s="4" t="str">
        <f>HYPERLINK("http://141.218.60.56/~jnz1568/getInfo.php?workbook=16_15.xlsx&amp;sheet=A0&amp;row=650&amp;col=21&amp;number=&amp;sourceID=47","")</f>
        <v/>
      </c>
      <c r="V650" s="4" t="str">
        <f>HYPERLINK("http://141.218.60.56/~jnz1568/getInfo.php?workbook=16_15.xlsx&amp;sheet=A0&amp;row=650&amp;col=22&amp;number=&amp;sourceID=47","")</f>
        <v/>
      </c>
    </row>
    <row r="651" spans="1:22">
      <c r="A651" s="3">
        <v>16</v>
      </c>
      <c r="B651" s="3">
        <v>15</v>
      </c>
      <c r="C651" s="3">
        <v>42</v>
      </c>
      <c r="D651" s="3">
        <v>8</v>
      </c>
      <c r="E651" s="3">
        <f>((1/(INDEX(E0!J$4:J$73,C651,1)-INDEX(E0!J$4:J$73,D651,1))))*100000000</f>
        <v>0</v>
      </c>
      <c r="F651" s="4" t="str">
        <f>HYPERLINK("http://141.218.60.56/~jnz1568/getInfo.php?workbook=16_15.xlsx&amp;sheet=A0&amp;row=651&amp;col=6&amp;number=4395.4&amp;sourceID=54","4395.4")</f>
        <v>4395.4</v>
      </c>
      <c r="G651" s="4" t="str">
        <f>HYPERLINK("http://141.218.60.56/~jnz1568/getInfo.php?workbook=16_15.xlsx&amp;sheet=A0&amp;row=651&amp;col=7&amp;number=&amp;sourceID=54","")</f>
        <v/>
      </c>
      <c r="H651" s="4" t="str">
        <f>HYPERLINK("http://141.218.60.56/~jnz1568/getInfo.php?workbook=16_15.xlsx&amp;sheet=A0&amp;row=651&amp;col=8&amp;number=&amp;sourceID=54","")</f>
        <v/>
      </c>
      <c r="I651" s="4" t="str">
        <f>HYPERLINK("http://141.218.60.56/~jnz1568/getInfo.php?workbook=16_15.xlsx&amp;sheet=A0&amp;row=651&amp;col=9&amp;number=14650&amp;sourceID=54","14650")</f>
        <v>14650</v>
      </c>
      <c r="J651" s="4" t="str">
        <f>HYPERLINK("http://141.218.60.56/~jnz1568/getInfo.php?workbook=16_15.xlsx&amp;sheet=A0&amp;row=651&amp;col=10&amp;number=&amp;sourceID=54","")</f>
        <v/>
      </c>
      <c r="K651" s="4" t="str">
        <f>HYPERLINK("http://141.218.60.56/~jnz1568/getInfo.php?workbook=16_15.xlsx&amp;sheet=A0&amp;row=651&amp;col=11&amp;number=&amp;sourceID=54","")</f>
        <v/>
      </c>
      <c r="L651" s="4" t="str">
        <f>HYPERLINK("http://141.218.60.56/~jnz1568/getInfo.php?workbook=16_15.xlsx&amp;sheet=A0&amp;row=651&amp;col=12&amp;number=39689.3876536&amp;sourceID=53","39689.3876536")</f>
        <v>39689.3876536</v>
      </c>
      <c r="M651" s="4" t="str">
        <f>HYPERLINK("http://141.218.60.56/~jnz1568/getInfo.php?workbook=16_15.xlsx&amp;sheet=A0&amp;row=651&amp;col=13&amp;number=&amp;sourceID=53","")</f>
        <v/>
      </c>
      <c r="N651" s="4" t="str">
        <f>HYPERLINK("http://141.218.60.56/~jnz1568/getInfo.php?workbook=16_15.xlsx&amp;sheet=A0&amp;row=651&amp;col=14&amp;number=&amp;sourceID=53","")</f>
        <v/>
      </c>
      <c r="O651" s="4" t="str">
        <f>HYPERLINK("http://141.218.60.56/~jnz1568/getInfo.php?workbook=16_15.xlsx&amp;sheet=A0&amp;row=651&amp;col=15&amp;number=&amp;sourceID=55","")</f>
        <v/>
      </c>
      <c r="P651" s="4" t="str">
        <f>HYPERLINK("http://141.218.60.56/~jnz1568/getInfo.php?workbook=16_15.xlsx&amp;sheet=A0&amp;row=651&amp;col=16&amp;number=&amp;sourceID=55","")</f>
        <v/>
      </c>
      <c r="Q651" s="4" t="str">
        <f>HYPERLINK("http://141.218.60.56/~jnz1568/getInfo.php?workbook=16_15.xlsx&amp;sheet=A0&amp;row=651&amp;col=17&amp;number=&amp;sourceID=56","")</f>
        <v/>
      </c>
      <c r="R651" s="4" t="str">
        <f>HYPERLINK("http://141.218.60.56/~jnz1568/getInfo.php?workbook=16_15.xlsx&amp;sheet=A0&amp;row=651&amp;col=18&amp;number=&amp;sourceID=56","")</f>
        <v/>
      </c>
      <c r="S651" s="4" t="str">
        <f>HYPERLINK("http://141.218.60.56/~jnz1568/getInfo.php?workbook=16_15.xlsx&amp;sheet=A0&amp;row=651&amp;col=19&amp;number=&amp;sourceID=57","")</f>
        <v/>
      </c>
      <c r="T651" s="4" t="str">
        <f>HYPERLINK("http://141.218.60.56/~jnz1568/getInfo.php?workbook=16_15.xlsx&amp;sheet=A0&amp;row=651&amp;col=20&amp;number=&amp;sourceID=57","")</f>
        <v/>
      </c>
      <c r="U651" s="4" t="str">
        <f>HYPERLINK("http://141.218.60.56/~jnz1568/getInfo.php?workbook=16_15.xlsx&amp;sheet=A0&amp;row=651&amp;col=21&amp;number=&amp;sourceID=47","")</f>
        <v/>
      </c>
      <c r="V651" s="4" t="str">
        <f>HYPERLINK("http://141.218.60.56/~jnz1568/getInfo.php?workbook=16_15.xlsx&amp;sheet=A0&amp;row=651&amp;col=22&amp;number=&amp;sourceID=47","")</f>
        <v/>
      </c>
    </row>
    <row r="652" spans="1:22">
      <c r="A652" s="3">
        <v>16</v>
      </c>
      <c r="B652" s="3">
        <v>15</v>
      </c>
      <c r="C652" s="3">
        <v>42</v>
      </c>
      <c r="D652" s="3">
        <v>9</v>
      </c>
      <c r="E652" s="3">
        <f>((1/(INDEX(E0!J$4:J$73,C652,1)-INDEX(E0!J$4:J$73,D652,1))))*100000000</f>
        <v>0</v>
      </c>
      <c r="F652" s="4" t="str">
        <f>HYPERLINK("http://141.218.60.56/~jnz1568/getInfo.php?workbook=16_15.xlsx&amp;sheet=A0&amp;row=652&amp;col=6&amp;number=289330&amp;sourceID=54","289330")</f>
        <v>289330</v>
      </c>
      <c r="G652" s="4" t="str">
        <f>HYPERLINK("http://141.218.60.56/~jnz1568/getInfo.php?workbook=16_15.xlsx&amp;sheet=A0&amp;row=652&amp;col=7&amp;number=&amp;sourceID=54","")</f>
        <v/>
      </c>
      <c r="H652" s="4" t="str">
        <f>HYPERLINK("http://141.218.60.56/~jnz1568/getInfo.php?workbook=16_15.xlsx&amp;sheet=A0&amp;row=652&amp;col=8&amp;number=&amp;sourceID=54","")</f>
        <v/>
      </c>
      <c r="I652" s="4" t="str">
        <f>HYPERLINK("http://141.218.60.56/~jnz1568/getInfo.php?workbook=16_15.xlsx&amp;sheet=A0&amp;row=652&amp;col=9&amp;number=284060&amp;sourceID=54","284060")</f>
        <v>284060</v>
      </c>
      <c r="J652" s="4" t="str">
        <f>HYPERLINK("http://141.218.60.56/~jnz1568/getInfo.php?workbook=16_15.xlsx&amp;sheet=A0&amp;row=652&amp;col=10&amp;number=&amp;sourceID=54","")</f>
        <v/>
      </c>
      <c r="K652" s="4" t="str">
        <f>HYPERLINK("http://141.218.60.56/~jnz1568/getInfo.php?workbook=16_15.xlsx&amp;sheet=A0&amp;row=652&amp;col=11&amp;number=&amp;sourceID=54","")</f>
        <v/>
      </c>
      <c r="L652" s="4" t="str">
        <f>HYPERLINK("http://141.218.60.56/~jnz1568/getInfo.php?workbook=16_15.xlsx&amp;sheet=A0&amp;row=652&amp;col=12&amp;number=795358.280397&amp;sourceID=53","795358.280397")</f>
        <v>795358.280397</v>
      </c>
      <c r="M652" s="4" t="str">
        <f>HYPERLINK("http://141.218.60.56/~jnz1568/getInfo.php?workbook=16_15.xlsx&amp;sheet=A0&amp;row=652&amp;col=13&amp;number=&amp;sourceID=53","")</f>
        <v/>
      </c>
      <c r="N652" s="4" t="str">
        <f>HYPERLINK("http://141.218.60.56/~jnz1568/getInfo.php?workbook=16_15.xlsx&amp;sheet=A0&amp;row=652&amp;col=14&amp;number=&amp;sourceID=53","")</f>
        <v/>
      </c>
      <c r="O652" s="4" t="str">
        <f>HYPERLINK("http://141.218.60.56/~jnz1568/getInfo.php?workbook=16_15.xlsx&amp;sheet=A0&amp;row=652&amp;col=15&amp;number=&amp;sourceID=55","")</f>
        <v/>
      </c>
      <c r="P652" s="4" t="str">
        <f>HYPERLINK("http://141.218.60.56/~jnz1568/getInfo.php?workbook=16_15.xlsx&amp;sheet=A0&amp;row=652&amp;col=16&amp;number=&amp;sourceID=55","")</f>
        <v/>
      </c>
      <c r="Q652" s="4" t="str">
        <f>HYPERLINK("http://141.218.60.56/~jnz1568/getInfo.php?workbook=16_15.xlsx&amp;sheet=A0&amp;row=652&amp;col=17&amp;number=&amp;sourceID=56","")</f>
        <v/>
      </c>
      <c r="R652" s="4" t="str">
        <f>HYPERLINK("http://141.218.60.56/~jnz1568/getInfo.php?workbook=16_15.xlsx&amp;sheet=A0&amp;row=652&amp;col=18&amp;number=&amp;sourceID=56","")</f>
        <v/>
      </c>
      <c r="S652" s="4" t="str">
        <f>HYPERLINK("http://141.218.60.56/~jnz1568/getInfo.php?workbook=16_15.xlsx&amp;sheet=A0&amp;row=652&amp;col=19&amp;number=&amp;sourceID=57","")</f>
        <v/>
      </c>
      <c r="T652" s="4" t="str">
        <f>HYPERLINK("http://141.218.60.56/~jnz1568/getInfo.php?workbook=16_15.xlsx&amp;sheet=A0&amp;row=652&amp;col=20&amp;number=&amp;sourceID=57","")</f>
        <v/>
      </c>
      <c r="U652" s="4" t="str">
        <f>HYPERLINK("http://141.218.60.56/~jnz1568/getInfo.php?workbook=16_15.xlsx&amp;sheet=A0&amp;row=652&amp;col=21&amp;number=&amp;sourceID=47","")</f>
        <v/>
      </c>
      <c r="V652" s="4" t="str">
        <f>HYPERLINK("http://141.218.60.56/~jnz1568/getInfo.php?workbook=16_15.xlsx&amp;sheet=A0&amp;row=652&amp;col=22&amp;number=&amp;sourceID=47","")</f>
        <v/>
      </c>
    </row>
    <row r="653" spans="1:22">
      <c r="A653" s="3">
        <v>16</v>
      </c>
      <c r="B653" s="3">
        <v>15</v>
      </c>
      <c r="C653" s="3">
        <v>42</v>
      </c>
      <c r="D653" s="3">
        <v>10</v>
      </c>
      <c r="E653" s="3">
        <f>((1/(INDEX(E0!J$4:J$73,C653,1)-INDEX(E0!J$4:J$73,D653,1))))*100000000</f>
        <v>0</v>
      </c>
      <c r="F653" s="4" t="str">
        <f>HYPERLINK("http://141.218.60.56/~jnz1568/getInfo.php?workbook=16_15.xlsx&amp;sheet=A0&amp;row=653&amp;col=6&amp;number=30387&amp;sourceID=54","30387")</f>
        <v>30387</v>
      </c>
      <c r="G653" s="4" t="str">
        <f>HYPERLINK("http://141.218.60.56/~jnz1568/getInfo.php?workbook=16_15.xlsx&amp;sheet=A0&amp;row=653&amp;col=7&amp;number=&amp;sourceID=54","")</f>
        <v/>
      </c>
      <c r="H653" s="4" t="str">
        <f>HYPERLINK("http://141.218.60.56/~jnz1568/getInfo.php?workbook=16_15.xlsx&amp;sheet=A0&amp;row=653&amp;col=8&amp;number=&amp;sourceID=54","")</f>
        <v/>
      </c>
      <c r="I653" s="4" t="str">
        <f>HYPERLINK("http://141.218.60.56/~jnz1568/getInfo.php?workbook=16_15.xlsx&amp;sheet=A0&amp;row=653&amp;col=9&amp;number=31175&amp;sourceID=54","31175")</f>
        <v>31175</v>
      </c>
      <c r="J653" s="4" t="str">
        <f>HYPERLINK("http://141.218.60.56/~jnz1568/getInfo.php?workbook=16_15.xlsx&amp;sheet=A0&amp;row=653&amp;col=10&amp;number=&amp;sourceID=54","")</f>
        <v/>
      </c>
      <c r="K653" s="4" t="str">
        <f>HYPERLINK("http://141.218.60.56/~jnz1568/getInfo.php?workbook=16_15.xlsx&amp;sheet=A0&amp;row=653&amp;col=11&amp;number=&amp;sourceID=54","")</f>
        <v/>
      </c>
      <c r="L653" s="4" t="str">
        <f>HYPERLINK("http://141.218.60.56/~jnz1568/getInfo.php?workbook=16_15.xlsx&amp;sheet=A0&amp;row=653&amp;col=12&amp;number=138962.586281&amp;sourceID=53","138962.586281")</f>
        <v>138962.586281</v>
      </c>
      <c r="M653" s="4" t="str">
        <f>HYPERLINK("http://141.218.60.56/~jnz1568/getInfo.php?workbook=16_15.xlsx&amp;sheet=A0&amp;row=653&amp;col=13&amp;number=&amp;sourceID=53","")</f>
        <v/>
      </c>
      <c r="N653" s="4" t="str">
        <f>HYPERLINK("http://141.218.60.56/~jnz1568/getInfo.php?workbook=16_15.xlsx&amp;sheet=A0&amp;row=653&amp;col=14&amp;number=&amp;sourceID=53","")</f>
        <v/>
      </c>
      <c r="O653" s="4" t="str">
        <f>HYPERLINK("http://141.218.60.56/~jnz1568/getInfo.php?workbook=16_15.xlsx&amp;sheet=A0&amp;row=653&amp;col=15&amp;number=&amp;sourceID=55","")</f>
        <v/>
      </c>
      <c r="P653" s="4" t="str">
        <f>HYPERLINK("http://141.218.60.56/~jnz1568/getInfo.php?workbook=16_15.xlsx&amp;sheet=A0&amp;row=653&amp;col=16&amp;number=&amp;sourceID=55","")</f>
        <v/>
      </c>
      <c r="Q653" s="4" t="str">
        <f>HYPERLINK("http://141.218.60.56/~jnz1568/getInfo.php?workbook=16_15.xlsx&amp;sheet=A0&amp;row=653&amp;col=17&amp;number=&amp;sourceID=56","")</f>
        <v/>
      </c>
      <c r="R653" s="4" t="str">
        <f>HYPERLINK("http://141.218.60.56/~jnz1568/getInfo.php?workbook=16_15.xlsx&amp;sheet=A0&amp;row=653&amp;col=18&amp;number=&amp;sourceID=56","")</f>
        <v/>
      </c>
      <c r="S653" s="4" t="str">
        <f>HYPERLINK("http://141.218.60.56/~jnz1568/getInfo.php?workbook=16_15.xlsx&amp;sheet=A0&amp;row=653&amp;col=19&amp;number=&amp;sourceID=57","")</f>
        <v/>
      </c>
      <c r="T653" s="4" t="str">
        <f>HYPERLINK("http://141.218.60.56/~jnz1568/getInfo.php?workbook=16_15.xlsx&amp;sheet=A0&amp;row=653&amp;col=20&amp;number=&amp;sourceID=57","")</f>
        <v/>
      </c>
      <c r="U653" s="4" t="str">
        <f>HYPERLINK("http://141.218.60.56/~jnz1568/getInfo.php?workbook=16_15.xlsx&amp;sheet=A0&amp;row=653&amp;col=21&amp;number=&amp;sourceID=47","")</f>
        <v/>
      </c>
      <c r="V653" s="4" t="str">
        <f>HYPERLINK("http://141.218.60.56/~jnz1568/getInfo.php?workbook=16_15.xlsx&amp;sheet=A0&amp;row=653&amp;col=22&amp;number=&amp;sourceID=47","")</f>
        <v/>
      </c>
    </row>
    <row r="654" spans="1:22">
      <c r="A654" s="3">
        <v>16</v>
      </c>
      <c r="B654" s="3">
        <v>15</v>
      </c>
      <c r="C654" s="3">
        <v>42</v>
      </c>
      <c r="D654" s="3">
        <v>11</v>
      </c>
      <c r="E654" s="3">
        <f>((1/(INDEX(E0!J$4:J$73,C654,1)-INDEX(E0!J$4:J$73,D654,1))))*100000000</f>
        <v>0</v>
      </c>
      <c r="F654" s="4" t="str">
        <f>HYPERLINK("http://141.218.60.56/~jnz1568/getInfo.php?workbook=16_15.xlsx&amp;sheet=A0&amp;row=654&amp;col=6&amp;number=259000&amp;sourceID=54","259000")</f>
        <v>259000</v>
      </c>
      <c r="G654" s="4" t="str">
        <f>HYPERLINK("http://141.218.60.56/~jnz1568/getInfo.php?workbook=16_15.xlsx&amp;sheet=A0&amp;row=654&amp;col=7&amp;number=&amp;sourceID=54","")</f>
        <v/>
      </c>
      <c r="H654" s="4" t="str">
        <f>HYPERLINK("http://141.218.60.56/~jnz1568/getInfo.php?workbook=16_15.xlsx&amp;sheet=A0&amp;row=654&amp;col=8&amp;number=&amp;sourceID=54","")</f>
        <v/>
      </c>
      <c r="I654" s="4" t="str">
        <f>HYPERLINK("http://141.218.60.56/~jnz1568/getInfo.php?workbook=16_15.xlsx&amp;sheet=A0&amp;row=654&amp;col=9&amp;number=263280&amp;sourceID=54","263280")</f>
        <v>263280</v>
      </c>
      <c r="J654" s="4" t="str">
        <f>HYPERLINK("http://141.218.60.56/~jnz1568/getInfo.php?workbook=16_15.xlsx&amp;sheet=A0&amp;row=654&amp;col=10&amp;number=&amp;sourceID=54","")</f>
        <v/>
      </c>
      <c r="K654" s="4" t="str">
        <f>HYPERLINK("http://141.218.60.56/~jnz1568/getInfo.php?workbook=16_15.xlsx&amp;sheet=A0&amp;row=654&amp;col=11&amp;number=&amp;sourceID=54","")</f>
        <v/>
      </c>
      <c r="L654" s="4" t="str">
        <f>HYPERLINK("http://141.218.60.56/~jnz1568/getInfo.php?workbook=16_15.xlsx&amp;sheet=A0&amp;row=654&amp;col=12&amp;number=15193.2139458&amp;sourceID=53","15193.2139458")</f>
        <v>15193.2139458</v>
      </c>
      <c r="M654" s="4" t="str">
        <f>HYPERLINK("http://141.218.60.56/~jnz1568/getInfo.php?workbook=16_15.xlsx&amp;sheet=A0&amp;row=654&amp;col=13&amp;number=&amp;sourceID=53","")</f>
        <v/>
      </c>
      <c r="N654" s="4" t="str">
        <f>HYPERLINK("http://141.218.60.56/~jnz1568/getInfo.php?workbook=16_15.xlsx&amp;sheet=A0&amp;row=654&amp;col=14&amp;number=&amp;sourceID=53","")</f>
        <v/>
      </c>
      <c r="O654" s="4" t="str">
        <f>HYPERLINK("http://141.218.60.56/~jnz1568/getInfo.php?workbook=16_15.xlsx&amp;sheet=A0&amp;row=654&amp;col=15&amp;number=&amp;sourceID=55","")</f>
        <v/>
      </c>
      <c r="P654" s="4" t="str">
        <f>HYPERLINK("http://141.218.60.56/~jnz1568/getInfo.php?workbook=16_15.xlsx&amp;sheet=A0&amp;row=654&amp;col=16&amp;number=&amp;sourceID=55","")</f>
        <v/>
      </c>
      <c r="Q654" s="4" t="str">
        <f>HYPERLINK("http://141.218.60.56/~jnz1568/getInfo.php?workbook=16_15.xlsx&amp;sheet=A0&amp;row=654&amp;col=17&amp;number=&amp;sourceID=56","")</f>
        <v/>
      </c>
      <c r="R654" s="4" t="str">
        <f>HYPERLINK("http://141.218.60.56/~jnz1568/getInfo.php?workbook=16_15.xlsx&amp;sheet=A0&amp;row=654&amp;col=18&amp;number=&amp;sourceID=56","")</f>
        <v/>
      </c>
      <c r="S654" s="4" t="str">
        <f>HYPERLINK("http://141.218.60.56/~jnz1568/getInfo.php?workbook=16_15.xlsx&amp;sheet=A0&amp;row=654&amp;col=19&amp;number=&amp;sourceID=57","")</f>
        <v/>
      </c>
      <c r="T654" s="4" t="str">
        <f>HYPERLINK("http://141.218.60.56/~jnz1568/getInfo.php?workbook=16_15.xlsx&amp;sheet=A0&amp;row=654&amp;col=20&amp;number=&amp;sourceID=57","")</f>
        <v/>
      </c>
      <c r="U654" s="4" t="str">
        <f>HYPERLINK("http://141.218.60.56/~jnz1568/getInfo.php?workbook=16_15.xlsx&amp;sheet=A0&amp;row=654&amp;col=21&amp;number=&amp;sourceID=47","")</f>
        <v/>
      </c>
      <c r="V654" s="4" t="str">
        <f>HYPERLINK("http://141.218.60.56/~jnz1568/getInfo.php?workbook=16_15.xlsx&amp;sheet=A0&amp;row=654&amp;col=22&amp;number=&amp;sourceID=47","")</f>
        <v/>
      </c>
    </row>
    <row r="655" spans="1:22">
      <c r="A655" s="3">
        <v>16</v>
      </c>
      <c r="B655" s="3">
        <v>15</v>
      </c>
      <c r="C655" s="3">
        <v>42</v>
      </c>
      <c r="D655" s="3">
        <v>12</v>
      </c>
      <c r="E655" s="3">
        <f>((1/(INDEX(E0!J$4:J$73,C655,1)-INDEX(E0!J$4:J$73,D655,1))))*100000000</f>
        <v>0</v>
      </c>
      <c r="F655" s="4" t="str">
        <f>HYPERLINK("http://141.218.60.56/~jnz1568/getInfo.php?workbook=16_15.xlsx&amp;sheet=A0&amp;row=655&amp;col=6&amp;number=798910&amp;sourceID=54","798910")</f>
        <v>798910</v>
      </c>
      <c r="G655" s="4" t="str">
        <f>HYPERLINK("http://141.218.60.56/~jnz1568/getInfo.php?workbook=16_15.xlsx&amp;sheet=A0&amp;row=655&amp;col=7&amp;number=&amp;sourceID=54","")</f>
        <v/>
      </c>
      <c r="H655" s="4" t="str">
        <f>HYPERLINK("http://141.218.60.56/~jnz1568/getInfo.php?workbook=16_15.xlsx&amp;sheet=A0&amp;row=655&amp;col=8&amp;number=&amp;sourceID=54","")</f>
        <v/>
      </c>
      <c r="I655" s="4" t="str">
        <f>HYPERLINK("http://141.218.60.56/~jnz1568/getInfo.php?workbook=16_15.xlsx&amp;sheet=A0&amp;row=655&amp;col=9&amp;number=821610&amp;sourceID=54","821610")</f>
        <v>821610</v>
      </c>
      <c r="J655" s="4" t="str">
        <f>HYPERLINK("http://141.218.60.56/~jnz1568/getInfo.php?workbook=16_15.xlsx&amp;sheet=A0&amp;row=655&amp;col=10&amp;number=&amp;sourceID=54","")</f>
        <v/>
      </c>
      <c r="K655" s="4" t="str">
        <f>HYPERLINK("http://141.218.60.56/~jnz1568/getInfo.php?workbook=16_15.xlsx&amp;sheet=A0&amp;row=655&amp;col=11&amp;number=&amp;sourceID=54","")</f>
        <v/>
      </c>
      <c r="L655" s="4" t="str">
        <f>HYPERLINK("http://141.218.60.56/~jnz1568/getInfo.php?workbook=16_15.xlsx&amp;sheet=A0&amp;row=655&amp;col=12&amp;number=58267.4057698&amp;sourceID=53","58267.4057698")</f>
        <v>58267.4057698</v>
      </c>
      <c r="M655" s="4" t="str">
        <f>HYPERLINK("http://141.218.60.56/~jnz1568/getInfo.php?workbook=16_15.xlsx&amp;sheet=A0&amp;row=655&amp;col=13&amp;number=&amp;sourceID=53","")</f>
        <v/>
      </c>
      <c r="N655" s="4" t="str">
        <f>HYPERLINK("http://141.218.60.56/~jnz1568/getInfo.php?workbook=16_15.xlsx&amp;sheet=A0&amp;row=655&amp;col=14&amp;number=&amp;sourceID=53","")</f>
        <v/>
      </c>
      <c r="O655" s="4" t="str">
        <f>HYPERLINK("http://141.218.60.56/~jnz1568/getInfo.php?workbook=16_15.xlsx&amp;sheet=A0&amp;row=655&amp;col=15&amp;number=&amp;sourceID=55","")</f>
        <v/>
      </c>
      <c r="P655" s="4" t="str">
        <f>HYPERLINK("http://141.218.60.56/~jnz1568/getInfo.php?workbook=16_15.xlsx&amp;sheet=A0&amp;row=655&amp;col=16&amp;number=&amp;sourceID=55","")</f>
        <v/>
      </c>
      <c r="Q655" s="4" t="str">
        <f>HYPERLINK("http://141.218.60.56/~jnz1568/getInfo.php?workbook=16_15.xlsx&amp;sheet=A0&amp;row=655&amp;col=17&amp;number=&amp;sourceID=56","")</f>
        <v/>
      </c>
      <c r="R655" s="4" t="str">
        <f>HYPERLINK("http://141.218.60.56/~jnz1568/getInfo.php?workbook=16_15.xlsx&amp;sheet=A0&amp;row=655&amp;col=18&amp;number=&amp;sourceID=56","")</f>
        <v/>
      </c>
      <c r="S655" s="4" t="str">
        <f>HYPERLINK("http://141.218.60.56/~jnz1568/getInfo.php?workbook=16_15.xlsx&amp;sheet=A0&amp;row=655&amp;col=19&amp;number=&amp;sourceID=57","")</f>
        <v/>
      </c>
      <c r="T655" s="4" t="str">
        <f>HYPERLINK("http://141.218.60.56/~jnz1568/getInfo.php?workbook=16_15.xlsx&amp;sheet=A0&amp;row=655&amp;col=20&amp;number=&amp;sourceID=57","")</f>
        <v/>
      </c>
      <c r="U655" s="4" t="str">
        <f>HYPERLINK("http://141.218.60.56/~jnz1568/getInfo.php?workbook=16_15.xlsx&amp;sheet=A0&amp;row=655&amp;col=21&amp;number=&amp;sourceID=47","")</f>
        <v/>
      </c>
      <c r="V655" s="4" t="str">
        <f>HYPERLINK("http://141.218.60.56/~jnz1568/getInfo.php?workbook=16_15.xlsx&amp;sheet=A0&amp;row=655&amp;col=22&amp;number=&amp;sourceID=47","")</f>
        <v/>
      </c>
    </row>
    <row r="656" spans="1:22">
      <c r="A656" s="3">
        <v>16</v>
      </c>
      <c r="B656" s="3">
        <v>15</v>
      </c>
      <c r="C656" s="3">
        <v>42</v>
      </c>
      <c r="D656" s="3">
        <v>13</v>
      </c>
      <c r="E656" s="3">
        <f>((1/(INDEX(E0!J$4:J$73,C656,1)-INDEX(E0!J$4:J$73,D656,1))))*100000000</f>
        <v>0</v>
      </c>
      <c r="F656" s="4" t="str">
        <f>HYPERLINK("http://141.218.60.56/~jnz1568/getInfo.php?workbook=16_15.xlsx&amp;sheet=A0&amp;row=656&amp;col=6&amp;number=570130&amp;sourceID=54","570130")</f>
        <v>570130</v>
      </c>
      <c r="G656" s="4" t="str">
        <f>HYPERLINK("http://141.218.60.56/~jnz1568/getInfo.php?workbook=16_15.xlsx&amp;sheet=A0&amp;row=656&amp;col=7&amp;number=&amp;sourceID=54","")</f>
        <v/>
      </c>
      <c r="H656" s="4" t="str">
        <f>HYPERLINK("http://141.218.60.56/~jnz1568/getInfo.php?workbook=16_15.xlsx&amp;sheet=A0&amp;row=656&amp;col=8&amp;number=&amp;sourceID=54","")</f>
        <v/>
      </c>
      <c r="I656" s="4" t="str">
        <f>HYPERLINK("http://141.218.60.56/~jnz1568/getInfo.php?workbook=16_15.xlsx&amp;sheet=A0&amp;row=656&amp;col=9&amp;number=408050&amp;sourceID=54","408050")</f>
        <v>408050</v>
      </c>
      <c r="J656" s="4" t="str">
        <f>HYPERLINK("http://141.218.60.56/~jnz1568/getInfo.php?workbook=16_15.xlsx&amp;sheet=A0&amp;row=656&amp;col=10&amp;number=&amp;sourceID=54","")</f>
        <v/>
      </c>
      <c r="K656" s="4" t="str">
        <f>HYPERLINK("http://141.218.60.56/~jnz1568/getInfo.php?workbook=16_15.xlsx&amp;sheet=A0&amp;row=656&amp;col=11&amp;number=&amp;sourceID=54","")</f>
        <v/>
      </c>
      <c r="L656" s="4" t="str">
        <f>HYPERLINK("http://141.218.60.56/~jnz1568/getInfo.php?workbook=16_15.xlsx&amp;sheet=A0&amp;row=656&amp;col=12&amp;number=447461.961496&amp;sourceID=53","447461.961496")</f>
        <v>447461.961496</v>
      </c>
      <c r="M656" s="4" t="str">
        <f>HYPERLINK("http://141.218.60.56/~jnz1568/getInfo.php?workbook=16_15.xlsx&amp;sheet=A0&amp;row=656&amp;col=13&amp;number=&amp;sourceID=53","")</f>
        <v/>
      </c>
      <c r="N656" s="4" t="str">
        <f>HYPERLINK("http://141.218.60.56/~jnz1568/getInfo.php?workbook=16_15.xlsx&amp;sheet=A0&amp;row=656&amp;col=14&amp;number=&amp;sourceID=53","")</f>
        <v/>
      </c>
      <c r="O656" s="4" t="str">
        <f>HYPERLINK("http://141.218.60.56/~jnz1568/getInfo.php?workbook=16_15.xlsx&amp;sheet=A0&amp;row=656&amp;col=15&amp;number=&amp;sourceID=55","")</f>
        <v/>
      </c>
      <c r="P656" s="4" t="str">
        <f>HYPERLINK("http://141.218.60.56/~jnz1568/getInfo.php?workbook=16_15.xlsx&amp;sheet=A0&amp;row=656&amp;col=16&amp;number=&amp;sourceID=55","")</f>
        <v/>
      </c>
      <c r="Q656" s="4" t="str">
        <f>HYPERLINK("http://141.218.60.56/~jnz1568/getInfo.php?workbook=16_15.xlsx&amp;sheet=A0&amp;row=656&amp;col=17&amp;number=&amp;sourceID=56","")</f>
        <v/>
      </c>
      <c r="R656" s="4" t="str">
        <f>HYPERLINK("http://141.218.60.56/~jnz1568/getInfo.php?workbook=16_15.xlsx&amp;sheet=A0&amp;row=656&amp;col=18&amp;number=&amp;sourceID=56","")</f>
        <v/>
      </c>
      <c r="S656" s="4" t="str">
        <f>HYPERLINK("http://141.218.60.56/~jnz1568/getInfo.php?workbook=16_15.xlsx&amp;sheet=A0&amp;row=656&amp;col=19&amp;number=&amp;sourceID=57","")</f>
        <v/>
      </c>
      <c r="T656" s="4" t="str">
        <f>HYPERLINK("http://141.218.60.56/~jnz1568/getInfo.php?workbook=16_15.xlsx&amp;sheet=A0&amp;row=656&amp;col=20&amp;number=&amp;sourceID=57","")</f>
        <v/>
      </c>
      <c r="U656" s="4" t="str">
        <f>HYPERLINK("http://141.218.60.56/~jnz1568/getInfo.php?workbook=16_15.xlsx&amp;sheet=A0&amp;row=656&amp;col=21&amp;number=&amp;sourceID=47","")</f>
        <v/>
      </c>
      <c r="V656" s="4" t="str">
        <f>HYPERLINK("http://141.218.60.56/~jnz1568/getInfo.php?workbook=16_15.xlsx&amp;sheet=A0&amp;row=656&amp;col=22&amp;number=&amp;sourceID=47","")</f>
        <v/>
      </c>
    </row>
    <row r="657" spans="1:22">
      <c r="A657" s="3">
        <v>16</v>
      </c>
      <c r="B657" s="3">
        <v>15</v>
      </c>
      <c r="C657" s="3">
        <v>42</v>
      </c>
      <c r="D657" s="3">
        <v>14</v>
      </c>
      <c r="E657" s="3">
        <f>((1/(INDEX(E0!J$4:J$73,C657,1)-INDEX(E0!J$4:J$73,D657,1))))*100000000</f>
        <v>0</v>
      </c>
      <c r="F657" s="4" t="str">
        <f>HYPERLINK("http://141.218.60.56/~jnz1568/getInfo.php?workbook=16_15.xlsx&amp;sheet=A0&amp;row=657&amp;col=6&amp;number=950810&amp;sourceID=54","950810")</f>
        <v>950810</v>
      </c>
      <c r="G657" s="4" t="str">
        <f>HYPERLINK("http://141.218.60.56/~jnz1568/getInfo.php?workbook=16_15.xlsx&amp;sheet=A0&amp;row=657&amp;col=7&amp;number=&amp;sourceID=54","")</f>
        <v/>
      </c>
      <c r="H657" s="4" t="str">
        <f>HYPERLINK("http://141.218.60.56/~jnz1568/getInfo.php?workbook=16_15.xlsx&amp;sheet=A0&amp;row=657&amp;col=8&amp;number=&amp;sourceID=54","")</f>
        <v/>
      </c>
      <c r="I657" s="4" t="str">
        <f>HYPERLINK("http://141.218.60.56/~jnz1568/getInfo.php?workbook=16_15.xlsx&amp;sheet=A0&amp;row=657&amp;col=9&amp;number=686030&amp;sourceID=54","686030")</f>
        <v>686030</v>
      </c>
      <c r="J657" s="4" t="str">
        <f>HYPERLINK("http://141.218.60.56/~jnz1568/getInfo.php?workbook=16_15.xlsx&amp;sheet=A0&amp;row=657&amp;col=10&amp;number=&amp;sourceID=54","")</f>
        <v/>
      </c>
      <c r="K657" s="4" t="str">
        <f>HYPERLINK("http://141.218.60.56/~jnz1568/getInfo.php?workbook=16_15.xlsx&amp;sheet=A0&amp;row=657&amp;col=11&amp;number=&amp;sourceID=54","")</f>
        <v/>
      </c>
      <c r="L657" s="4" t="str">
        <f>HYPERLINK("http://141.218.60.56/~jnz1568/getInfo.php?workbook=16_15.xlsx&amp;sheet=A0&amp;row=657&amp;col=12&amp;number=547739.530802&amp;sourceID=53","547739.530802")</f>
        <v>547739.530802</v>
      </c>
      <c r="M657" s="4" t="str">
        <f>HYPERLINK("http://141.218.60.56/~jnz1568/getInfo.php?workbook=16_15.xlsx&amp;sheet=A0&amp;row=657&amp;col=13&amp;number=&amp;sourceID=53","")</f>
        <v/>
      </c>
      <c r="N657" s="4" t="str">
        <f>HYPERLINK("http://141.218.60.56/~jnz1568/getInfo.php?workbook=16_15.xlsx&amp;sheet=A0&amp;row=657&amp;col=14&amp;number=&amp;sourceID=53","")</f>
        <v/>
      </c>
      <c r="O657" s="4" t="str">
        <f>HYPERLINK("http://141.218.60.56/~jnz1568/getInfo.php?workbook=16_15.xlsx&amp;sheet=A0&amp;row=657&amp;col=15&amp;number=&amp;sourceID=55","")</f>
        <v/>
      </c>
      <c r="P657" s="4" t="str">
        <f>HYPERLINK("http://141.218.60.56/~jnz1568/getInfo.php?workbook=16_15.xlsx&amp;sheet=A0&amp;row=657&amp;col=16&amp;number=&amp;sourceID=55","")</f>
        <v/>
      </c>
      <c r="Q657" s="4" t="str">
        <f>HYPERLINK("http://141.218.60.56/~jnz1568/getInfo.php?workbook=16_15.xlsx&amp;sheet=A0&amp;row=657&amp;col=17&amp;number=&amp;sourceID=56","")</f>
        <v/>
      </c>
      <c r="R657" s="4" t="str">
        <f>HYPERLINK("http://141.218.60.56/~jnz1568/getInfo.php?workbook=16_15.xlsx&amp;sheet=A0&amp;row=657&amp;col=18&amp;number=&amp;sourceID=56","")</f>
        <v/>
      </c>
      <c r="S657" s="4" t="str">
        <f>HYPERLINK("http://141.218.60.56/~jnz1568/getInfo.php?workbook=16_15.xlsx&amp;sheet=A0&amp;row=657&amp;col=19&amp;number=&amp;sourceID=57","")</f>
        <v/>
      </c>
      <c r="T657" s="4" t="str">
        <f>HYPERLINK("http://141.218.60.56/~jnz1568/getInfo.php?workbook=16_15.xlsx&amp;sheet=A0&amp;row=657&amp;col=20&amp;number=&amp;sourceID=57","")</f>
        <v/>
      </c>
      <c r="U657" s="4" t="str">
        <f>HYPERLINK("http://141.218.60.56/~jnz1568/getInfo.php?workbook=16_15.xlsx&amp;sheet=A0&amp;row=657&amp;col=21&amp;number=&amp;sourceID=47","")</f>
        <v/>
      </c>
      <c r="V657" s="4" t="str">
        <f>HYPERLINK("http://141.218.60.56/~jnz1568/getInfo.php?workbook=16_15.xlsx&amp;sheet=A0&amp;row=657&amp;col=22&amp;number=&amp;sourceID=47","")</f>
        <v/>
      </c>
    </row>
    <row r="658" spans="1:22">
      <c r="A658" s="3">
        <v>16</v>
      </c>
      <c r="B658" s="3">
        <v>15</v>
      </c>
      <c r="C658" s="3">
        <v>42</v>
      </c>
      <c r="D658" s="3">
        <v>15</v>
      </c>
      <c r="E658" s="3">
        <f>((1/(INDEX(E0!J$4:J$73,C658,1)-INDEX(E0!J$4:J$73,D658,1))))*100000000</f>
        <v>0</v>
      </c>
      <c r="F658" s="4" t="str">
        <f>HYPERLINK("http://141.218.60.56/~jnz1568/getInfo.php?workbook=16_15.xlsx&amp;sheet=A0&amp;row=658&amp;col=6&amp;number=694.3&amp;sourceID=54","694.3")</f>
        <v>694.3</v>
      </c>
      <c r="G658" s="4" t="str">
        <f>HYPERLINK("http://141.218.60.56/~jnz1568/getInfo.php?workbook=16_15.xlsx&amp;sheet=A0&amp;row=658&amp;col=7&amp;number=&amp;sourceID=54","")</f>
        <v/>
      </c>
      <c r="H658" s="4" t="str">
        <f>HYPERLINK("http://141.218.60.56/~jnz1568/getInfo.php?workbook=16_15.xlsx&amp;sheet=A0&amp;row=658&amp;col=8&amp;number=&amp;sourceID=54","")</f>
        <v/>
      </c>
      <c r="I658" s="4" t="str">
        <f>HYPERLINK("http://141.218.60.56/~jnz1568/getInfo.php?workbook=16_15.xlsx&amp;sheet=A0&amp;row=658&amp;col=9&amp;number=691.04&amp;sourceID=54","691.04")</f>
        <v>691.04</v>
      </c>
      <c r="J658" s="4" t="str">
        <f>HYPERLINK("http://141.218.60.56/~jnz1568/getInfo.php?workbook=16_15.xlsx&amp;sheet=A0&amp;row=658&amp;col=10&amp;number=&amp;sourceID=54","")</f>
        <v/>
      </c>
      <c r="K658" s="4" t="str">
        <f>HYPERLINK("http://141.218.60.56/~jnz1568/getInfo.php?workbook=16_15.xlsx&amp;sheet=A0&amp;row=658&amp;col=11&amp;number=&amp;sourceID=54","")</f>
        <v/>
      </c>
      <c r="L658" s="4" t="str">
        <f>HYPERLINK("http://141.218.60.56/~jnz1568/getInfo.php?workbook=16_15.xlsx&amp;sheet=A0&amp;row=658&amp;col=12&amp;number=198.381040002&amp;sourceID=53","198.381040002")</f>
        <v>198.381040002</v>
      </c>
      <c r="M658" s="4" t="str">
        <f>HYPERLINK("http://141.218.60.56/~jnz1568/getInfo.php?workbook=16_15.xlsx&amp;sheet=A0&amp;row=658&amp;col=13&amp;number=&amp;sourceID=53","")</f>
        <v/>
      </c>
      <c r="N658" s="4" t="str">
        <f>HYPERLINK("http://141.218.60.56/~jnz1568/getInfo.php?workbook=16_15.xlsx&amp;sheet=A0&amp;row=658&amp;col=14&amp;number=&amp;sourceID=53","")</f>
        <v/>
      </c>
      <c r="O658" s="4" t="str">
        <f>HYPERLINK("http://141.218.60.56/~jnz1568/getInfo.php?workbook=16_15.xlsx&amp;sheet=A0&amp;row=658&amp;col=15&amp;number=&amp;sourceID=55","")</f>
        <v/>
      </c>
      <c r="P658" s="4" t="str">
        <f>HYPERLINK("http://141.218.60.56/~jnz1568/getInfo.php?workbook=16_15.xlsx&amp;sheet=A0&amp;row=658&amp;col=16&amp;number=&amp;sourceID=55","")</f>
        <v/>
      </c>
      <c r="Q658" s="4" t="str">
        <f>HYPERLINK("http://141.218.60.56/~jnz1568/getInfo.php?workbook=16_15.xlsx&amp;sheet=A0&amp;row=658&amp;col=17&amp;number=&amp;sourceID=56","")</f>
        <v/>
      </c>
      <c r="R658" s="4" t="str">
        <f>HYPERLINK("http://141.218.60.56/~jnz1568/getInfo.php?workbook=16_15.xlsx&amp;sheet=A0&amp;row=658&amp;col=18&amp;number=&amp;sourceID=56","")</f>
        <v/>
      </c>
      <c r="S658" s="4" t="str">
        <f>HYPERLINK("http://141.218.60.56/~jnz1568/getInfo.php?workbook=16_15.xlsx&amp;sheet=A0&amp;row=658&amp;col=19&amp;number=&amp;sourceID=57","")</f>
        <v/>
      </c>
      <c r="T658" s="4" t="str">
        <f>HYPERLINK("http://141.218.60.56/~jnz1568/getInfo.php?workbook=16_15.xlsx&amp;sheet=A0&amp;row=658&amp;col=20&amp;number=&amp;sourceID=57","")</f>
        <v/>
      </c>
      <c r="U658" s="4" t="str">
        <f>HYPERLINK("http://141.218.60.56/~jnz1568/getInfo.php?workbook=16_15.xlsx&amp;sheet=A0&amp;row=658&amp;col=21&amp;number=&amp;sourceID=47","")</f>
        <v/>
      </c>
      <c r="V658" s="4" t="str">
        <f>HYPERLINK("http://141.218.60.56/~jnz1568/getInfo.php?workbook=16_15.xlsx&amp;sheet=A0&amp;row=658&amp;col=22&amp;number=&amp;sourceID=47","")</f>
        <v/>
      </c>
    </row>
    <row r="659" spans="1:22">
      <c r="A659" s="3">
        <v>16</v>
      </c>
      <c r="B659" s="3">
        <v>15</v>
      </c>
      <c r="C659" s="3">
        <v>42</v>
      </c>
      <c r="D659" s="3">
        <v>16</v>
      </c>
      <c r="E659" s="3">
        <f>((1/(INDEX(E0!J$4:J$73,C659,1)-INDEX(E0!J$4:J$73,D659,1))))*100000000</f>
        <v>0</v>
      </c>
      <c r="F659" s="4" t="str">
        <f>HYPERLINK("http://141.218.60.56/~jnz1568/getInfo.php?workbook=16_15.xlsx&amp;sheet=A0&amp;row=659&amp;col=6&amp;number=80925&amp;sourceID=54","80925")</f>
        <v>80925</v>
      </c>
      <c r="G659" s="4" t="str">
        <f>HYPERLINK("http://141.218.60.56/~jnz1568/getInfo.php?workbook=16_15.xlsx&amp;sheet=A0&amp;row=659&amp;col=7&amp;number=&amp;sourceID=54","")</f>
        <v/>
      </c>
      <c r="H659" s="4" t="str">
        <f>HYPERLINK("http://141.218.60.56/~jnz1568/getInfo.php?workbook=16_15.xlsx&amp;sheet=A0&amp;row=659&amp;col=8&amp;number=&amp;sourceID=54","")</f>
        <v/>
      </c>
      <c r="I659" s="4" t="str">
        <f>HYPERLINK("http://141.218.60.56/~jnz1568/getInfo.php?workbook=16_15.xlsx&amp;sheet=A0&amp;row=659&amp;col=9&amp;number=17728&amp;sourceID=54","17728")</f>
        <v>17728</v>
      </c>
      <c r="J659" s="4" t="str">
        <f>HYPERLINK("http://141.218.60.56/~jnz1568/getInfo.php?workbook=16_15.xlsx&amp;sheet=A0&amp;row=659&amp;col=10&amp;number=&amp;sourceID=54","")</f>
        <v/>
      </c>
      <c r="K659" s="4" t="str">
        <f>HYPERLINK("http://141.218.60.56/~jnz1568/getInfo.php?workbook=16_15.xlsx&amp;sheet=A0&amp;row=659&amp;col=11&amp;number=&amp;sourceID=54","")</f>
        <v/>
      </c>
      <c r="L659" s="4" t="str">
        <f>HYPERLINK("http://141.218.60.56/~jnz1568/getInfo.php?workbook=16_15.xlsx&amp;sheet=A0&amp;row=659&amp;col=12&amp;number=29680.656636&amp;sourceID=53","29680.656636")</f>
        <v>29680.656636</v>
      </c>
      <c r="M659" s="4" t="str">
        <f>HYPERLINK("http://141.218.60.56/~jnz1568/getInfo.php?workbook=16_15.xlsx&amp;sheet=A0&amp;row=659&amp;col=13&amp;number=&amp;sourceID=53","")</f>
        <v/>
      </c>
      <c r="N659" s="4" t="str">
        <f>HYPERLINK("http://141.218.60.56/~jnz1568/getInfo.php?workbook=16_15.xlsx&amp;sheet=A0&amp;row=659&amp;col=14&amp;number=&amp;sourceID=53","")</f>
        <v/>
      </c>
      <c r="O659" s="4" t="str">
        <f>HYPERLINK("http://141.218.60.56/~jnz1568/getInfo.php?workbook=16_15.xlsx&amp;sheet=A0&amp;row=659&amp;col=15&amp;number=&amp;sourceID=55","")</f>
        <v/>
      </c>
      <c r="P659" s="4" t="str">
        <f>HYPERLINK("http://141.218.60.56/~jnz1568/getInfo.php?workbook=16_15.xlsx&amp;sheet=A0&amp;row=659&amp;col=16&amp;number=&amp;sourceID=55","")</f>
        <v/>
      </c>
      <c r="Q659" s="4" t="str">
        <f>HYPERLINK("http://141.218.60.56/~jnz1568/getInfo.php?workbook=16_15.xlsx&amp;sheet=A0&amp;row=659&amp;col=17&amp;number=&amp;sourceID=56","")</f>
        <v/>
      </c>
      <c r="R659" s="4" t="str">
        <f>HYPERLINK("http://141.218.60.56/~jnz1568/getInfo.php?workbook=16_15.xlsx&amp;sheet=A0&amp;row=659&amp;col=18&amp;number=&amp;sourceID=56","")</f>
        <v/>
      </c>
      <c r="S659" s="4" t="str">
        <f>HYPERLINK("http://141.218.60.56/~jnz1568/getInfo.php?workbook=16_15.xlsx&amp;sheet=A0&amp;row=659&amp;col=19&amp;number=&amp;sourceID=57","")</f>
        <v/>
      </c>
      <c r="T659" s="4" t="str">
        <f>HYPERLINK("http://141.218.60.56/~jnz1568/getInfo.php?workbook=16_15.xlsx&amp;sheet=A0&amp;row=659&amp;col=20&amp;number=&amp;sourceID=57","")</f>
        <v/>
      </c>
      <c r="U659" s="4" t="str">
        <f>HYPERLINK("http://141.218.60.56/~jnz1568/getInfo.php?workbook=16_15.xlsx&amp;sheet=A0&amp;row=659&amp;col=21&amp;number=&amp;sourceID=47","")</f>
        <v/>
      </c>
      <c r="V659" s="4" t="str">
        <f>HYPERLINK("http://141.218.60.56/~jnz1568/getInfo.php?workbook=16_15.xlsx&amp;sheet=A0&amp;row=659&amp;col=22&amp;number=&amp;sourceID=47","")</f>
        <v/>
      </c>
    </row>
    <row r="660" spans="1:22">
      <c r="A660" s="3">
        <v>16</v>
      </c>
      <c r="B660" s="3">
        <v>15</v>
      </c>
      <c r="C660" s="3">
        <v>42</v>
      </c>
      <c r="D660" s="3">
        <v>17</v>
      </c>
      <c r="E660" s="3">
        <f>((1/(INDEX(E0!J$4:J$73,C660,1)-INDEX(E0!J$4:J$73,D660,1))))*100000000</f>
        <v>0</v>
      </c>
      <c r="F660" s="4" t="str">
        <f>HYPERLINK("http://141.218.60.56/~jnz1568/getInfo.php?workbook=16_15.xlsx&amp;sheet=A0&amp;row=660&amp;col=6&amp;number=12020&amp;sourceID=54","12020")</f>
        <v>12020</v>
      </c>
      <c r="G660" s="4" t="str">
        <f>HYPERLINK("http://141.218.60.56/~jnz1568/getInfo.php?workbook=16_15.xlsx&amp;sheet=A0&amp;row=660&amp;col=7&amp;number=&amp;sourceID=54","")</f>
        <v/>
      </c>
      <c r="H660" s="4" t="str">
        <f>HYPERLINK("http://141.218.60.56/~jnz1568/getInfo.php?workbook=16_15.xlsx&amp;sheet=A0&amp;row=660&amp;col=8&amp;number=&amp;sourceID=54","")</f>
        <v/>
      </c>
      <c r="I660" s="4" t="str">
        <f>HYPERLINK("http://141.218.60.56/~jnz1568/getInfo.php?workbook=16_15.xlsx&amp;sheet=A0&amp;row=660&amp;col=9&amp;number=13062&amp;sourceID=54","13062")</f>
        <v>13062</v>
      </c>
      <c r="J660" s="4" t="str">
        <f>HYPERLINK("http://141.218.60.56/~jnz1568/getInfo.php?workbook=16_15.xlsx&amp;sheet=A0&amp;row=660&amp;col=10&amp;number=&amp;sourceID=54","")</f>
        <v/>
      </c>
      <c r="K660" s="4" t="str">
        <f>HYPERLINK("http://141.218.60.56/~jnz1568/getInfo.php?workbook=16_15.xlsx&amp;sheet=A0&amp;row=660&amp;col=11&amp;number=&amp;sourceID=54","")</f>
        <v/>
      </c>
      <c r="L660" s="4" t="str">
        <f>HYPERLINK("http://141.218.60.56/~jnz1568/getInfo.php?workbook=16_15.xlsx&amp;sheet=A0&amp;row=660&amp;col=12&amp;number=13700.2310642&amp;sourceID=53","13700.2310642")</f>
        <v>13700.2310642</v>
      </c>
      <c r="M660" s="4" t="str">
        <f>HYPERLINK("http://141.218.60.56/~jnz1568/getInfo.php?workbook=16_15.xlsx&amp;sheet=A0&amp;row=660&amp;col=13&amp;number=&amp;sourceID=53","")</f>
        <v/>
      </c>
      <c r="N660" s="4" t="str">
        <f>HYPERLINK("http://141.218.60.56/~jnz1568/getInfo.php?workbook=16_15.xlsx&amp;sheet=A0&amp;row=660&amp;col=14&amp;number=&amp;sourceID=53","")</f>
        <v/>
      </c>
      <c r="O660" s="4" t="str">
        <f>HYPERLINK("http://141.218.60.56/~jnz1568/getInfo.php?workbook=16_15.xlsx&amp;sheet=A0&amp;row=660&amp;col=15&amp;number=&amp;sourceID=55","")</f>
        <v/>
      </c>
      <c r="P660" s="4" t="str">
        <f>HYPERLINK("http://141.218.60.56/~jnz1568/getInfo.php?workbook=16_15.xlsx&amp;sheet=A0&amp;row=660&amp;col=16&amp;number=&amp;sourceID=55","")</f>
        <v/>
      </c>
      <c r="Q660" s="4" t="str">
        <f>HYPERLINK("http://141.218.60.56/~jnz1568/getInfo.php?workbook=16_15.xlsx&amp;sheet=A0&amp;row=660&amp;col=17&amp;number=&amp;sourceID=56","")</f>
        <v/>
      </c>
      <c r="R660" s="4" t="str">
        <f>HYPERLINK("http://141.218.60.56/~jnz1568/getInfo.php?workbook=16_15.xlsx&amp;sheet=A0&amp;row=660&amp;col=18&amp;number=&amp;sourceID=56","")</f>
        <v/>
      </c>
      <c r="S660" s="4" t="str">
        <f>HYPERLINK("http://141.218.60.56/~jnz1568/getInfo.php?workbook=16_15.xlsx&amp;sheet=A0&amp;row=660&amp;col=19&amp;number=&amp;sourceID=57","")</f>
        <v/>
      </c>
      <c r="T660" s="4" t="str">
        <f>HYPERLINK("http://141.218.60.56/~jnz1568/getInfo.php?workbook=16_15.xlsx&amp;sheet=A0&amp;row=660&amp;col=20&amp;number=&amp;sourceID=57","")</f>
        <v/>
      </c>
      <c r="U660" s="4" t="str">
        <f>HYPERLINK("http://141.218.60.56/~jnz1568/getInfo.php?workbook=16_15.xlsx&amp;sheet=A0&amp;row=660&amp;col=21&amp;number=&amp;sourceID=47","")</f>
        <v/>
      </c>
      <c r="V660" s="4" t="str">
        <f>HYPERLINK("http://141.218.60.56/~jnz1568/getInfo.php?workbook=16_15.xlsx&amp;sheet=A0&amp;row=660&amp;col=22&amp;number=&amp;sourceID=47","")</f>
        <v/>
      </c>
    </row>
    <row r="661" spans="1:22">
      <c r="A661" s="3">
        <v>16</v>
      </c>
      <c r="B661" s="3">
        <v>15</v>
      </c>
      <c r="C661" s="3">
        <v>42</v>
      </c>
      <c r="D661" s="3">
        <v>20</v>
      </c>
      <c r="E661" s="3">
        <f>((1/(INDEX(E0!J$4:J$73,C661,1)-INDEX(E0!J$4:J$73,D661,1))))*100000000</f>
        <v>0</v>
      </c>
      <c r="F661" s="4" t="str">
        <f>HYPERLINK("http://141.218.60.56/~jnz1568/getInfo.php?workbook=16_15.xlsx&amp;sheet=A0&amp;row=661&amp;col=6&amp;number=56445000&amp;sourceID=54","56445000")</f>
        <v>56445000</v>
      </c>
      <c r="G661" s="4" t="str">
        <f>HYPERLINK("http://141.218.60.56/~jnz1568/getInfo.php?workbook=16_15.xlsx&amp;sheet=A0&amp;row=661&amp;col=7&amp;number=&amp;sourceID=54","")</f>
        <v/>
      </c>
      <c r="H661" s="4" t="str">
        <f>HYPERLINK("http://141.218.60.56/~jnz1568/getInfo.php?workbook=16_15.xlsx&amp;sheet=A0&amp;row=661&amp;col=8&amp;number=&amp;sourceID=54","")</f>
        <v/>
      </c>
      <c r="I661" s="4" t="str">
        <f>HYPERLINK("http://141.218.60.56/~jnz1568/getInfo.php?workbook=16_15.xlsx&amp;sheet=A0&amp;row=661&amp;col=9&amp;number=54907000&amp;sourceID=54","54907000")</f>
        <v>54907000</v>
      </c>
      <c r="J661" s="4" t="str">
        <f>HYPERLINK("http://141.218.60.56/~jnz1568/getInfo.php?workbook=16_15.xlsx&amp;sheet=A0&amp;row=661&amp;col=10&amp;number=&amp;sourceID=54","")</f>
        <v/>
      </c>
      <c r="K661" s="4" t="str">
        <f>HYPERLINK("http://141.218.60.56/~jnz1568/getInfo.php?workbook=16_15.xlsx&amp;sheet=A0&amp;row=661&amp;col=11&amp;number=&amp;sourceID=54","")</f>
        <v/>
      </c>
      <c r="L661" s="4" t="str">
        <f>HYPERLINK("http://141.218.60.56/~jnz1568/getInfo.php?workbook=16_15.xlsx&amp;sheet=A0&amp;row=661&amp;col=12&amp;number=46373614.2534&amp;sourceID=53","46373614.2534")</f>
        <v>46373614.2534</v>
      </c>
      <c r="M661" s="4" t="str">
        <f>HYPERLINK("http://141.218.60.56/~jnz1568/getInfo.php?workbook=16_15.xlsx&amp;sheet=A0&amp;row=661&amp;col=13&amp;number=&amp;sourceID=53","")</f>
        <v/>
      </c>
      <c r="N661" s="4" t="str">
        <f>HYPERLINK("http://141.218.60.56/~jnz1568/getInfo.php?workbook=16_15.xlsx&amp;sheet=A0&amp;row=661&amp;col=14&amp;number=&amp;sourceID=53","")</f>
        <v/>
      </c>
      <c r="O661" s="4" t="str">
        <f>HYPERLINK("http://141.218.60.56/~jnz1568/getInfo.php?workbook=16_15.xlsx&amp;sheet=A0&amp;row=661&amp;col=15&amp;number=&amp;sourceID=55","")</f>
        <v/>
      </c>
      <c r="P661" s="4" t="str">
        <f>HYPERLINK("http://141.218.60.56/~jnz1568/getInfo.php?workbook=16_15.xlsx&amp;sheet=A0&amp;row=661&amp;col=16&amp;number=&amp;sourceID=55","")</f>
        <v/>
      </c>
      <c r="Q661" s="4" t="str">
        <f>HYPERLINK("http://141.218.60.56/~jnz1568/getInfo.php?workbook=16_15.xlsx&amp;sheet=A0&amp;row=661&amp;col=17&amp;number=&amp;sourceID=56","")</f>
        <v/>
      </c>
      <c r="R661" s="4" t="str">
        <f>HYPERLINK("http://141.218.60.56/~jnz1568/getInfo.php?workbook=16_15.xlsx&amp;sheet=A0&amp;row=661&amp;col=18&amp;number=&amp;sourceID=56","")</f>
        <v/>
      </c>
      <c r="S661" s="4" t="str">
        <f>HYPERLINK("http://141.218.60.56/~jnz1568/getInfo.php?workbook=16_15.xlsx&amp;sheet=A0&amp;row=661&amp;col=19&amp;number=&amp;sourceID=57","")</f>
        <v/>
      </c>
      <c r="T661" s="4" t="str">
        <f>HYPERLINK("http://141.218.60.56/~jnz1568/getInfo.php?workbook=16_15.xlsx&amp;sheet=A0&amp;row=661&amp;col=20&amp;number=&amp;sourceID=57","")</f>
        <v/>
      </c>
      <c r="U661" s="4" t="str">
        <f>HYPERLINK("http://141.218.60.56/~jnz1568/getInfo.php?workbook=16_15.xlsx&amp;sheet=A0&amp;row=661&amp;col=21&amp;number=&amp;sourceID=47","")</f>
        <v/>
      </c>
      <c r="V661" s="4" t="str">
        <f>HYPERLINK("http://141.218.60.56/~jnz1568/getInfo.php?workbook=16_15.xlsx&amp;sheet=A0&amp;row=661&amp;col=22&amp;number=&amp;sourceID=47","")</f>
        <v/>
      </c>
    </row>
    <row r="662" spans="1:22">
      <c r="A662" s="3">
        <v>16</v>
      </c>
      <c r="B662" s="3">
        <v>15</v>
      </c>
      <c r="C662" s="3">
        <v>42</v>
      </c>
      <c r="D662" s="3">
        <v>21</v>
      </c>
      <c r="E662" s="3">
        <f>((1/(INDEX(E0!J$4:J$73,C662,1)-INDEX(E0!J$4:J$73,D662,1))))*100000000</f>
        <v>0</v>
      </c>
      <c r="F662" s="4" t="str">
        <f>HYPERLINK("http://141.218.60.56/~jnz1568/getInfo.php?workbook=16_15.xlsx&amp;sheet=A0&amp;row=662&amp;col=6&amp;number=9730200&amp;sourceID=54","9730200")</f>
        <v>9730200</v>
      </c>
      <c r="G662" s="4" t="str">
        <f>HYPERLINK("http://141.218.60.56/~jnz1568/getInfo.php?workbook=16_15.xlsx&amp;sheet=A0&amp;row=662&amp;col=7&amp;number=&amp;sourceID=54","")</f>
        <v/>
      </c>
      <c r="H662" s="4" t="str">
        <f>HYPERLINK("http://141.218.60.56/~jnz1568/getInfo.php?workbook=16_15.xlsx&amp;sheet=A0&amp;row=662&amp;col=8&amp;number=&amp;sourceID=54","")</f>
        <v/>
      </c>
      <c r="I662" s="4" t="str">
        <f>HYPERLINK("http://141.218.60.56/~jnz1568/getInfo.php?workbook=16_15.xlsx&amp;sheet=A0&amp;row=662&amp;col=9&amp;number=9600100&amp;sourceID=54","9600100")</f>
        <v>9600100</v>
      </c>
      <c r="J662" s="4" t="str">
        <f>HYPERLINK("http://141.218.60.56/~jnz1568/getInfo.php?workbook=16_15.xlsx&amp;sheet=A0&amp;row=662&amp;col=10&amp;number=&amp;sourceID=54","")</f>
        <v/>
      </c>
      <c r="K662" s="4" t="str">
        <f>HYPERLINK("http://141.218.60.56/~jnz1568/getInfo.php?workbook=16_15.xlsx&amp;sheet=A0&amp;row=662&amp;col=11&amp;number=&amp;sourceID=54","")</f>
        <v/>
      </c>
      <c r="L662" s="4" t="str">
        <f>HYPERLINK("http://141.218.60.56/~jnz1568/getInfo.php?workbook=16_15.xlsx&amp;sheet=A0&amp;row=662&amp;col=12&amp;number=8064420.54459&amp;sourceID=53","8064420.54459")</f>
        <v>8064420.54459</v>
      </c>
      <c r="M662" s="4" t="str">
        <f>HYPERLINK("http://141.218.60.56/~jnz1568/getInfo.php?workbook=16_15.xlsx&amp;sheet=A0&amp;row=662&amp;col=13&amp;number=&amp;sourceID=53","")</f>
        <v/>
      </c>
      <c r="N662" s="4" t="str">
        <f>HYPERLINK("http://141.218.60.56/~jnz1568/getInfo.php?workbook=16_15.xlsx&amp;sheet=A0&amp;row=662&amp;col=14&amp;number=&amp;sourceID=53","")</f>
        <v/>
      </c>
      <c r="O662" s="4" t="str">
        <f>HYPERLINK("http://141.218.60.56/~jnz1568/getInfo.php?workbook=16_15.xlsx&amp;sheet=A0&amp;row=662&amp;col=15&amp;number=&amp;sourceID=55","")</f>
        <v/>
      </c>
      <c r="P662" s="4" t="str">
        <f>HYPERLINK("http://141.218.60.56/~jnz1568/getInfo.php?workbook=16_15.xlsx&amp;sheet=A0&amp;row=662&amp;col=16&amp;number=&amp;sourceID=55","")</f>
        <v/>
      </c>
      <c r="Q662" s="4" t="str">
        <f>HYPERLINK("http://141.218.60.56/~jnz1568/getInfo.php?workbook=16_15.xlsx&amp;sheet=A0&amp;row=662&amp;col=17&amp;number=&amp;sourceID=56","")</f>
        <v/>
      </c>
      <c r="R662" s="4" t="str">
        <f>HYPERLINK("http://141.218.60.56/~jnz1568/getInfo.php?workbook=16_15.xlsx&amp;sheet=A0&amp;row=662&amp;col=18&amp;number=&amp;sourceID=56","")</f>
        <v/>
      </c>
      <c r="S662" s="4" t="str">
        <f>HYPERLINK("http://141.218.60.56/~jnz1568/getInfo.php?workbook=16_15.xlsx&amp;sheet=A0&amp;row=662&amp;col=19&amp;number=&amp;sourceID=57","")</f>
        <v/>
      </c>
      <c r="T662" s="4" t="str">
        <f>HYPERLINK("http://141.218.60.56/~jnz1568/getInfo.php?workbook=16_15.xlsx&amp;sheet=A0&amp;row=662&amp;col=20&amp;number=&amp;sourceID=57","")</f>
        <v/>
      </c>
      <c r="U662" s="4" t="str">
        <f>HYPERLINK("http://141.218.60.56/~jnz1568/getInfo.php?workbook=16_15.xlsx&amp;sheet=A0&amp;row=662&amp;col=21&amp;number=&amp;sourceID=47","")</f>
        <v/>
      </c>
      <c r="V662" s="4" t="str">
        <f>HYPERLINK("http://141.218.60.56/~jnz1568/getInfo.php?workbook=16_15.xlsx&amp;sheet=A0&amp;row=662&amp;col=22&amp;number=&amp;sourceID=47","")</f>
        <v/>
      </c>
    </row>
    <row r="663" spans="1:22">
      <c r="A663" s="3">
        <v>16</v>
      </c>
      <c r="B663" s="3">
        <v>15</v>
      </c>
      <c r="C663" s="3">
        <v>42</v>
      </c>
      <c r="D663" s="3">
        <v>22</v>
      </c>
      <c r="E663" s="3">
        <f>((1/(INDEX(E0!J$4:J$73,C663,1)-INDEX(E0!J$4:J$73,D663,1))))*100000000</f>
        <v>0</v>
      </c>
      <c r="F663" s="4" t="str">
        <f>HYPERLINK("http://141.218.60.56/~jnz1568/getInfo.php?workbook=16_15.xlsx&amp;sheet=A0&amp;row=663&amp;col=6&amp;number=5350&amp;sourceID=54","5350")</f>
        <v>5350</v>
      </c>
      <c r="G663" s="4" t="str">
        <f>HYPERLINK("http://141.218.60.56/~jnz1568/getInfo.php?workbook=16_15.xlsx&amp;sheet=A0&amp;row=663&amp;col=7&amp;number=&amp;sourceID=54","")</f>
        <v/>
      </c>
      <c r="H663" s="4" t="str">
        <f>HYPERLINK("http://141.218.60.56/~jnz1568/getInfo.php?workbook=16_15.xlsx&amp;sheet=A0&amp;row=663&amp;col=8&amp;number=&amp;sourceID=54","")</f>
        <v/>
      </c>
      <c r="I663" s="4" t="str">
        <f>HYPERLINK("http://141.218.60.56/~jnz1568/getInfo.php?workbook=16_15.xlsx&amp;sheet=A0&amp;row=663&amp;col=9&amp;number=9752.9&amp;sourceID=54","9752.9")</f>
        <v>9752.9</v>
      </c>
      <c r="J663" s="4" t="str">
        <f>HYPERLINK("http://141.218.60.56/~jnz1568/getInfo.php?workbook=16_15.xlsx&amp;sheet=A0&amp;row=663&amp;col=10&amp;number=&amp;sourceID=54","")</f>
        <v/>
      </c>
      <c r="K663" s="4" t="str">
        <f>HYPERLINK("http://141.218.60.56/~jnz1568/getInfo.php?workbook=16_15.xlsx&amp;sheet=A0&amp;row=663&amp;col=11&amp;number=&amp;sourceID=54","")</f>
        <v/>
      </c>
      <c r="L663" s="4" t="str">
        <f>HYPERLINK("http://141.218.60.56/~jnz1568/getInfo.php?workbook=16_15.xlsx&amp;sheet=A0&amp;row=663&amp;col=12&amp;number=5847.95330621&amp;sourceID=53","5847.95330621")</f>
        <v>5847.95330621</v>
      </c>
      <c r="M663" s="4" t="str">
        <f>HYPERLINK("http://141.218.60.56/~jnz1568/getInfo.php?workbook=16_15.xlsx&amp;sheet=A0&amp;row=663&amp;col=13&amp;number=&amp;sourceID=53","")</f>
        <v/>
      </c>
      <c r="N663" s="4" t="str">
        <f>HYPERLINK("http://141.218.60.56/~jnz1568/getInfo.php?workbook=16_15.xlsx&amp;sheet=A0&amp;row=663&amp;col=14&amp;number=&amp;sourceID=53","")</f>
        <v/>
      </c>
      <c r="O663" s="4" t="str">
        <f>HYPERLINK("http://141.218.60.56/~jnz1568/getInfo.php?workbook=16_15.xlsx&amp;sheet=A0&amp;row=663&amp;col=15&amp;number=&amp;sourceID=55","")</f>
        <v/>
      </c>
      <c r="P663" s="4" t="str">
        <f>HYPERLINK("http://141.218.60.56/~jnz1568/getInfo.php?workbook=16_15.xlsx&amp;sheet=A0&amp;row=663&amp;col=16&amp;number=&amp;sourceID=55","")</f>
        <v/>
      </c>
      <c r="Q663" s="4" t="str">
        <f>HYPERLINK("http://141.218.60.56/~jnz1568/getInfo.php?workbook=16_15.xlsx&amp;sheet=A0&amp;row=663&amp;col=17&amp;number=&amp;sourceID=56","")</f>
        <v/>
      </c>
      <c r="R663" s="4" t="str">
        <f>HYPERLINK("http://141.218.60.56/~jnz1568/getInfo.php?workbook=16_15.xlsx&amp;sheet=A0&amp;row=663&amp;col=18&amp;number=&amp;sourceID=56","")</f>
        <v/>
      </c>
      <c r="S663" s="4" t="str">
        <f>HYPERLINK("http://141.218.60.56/~jnz1568/getInfo.php?workbook=16_15.xlsx&amp;sheet=A0&amp;row=663&amp;col=19&amp;number=&amp;sourceID=57","")</f>
        <v/>
      </c>
      <c r="T663" s="4" t="str">
        <f>HYPERLINK("http://141.218.60.56/~jnz1568/getInfo.php?workbook=16_15.xlsx&amp;sheet=A0&amp;row=663&amp;col=20&amp;number=&amp;sourceID=57","")</f>
        <v/>
      </c>
      <c r="U663" s="4" t="str">
        <f>HYPERLINK("http://141.218.60.56/~jnz1568/getInfo.php?workbook=16_15.xlsx&amp;sheet=A0&amp;row=663&amp;col=21&amp;number=&amp;sourceID=47","")</f>
        <v/>
      </c>
      <c r="V663" s="4" t="str">
        <f>HYPERLINK("http://141.218.60.56/~jnz1568/getInfo.php?workbook=16_15.xlsx&amp;sheet=A0&amp;row=663&amp;col=22&amp;number=&amp;sourceID=47","")</f>
        <v/>
      </c>
    </row>
    <row r="664" spans="1:22">
      <c r="A664" s="3">
        <v>16</v>
      </c>
      <c r="B664" s="3">
        <v>15</v>
      </c>
      <c r="C664" s="3">
        <v>42</v>
      </c>
      <c r="D664" s="3">
        <v>23</v>
      </c>
      <c r="E664" s="3">
        <f>((1/(INDEX(E0!J$4:J$73,C664,1)-INDEX(E0!J$4:J$73,D664,1))))*100000000</f>
        <v>0</v>
      </c>
      <c r="F664" s="4" t="str">
        <f>HYPERLINK("http://141.218.60.56/~jnz1568/getInfo.php?workbook=16_15.xlsx&amp;sheet=A0&amp;row=664&amp;col=6&amp;number=44693&amp;sourceID=54","44693")</f>
        <v>44693</v>
      </c>
      <c r="G664" s="4" t="str">
        <f>HYPERLINK("http://141.218.60.56/~jnz1568/getInfo.php?workbook=16_15.xlsx&amp;sheet=A0&amp;row=664&amp;col=7&amp;number=&amp;sourceID=54","")</f>
        <v/>
      </c>
      <c r="H664" s="4" t="str">
        <f>HYPERLINK("http://141.218.60.56/~jnz1568/getInfo.php?workbook=16_15.xlsx&amp;sheet=A0&amp;row=664&amp;col=8&amp;number=&amp;sourceID=54","")</f>
        <v/>
      </c>
      <c r="I664" s="4" t="str">
        <f>HYPERLINK("http://141.218.60.56/~jnz1568/getInfo.php?workbook=16_15.xlsx&amp;sheet=A0&amp;row=664&amp;col=9&amp;number=76600&amp;sourceID=54","76600")</f>
        <v>76600</v>
      </c>
      <c r="J664" s="4" t="str">
        <f>HYPERLINK("http://141.218.60.56/~jnz1568/getInfo.php?workbook=16_15.xlsx&amp;sheet=A0&amp;row=664&amp;col=10&amp;number=&amp;sourceID=54","")</f>
        <v/>
      </c>
      <c r="K664" s="4" t="str">
        <f>HYPERLINK("http://141.218.60.56/~jnz1568/getInfo.php?workbook=16_15.xlsx&amp;sheet=A0&amp;row=664&amp;col=11&amp;number=&amp;sourceID=54","")</f>
        <v/>
      </c>
      <c r="L664" s="4" t="str">
        <f>HYPERLINK("http://141.218.60.56/~jnz1568/getInfo.php?workbook=16_15.xlsx&amp;sheet=A0&amp;row=664&amp;col=12&amp;number=68652.6178513&amp;sourceID=53","68652.6178513")</f>
        <v>68652.6178513</v>
      </c>
      <c r="M664" s="4" t="str">
        <f>HYPERLINK("http://141.218.60.56/~jnz1568/getInfo.php?workbook=16_15.xlsx&amp;sheet=A0&amp;row=664&amp;col=13&amp;number=&amp;sourceID=53","")</f>
        <v/>
      </c>
      <c r="N664" s="4" t="str">
        <f>HYPERLINK("http://141.218.60.56/~jnz1568/getInfo.php?workbook=16_15.xlsx&amp;sheet=A0&amp;row=664&amp;col=14&amp;number=&amp;sourceID=53","")</f>
        <v/>
      </c>
      <c r="O664" s="4" t="str">
        <f>HYPERLINK("http://141.218.60.56/~jnz1568/getInfo.php?workbook=16_15.xlsx&amp;sheet=A0&amp;row=664&amp;col=15&amp;number=&amp;sourceID=55","")</f>
        <v/>
      </c>
      <c r="P664" s="4" t="str">
        <f>HYPERLINK("http://141.218.60.56/~jnz1568/getInfo.php?workbook=16_15.xlsx&amp;sheet=A0&amp;row=664&amp;col=16&amp;number=&amp;sourceID=55","")</f>
        <v/>
      </c>
      <c r="Q664" s="4" t="str">
        <f>HYPERLINK("http://141.218.60.56/~jnz1568/getInfo.php?workbook=16_15.xlsx&amp;sheet=A0&amp;row=664&amp;col=17&amp;number=&amp;sourceID=56","")</f>
        <v/>
      </c>
      <c r="R664" s="4" t="str">
        <f>HYPERLINK("http://141.218.60.56/~jnz1568/getInfo.php?workbook=16_15.xlsx&amp;sheet=A0&amp;row=664&amp;col=18&amp;number=&amp;sourceID=56","")</f>
        <v/>
      </c>
      <c r="S664" s="4" t="str">
        <f>HYPERLINK("http://141.218.60.56/~jnz1568/getInfo.php?workbook=16_15.xlsx&amp;sheet=A0&amp;row=664&amp;col=19&amp;number=&amp;sourceID=57","")</f>
        <v/>
      </c>
      <c r="T664" s="4" t="str">
        <f>HYPERLINK("http://141.218.60.56/~jnz1568/getInfo.php?workbook=16_15.xlsx&amp;sheet=A0&amp;row=664&amp;col=20&amp;number=&amp;sourceID=57","")</f>
        <v/>
      </c>
      <c r="U664" s="4" t="str">
        <f>HYPERLINK("http://141.218.60.56/~jnz1568/getInfo.php?workbook=16_15.xlsx&amp;sheet=A0&amp;row=664&amp;col=21&amp;number=&amp;sourceID=47","")</f>
        <v/>
      </c>
      <c r="V664" s="4" t="str">
        <f>HYPERLINK("http://141.218.60.56/~jnz1568/getInfo.php?workbook=16_15.xlsx&amp;sheet=A0&amp;row=664&amp;col=22&amp;number=&amp;sourceID=47","")</f>
        <v/>
      </c>
    </row>
    <row r="665" spans="1:22">
      <c r="A665" s="3">
        <v>16</v>
      </c>
      <c r="B665" s="3">
        <v>15</v>
      </c>
      <c r="C665" s="3">
        <v>42</v>
      </c>
      <c r="D665" s="3">
        <v>24</v>
      </c>
      <c r="E665" s="3">
        <f>((1/(INDEX(E0!J$4:J$73,C665,1)-INDEX(E0!J$4:J$73,D665,1))))*100000000</f>
        <v>0</v>
      </c>
      <c r="F665" s="4" t="str">
        <f>HYPERLINK("http://141.218.60.56/~jnz1568/getInfo.php?workbook=16_15.xlsx&amp;sheet=A0&amp;row=665&amp;col=6&amp;number=74023&amp;sourceID=54","74023")</f>
        <v>74023</v>
      </c>
      <c r="G665" s="4" t="str">
        <f>HYPERLINK("http://141.218.60.56/~jnz1568/getInfo.php?workbook=16_15.xlsx&amp;sheet=A0&amp;row=665&amp;col=7&amp;number=&amp;sourceID=54","")</f>
        <v/>
      </c>
      <c r="H665" s="4" t="str">
        <f>HYPERLINK("http://141.218.60.56/~jnz1568/getInfo.php?workbook=16_15.xlsx&amp;sheet=A0&amp;row=665&amp;col=8&amp;number=&amp;sourceID=54","")</f>
        <v/>
      </c>
      <c r="I665" s="4" t="str">
        <f>HYPERLINK("http://141.218.60.56/~jnz1568/getInfo.php?workbook=16_15.xlsx&amp;sheet=A0&amp;row=665&amp;col=9&amp;number=306340&amp;sourceID=54","306340")</f>
        <v>306340</v>
      </c>
      <c r="J665" s="4" t="str">
        <f>HYPERLINK("http://141.218.60.56/~jnz1568/getInfo.php?workbook=16_15.xlsx&amp;sheet=A0&amp;row=665&amp;col=10&amp;number=&amp;sourceID=54","")</f>
        <v/>
      </c>
      <c r="K665" s="4" t="str">
        <f>HYPERLINK("http://141.218.60.56/~jnz1568/getInfo.php?workbook=16_15.xlsx&amp;sheet=A0&amp;row=665&amp;col=11&amp;number=&amp;sourceID=54","")</f>
        <v/>
      </c>
      <c r="L665" s="4" t="str">
        <f>HYPERLINK("http://141.218.60.56/~jnz1568/getInfo.php?workbook=16_15.xlsx&amp;sheet=A0&amp;row=665&amp;col=12&amp;number=311137.782614&amp;sourceID=53","311137.782614")</f>
        <v>311137.782614</v>
      </c>
      <c r="M665" s="4" t="str">
        <f>HYPERLINK("http://141.218.60.56/~jnz1568/getInfo.php?workbook=16_15.xlsx&amp;sheet=A0&amp;row=665&amp;col=13&amp;number=&amp;sourceID=53","")</f>
        <v/>
      </c>
      <c r="N665" s="4" t="str">
        <f>HYPERLINK("http://141.218.60.56/~jnz1568/getInfo.php?workbook=16_15.xlsx&amp;sheet=A0&amp;row=665&amp;col=14&amp;number=&amp;sourceID=53","")</f>
        <v/>
      </c>
      <c r="O665" s="4" t="str">
        <f>HYPERLINK("http://141.218.60.56/~jnz1568/getInfo.php?workbook=16_15.xlsx&amp;sheet=A0&amp;row=665&amp;col=15&amp;number=&amp;sourceID=55","")</f>
        <v/>
      </c>
      <c r="P665" s="4" t="str">
        <f>HYPERLINK("http://141.218.60.56/~jnz1568/getInfo.php?workbook=16_15.xlsx&amp;sheet=A0&amp;row=665&amp;col=16&amp;number=&amp;sourceID=55","")</f>
        <v/>
      </c>
      <c r="Q665" s="4" t="str">
        <f>HYPERLINK("http://141.218.60.56/~jnz1568/getInfo.php?workbook=16_15.xlsx&amp;sheet=A0&amp;row=665&amp;col=17&amp;number=&amp;sourceID=56","")</f>
        <v/>
      </c>
      <c r="R665" s="4" t="str">
        <f>HYPERLINK("http://141.218.60.56/~jnz1568/getInfo.php?workbook=16_15.xlsx&amp;sheet=A0&amp;row=665&amp;col=18&amp;number=&amp;sourceID=56","")</f>
        <v/>
      </c>
      <c r="S665" s="4" t="str">
        <f>HYPERLINK("http://141.218.60.56/~jnz1568/getInfo.php?workbook=16_15.xlsx&amp;sheet=A0&amp;row=665&amp;col=19&amp;number=&amp;sourceID=57","")</f>
        <v/>
      </c>
      <c r="T665" s="4" t="str">
        <f>HYPERLINK("http://141.218.60.56/~jnz1568/getInfo.php?workbook=16_15.xlsx&amp;sheet=A0&amp;row=665&amp;col=20&amp;number=&amp;sourceID=57","")</f>
        <v/>
      </c>
      <c r="U665" s="4" t="str">
        <f>HYPERLINK("http://141.218.60.56/~jnz1568/getInfo.php?workbook=16_15.xlsx&amp;sheet=A0&amp;row=665&amp;col=21&amp;number=&amp;sourceID=47","")</f>
        <v/>
      </c>
      <c r="V665" s="4" t="str">
        <f>HYPERLINK("http://141.218.60.56/~jnz1568/getInfo.php?workbook=16_15.xlsx&amp;sheet=A0&amp;row=665&amp;col=22&amp;number=&amp;sourceID=47","")</f>
        <v/>
      </c>
    </row>
    <row r="666" spans="1:22">
      <c r="A666" s="3">
        <v>16</v>
      </c>
      <c r="B666" s="3">
        <v>15</v>
      </c>
      <c r="C666" s="3">
        <v>42</v>
      </c>
      <c r="D666" s="3">
        <v>26</v>
      </c>
      <c r="E666" s="3">
        <f>((1/(INDEX(E0!J$4:J$73,C666,1)-INDEX(E0!J$4:J$73,D666,1))))*100000000</f>
        <v>0</v>
      </c>
      <c r="F666" s="4" t="str">
        <f>HYPERLINK("http://141.218.60.56/~jnz1568/getInfo.php?workbook=16_15.xlsx&amp;sheet=A0&amp;row=666&amp;col=6&amp;number=18656000&amp;sourceID=54","18656000")</f>
        <v>18656000</v>
      </c>
      <c r="G666" s="4" t="str">
        <f>HYPERLINK("http://141.218.60.56/~jnz1568/getInfo.php?workbook=16_15.xlsx&amp;sheet=A0&amp;row=666&amp;col=7&amp;number=&amp;sourceID=54","")</f>
        <v/>
      </c>
      <c r="H666" s="4" t="str">
        <f>HYPERLINK("http://141.218.60.56/~jnz1568/getInfo.php?workbook=16_15.xlsx&amp;sheet=A0&amp;row=666&amp;col=8&amp;number=&amp;sourceID=54","")</f>
        <v/>
      </c>
      <c r="I666" s="4" t="str">
        <f>HYPERLINK("http://141.218.60.56/~jnz1568/getInfo.php?workbook=16_15.xlsx&amp;sheet=A0&amp;row=666&amp;col=9&amp;number=20444000&amp;sourceID=54","20444000")</f>
        <v>20444000</v>
      </c>
      <c r="J666" s="4" t="str">
        <f>HYPERLINK("http://141.218.60.56/~jnz1568/getInfo.php?workbook=16_15.xlsx&amp;sheet=A0&amp;row=666&amp;col=10&amp;number=&amp;sourceID=54","")</f>
        <v/>
      </c>
      <c r="K666" s="4" t="str">
        <f>HYPERLINK("http://141.218.60.56/~jnz1568/getInfo.php?workbook=16_15.xlsx&amp;sheet=A0&amp;row=666&amp;col=11&amp;number=&amp;sourceID=54","")</f>
        <v/>
      </c>
      <c r="L666" s="4" t="str">
        <f>HYPERLINK("http://141.218.60.56/~jnz1568/getInfo.php?workbook=16_15.xlsx&amp;sheet=A0&amp;row=666&amp;col=12&amp;number=21124834.2706&amp;sourceID=53","21124834.2706")</f>
        <v>21124834.2706</v>
      </c>
      <c r="M666" s="4" t="str">
        <f>HYPERLINK("http://141.218.60.56/~jnz1568/getInfo.php?workbook=16_15.xlsx&amp;sheet=A0&amp;row=666&amp;col=13&amp;number=&amp;sourceID=53","")</f>
        <v/>
      </c>
      <c r="N666" s="4" t="str">
        <f>HYPERLINK("http://141.218.60.56/~jnz1568/getInfo.php?workbook=16_15.xlsx&amp;sheet=A0&amp;row=666&amp;col=14&amp;number=&amp;sourceID=53","")</f>
        <v/>
      </c>
      <c r="O666" s="4" t="str">
        <f>HYPERLINK("http://141.218.60.56/~jnz1568/getInfo.php?workbook=16_15.xlsx&amp;sheet=A0&amp;row=666&amp;col=15&amp;number=&amp;sourceID=55","")</f>
        <v/>
      </c>
      <c r="P666" s="4" t="str">
        <f>HYPERLINK("http://141.218.60.56/~jnz1568/getInfo.php?workbook=16_15.xlsx&amp;sheet=A0&amp;row=666&amp;col=16&amp;number=&amp;sourceID=55","")</f>
        <v/>
      </c>
      <c r="Q666" s="4" t="str">
        <f>HYPERLINK("http://141.218.60.56/~jnz1568/getInfo.php?workbook=16_15.xlsx&amp;sheet=A0&amp;row=666&amp;col=17&amp;number=&amp;sourceID=56","")</f>
        <v/>
      </c>
      <c r="R666" s="4" t="str">
        <f>HYPERLINK("http://141.218.60.56/~jnz1568/getInfo.php?workbook=16_15.xlsx&amp;sheet=A0&amp;row=666&amp;col=18&amp;number=&amp;sourceID=56","")</f>
        <v/>
      </c>
      <c r="S666" s="4" t="str">
        <f>HYPERLINK("http://141.218.60.56/~jnz1568/getInfo.php?workbook=16_15.xlsx&amp;sheet=A0&amp;row=666&amp;col=19&amp;number=&amp;sourceID=57","")</f>
        <v/>
      </c>
      <c r="T666" s="4" t="str">
        <f>HYPERLINK("http://141.218.60.56/~jnz1568/getInfo.php?workbook=16_15.xlsx&amp;sheet=A0&amp;row=666&amp;col=20&amp;number=&amp;sourceID=57","")</f>
        <v/>
      </c>
      <c r="U666" s="4" t="str">
        <f>HYPERLINK("http://141.218.60.56/~jnz1568/getInfo.php?workbook=16_15.xlsx&amp;sheet=A0&amp;row=666&amp;col=21&amp;number=&amp;sourceID=47","")</f>
        <v/>
      </c>
      <c r="V666" s="4" t="str">
        <f>HYPERLINK("http://141.218.60.56/~jnz1568/getInfo.php?workbook=16_15.xlsx&amp;sheet=A0&amp;row=666&amp;col=22&amp;number=&amp;sourceID=47","")</f>
        <v/>
      </c>
    </row>
    <row r="667" spans="1:22">
      <c r="A667" s="3">
        <v>16</v>
      </c>
      <c r="B667" s="3">
        <v>15</v>
      </c>
      <c r="C667" s="3">
        <v>42</v>
      </c>
      <c r="D667" s="3">
        <v>28</v>
      </c>
      <c r="E667" s="3">
        <f>((1/(INDEX(E0!J$4:J$73,C667,1)-INDEX(E0!J$4:J$73,D667,1))))*100000000</f>
        <v>0</v>
      </c>
      <c r="F667" s="4" t="str">
        <f>HYPERLINK("http://141.218.60.56/~jnz1568/getInfo.php?workbook=16_15.xlsx&amp;sheet=A0&amp;row=667&amp;col=6&amp;number=9.5281&amp;sourceID=54","9.5281")</f>
        <v>9.5281</v>
      </c>
      <c r="G667" s="4" t="str">
        <f>HYPERLINK("http://141.218.60.56/~jnz1568/getInfo.php?workbook=16_15.xlsx&amp;sheet=A0&amp;row=667&amp;col=7&amp;number=&amp;sourceID=54","")</f>
        <v/>
      </c>
      <c r="H667" s="4" t="str">
        <f>HYPERLINK("http://141.218.60.56/~jnz1568/getInfo.php?workbook=16_15.xlsx&amp;sheet=A0&amp;row=667&amp;col=8&amp;number=&amp;sourceID=54","")</f>
        <v/>
      </c>
      <c r="I667" s="4" t="str">
        <f>HYPERLINK("http://141.218.60.56/~jnz1568/getInfo.php?workbook=16_15.xlsx&amp;sheet=A0&amp;row=667&amp;col=9&amp;number=14.363&amp;sourceID=54","14.363")</f>
        <v>14.363</v>
      </c>
      <c r="J667" s="4" t="str">
        <f>HYPERLINK("http://141.218.60.56/~jnz1568/getInfo.php?workbook=16_15.xlsx&amp;sheet=A0&amp;row=667&amp;col=10&amp;number=&amp;sourceID=54","")</f>
        <v/>
      </c>
      <c r="K667" s="4" t="str">
        <f>HYPERLINK("http://141.218.60.56/~jnz1568/getInfo.php?workbook=16_15.xlsx&amp;sheet=A0&amp;row=667&amp;col=11&amp;number=&amp;sourceID=54","")</f>
        <v/>
      </c>
      <c r="L667" s="4" t="str">
        <f>HYPERLINK("http://141.218.60.56/~jnz1568/getInfo.php?workbook=16_15.xlsx&amp;sheet=A0&amp;row=667&amp;col=12&amp;number=56.7912034175&amp;sourceID=53","56.7912034175")</f>
        <v>56.7912034175</v>
      </c>
      <c r="M667" s="4" t="str">
        <f>HYPERLINK("http://141.218.60.56/~jnz1568/getInfo.php?workbook=16_15.xlsx&amp;sheet=A0&amp;row=667&amp;col=13&amp;number=&amp;sourceID=53","")</f>
        <v/>
      </c>
      <c r="N667" s="4" t="str">
        <f>HYPERLINK("http://141.218.60.56/~jnz1568/getInfo.php?workbook=16_15.xlsx&amp;sheet=A0&amp;row=667&amp;col=14&amp;number=&amp;sourceID=53","")</f>
        <v/>
      </c>
      <c r="O667" s="4" t="str">
        <f>HYPERLINK("http://141.218.60.56/~jnz1568/getInfo.php?workbook=16_15.xlsx&amp;sheet=A0&amp;row=667&amp;col=15&amp;number=&amp;sourceID=55","")</f>
        <v/>
      </c>
      <c r="P667" s="4" t="str">
        <f>HYPERLINK("http://141.218.60.56/~jnz1568/getInfo.php?workbook=16_15.xlsx&amp;sheet=A0&amp;row=667&amp;col=16&amp;number=&amp;sourceID=55","")</f>
        <v/>
      </c>
      <c r="Q667" s="4" t="str">
        <f>HYPERLINK("http://141.218.60.56/~jnz1568/getInfo.php?workbook=16_15.xlsx&amp;sheet=A0&amp;row=667&amp;col=17&amp;number=&amp;sourceID=56","")</f>
        <v/>
      </c>
      <c r="R667" s="4" t="str">
        <f>HYPERLINK("http://141.218.60.56/~jnz1568/getInfo.php?workbook=16_15.xlsx&amp;sheet=A0&amp;row=667&amp;col=18&amp;number=&amp;sourceID=56","")</f>
        <v/>
      </c>
      <c r="S667" s="4" t="str">
        <f>HYPERLINK("http://141.218.60.56/~jnz1568/getInfo.php?workbook=16_15.xlsx&amp;sheet=A0&amp;row=667&amp;col=19&amp;number=&amp;sourceID=57","")</f>
        <v/>
      </c>
      <c r="T667" s="4" t="str">
        <f>HYPERLINK("http://141.218.60.56/~jnz1568/getInfo.php?workbook=16_15.xlsx&amp;sheet=A0&amp;row=667&amp;col=20&amp;number=&amp;sourceID=57","")</f>
        <v/>
      </c>
      <c r="U667" s="4" t="str">
        <f>HYPERLINK("http://141.218.60.56/~jnz1568/getInfo.php?workbook=16_15.xlsx&amp;sheet=A0&amp;row=667&amp;col=21&amp;number=&amp;sourceID=47","")</f>
        <v/>
      </c>
      <c r="V667" s="4" t="str">
        <f>HYPERLINK("http://141.218.60.56/~jnz1568/getInfo.php?workbook=16_15.xlsx&amp;sheet=A0&amp;row=667&amp;col=22&amp;number=&amp;sourceID=47","")</f>
        <v/>
      </c>
    </row>
    <row r="668" spans="1:22">
      <c r="A668" s="3">
        <v>16</v>
      </c>
      <c r="B668" s="3">
        <v>15</v>
      </c>
      <c r="C668" s="3">
        <v>42</v>
      </c>
      <c r="D668" s="3">
        <v>29</v>
      </c>
      <c r="E668" s="3">
        <f>((1/(INDEX(E0!J$4:J$73,C668,1)-INDEX(E0!J$4:J$73,D668,1))))*100000000</f>
        <v>0</v>
      </c>
      <c r="F668" s="4" t="str">
        <f>HYPERLINK("http://141.218.60.56/~jnz1568/getInfo.php?workbook=16_15.xlsx&amp;sheet=A0&amp;row=668&amp;col=6&amp;number=951270&amp;sourceID=54","951270")</f>
        <v>951270</v>
      </c>
      <c r="G668" s="4" t="str">
        <f>HYPERLINK("http://141.218.60.56/~jnz1568/getInfo.php?workbook=16_15.xlsx&amp;sheet=A0&amp;row=668&amp;col=7&amp;number=&amp;sourceID=54","")</f>
        <v/>
      </c>
      <c r="H668" s="4" t="str">
        <f>HYPERLINK("http://141.218.60.56/~jnz1568/getInfo.php?workbook=16_15.xlsx&amp;sheet=A0&amp;row=668&amp;col=8&amp;number=&amp;sourceID=54","")</f>
        <v/>
      </c>
      <c r="I668" s="4" t="str">
        <f>HYPERLINK("http://141.218.60.56/~jnz1568/getInfo.php?workbook=16_15.xlsx&amp;sheet=A0&amp;row=668&amp;col=9&amp;number=988890&amp;sourceID=54","988890")</f>
        <v>988890</v>
      </c>
      <c r="J668" s="4" t="str">
        <f>HYPERLINK("http://141.218.60.56/~jnz1568/getInfo.php?workbook=16_15.xlsx&amp;sheet=A0&amp;row=668&amp;col=10&amp;number=&amp;sourceID=54","")</f>
        <v/>
      </c>
      <c r="K668" s="4" t="str">
        <f>HYPERLINK("http://141.218.60.56/~jnz1568/getInfo.php?workbook=16_15.xlsx&amp;sheet=A0&amp;row=668&amp;col=11&amp;number=&amp;sourceID=54","")</f>
        <v/>
      </c>
      <c r="L668" s="4" t="str">
        <f>HYPERLINK("http://141.218.60.56/~jnz1568/getInfo.php?workbook=16_15.xlsx&amp;sheet=A0&amp;row=668&amp;col=12&amp;number=1134475.85854&amp;sourceID=53","1134475.85854")</f>
        <v>1134475.85854</v>
      </c>
      <c r="M668" s="4" t="str">
        <f>HYPERLINK("http://141.218.60.56/~jnz1568/getInfo.php?workbook=16_15.xlsx&amp;sheet=A0&amp;row=668&amp;col=13&amp;number=&amp;sourceID=53","")</f>
        <v/>
      </c>
      <c r="N668" s="4" t="str">
        <f>HYPERLINK("http://141.218.60.56/~jnz1568/getInfo.php?workbook=16_15.xlsx&amp;sheet=A0&amp;row=668&amp;col=14&amp;number=&amp;sourceID=53","")</f>
        <v/>
      </c>
      <c r="O668" s="4" t="str">
        <f>HYPERLINK("http://141.218.60.56/~jnz1568/getInfo.php?workbook=16_15.xlsx&amp;sheet=A0&amp;row=668&amp;col=15&amp;number=&amp;sourceID=55","")</f>
        <v/>
      </c>
      <c r="P668" s="4" t="str">
        <f>HYPERLINK("http://141.218.60.56/~jnz1568/getInfo.php?workbook=16_15.xlsx&amp;sheet=A0&amp;row=668&amp;col=16&amp;number=&amp;sourceID=55","")</f>
        <v/>
      </c>
      <c r="Q668" s="4" t="str">
        <f>HYPERLINK("http://141.218.60.56/~jnz1568/getInfo.php?workbook=16_15.xlsx&amp;sheet=A0&amp;row=668&amp;col=17&amp;number=&amp;sourceID=56","")</f>
        <v/>
      </c>
      <c r="R668" s="4" t="str">
        <f>HYPERLINK("http://141.218.60.56/~jnz1568/getInfo.php?workbook=16_15.xlsx&amp;sheet=A0&amp;row=668&amp;col=18&amp;number=&amp;sourceID=56","")</f>
        <v/>
      </c>
      <c r="S668" s="4" t="str">
        <f>HYPERLINK("http://141.218.60.56/~jnz1568/getInfo.php?workbook=16_15.xlsx&amp;sheet=A0&amp;row=668&amp;col=19&amp;number=&amp;sourceID=57","")</f>
        <v/>
      </c>
      <c r="T668" s="4" t="str">
        <f>HYPERLINK("http://141.218.60.56/~jnz1568/getInfo.php?workbook=16_15.xlsx&amp;sheet=A0&amp;row=668&amp;col=20&amp;number=&amp;sourceID=57","")</f>
        <v/>
      </c>
      <c r="U668" s="4" t="str">
        <f>HYPERLINK("http://141.218.60.56/~jnz1568/getInfo.php?workbook=16_15.xlsx&amp;sheet=A0&amp;row=668&amp;col=21&amp;number=&amp;sourceID=47","")</f>
        <v/>
      </c>
      <c r="V668" s="4" t="str">
        <f>HYPERLINK("http://141.218.60.56/~jnz1568/getInfo.php?workbook=16_15.xlsx&amp;sheet=A0&amp;row=668&amp;col=22&amp;number=&amp;sourceID=47","")</f>
        <v/>
      </c>
    </row>
    <row r="669" spans="1:22">
      <c r="A669" s="3">
        <v>16</v>
      </c>
      <c r="B669" s="3">
        <v>15</v>
      </c>
      <c r="C669" s="3">
        <v>42</v>
      </c>
      <c r="D669" s="3">
        <v>30</v>
      </c>
      <c r="E669" s="3">
        <f>((1/(INDEX(E0!J$4:J$73,C669,1)-INDEX(E0!J$4:J$73,D669,1))))*100000000</f>
        <v>0</v>
      </c>
      <c r="F669" s="4" t="str">
        <f>HYPERLINK("http://141.218.60.56/~jnz1568/getInfo.php?workbook=16_15.xlsx&amp;sheet=A0&amp;row=669&amp;col=6&amp;number=116600&amp;sourceID=54","116600")</f>
        <v>116600</v>
      </c>
      <c r="G669" s="4" t="str">
        <f>HYPERLINK("http://141.218.60.56/~jnz1568/getInfo.php?workbook=16_15.xlsx&amp;sheet=A0&amp;row=669&amp;col=7&amp;number=&amp;sourceID=54","")</f>
        <v/>
      </c>
      <c r="H669" s="4" t="str">
        <f>HYPERLINK("http://141.218.60.56/~jnz1568/getInfo.php?workbook=16_15.xlsx&amp;sheet=A0&amp;row=669&amp;col=8&amp;number=&amp;sourceID=54","")</f>
        <v/>
      </c>
      <c r="I669" s="4" t="str">
        <f>HYPERLINK("http://141.218.60.56/~jnz1568/getInfo.php?workbook=16_15.xlsx&amp;sheet=A0&amp;row=669&amp;col=9&amp;number=121800&amp;sourceID=54","121800")</f>
        <v>121800</v>
      </c>
      <c r="J669" s="4" t="str">
        <f>HYPERLINK("http://141.218.60.56/~jnz1568/getInfo.php?workbook=16_15.xlsx&amp;sheet=A0&amp;row=669&amp;col=10&amp;number=&amp;sourceID=54","")</f>
        <v/>
      </c>
      <c r="K669" s="4" t="str">
        <f>HYPERLINK("http://141.218.60.56/~jnz1568/getInfo.php?workbook=16_15.xlsx&amp;sheet=A0&amp;row=669&amp;col=11&amp;number=&amp;sourceID=54","")</f>
        <v/>
      </c>
      <c r="L669" s="4" t="str">
        <f>HYPERLINK("http://141.218.60.56/~jnz1568/getInfo.php?workbook=16_15.xlsx&amp;sheet=A0&amp;row=669&amp;col=12&amp;number=136768.434942&amp;sourceID=53","136768.434942")</f>
        <v>136768.434942</v>
      </c>
      <c r="M669" s="4" t="str">
        <f>HYPERLINK("http://141.218.60.56/~jnz1568/getInfo.php?workbook=16_15.xlsx&amp;sheet=A0&amp;row=669&amp;col=13&amp;number=&amp;sourceID=53","")</f>
        <v/>
      </c>
      <c r="N669" s="4" t="str">
        <f>HYPERLINK("http://141.218.60.56/~jnz1568/getInfo.php?workbook=16_15.xlsx&amp;sheet=A0&amp;row=669&amp;col=14&amp;number=&amp;sourceID=53","")</f>
        <v/>
      </c>
      <c r="O669" s="4" t="str">
        <f>HYPERLINK("http://141.218.60.56/~jnz1568/getInfo.php?workbook=16_15.xlsx&amp;sheet=A0&amp;row=669&amp;col=15&amp;number=&amp;sourceID=55","")</f>
        <v/>
      </c>
      <c r="P669" s="4" t="str">
        <f>HYPERLINK("http://141.218.60.56/~jnz1568/getInfo.php?workbook=16_15.xlsx&amp;sheet=A0&amp;row=669&amp;col=16&amp;number=&amp;sourceID=55","")</f>
        <v/>
      </c>
      <c r="Q669" s="4" t="str">
        <f>HYPERLINK("http://141.218.60.56/~jnz1568/getInfo.php?workbook=16_15.xlsx&amp;sheet=A0&amp;row=669&amp;col=17&amp;number=&amp;sourceID=56","")</f>
        <v/>
      </c>
      <c r="R669" s="4" t="str">
        <f>HYPERLINK("http://141.218.60.56/~jnz1568/getInfo.php?workbook=16_15.xlsx&amp;sheet=A0&amp;row=669&amp;col=18&amp;number=&amp;sourceID=56","")</f>
        <v/>
      </c>
      <c r="S669" s="4" t="str">
        <f>HYPERLINK("http://141.218.60.56/~jnz1568/getInfo.php?workbook=16_15.xlsx&amp;sheet=A0&amp;row=669&amp;col=19&amp;number=&amp;sourceID=57","")</f>
        <v/>
      </c>
      <c r="T669" s="4" t="str">
        <f>HYPERLINK("http://141.218.60.56/~jnz1568/getInfo.php?workbook=16_15.xlsx&amp;sheet=A0&amp;row=669&amp;col=20&amp;number=&amp;sourceID=57","")</f>
        <v/>
      </c>
      <c r="U669" s="4" t="str">
        <f>HYPERLINK("http://141.218.60.56/~jnz1568/getInfo.php?workbook=16_15.xlsx&amp;sheet=A0&amp;row=669&amp;col=21&amp;number=&amp;sourceID=47","")</f>
        <v/>
      </c>
      <c r="V669" s="4" t="str">
        <f>HYPERLINK("http://141.218.60.56/~jnz1568/getInfo.php?workbook=16_15.xlsx&amp;sheet=A0&amp;row=669&amp;col=22&amp;number=&amp;sourceID=47","")</f>
        <v/>
      </c>
    </row>
    <row r="670" spans="1:22">
      <c r="A670" s="3">
        <v>16</v>
      </c>
      <c r="B670" s="3">
        <v>15</v>
      </c>
      <c r="C670" s="3">
        <v>42</v>
      </c>
      <c r="D670" s="3">
        <v>31</v>
      </c>
      <c r="E670" s="3">
        <f>((1/(INDEX(E0!J$4:J$73,C670,1)-INDEX(E0!J$4:J$73,D670,1))))*100000000</f>
        <v>0</v>
      </c>
      <c r="F670" s="4" t="str">
        <f>HYPERLINK("http://141.218.60.56/~jnz1568/getInfo.php?workbook=16_15.xlsx&amp;sheet=A0&amp;row=670&amp;col=6&amp;number=&amp;sourceID=54","")</f>
        <v/>
      </c>
      <c r="G670" s="4" t="str">
        <f>HYPERLINK("http://141.218.60.56/~jnz1568/getInfo.php?workbook=16_15.xlsx&amp;sheet=A0&amp;row=670&amp;col=7&amp;number=0.030685&amp;sourceID=54","0.030685")</f>
        <v>0.030685</v>
      </c>
      <c r="H670" s="4" t="str">
        <f>HYPERLINK("http://141.218.60.56/~jnz1568/getInfo.php?workbook=16_15.xlsx&amp;sheet=A0&amp;row=670&amp;col=8&amp;number=5.8812e-05&amp;sourceID=54","5.8812e-05")</f>
        <v>5.8812e-05</v>
      </c>
      <c r="I670" s="4" t="str">
        <f>HYPERLINK("http://141.218.60.56/~jnz1568/getInfo.php?workbook=16_15.xlsx&amp;sheet=A0&amp;row=670&amp;col=9&amp;number=&amp;sourceID=54","")</f>
        <v/>
      </c>
      <c r="J670" s="4" t="str">
        <f>HYPERLINK("http://141.218.60.56/~jnz1568/getInfo.php?workbook=16_15.xlsx&amp;sheet=A0&amp;row=670&amp;col=10&amp;number=0.028316&amp;sourceID=54","0.028316")</f>
        <v>0.028316</v>
      </c>
      <c r="K670" s="4" t="str">
        <f>HYPERLINK("http://141.218.60.56/~jnz1568/getInfo.php?workbook=16_15.xlsx&amp;sheet=A0&amp;row=670&amp;col=11&amp;number=8.3891e-05&amp;sourceID=54","8.3891e-05")</f>
        <v>8.3891e-05</v>
      </c>
      <c r="L670" s="4" t="str">
        <f>HYPERLINK("http://141.218.60.56/~jnz1568/getInfo.php?workbook=16_15.xlsx&amp;sheet=A0&amp;row=670&amp;col=12&amp;number=&amp;sourceID=53","")</f>
        <v/>
      </c>
      <c r="M670" s="4" t="str">
        <f>HYPERLINK("http://141.218.60.56/~jnz1568/getInfo.php?workbook=16_15.xlsx&amp;sheet=A0&amp;row=670&amp;col=13&amp;number=&amp;sourceID=53","")</f>
        <v/>
      </c>
      <c r="N670" s="4" t="str">
        <f>HYPERLINK("http://141.218.60.56/~jnz1568/getInfo.php?workbook=16_15.xlsx&amp;sheet=A0&amp;row=670&amp;col=14&amp;number=&amp;sourceID=53","")</f>
        <v/>
      </c>
      <c r="O670" s="4" t="str">
        <f>HYPERLINK("http://141.218.60.56/~jnz1568/getInfo.php?workbook=16_15.xlsx&amp;sheet=A0&amp;row=670&amp;col=15&amp;number=&amp;sourceID=55","")</f>
        <v/>
      </c>
      <c r="P670" s="4" t="str">
        <f>HYPERLINK("http://141.218.60.56/~jnz1568/getInfo.php?workbook=16_15.xlsx&amp;sheet=A0&amp;row=670&amp;col=16&amp;number=&amp;sourceID=55","")</f>
        <v/>
      </c>
      <c r="Q670" s="4" t="str">
        <f>HYPERLINK("http://141.218.60.56/~jnz1568/getInfo.php?workbook=16_15.xlsx&amp;sheet=A0&amp;row=670&amp;col=17&amp;number=&amp;sourceID=56","")</f>
        <v/>
      </c>
      <c r="R670" s="4" t="str">
        <f>HYPERLINK("http://141.218.60.56/~jnz1568/getInfo.php?workbook=16_15.xlsx&amp;sheet=A0&amp;row=670&amp;col=18&amp;number=&amp;sourceID=56","")</f>
        <v/>
      </c>
      <c r="S670" s="4" t="str">
        <f>HYPERLINK("http://141.218.60.56/~jnz1568/getInfo.php?workbook=16_15.xlsx&amp;sheet=A0&amp;row=670&amp;col=19&amp;number=&amp;sourceID=57","")</f>
        <v/>
      </c>
      <c r="T670" s="4" t="str">
        <f>HYPERLINK("http://141.218.60.56/~jnz1568/getInfo.php?workbook=16_15.xlsx&amp;sheet=A0&amp;row=670&amp;col=20&amp;number=&amp;sourceID=57","")</f>
        <v/>
      </c>
      <c r="U670" s="4" t="str">
        <f>HYPERLINK("http://141.218.60.56/~jnz1568/getInfo.php?workbook=16_15.xlsx&amp;sheet=A0&amp;row=670&amp;col=21&amp;number=&amp;sourceID=47","")</f>
        <v/>
      </c>
      <c r="V670" s="4" t="str">
        <f>HYPERLINK("http://141.218.60.56/~jnz1568/getInfo.php?workbook=16_15.xlsx&amp;sheet=A0&amp;row=670&amp;col=22&amp;number=&amp;sourceID=47","")</f>
        <v/>
      </c>
    </row>
    <row r="671" spans="1:22">
      <c r="A671" s="3">
        <v>16</v>
      </c>
      <c r="B671" s="3">
        <v>15</v>
      </c>
      <c r="C671" s="3">
        <v>42</v>
      </c>
      <c r="D671" s="3">
        <v>34</v>
      </c>
      <c r="E671" s="3">
        <f>((1/(INDEX(E0!J$4:J$73,C671,1)-INDEX(E0!J$4:J$73,D671,1))))*100000000</f>
        <v>0</v>
      </c>
      <c r="F671" s="4" t="str">
        <f>HYPERLINK("http://141.218.60.56/~jnz1568/getInfo.php?workbook=16_15.xlsx&amp;sheet=A0&amp;row=671&amp;col=6&amp;number=&amp;sourceID=54","")</f>
        <v/>
      </c>
      <c r="G671" s="4" t="str">
        <f>HYPERLINK("http://141.218.60.56/~jnz1568/getInfo.php?workbook=16_15.xlsx&amp;sheet=A0&amp;row=671&amp;col=7&amp;number=2.6135e-05&amp;sourceID=54","2.6135e-05")</f>
        <v>2.6135e-05</v>
      </c>
      <c r="H671" s="4" t="str">
        <f>HYPERLINK("http://141.218.60.56/~jnz1568/getInfo.php?workbook=16_15.xlsx&amp;sheet=A0&amp;row=671&amp;col=8&amp;number=0.00024091&amp;sourceID=54","0.00024091")</f>
        <v>0.00024091</v>
      </c>
      <c r="I671" s="4" t="str">
        <f>HYPERLINK("http://141.218.60.56/~jnz1568/getInfo.php?workbook=16_15.xlsx&amp;sheet=A0&amp;row=671&amp;col=9&amp;number=&amp;sourceID=54","")</f>
        <v/>
      </c>
      <c r="J671" s="4" t="str">
        <f>HYPERLINK("http://141.218.60.56/~jnz1568/getInfo.php?workbook=16_15.xlsx&amp;sheet=A0&amp;row=671&amp;col=10&amp;number=2.2805e-05&amp;sourceID=54","2.2805e-05")</f>
        <v>2.2805e-05</v>
      </c>
      <c r="K671" s="4" t="str">
        <f>HYPERLINK("http://141.218.60.56/~jnz1568/getInfo.php?workbook=16_15.xlsx&amp;sheet=A0&amp;row=671&amp;col=11&amp;number=0.00022239&amp;sourceID=54","0.00022239")</f>
        <v>0.00022239</v>
      </c>
      <c r="L671" s="4" t="str">
        <f>HYPERLINK("http://141.218.60.56/~jnz1568/getInfo.php?workbook=16_15.xlsx&amp;sheet=A0&amp;row=671&amp;col=12&amp;number=&amp;sourceID=53","")</f>
        <v/>
      </c>
      <c r="M671" s="4" t="str">
        <f>HYPERLINK("http://141.218.60.56/~jnz1568/getInfo.php?workbook=16_15.xlsx&amp;sheet=A0&amp;row=671&amp;col=13&amp;number=&amp;sourceID=53","")</f>
        <v/>
      </c>
      <c r="N671" s="4" t="str">
        <f>HYPERLINK("http://141.218.60.56/~jnz1568/getInfo.php?workbook=16_15.xlsx&amp;sheet=A0&amp;row=671&amp;col=14&amp;number=&amp;sourceID=53","")</f>
        <v/>
      </c>
      <c r="O671" s="4" t="str">
        <f>HYPERLINK("http://141.218.60.56/~jnz1568/getInfo.php?workbook=16_15.xlsx&amp;sheet=A0&amp;row=671&amp;col=15&amp;number=&amp;sourceID=55","")</f>
        <v/>
      </c>
      <c r="P671" s="4" t="str">
        <f>HYPERLINK("http://141.218.60.56/~jnz1568/getInfo.php?workbook=16_15.xlsx&amp;sheet=A0&amp;row=671&amp;col=16&amp;number=&amp;sourceID=55","")</f>
        <v/>
      </c>
      <c r="Q671" s="4" t="str">
        <f>HYPERLINK("http://141.218.60.56/~jnz1568/getInfo.php?workbook=16_15.xlsx&amp;sheet=A0&amp;row=671&amp;col=17&amp;number=&amp;sourceID=56","")</f>
        <v/>
      </c>
      <c r="R671" s="4" t="str">
        <f>HYPERLINK("http://141.218.60.56/~jnz1568/getInfo.php?workbook=16_15.xlsx&amp;sheet=A0&amp;row=671&amp;col=18&amp;number=&amp;sourceID=56","")</f>
        <v/>
      </c>
      <c r="S671" s="4" t="str">
        <f>HYPERLINK("http://141.218.60.56/~jnz1568/getInfo.php?workbook=16_15.xlsx&amp;sheet=A0&amp;row=671&amp;col=19&amp;number=&amp;sourceID=57","")</f>
        <v/>
      </c>
      <c r="T671" s="4" t="str">
        <f>HYPERLINK("http://141.218.60.56/~jnz1568/getInfo.php?workbook=16_15.xlsx&amp;sheet=A0&amp;row=671&amp;col=20&amp;number=&amp;sourceID=57","")</f>
        <v/>
      </c>
      <c r="U671" s="4" t="str">
        <f>HYPERLINK("http://141.218.60.56/~jnz1568/getInfo.php?workbook=16_15.xlsx&amp;sheet=A0&amp;row=671&amp;col=21&amp;number=&amp;sourceID=47","")</f>
        <v/>
      </c>
      <c r="V671" s="4" t="str">
        <f>HYPERLINK("http://141.218.60.56/~jnz1568/getInfo.php?workbook=16_15.xlsx&amp;sheet=A0&amp;row=671&amp;col=22&amp;number=&amp;sourceID=47","")</f>
        <v/>
      </c>
    </row>
    <row r="672" spans="1:22">
      <c r="A672" s="3">
        <v>16</v>
      </c>
      <c r="B672" s="3">
        <v>15</v>
      </c>
      <c r="C672" s="3">
        <v>42</v>
      </c>
      <c r="D672" s="3">
        <v>35</v>
      </c>
      <c r="E672" s="3">
        <f>((1/(INDEX(E0!J$4:J$73,C672,1)-INDEX(E0!J$4:J$73,D672,1))))*100000000</f>
        <v>0</v>
      </c>
      <c r="F672" s="4" t="str">
        <f>HYPERLINK("http://141.218.60.56/~jnz1568/getInfo.php?workbook=16_15.xlsx&amp;sheet=A0&amp;row=672&amp;col=6&amp;number=&amp;sourceID=54","")</f>
        <v/>
      </c>
      <c r="G672" s="4" t="str">
        <f>HYPERLINK("http://141.218.60.56/~jnz1568/getInfo.php?workbook=16_15.xlsx&amp;sheet=A0&amp;row=672&amp;col=7&amp;number=4.1123e-05&amp;sourceID=54","4.1123e-05")</f>
        <v>4.1123e-05</v>
      </c>
      <c r="H672" s="4" t="str">
        <f>HYPERLINK("http://141.218.60.56/~jnz1568/getInfo.php?workbook=16_15.xlsx&amp;sheet=A0&amp;row=672&amp;col=8&amp;number=0.00028959&amp;sourceID=54","0.00028959")</f>
        <v>0.00028959</v>
      </c>
      <c r="I672" s="4" t="str">
        <f>HYPERLINK("http://141.218.60.56/~jnz1568/getInfo.php?workbook=16_15.xlsx&amp;sheet=A0&amp;row=672&amp;col=9&amp;number=&amp;sourceID=54","")</f>
        <v/>
      </c>
      <c r="J672" s="4" t="str">
        <f>HYPERLINK("http://141.218.60.56/~jnz1568/getInfo.php?workbook=16_15.xlsx&amp;sheet=A0&amp;row=672&amp;col=10&amp;number=3.25e-05&amp;sourceID=54","3.25e-05")</f>
        <v>3.25e-05</v>
      </c>
      <c r="K672" s="4" t="str">
        <f>HYPERLINK("http://141.218.60.56/~jnz1568/getInfo.php?workbook=16_15.xlsx&amp;sheet=A0&amp;row=672&amp;col=11&amp;number=0.000305&amp;sourceID=54","0.000305")</f>
        <v>0.000305</v>
      </c>
      <c r="L672" s="4" t="str">
        <f>HYPERLINK("http://141.218.60.56/~jnz1568/getInfo.php?workbook=16_15.xlsx&amp;sheet=A0&amp;row=672&amp;col=12&amp;number=&amp;sourceID=53","")</f>
        <v/>
      </c>
      <c r="M672" s="4" t="str">
        <f>HYPERLINK("http://141.218.60.56/~jnz1568/getInfo.php?workbook=16_15.xlsx&amp;sheet=A0&amp;row=672&amp;col=13&amp;number=&amp;sourceID=53","")</f>
        <v/>
      </c>
      <c r="N672" s="4" t="str">
        <f>HYPERLINK("http://141.218.60.56/~jnz1568/getInfo.php?workbook=16_15.xlsx&amp;sheet=A0&amp;row=672&amp;col=14&amp;number=&amp;sourceID=53","")</f>
        <v/>
      </c>
      <c r="O672" s="4" t="str">
        <f>HYPERLINK("http://141.218.60.56/~jnz1568/getInfo.php?workbook=16_15.xlsx&amp;sheet=A0&amp;row=672&amp;col=15&amp;number=&amp;sourceID=55","")</f>
        <v/>
      </c>
      <c r="P672" s="4" t="str">
        <f>HYPERLINK("http://141.218.60.56/~jnz1568/getInfo.php?workbook=16_15.xlsx&amp;sheet=A0&amp;row=672&amp;col=16&amp;number=&amp;sourceID=55","")</f>
        <v/>
      </c>
      <c r="Q672" s="4" t="str">
        <f>HYPERLINK("http://141.218.60.56/~jnz1568/getInfo.php?workbook=16_15.xlsx&amp;sheet=A0&amp;row=672&amp;col=17&amp;number=&amp;sourceID=56","")</f>
        <v/>
      </c>
      <c r="R672" s="4" t="str">
        <f>HYPERLINK("http://141.218.60.56/~jnz1568/getInfo.php?workbook=16_15.xlsx&amp;sheet=A0&amp;row=672&amp;col=18&amp;number=&amp;sourceID=56","")</f>
        <v/>
      </c>
      <c r="S672" s="4" t="str">
        <f>HYPERLINK("http://141.218.60.56/~jnz1568/getInfo.php?workbook=16_15.xlsx&amp;sheet=A0&amp;row=672&amp;col=19&amp;number=&amp;sourceID=57","")</f>
        <v/>
      </c>
      <c r="T672" s="4" t="str">
        <f>HYPERLINK("http://141.218.60.56/~jnz1568/getInfo.php?workbook=16_15.xlsx&amp;sheet=A0&amp;row=672&amp;col=20&amp;number=&amp;sourceID=57","")</f>
        <v/>
      </c>
      <c r="U672" s="4" t="str">
        <f>HYPERLINK("http://141.218.60.56/~jnz1568/getInfo.php?workbook=16_15.xlsx&amp;sheet=A0&amp;row=672&amp;col=21&amp;number=&amp;sourceID=47","")</f>
        <v/>
      </c>
      <c r="V672" s="4" t="str">
        <f>HYPERLINK("http://141.218.60.56/~jnz1568/getInfo.php?workbook=16_15.xlsx&amp;sheet=A0&amp;row=672&amp;col=22&amp;number=&amp;sourceID=47","")</f>
        <v/>
      </c>
    </row>
    <row r="673" spans="1:22">
      <c r="A673" s="3">
        <v>16</v>
      </c>
      <c r="B673" s="3">
        <v>15</v>
      </c>
      <c r="C673" s="3">
        <v>42</v>
      </c>
      <c r="D673" s="3">
        <v>36</v>
      </c>
      <c r="E673" s="3">
        <f>((1/(INDEX(E0!J$4:J$73,C673,1)-INDEX(E0!J$4:J$73,D673,1))))*100000000</f>
        <v>0</v>
      </c>
      <c r="F673" s="4" t="str">
        <f>HYPERLINK("http://141.218.60.56/~jnz1568/getInfo.php?workbook=16_15.xlsx&amp;sheet=A0&amp;row=673&amp;col=6&amp;number=&amp;sourceID=54","")</f>
        <v/>
      </c>
      <c r="G673" s="4" t="str">
        <f>HYPERLINK("http://141.218.60.56/~jnz1568/getInfo.php?workbook=16_15.xlsx&amp;sheet=A0&amp;row=673&amp;col=7&amp;number=1.4522e-05&amp;sourceID=54","1.4522e-05")</f>
        <v>1.4522e-05</v>
      </c>
      <c r="H673" s="4" t="str">
        <f>HYPERLINK("http://141.218.60.56/~jnz1568/getInfo.php?workbook=16_15.xlsx&amp;sheet=A0&amp;row=673&amp;col=8&amp;number=2.0454e-05&amp;sourceID=54","2.0454e-05")</f>
        <v>2.0454e-05</v>
      </c>
      <c r="I673" s="4" t="str">
        <f>HYPERLINK("http://141.218.60.56/~jnz1568/getInfo.php?workbook=16_15.xlsx&amp;sheet=A0&amp;row=673&amp;col=9&amp;number=&amp;sourceID=54","")</f>
        <v/>
      </c>
      <c r="J673" s="4" t="str">
        <f>HYPERLINK("http://141.218.60.56/~jnz1568/getInfo.php?workbook=16_15.xlsx&amp;sheet=A0&amp;row=673&amp;col=10&amp;number=7.0407e-06&amp;sourceID=54","7.0407e-06")</f>
        <v>7.0407e-06</v>
      </c>
      <c r="K673" s="4" t="str">
        <f>HYPERLINK("http://141.218.60.56/~jnz1568/getInfo.php?workbook=16_15.xlsx&amp;sheet=A0&amp;row=673&amp;col=11&amp;number=2.0025e-05&amp;sourceID=54","2.0025e-05")</f>
        <v>2.0025e-05</v>
      </c>
      <c r="L673" s="4" t="str">
        <f>HYPERLINK("http://141.218.60.56/~jnz1568/getInfo.php?workbook=16_15.xlsx&amp;sheet=A0&amp;row=673&amp;col=12&amp;number=&amp;sourceID=53","")</f>
        <v/>
      </c>
      <c r="M673" s="4" t="str">
        <f>HYPERLINK("http://141.218.60.56/~jnz1568/getInfo.php?workbook=16_15.xlsx&amp;sheet=A0&amp;row=673&amp;col=13&amp;number=&amp;sourceID=53","")</f>
        <v/>
      </c>
      <c r="N673" s="4" t="str">
        <f>HYPERLINK("http://141.218.60.56/~jnz1568/getInfo.php?workbook=16_15.xlsx&amp;sheet=A0&amp;row=673&amp;col=14&amp;number=&amp;sourceID=53","")</f>
        <v/>
      </c>
      <c r="O673" s="4" t="str">
        <f>HYPERLINK("http://141.218.60.56/~jnz1568/getInfo.php?workbook=16_15.xlsx&amp;sheet=A0&amp;row=673&amp;col=15&amp;number=&amp;sourceID=55","")</f>
        <v/>
      </c>
      <c r="P673" s="4" t="str">
        <f>HYPERLINK("http://141.218.60.56/~jnz1568/getInfo.php?workbook=16_15.xlsx&amp;sheet=A0&amp;row=673&amp;col=16&amp;number=&amp;sourceID=55","")</f>
        <v/>
      </c>
      <c r="Q673" s="4" t="str">
        <f>HYPERLINK("http://141.218.60.56/~jnz1568/getInfo.php?workbook=16_15.xlsx&amp;sheet=A0&amp;row=673&amp;col=17&amp;number=&amp;sourceID=56","")</f>
        <v/>
      </c>
      <c r="R673" s="4" t="str">
        <f>HYPERLINK("http://141.218.60.56/~jnz1568/getInfo.php?workbook=16_15.xlsx&amp;sheet=A0&amp;row=673&amp;col=18&amp;number=&amp;sourceID=56","")</f>
        <v/>
      </c>
      <c r="S673" s="4" t="str">
        <f>HYPERLINK("http://141.218.60.56/~jnz1568/getInfo.php?workbook=16_15.xlsx&amp;sheet=A0&amp;row=673&amp;col=19&amp;number=&amp;sourceID=57","")</f>
        <v/>
      </c>
      <c r="T673" s="4" t="str">
        <f>HYPERLINK("http://141.218.60.56/~jnz1568/getInfo.php?workbook=16_15.xlsx&amp;sheet=A0&amp;row=673&amp;col=20&amp;number=&amp;sourceID=57","")</f>
        <v/>
      </c>
      <c r="U673" s="4" t="str">
        <f>HYPERLINK("http://141.218.60.56/~jnz1568/getInfo.php?workbook=16_15.xlsx&amp;sheet=A0&amp;row=673&amp;col=21&amp;number=&amp;sourceID=47","")</f>
        <v/>
      </c>
      <c r="V673" s="4" t="str">
        <f>HYPERLINK("http://141.218.60.56/~jnz1568/getInfo.php?workbook=16_15.xlsx&amp;sheet=A0&amp;row=673&amp;col=22&amp;number=&amp;sourceID=47","")</f>
        <v/>
      </c>
    </row>
    <row r="674" spans="1:22">
      <c r="A674" s="3">
        <v>16</v>
      </c>
      <c r="B674" s="3">
        <v>15</v>
      </c>
      <c r="C674" s="3">
        <v>42</v>
      </c>
      <c r="D674" s="3">
        <v>37</v>
      </c>
      <c r="E674" s="3">
        <f>((1/(INDEX(E0!J$4:J$73,C674,1)-INDEX(E0!J$4:J$73,D674,1))))*100000000</f>
        <v>0</v>
      </c>
      <c r="F674" s="4" t="str">
        <f>HYPERLINK("http://141.218.60.56/~jnz1568/getInfo.php?workbook=16_15.xlsx&amp;sheet=A0&amp;row=674&amp;col=6&amp;number=&amp;sourceID=54","")</f>
        <v/>
      </c>
      <c r="G674" s="4" t="str">
        <f>HYPERLINK("http://141.218.60.56/~jnz1568/getInfo.php?workbook=16_15.xlsx&amp;sheet=A0&amp;row=674&amp;col=7&amp;number=1.5713e-07&amp;sourceID=54","1.5713e-07")</f>
        <v>1.5713e-07</v>
      </c>
      <c r="H674" s="4" t="str">
        <f>HYPERLINK("http://141.218.60.56/~jnz1568/getInfo.php?workbook=16_15.xlsx&amp;sheet=A0&amp;row=674&amp;col=8&amp;number=&amp;sourceID=54","")</f>
        <v/>
      </c>
      <c r="I674" s="4" t="str">
        <f>HYPERLINK("http://141.218.60.56/~jnz1568/getInfo.php?workbook=16_15.xlsx&amp;sheet=A0&amp;row=674&amp;col=9&amp;number=&amp;sourceID=54","")</f>
        <v/>
      </c>
      <c r="J674" s="4" t="str">
        <f>HYPERLINK("http://141.218.60.56/~jnz1568/getInfo.php?workbook=16_15.xlsx&amp;sheet=A0&amp;row=674&amp;col=10&amp;number=1.2401e-06&amp;sourceID=54","1.2401e-06")</f>
        <v>1.2401e-06</v>
      </c>
      <c r="K674" s="4" t="str">
        <f>HYPERLINK("http://141.218.60.56/~jnz1568/getInfo.php?workbook=16_15.xlsx&amp;sheet=A0&amp;row=674&amp;col=11&amp;number=&amp;sourceID=54","")</f>
        <v/>
      </c>
      <c r="L674" s="4" t="str">
        <f>HYPERLINK("http://141.218.60.56/~jnz1568/getInfo.php?workbook=16_15.xlsx&amp;sheet=A0&amp;row=674&amp;col=12&amp;number=&amp;sourceID=53","")</f>
        <v/>
      </c>
      <c r="M674" s="4" t="str">
        <f>HYPERLINK("http://141.218.60.56/~jnz1568/getInfo.php?workbook=16_15.xlsx&amp;sheet=A0&amp;row=674&amp;col=13&amp;number=&amp;sourceID=53","")</f>
        <v/>
      </c>
      <c r="N674" s="4" t="str">
        <f>HYPERLINK("http://141.218.60.56/~jnz1568/getInfo.php?workbook=16_15.xlsx&amp;sheet=A0&amp;row=674&amp;col=14&amp;number=&amp;sourceID=53","")</f>
        <v/>
      </c>
      <c r="O674" s="4" t="str">
        <f>HYPERLINK("http://141.218.60.56/~jnz1568/getInfo.php?workbook=16_15.xlsx&amp;sheet=A0&amp;row=674&amp;col=15&amp;number=&amp;sourceID=55","")</f>
        <v/>
      </c>
      <c r="P674" s="4" t="str">
        <f>HYPERLINK("http://141.218.60.56/~jnz1568/getInfo.php?workbook=16_15.xlsx&amp;sheet=A0&amp;row=674&amp;col=16&amp;number=&amp;sourceID=55","")</f>
        <v/>
      </c>
      <c r="Q674" s="4" t="str">
        <f>HYPERLINK("http://141.218.60.56/~jnz1568/getInfo.php?workbook=16_15.xlsx&amp;sheet=A0&amp;row=674&amp;col=17&amp;number=&amp;sourceID=56","")</f>
        <v/>
      </c>
      <c r="R674" s="4" t="str">
        <f>HYPERLINK("http://141.218.60.56/~jnz1568/getInfo.php?workbook=16_15.xlsx&amp;sheet=A0&amp;row=674&amp;col=18&amp;number=&amp;sourceID=56","")</f>
        <v/>
      </c>
      <c r="S674" s="4" t="str">
        <f>HYPERLINK("http://141.218.60.56/~jnz1568/getInfo.php?workbook=16_15.xlsx&amp;sheet=A0&amp;row=674&amp;col=19&amp;number=&amp;sourceID=57","")</f>
        <v/>
      </c>
      <c r="T674" s="4" t="str">
        <f>HYPERLINK("http://141.218.60.56/~jnz1568/getInfo.php?workbook=16_15.xlsx&amp;sheet=A0&amp;row=674&amp;col=20&amp;number=&amp;sourceID=57","")</f>
        <v/>
      </c>
      <c r="U674" s="4" t="str">
        <f>HYPERLINK("http://141.218.60.56/~jnz1568/getInfo.php?workbook=16_15.xlsx&amp;sheet=A0&amp;row=674&amp;col=21&amp;number=&amp;sourceID=47","")</f>
        <v/>
      </c>
      <c r="V674" s="4" t="str">
        <f>HYPERLINK("http://141.218.60.56/~jnz1568/getInfo.php?workbook=16_15.xlsx&amp;sheet=A0&amp;row=674&amp;col=22&amp;number=&amp;sourceID=47","")</f>
        <v/>
      </c>
    </row>
    <row r="675" spans="1:22">
      <c r="A675" s="3">
        <v>16</v>
      </c>
      <c r="B675" s="3">
        <v>15</v>
      </c>
      <c r="C675" s="3">
        <v>42</v>
      </c>
      <c r="D675" s="3">
        <v>38</v>
      </c>
      <c r="E675" s="3">
        <f>((1/(INDEX(E0!J$4:J$73,C675,1)-INDEX(E0!J$4:J$73,D675,1))))*100000000</f>
        <v>0</v>
      </c>
      <c r="F675" s="4" t="str">
        <f>HYPERLINK("http://141.218.60.56/~jnz1568/getInfo.php?workbook=16_15.xlsx&amp;sheet=A0&amp;row=675&amp;col=6&amp;number=&amp;sourceID=54","")</f>
        <v/>
      </c>
      <c r="G675" s="4" t="str">
        <f>HYPERLINK("http://141.218.60.56/~jnz1568/getInfo.php?workbook=16_15.xlsx&amp;sheet=A0&amp;row=675&amp;col=7&amp;number=5.864e-08&amp;sourceID=54","5.864e-08")</f>
        <v>5.864e-08</v>
      </c>
      <c r="H675" s="4" t="str">
        <f>HYPERLINK("http://141.218.60.56/~jnz1568/getInfo.php?workbook=16_15.xlsx&amp;sheet=A0&amp;row=675&amp;col=8&amp;number=0.0001269&amp;sourceID=54","0.0001269")</f>
        <v>0.0001269</v>
      </c>
      <c r="I675" s="4" t="str">
        <f>HYPERLINK("http://141.218.60.56/~jnz1568/getInfo.php?workbook=16_15.xlsx&amp;sheet=A0&amp;row=675&amp;col=9&amp;number=&amp;sourceID=54","")</f>
        <v/>
      </c>
      <c r="J675" s="4" t="str">
        <f>HYPERLINK("http://141.218.60.56/~jnz1568/getInfo.php?workbook=16_15.xlsx&amp;sheet=A0&amp;row=675&amp;col=10&amp;number=3.9867e-08&amp;sourceID=54","3.9867e-08")</f>
        <v>3.9867e-08</v>
      </c>
      <c r="K675" s="4" t="str">
        <f>HYPERLINK("http://141.218.60.56/~jnz1568/getInfo.php?workbook=16_15.xlsx&amp;sheet=A0&amp;row=675&amp;col=11&amp;number=0.00014932&amp;sourceID=54","0.00014932")</f>
        <v>0.00014932</v>
      </c>
      <c r="L675" s="4" t="str">
        <f>HYPERLINK("http://141.218.60.56/~jnz1568/getInfo.php?workbook=16_15.xlsx&amp;sheet=A0&amp;row=675&amp;col=12&amp;number=&amp;sourceID=53","")</f>
        <v/>
      </c>
      <c r="M675" s="4" t="str">
        <f>HYPERLINK("http://141.218.60.56/~jnz1568/getInfo.php?workbook=16_15.xlsx&amp;sheet=A0&amp;row=675&amp;col=13&amp;number=&amp;sourceID=53","")</f>
        <v/>
      </c>
      <c r="N675" s="4" t="str">
        <f>HYPERLINK("http://141.218.60.56/~jnz1568/getInfo.php?workbook=16_15.xlsx&amp;sheet=A0&amp;row=675&amp;col=14&amp;number=&amp;sourceID=53","")</f>
        <v/>
      </c>
      <c r="O675" s="4" t="str">
        <f>HYPERLINK("http://141.218.60.56/~jnz1568/getInfo.php?workbook=16_15.xlsx&amp;sheet=A0&amp;row=675&amp;col=15&amp;number=&amp;sourceID=55","")</f>
        <v/>
      </c>
      <c r="P675" s="4" t="str">
        <f>HYPERLINK("http://141.218.60.56/~jnz1568/getInfo.php?workbook=16_15.xlsx&amp;sheet=A0&amp;row=675&amp;col=16&amp;number=&amp;sourceID=55","")</f>
        <v/>
      </c>
      <c r="Q675" s="4" t="str">
        <f>HYPERLINK("http://141.218.60.56/~jnz1568/getInfo.php?workbook=16_15.xlsx&amp;sheet=A0&amp;row=675&amp;col=17&amp;number=&amp;sourceID=56","")</f>
        <v/>
      </c>
      <c r="R675" s="4" t="str">
        <f>HYPERLINK("http://141.218.60.56/~jnz1568/getInfo.php?workbook=16_15.xlsx&amp;sheet=A0&amp;row=675&amp;col=18&amp;number=&amp;sourceID=56","")</f>
        <v/>
      </c>
      <c r="S675" s="4" t="str">
        <f>HYPERLINK("http://141.218.60.56/~jnz1568/getInfo.php?workbook=16_15.xlsx&amp;sheet=A0&amp;row=675&amp;col=19&amp;number=&amp;sourceID=57","")</f>
        <v/>
      </c>
      <c r="T675" s="4" t="str">
        <f>HYPERLINK("http://141.218.60.56/~jnz1568/getInfo.php?workbook=16_15.xlsx&amp;sheet=A0&amp;row=675&amp;col=20&amp;number=&amp;sourceID=57","")</f>
        <v/>
      </c>
      <c r="U675" s="4" t="str">
        <f>HYPERLINK("http://141.218.60.56/~jnz1568/getInfo.php?workbook=16_15.xlsx&amp;sheet=A0&amp;row=675&amp;col=21&amp;number=&amp;sourceID=47","")</f>
        <v/>
      </c>
      <c r="V675" s="4" t="str">
        <f>HYPERLINK("http://141.218.60.56/~jnz1568/getInfo.php?workbook=16_15.xlsx&amp;sheet=A0&amp;row=675&amp;col=22&amp;number=&amp;sourceID=47","")</f>
        <v/>
      </c>
    </row>
    <row r="676" spans="1:22">
      <c r="A676" s="3">
        <v>16</v>
      </c>
      <c r="B676" s="3">
        <v>15</v>
      </c>
      <c r="C676" s="3">
        <v>42</v>
      </c>
      <c r="D676" s="3">
        <v>39</v>
      </c>
      <c r="E676" s="3">
        <f>((1/(INDEX(E0!J$4:J$73,C676,1)-INDEX(E0!J$4:J$73,D676,1))))*100000000</f>
        <v>0</v>
      </c>
      <c r="F676" s="4" t="str">
        <f>HYPERLINK("http://141.218.60.56/~jnz1568/getInfo.php?workbook=16_15.xlsx&amp;sheet=A0&amp;row=676&amp;col=6&amp;number=&amp;sourceID=54","")</f>
        <v/>
      </c>
      <c r="G676" s="4" t="str">
        <f>HYPERLINK("http://141.218.60.56/~jnz1568/getInfo.php?workbook=16_15.xlsx&amp;sheet=A0&amp;row=676&amp;col=7&amp;number=2.5029e-08&amp;sourceID=54","2.5029e-08")</f>
        <v>2.5029e-08</v>
      </c>
      <c r="H676" s="4" t="str">
        <f>HYPERLINK("http://141.218.60.56/~jnz1568/getInfo.php?workbook=16_15.xlsx&amp;sheet=A0&amp;row=676&amp;col=8&amp;number=0.0006756&amp;sourceID=54","0.0006756")</f>
        <v>0.0006756</v>
      </c>
      <c r="I676" s="4" t="str">
        <f>HYPERLINK("http://141.218.60.56/~jnz1568/getInfo.php?workbook=16_15.xlsx&amp;sheet=A0&amp;row=676&amp;col=9&amp;number=&amp;sourceID=54","")</f>
        <v/>
      </c>
      <c r="J676" s="4" t="str">
        <f>HYPERLINK("http://141.218.60.56/~jnz1568/getInfo.php?workbook=16_15.xlsx&amp;sheet=A0&amp;row=676&amp;col=10&amp;number=1.4557e-08&amp;sourceID=54","1.4557e-08")</f>
        <v>1.4557e-08</v>
      </c>
      <c r="K676" s="4" t="str">
        <f>HYPERLINK("http://141.218.60.56/~jnz1568/getInfo.php?workbook=16_15.xlsx&amp;sheet=A0&amp;row=676&amp;col=11&amp;number=0.00057944&amp;sourceID=54","0.00057944")</f>
        <v>0.00057944</v>
      </c>
      <c r="L676" s="4" t="str">
        <f>HYPERLINK("http://141.218.60.56/~jnz1568/getInfo.php?workbook=16_15.xlsx&amp;sheet=A0&amp;row=676&amp;col=12&amp;number=&amp;sourceID=53","")</f>
        <v/>
      </c>
      <c r="M676" s="4" t="str">
        <f>HYPERLINK("http://141.218.60.56/~jnz1568/getInfo.php?workbook=16_15.xlsx&amp;sheet=A0&amp;row=676&amp;col=13&amp;number=&amp;sourceID=53","")</f>
        <v/>
      </c>
      <c r="N676" s="4" t="str">
        <f>HYPERLINK("http://141.218.60.56/~jnz1568/getInfo.php?workbook=16_15.xlsx&amp;sheet=A0&amp;row=676&amp;col=14&amp;number=&amp;sourceID=53","")</f>
        <v/>
      </c>
      <c r="O676" s="4" t="str">
        <f>HYPERLINK("http://141.218.60.56/~jnz1568/getInfo.php?workbook=16_15.xlsx&amp;sheet=A0&amp;row=676&amp;col=15&amp;number=&amp;sourceID=55","")</f>
        <v/>
      </c>
      <c r="P676" s="4" t="str">
        <f>HYPERLINK("http://141.218.60.56/~jnz1568/getInfo.php?workbook=16_15.xlsx&amp;sheet=A0&amp;row=676&amp;col=16&amp;number=&amp;sourceID=55","")</f>
        <v/>
      </c>
      <c r="Q676" s="4" t="str">
        <f>HYPERLINK("http://141.218.60.56/~jnz1568/getInfo.php?workbook=16_15.xlsx&amp;sheet=A0&amp;row=676&amp;col=17&amp;number=&amp;sourceID=56","")</f>
        <v/>
      </c>
      <c r="R676" s="4" t="str">
        <f>HYPERLINK("http://141.218.60.56/~jnz1568/getInfo.php?workbook=16_15.xlsx&amp;sheet=A0&amp;row=676&amp;col=18&amp;number=&amp;sourceID=56","")</f>
        <v/>
      </c>
      <c r="S676" s="4" t="str">
        <f>HYPERLINK("http://141.218.60.56/~jnz1568/getInfo.php?workbook=16_15.xlsx&amp;sheet=A0&amp;row=676&amp;col=19&amp;number=&amp;sourceID=57","")</f>
        <v/>
      </c>
      <c r="T676" s="4" t="str">
        <f>HYPERLINK("http://141.218.60.56/~jnz1568/getInfo.php?workbook=16_15.xlsx&amp;sheet=A0&amp;row=676&amp;col=20&amp;number=&amp;sourceID=57","")</f>
        <v/>
      </c>
      <c r="U676" s="4" t="str">
        <f>HYPERLINK("http://141.218.60.56/~jnz1568/getInfo.php?workbook=16_15.xlsx&amp;sheet=A0&amp;row=676&amp;col=21&amp;number=&amp;sourceID=47","")</f>
        <v/>
      </c>
      <c r="V676" s="4" t="str">
        <f>HYPERLINK("http://141.218.60.56/~jnz1568/getInfo.php?workbook=16_15.xlsx&amp;sheet=A0&amp;row=676&amp;col=22&amp;number=&amp;sourceID=47","")</f>
        <v/>
      </c>
    </row>
    <row r="677" spans="1:22">
      <c r="A677" s="3">
        <v>16</v>
      </c>
      <c r="B677" s="3">
        <v>15</v>
      </c>
      <c r="C677" s="3">
        <v>42</v>
      </c>
      <c r="D677" s="3">
        <v>40</v>
      </c>
      <c r="E677" s="3">
        <f>((1/(INDEX(E0!J$4:J$73,C677,1)-INDEX(E0!J$4:J$73,D677,1))))*100000000</f>
        <v>0</v>
      </c>
      <c r="F677" s="4" t="str">
        <f>HYPERLINK("http://141.218.60.56/~jnz1568/getInfo.php?workbook=16_15.xlsx&amp;sheet=A0&amp;row=677&amp;col=6&amp;number=&amp;sourceID=54","")</f>
        <v/>
      </c>
      <c r="G677" s="4" t="str">
        <f>HYPERLINK("http://141.218.60.56/~jnz1568/getInfo.php?workbook=16_15.xlsx&amp;sheet=A0&amp;row=677&amp;col=7&amp;number=1.8299e-08&amp;sourceID=54","1.8299e-08")</f>
        <v>1.8299e-08</v>
      </c>
      <c r="H677" s="4" t="str">
        <f>HYPERLINK("http://141.218.60.56/~jnz1568/getInfo.php?workbook=16_15.xlsx&amp;sheet=A0&amp;row=677&amp;col=8&amp;number=3.4648e-05&amp;sourceID=54","3.4648e-05")</f>
        <v>3.4648e-05</v>
      </c>
      <c r="I677" s="4" t="str">
        <f>HYPERLINK("http://141.218.60.56/~jnz1568/getInfo.php?workbook=16_15.xlsx&amp;sheet=A0&amp;row=677&amp;col=9&amp;number=&amp;sourceID=54","")</f>
        <v/>
      </c>
      <c r="J677" s="4" t="str">
        <f>HYPERLINK("http://141.218.60.56/~jnz1568/getInfo.php?workbook=16_15.xlsx&amp;sheet=A0&amp;row=677&amp;col=10&amp;number=1.314e-08&amp;sourceID=54","1.314e-08")</f>
        <v>1.314e-08</v>
      </c>
      <c r="K677" s="4" t="str">
        <f>HYPERLINK("http://141.218.60.56/~jnz1568/getInfo.php?workbook=16_15.xlsx&amp;sheet=A0&amp;row=677&amp;col=11&amp;number=1.832e-05&amp;sourceID=54","1.832e-05")</f>
        <v>1.832e-05</v>
      </c>
      <c r="L677" s="4" t="str">
        <f>HYPERLINK("http://141.218.60.56/~jnz1568/getInfo.php?workbook=16_15.xlsx&amp;sheet=A0&amp;row=677&amp;col=12&amp;number=&amp;sourceID=53","")</f>
        <v/>
      </c>
      <c r="M677" s="4" t="str">
        <f>HYPERLINK("http://141.218.60.56/~jnz1568/getInfo.php?workbook=16_15.xlsx&amp;sheet=A0&amp;row=677&amp;col=13&amp;number=&amp;sourceID=53","")</f>
        <v/>
      </c>
      <c r="N677" s="4" t="str">
        <f>HYPERLINK("http://141.218.60.56/~jnz1568/getInfo.php?workbook=16_15.xlsx&amp;sheet=A0&amp;row=677&amp;col=14&amp;number=&amp;sourceID=53","")</f>
        <v/>
      </c>
      <c r="O677" s="4" t="str">
        <f>HYPERLINK("http://141.218.60.56/~jnz1568/getInfo.php?workbook=16_15.xlsx&amp;sheet=A0&amp;row=677&amp;col=15&amp;number=&amp;sourceID=55","")</f>
        <v/>
      </c>
      <c r="P677" s="4" t="str">
        <f>HYPERLINK("http://141.218.60.56/~jnz1568/getInfo.php?workbook=16_15.xlsx&amp;sheet=A0&amp;row=677&amp;col=16&amp;number=&amp;sourceID=55","")</f>
        <v/>
      </c>
      <c r="Q677" s="4" t="str">
        <f>HYPERLINK("http://141.218.60.56/~jnz1568/getInfo.php?workbook=16_15.xlsx&amp;sheet=A0&amp;row=677&amp;col=17&amp;number=&amp;sourceID=56","")</f>
        <v/>
      </c>
      <c r="R677" s="4" t="str">
        <f>HYPERLINK("http://141.218.60.56/~jnz1568/getInfo.php?workbook=16_15.xlsx&amp;sheet=A0&amp;row=677&amp;col=18&amp;number=&amp;sourceID=56","")</f>
        <v/>
      </c>
      <c r="S677" s="4" t="str">
        <f>HYPERLINK("http://141.218.60.56/~jnz1568/getInfo.php?workbook=16_15.xlsx&amp;sheet=A0&amp;row=677&amp;col=19&amp;number=&amp;sourceID=57","")</f>
        <v/>
      </c>
      <c r="T677" s="4" t="str">
        <f>HYPERLINK("http://141.218.60.56/~jnz1568/getInfo.php?workbook=16_15.xlsx&amp;sheet=A0&amp;row=677&amp;col=20&amp;number=&amp;sourceID=57","")</f>
        <v/>
      </c>
      <c r="U677" s="4" t="str">
        <f>HYPERLINK("http://141.218.60.56/~jnz1568/getInfo.php?workbook=16_15.xlsx&amp;sheet=A0&amp;row=677&amp;col=21&amp;number=&amp;sourceID=47","")</f>
        <v/>
      </c>
      <c r="V677" s="4" t="str">
        <f>HYPERLINK("http://141.218.60.56/~jnz1568/getInfo.php?workbook=16_15.xlsx&amp;sheet=A0&amp;row=677&amp;col=22&amp;number=&amp;sourceID=47","")</f>
        <v/>
      </c>
    </row>
    <row r="678" spans="1:22">
      <c r="A678" s="3">
        <v>16</v>
      </c>
      <c r="B678" s="3">
        <v>15</v>
      </c>
      <c r="C678" s="3">
        <v>42</v>
      </c>
      <c r="D678" s="3">
        <v>41</v>
      </c>
      <c r="E678" s="3">
        <f>((1/(INDEX(E0!J$4:J$73,C678,1)-INDEX(E0!J$4:J$73,D678,1))))*100000000</f>
        <v>0</v>
      </c>
      <c r="F678" s="4" t="str">
        <f>HYPERLINK("http://141.218.60.56/~jnz1568/getInfo.php?workbook=16_15.xlsx&amp;sheet=A0&amp;row=678&amp;col=6&amp;number=&amp;sourceID=54","")</f>
        <v/>
      </c>
      <c r="G678" s="4" t="str">
        <f>HYPERLINK("http://141.218.60.56/~jnz1568/getInfo.php?workbook=16_15.xlsx&amp;sheet=A0&amp;row=678&amp;col=7&amp;number=&amp;sourceID=54","")</f>
        <v/>
      </c>
      <c r="H678" s="4" t="str">
        <f>HYPERLINK("http://141.218.60.56/~jnz1568/getInfo.php?workbook=16_15.xlsx&amp;sheet=A0&amp;row=678&amp;col=8&amp;number=&amp;sourceID=54","")</f>
        <v/>
      </c>
      <c r="I678" s="4" t="str">
        <f>HYPERLINK("http://141.218.60.56/~jnz1568/getInfo.php?workbook=16_15.xlsx&amp;sheet=A0&amp;row=678&amp;col=9&amp;number=0.088274&amp;sourceID=54","0.088274")</f>
        <v>0.088274</v>
      </c>
      <c r="J678" s="4" t="str">
        <f>HYPERLINK("http://141.218.60.56/~jnz1568/getInfo.php?workbook=16_15.xlsx&amp;sheet=A0&amp;row=678&amp;col=10&amp;number=&amp;sourceID=54","")</f>
        <v/>
      </c>
      <c r="K678" s="4" t="str">
        <f>HYPERLINK("http://141.218.60.56/~jnz1568/getInfo.php?workbook=16_15.xlsx&amp;sheet=A0&amp;row=678&amp;col=11&amp;number=&amp;sourceID=54","")</f>
        <v/>
      </c>
      <c r="L678" s="4" t="str">
        <f>HYPERLINK("http://141.218.60.56/~jnz1568/getInfo.php?workbook=16_15.xlsx&amp;sheet=A0&amp;row=678&amp;col=12&amp;number=0.138348175366&amp;sourceID=53","0.138348175366")</f>
        <v>0.138348175366</v>
      </c>
      <c r="M678" s="4" t="str">
        <f>HYPERLINK("http://141.218.60.56/~jnz1568/getInfo.php?workbook=16_15.xlsx&amp;sheet=A0&amp;row=678&amp;col=13&amp;number=&amp;sourceID=53","")</f>
        <v/>
      </c>
      <c r="N678" s="4" t="str">
        <f>HYPERLINK("http://141.218.60.56/~jnz1568/getInfo.php?workbook=16_15.xlsx&amp;sheet=A0&amp;row=678&amp;col=14&amp;number=&amp;sourceID=53","")</f>
        <v/>
      </c>
      <c r="O678" s="4" t="str">
        <f>HYPERLINK("http://141.218.60.56/~jnz1568/getInfo.php?workbook=16_15.xlsx&amp;sheet=A0&amp;row=678&amp;col=15&amp;number=&amp;sourceID=55","")</f>
        <v/>
      </c>
      <c r="P678" s="4" t="str">
        <f>HYPERLINK("http://141.218.60.56/~jnz1568/getInfo.php?workbook=16_15.xlsx&amp;sheet=A0&amp;row=678&amp;col=16&amp;number=&amp;sourceID=55","")</f>
        <v/>
      </c>
      <c r="Q678" s="4" t="str">
        <f>HYPERLINK("http://141.218.60.56/~jnz1568/getInfo.php?workbook=16_15.xlsx&amp;sheet=A0&amp;row=678&amp;col=17&amp;number=&amp;sourceID=56","")</f>
        <v/>
      </c>
      <c r="R678" s="4" t="str">
        <f>HYPERLINK("http://141.218.60.56/~jnz1568/getInfo.php?workbook=16_15.xlsx&amp;sheet=A0&amp;row=678&amp;col=18&amp;number=&amp;sourceID=56","")</f>
        <v/>
      </c>
      <c r="S678" s="4" t="str">
        <f>HYPERLINK("http://141.218.60.56/~jnz1568/getInfo.php?workbook=16_15.xlsx&amp;sheet=A0&amp;row=678&amp;col=19&amp;number=&amp;sourceID=57","")</f>
        <v/>
      </c>
      <c r="T678" s="4" t="str">
        <f>HYPERLINK("http://141.218.60.56/~jnz1568/getInfo.php?workbook=16_15.xlsx&amp;sheet=A0&amp;row=678&amp;col=20&amp;number=&amp;sourceID=57","")</f>
        <v/>
      </c>
      <c r="U678" s="4" t="str">
        <f>HYPERLINK("http://141.218.60.56/~jnz1568/getInfo.php?workbook=16_15.xlsx&amp;sheet=A0&amp;row=678&amp;col=21&amp;number=&amp;sourceID=47","")</f>
        <v/>
      </c>
      <c r="V678" s="4" t="str">
        <f>HYPERLINK("http://141.218.60.56/~jnz1568/getInfo.php?workbook=16_15.xlsx&amp;sheet=A0&amp;row=678&amp;col=22&amp;number=&amp;sourceID=47","")</f>
        <v/>
      </c>
    </row>
    <row r="679" spans="1:22">
      <c r="A679" s="3">
        <v>16</v>
      </c>
      <c r="B679" s="3">
        <v>15</v>
      </c>
      <c r="C679" s="3">
        <v>43</v>
      </c>
      <c r="D679" s="3">
        <v>1</v>
      </c>
      <c r="E679" s="3">
        <f>((1/(INDEX(E0!J$4:J$73,C679,1)-INDEX(E0!J$4:J$73,D679,1))))*100000000</f>
        <v>0</v>
      </c>
      <c r="F679" s="4" t="str">
        <f>HYPERLINK("http://141.218.60.56/~jnz1568/getInfo.php?workbook=16_15.xlsx&amp;sheet=A0&amp;row=679&amp;col=6&amp;number=9650000000&amp;sourceID=54","9650000000")</f>
        <v>9650000000</v>
      </c>
      <c r="G679" s="4" t="str">
        <f>HYPERLINK("http://141.218.60.56/~jnz1568/getInfo.php?workbook=16_15.xlsx&amp;sheet=A0&amp;row=679&amp;col=7&amp;number=&amp;sourceID=54","")</f>
        <v/>
      </c>
      <c r="H679" s="4" t="str">
        <f>HYPERLINK("http://141.218.60.56/~jnz1568/getInfo.php?workbook=16_15.xlsx&amp;sheet=A0&amp;row=679&amp;col=8&amp;number=&amp;sourceID=54","")</f>
        <v/>
      </c>
      <c r="I679" s="4" t="str">
        <f>HYPERLINK("http://141.218.60.56/~jnz1568/getInfo.php?workbook=16_15.xlsx&amp;sheet=A0&amp;row=679&amp;col=9&amp;number=9541500000&amp;sourceID=54","9541500000")</f>
        <v>9541500000</v>
      </c>
      <c r="J679" s="4" t="str">
        <f>HYPERLINK("http://141.218.60.56/~jnz1568/getInfo.php?workbook=16_15.xlsx&amp;sheet=A0&amp;row=679&amp;col=10&amp;number=&amp;sourceID=54","")</f>
        <v/>
      </c>
      <c r="K679" s="4" t="str">
        <f>HYPERLINK("http://141.218.60.56/~jnz1568/getInfo.php?workbook=16_15.xlsx&amp;sheet=A0&amp;row=679&amp;col=11&amp;number=&amp;sourceID=54","")</f>
        <v/>
      </c>
      <c r="L679" s="4" t="str">
        <f>HYPERLINK("http://141.218.60.56/~jnz1568/getInfo.php?workbook=16_15.xlsx&amp;sheet=A0&amp;row=679&amp;col=12&amp;number=8743232158.25&amp;sourceID=53","8743232158.25")</f>
        <v>8743232158.25</v>
      </c>
      <c r="M679" s="4" t="str">
        <f>HYPERLINK("http://141.218.60.56/~jnz1568/getInfo.php?workbook=16_15.xlsx&amp;sheet=A0&amp;row=679&amp;col=13&amp;number=&amp;sourceID=53","")</f>
        <v/>
      </c>
      <c r="N679" s="4" t="str">
        <f>HYPERLINK("http://141.218.60.56/~jnz1568/getInfo.php?workbook=16_15.xlsx&amp;sheet=A0&amp;row=679&amp;col=14&amp;number=&amp;sourceID=53","")</f>
        <v/>
      </c>
      <c r="O679" s="4" t="str">
        <f>HYPERLINK("http://141.218.60.56/~jnz1568/getInfo.php?workbook=16_15.xlsx&amp;sheet=A0&amp;row=679&amp;col=15&amp;number=&amp;sourceID=55","")</f>
        <v/>
      </c>
      <c r="P679" s="4" t="str">
        <f>HYPERLINK("http://141.218.60.56/~jnz1568/getInfo.php?workbook=16_15.xlsx&amp;sheet=A0&amp;row=679&amp;col=16&amp;number=&amp;sourceID=55","")</f>
        <v/>
      </c>
      <c r="Q679" s="4" t="str">
        <f>HYPERLINK("http://141.218.60.56/~jnz1568/getInfo.php?workbook=16_15.xlsx&amp;sheet=A0&amp;row=679&amp;col=17&amp;number=&amp;sourceID=56","")</f>
        <v/>
      </c>
      <c r="R679" s="4" t="str">
        <f>HYPERLINK("http://141.218.60.56/~jnz1568/getInfo.php?workbook=16_15.xlsx&amp;sheet=A0&amp;row=679&amp;col=18&amp;number=&amp;sourceID=56","")</f>
        <v/>
      </c>
      <c r="S679" s="4" t="str">
        <f>HYPERLINK("http://141.218.60.56/~jnz1568/getInfo.php?workbook=16_15.xlsx&amp;sheet=A0&amp;row=679&amp;col=19&amp;number=&amp;sourceID=57","")</f>
        <v/>
      </c>
      <c r="T679" s="4" t="str">
        <f>HYPERLINK("http://141.218.60.56/~jnz1568/getInfo.php?workbook=16_15.xlsx&amp;sheet=A0&amp;row=679&amp;col=20&amp;number=&amp;sourceID=57","")</f>
        <v/>
      </c>
      <c r="U679" s="4" t="str">
        <f>HYPERLINK("http://141.218.60.56/~jnz1568/getInfo.php?workbook=16_15.xlsx&amp;sheet=A0&amp;row=679&amp;col=21&amp;number=&amp;sourceID=47","")</f>
        <v/>
      </c>
      <c r="V679" s="4" t="str">
        <f>HYPERLINK("http://141.218.60.56/~jnz1568/getInfo.php?workbook=16_15.xlsx&amp;sheet=A0&amp;row=679&amp;col=22&amp;number=&amp;sourceID=47","")</f>
        <v/>
      </c>
    </row>
    <row r="680" spans="1:22">
      <c r="A680" s="3">
        <v>16</v>
      </c>
      <c r="B680" s="3">
        <v>15</v>
      </c>
      <c r="C680" s="3">
        <v>43</v>
      </c>
      <c r="D680" s="3">
        <v>2</v>
      </c>
      <c r="E680" s="3">
        <f>((1/(INDEX(E0!J$4:J$73,C680,1)-INDEX(E0!J$4:J$73,D680,1))))*100000000</f>
        <v>0</v>
      </c>
      <c r="F680" s="4" t="str">
        <f>HYPERLINK("http://141.218.60.56/~jnz1568/getInfo.php?workbook=16_15.xlsx&amp;sheet=A0&amp;row=680&amp;col=6&amp;number=34608&amp;sourceID=54","34608")</f>
        <v>34608</v>
      </c>
      <c r="G680" s="4" t="str">
        <f>HYPERLINK("http://141.218.60.56/~jnz1568/getInfo.php?workbook=16_15.xlsx&amp;sheet=A0&amp;row=680&amp;col=7&amp;number=&amp;sourceID=54","")</f>
        <v/>
      </c>
      <c r="H680" s="4" t="str">
        <f>HYPERLINK("http://141.218.60.56/~jnz1568/getInfo.php?workbook=16_15.xlsx&amp;sheet=A0&amp;row=680&amp;col=8&amp;number=&amp;sourceID=54","")</f>
        <v/>
      </c>
      <c r="I680" s="4" t="str">
        <f>HYPERLINK("http://141.218.60.56/~jnz1568/getInfo.php?workbook=16_15.xlsx&amp;sheet=A0&amp;row=680&amp;col=9&amp;number=29039&amp;sourceID=54","29039")</f>
        <v>29039</v>
      </c>
      <c r="J680" s="4" t="str">
        <f>HYPERLINK("http://141.218.60.56/~jnz1568/getInfo.php?workbook=16_15.xlsx&amp;sheet=A0&amp;row=680&amp;col=10&amp;number=&amp;sourceID=54","")</f>
        <v/>
      </c>
      <c r="K680" s="4" t="str">
        <f>HYPERLINK("http://141.218.60.56/~jnz1568/getInfo.php?workbook=16_15.xlsx&amp;sheet=A0&amp;row=680&amp;col=11&amp;number=&amp;sourceID=54","")</f>
        <v/>
      </c>
      <c r="L680" s="4" t="str">
        <f>HYPERLINK("http://141.218.60.56/~jnz1568/getInfo.php?workbook=16_15.xlsx&amp;sheet=A0&amp;row=680&amp;col=12&amp;number=64854.6065906&amp;sourceID=53","64854.6065906")</f>
        <v>64854.6065906</v>
      </c>
      <c r="M680" s="4" t="str">
        <f>HYPERLINK("http://141.218.60.56/~jnz1568/getInfo.php?workbook=16_15.xlsx&amp;sheet=A0&amp;row=680&amp;col=13&amp;number=&amp;sourceID=53","")</f>
        <v/>
      </c>
      <c r="N680" s="4" t="str">
        <f>HYPERLINK("http://141.218.60.56/~jnz1568/getInfo.php?workbook=16_15.xlsx&amp;sheet=A0&amp;row=680&amp;col=14&amp;number=&amp;sourceID=53","")</f>
        <v/>
      </c>
      <c r="O680" s="4" t="str">
        <f>HYPERLINK("http://141.218.60.56/~jnz1568/getInfo.php?workbook=16_15.xlsx&amp;sheet=A0&amp;row=680&amp;col=15&amp;number=&amp;sourceID=55","")</f>
        <v/>
      </c>
      <c r="P680" s="4" t="str">
        <f>HYPERLINK("http://141.218.60.56/~jnz1568/getInfo.php?workbook=16_15.xlsx&amp;sheet=A0&amp;row=680&amp;col=16&amp;number=&amp;sourceID=55","")</f>
        <v/>
      </c>
      <c r="Q680" s="4" t="str">
        <f>HYPERLINK("http://141.218.60.56/~jnz1568/getInfo.php?workbook=16_15.xlsx&amp;sheet=A0&amp;row=680&amp;col=17&amp;number=&amp;sourceID=56","")</f>
        <v/>
      </c>
      <c r="R680" s="4" t="str">
        <f>HYPERLINK("http://141.218.60.56/~jnz1568/getInfo.php?workbook=16_15.xlsx&amp;sheet=A0&amp;row=680&amp;col=18&amp;number=&amp;sourceID=56","")</f>
        <v/>
      </c>
      <c r="S680" s="4" t="str">
        <f>HYPERLINK("http://141.218.60.56/~jnz1568/getInfo.php?workbook=16_15.xlsx&amp;sheet=A0&amp;row=680&amp;col=19&amp;number=&amp;sourceID=57","")</f>
        <v/>
      </c>
      <c r="T680" s="4" t="str">
        <f>HYPERLINK("http://141.218.60.56/~jnz1568/getInfo.php?workbook=16_15.xlsx&amp;sheet=A0&amp;row=680&amp;col=20&amp;number=&amp;sourceID=57","")</f>
        <v/>
      </c>
      <c r="U680" s="4" t="str">
        <f>HYPERLINK("http://141.218.60.56/~jnz1568/getInfo.php?workbook=16_15.xlsx&amp;sheet=A0&amp;row=680&amp;col=21&amp;number=&amp;sourceID=47","")</f>
        <v/>
      </c>
      <c r="V680" s="4" t="str">
        <f>HYPERLINK("http://141.218.60.56/~jnz1568/getInfo.php?workbook=16_15.xlsx&amp;sheet=A0&amp;row=680&amp;col=22&amp;number=&amp;sourceID=47","")</f>
        <v/>
      </c>
    </row>
    <row r="681" spans="1:22">
      <c r="A681" s="3">
        <v>16</v>
      </c>
      <c r="B681" s="3">
        <v>15</v>
      </c>
      <c r="C681" s="3">
        <v>43</v>
      </c>
      <c r="D681" s="3">
        <v>3</v>
      </c>
      <c r="E681" s="3">
        <f>((1/(INDEX(E0!J$4:J$73,C681,1)-INDEX(E0!J$4:J$73,D681,1))))*100000000</f>
        <v>0</v>
      </c>
      <c r="F681" s="4" t="str">
        <f>HYPERLINK("http://141.218.60.56/~jnz1568/getInfo.php?workbook=16_15.xlsx&amp;sheet=A0&amp;row=681&amp;col=6&amp;number=836720&amp;sourceID=54","836720")</f>
        <v>836720</v>
      </c>
      <c r="G681" s="4" t="str">
        <f>HYPERLINK("http://141.218.60.56/~jnz1568/getInfo.php?workbook=16_15.xlsx&amp;sheet=A0&amp;row=681&amp;col=7&amp;number=&amp;sourceID=54","")</f>
        <v/>
      </c>
      <c r="H681" s="4" t="str">
        <f>HYPERLINK("http://141.218.60.56/~jnz1568/getInfo.php?workbook=16_15.xlsx&amp;sheet=A0&amp;row=681&amp;col=8&amp;number=&amp;sourceID=54","")</f>
        <v/>
      </c>
      <c r="I681" s="4" t="str">
        <f>HYPERLINK("http://141.218.60.56/~jnz1568/getInfo.php?workbook=16_15.xlsx&amp;sheet=A0&amp;row=681&amp;col=9&amp;number=671280&amp;sourceID=54","671280")</f>
        <v>671280</v>
      </c>
      <c r="J681" s="4" t="str">
        <f>HYPERLINK("http://141.218.60.56/~jnz1568/getInfo.php?workbook=16_15.xlsx&amp;sheet=A0&amp;row=681&amp;col=10&amp;number=&amp;sourceID=54","")</f>
        <v/>
      </c>
      <c r="K681" s="4" t="str">
        <f>HYPERLINK("http://141.218.60.56/~jnz1568/getInfo.php?workbook=16_15.xlsx&amp;sheet=A0&amp;row=681&amp;col=11&amp;number=&amp;sourceID=54","")</f>
        <v/>
      </c>
      <c r="L681" s="4" t="str">
        <f>HYPERLINK("http://141.218.60.56/~jnz1568/getInfo.php?workbook=16_15.xlsx&amp;sheet=A0&amp;row=681&amp;col=12&amp;number=1010300.18005&amp;sourceID=53","1010300.18005")</f>
        <v>1010300.18005</v>
      </c>
      <c r="M681" s="4" t="str">
        <f>HYPERLINK("http://141.218.60.56/~jnz1568/getInfo.php?workbook=16_15.xlsx&amp;sheet=A0&amp;row=681&amp;col=13&amp;number=&amp;sourceID=53","")</f>
        <v/>
      </c>
      <c r="N681" s="4" t="str">
        <f>HYPERLINK("http://141.218.60.56/~jnz1568/getInfo.php?workbook=16_15.xlsx&amp;sheet=A0&amp;row=681&amp;col=14&amp;number=&amp;sourceID=53","")</f>
        <v/>
      </c>
      <c r="O681" s="4" t="str">
        <f>HYPERLINK("http://141.218.60.56/~jnz1568/getInfo.php?workbook=16_15.xlsx&amp;sheet=A0&amp;row=681&amp;col=15&amp;number=&amp;sourceID=55","")</f>
        <v/>
      </c>
      <c r="P681" s="4" t="str">
        <f>HYPERLINK("http://141.218.60.56/~jnz1568/getInfo.php?workbook=16_15.xlsx&amp;sheet=A0&amp;row=681&amp;col=16&amp;number=&amp;sourceID=55","")</f>
        <v/>
      </c>
      <c r="Q681" s="4" t="str">
        <f>HYPERLINK("http://141.218.60.56/~jnz1568/getInfo.php?workbook=16_15.xlsx&amp;sheet=A0&amp;row=681&amp;col=17&amp;number=&amp;sourceID=56","")</f>
        <v/>
      </c>
      <c r="R681" s="4" t="str">
        <f>HYPERLINK("http://141.218.60.56/~jnz1568/getInfo.php?workbook=16_15.xlsx&amp;sheet=A0&amp;row=681&amp;col=18&amp;number=&amp;sourceID=56","")</f>
        <v/>
      </c>
      <c r="S681" s="4" t="str">
        <f>HYPERLINK("http://141.218.60.56/~jnz1568/getInfo.php?workbook=16_15.xlsx&amp;sheet=A0&amp;row=681&amp;col=19&amp;number=&amp;sourceID=57","")</f>
        <v/>
      </c>
      <c r="T681" s="4" t="str">
        <f>HYPERLINK("http://141.218.60.56/~jnz1568/getInfo.php?workbook=16_15.xlsx&amp;sheet=A0&amp;row=681&amp;col=20&amp;number=&amp;sourceID=57","")</f>
        <v/>
      </c>
      <c r="U681" s="4" t="str">
        <f>HYPERLINK("http://141.218.60.56/~jnz1568/getInfo.php?workbook=16_15.xlsx&amp;sheet=A0&amp;row=681&amp;col=21&amp;number=&amp;sourceID=47","")</f>
        <v/>
      </c>
      <c r="V681" s="4" t="str">
        <f>HYPERLINK("http://141.218.60.56/~jnz1568/getInfo.php?workbook=16_15.xlsx&amp;sheet=A0&amp;row=681&amp;col=22&amp;number=&amp;sourceID=47","")</f>
        <v/>
      </c>
    </row>
    <row r="682" spans="1:22">
      <c r="A682" s="3">
        <v>16</v>
      </c>
      <c r="B682" s="3">
        <v>15</v>
      </c>
      <c r="C682" s="3">
        <v>43</v>
      </c>
      <c r="D682" s="3">
        <v>4</v>
      </c>
      <c r="E682" s="3">
        <f>((1/(INDEX(E0!J$4:J$73,C682,1)-INDEX(E0!J$4:J$73,D682,1))))*100000000</f>
        <v>0</v>
      </c>
      <c r="F682" s="4" t="str">
        <f>HYPERLINK("http://141.218.60.56/~jnz1568/getInfo.php?workbook=16_15.xlsx&amp;sheet=A0&amp;row=682&amp;col=6&amp;number=449.72&amp;sourceID=54","449.72")</f>
        <v>449.72</v>
      </c>
      <c r="G682" s="4" t="str">
        <f>HYPERLINK("http://141.218.60.56/~jnz1568/getInfo.php?workbook=16_15.xlsx&amp;sheet=A0&amp;row=682&amp;col=7&amp;number=&amp;sourceID=54","")</f>
        <v/>
      </c>
      <c r="H682" s="4" t="str">
        <f>HYPERLINK("http://141.218.60.56/~jnz1568/getInfo.php?workbook=16_15.xlsx&amp;sheet=A0&amp;row=682&amp;col=8&amp;number=&amp;sourceID=54","")</f>
        <v/>
      </c>
      <c r="I682" s="4" t="str">
        <f>HYPERLINK("http://141.218.60.56/~jnz1568/getInfo.php?workbook=16_15.xlsx&amp;sheet=A0&amp;row=682&amp;col=9&amp;number=1105.8&amp;sourceID=54","1105.8")</f>
        <v>1105.8</v>
      </c>
      <c r="J682" s="4" t="str">
        <f>HYPERLINK("http://141.218.60.56/~jnz1568/getInfo.php?workbook=16_15.xlsx&amp;sheet=A0&amp;row=682&amp;col=10&amp;number=&amp;sourceID=54","")</f>
        <v/>
      </c>
      <c r="K682" s="4" t="str">
        <f>HYPERLINK("http://141.218.60.56/~jnz1568/getInfo.php?workbook=16_15.xlsx&amp;sheet=A0&amp;row=682&amp;col=11&amp;number=&amp;sourceID=54","")</f>
        <v/>
      </c>
      <c r="L682" s="4" t="str">
        <f>HYPERLINK("http://141.218.60.56/~jnz1568/getInfo.php?workbook=16_15.xlsx&amp;sheet=A0&amp;row=682&amp;col=12&amp;number=2415.03625369&amp;sourceID=53","2415.03625369")</f>
        <v>2415.03625369</v>
      </c>
      <c r="M682" s="4" t="str">
        <f>HYPERLINK("http://141.218.60.56/~jnz1568/getInfo.php?workbook=16_15.xlsx&amp;sheet=A0&amp;row=682&amp;col=13&amp;number=&amp;sourceID=53","")</f>
        <v/>
      </c>
      <c r="N682" s="4" t="str">
        <f>HYPERLINK("http://141.218.60.56/~jnz1568/getInfo.php?workbook=16_15.xlsx&amp;sheet=A0&amp;row=682&amp;col=14&amp;number=&amp;sourceID=53","")</f>
        <v/>
      </c>
      <c r="O682" s="4" t="str">
        <f>HYPERLINK("http://141.218.60.56/~jnz1568/getInfo.php?workbook=16_15.xlsx&amp;sheet=A0&amp;row=682&amp;col=15&amp;number=&amp;sourceID=55","")</f>
        <v/>
      </c>
      <c r="P682" s="4" t="str">
        <f>HYPERLINK("http://141.218.60.56/~jnz1568/getInfo.php?workbook=16_15.xlsx&amp;sheet=A0&amp;row=682&amp;col=16&amp;number=&amp;sourceID=55","")</f>
        <v/>
      </c>
      <c r="Q682" s="4" t="str">
        <f>HYPERLINK("http://141.218.60.56/~jnz1568/getInfo.php?workbook=16_15.xlsx&amp;sheet=A0&amp;row=682&amp;col=17&amp;number=&amp;sourceID=56","")</f>
        <v/>
      </c>
      <c r="R682" s="4" t="str">
        <f>HYPERLINK("http://141.218.60.56/~jnz1568/getInfo.php?workbook=16_15.xlsx&amp;sheet=A0&amp;row=682&amp;col=18&amp;number=&amp;sourceID=56","")</f>
        <v/>
      </c>
      <c r="S682" s="4" t="str">
        <f>HYPERLINK("http://141.218.60.56/~jnz1568/getInfo.php?workbook=16_15.xlsx&amp;sheet=A0&amp;row=682&amp;col=19&amp;number=&amp;sourceID=57","")</f>
        <v/>
      </c>
      <c r="T682" s="4" t="str">
        <f>HYPERLINK("http://141.218.60.56/~jnz1568/getInfo.php?workbook=16_15.xlsx&amp;sheet=A0&amp;row=682&amp;col=20&amp;number=&amp;sourceID=57","")</f>
        <v/>
      </c>
      <c r="U682" s="4" t="str">
        <f>HYPERLINK("http://141.218.60.56/~jnz1568/getInfo.php?workbook=16_15.xlsx&amp;sheet=A0&amp;row=682&amp;col=21&amp;number=&amp;sourceID=47","")</f>
        <v/>
      </c>
      <c r="V682" s="4" t="str">
        <f>HYPERLINK("http://141.218.60.56/~jnz1568/getInfo.php?workbook=16_15.xlsx&amp;sheet=A0&amp;row=682&amp;col=22&amp;number=&amp;sourceID=47","")</f>
        <v/>
      </c>
    </row>
    <row r="683" spans="1:22">
      <c r="A683" s="3">
        <v>16</v>
      </c>
      <c r="B683" s="3">
        <v>15</v>
      </c>
      <c r="C683" s="3">
        <v>43</v>
      </c>
      <c r="D683" s="3">
        <v>5</v>
      </c>
      <c r="E683" s="3">
        <f>((1/(INDEX(E0!J$4:J$73,C683,1)-INDEX(E0!J$4:J$73,D683,1))))*100000000</f>
        <v>0</v>
      </c>
      <c r="F683" s="4" t="str">
        <f>HYPERLINK("http://141.218.60.56/~jnz1568/getInfo.php?workbook=16_15.xlsx&amp;sheet=A0&amp;row=683&amp;col=6&amp;number=79813&amp;sourceID=54","79813")</f>
        <v>79813</v>
      </c>
      <c r="G683" s="4" t="str">
        <f>HYPERLINK("http://141.218.60.56/~jnz1568/getInfo.php?workbook=16_15.xlsx&amp;sheet=A0&amp;row=683&amp;col=7&amp;number=&amp;sourceID=54","")</f>
        <v/>
      </c>
      <c r="H683" s="4" t="str">
        <f>HYPERLINK("http://141.218.60.56/~jnz1568/getInfo.php?workbook=16_15.xlsx&amp;sheet=A0&amp;row=683&amp;col=8&amp;number=&amp;sourceID=54","")</f>
        <v/>
      </c>
      <c r="I683" s="4" t="str">
        <f>HYPERLINK("http://141.218.60.56/~jnz1568/getInfo.php?workbook=16_15.xlsx&amp;sheet=A0&amp;row=683&amp;col=9&amp;number=27329&amp;sourceID=54","27329")</f>
        <v>27329</v>
      </c>
      <c r="J683" s="4" t="str">
        <f>HYPERLINK("http://141.218.60.56/~jnz1568/getInfo.php?workbook=16_15.xlsx&amp;sheet=A0&amp;row=683&amp;col=10&amp;number=&amp;sourceID=54","")</f>
        <v/>
      </c>
      <c r="K683" s="4" t="str">
        <f>HYPERLINK("http://141.218.60.56/~jnz1568/getInfo.php?workbook=16_15.xlsx&amp;sheet=A0&amp;row=683&amp;col=11&amp;number=&amp;sourceID=54","")</f>
        <v/>
      </c>
      <c r="L683" s="4" t="str">
        <f>HYPERLINK("http://141.218.60.56/~jnz1568/getInfo.php?workbook=16_15.xlsx&amp;sheet=A0&amp;row=683&amp;col=12&amp;number=91735.4991325&amp;sourceID=53","91735.4991325")</f>
        <v>91735.4991325</v>
      </c>
      <c r="M683" s="4" t="str">
        <f>HYPERLINK("http://141.218.60.56/~jnz1568/getInfo.php?workbook=16_15.xlsx&amp;sheet=A0&amp;row=683&amp;col=13&amp;number=&amp;sourceID=53","")</f>
        <v/>
      </c>
      <c r="N683" s="4" t="str">
        <f>HYPERLINK("http://141.218.60.56/~jnz1568/getInfo.php?workbook=16_15.xlsx&amp;sheet=A0&amp;row=683&amp;col=14&amp;number=&amp;sourceID=53","")</f>
        <v/>
      </c>
      <c r="O683" s="4" t="str">
        <f>HYPERLINK("http://141.218.60.56/~jnz1568/getInfo.php?workbook=16_15.xlsx&amp;sheet=A0&amp;row=683&amp;col=15&amp;number=&amp;sourceID=55","")</f>
        <v/>
      </c>
      <c r="P683" s="4" t="str">
        <f>HYPERLINK("http://141.218.60.56/~jnz1568/getInfo.php?workbook=16_15.xlsx&amp;sheet=A0&amp;row=683&amp;col=16&amp;number=&amp;sourceID=55","")</f>
        <v/>
      </c>
      <c r="Q683" s="4" t="str">
        <f>HYPERLINK("http://141.218.60.56/~jnz1568/getInfo.php?workbook=16_15.xlsx&amp;sheet=A0&amp;row=683&amp;col=17&amp;number=&amp;sourceID=56","")</f>
        <v/>
      </c>
      <c r="R683" s="4" t="str">
        <f>HYPERLINK("http://141.218.60.56/~jnz1568/getInfo.php?workbook=16_15.xlsx&amp;sheet=A0&amp;row=683&amp;col=18&amp;number=&amp;sourceID=56","")</f>
        <v/>
      </c>
      <c r="S683" s="4" t="str">
        <f>HYPERLINK("http://141.218.60.56/~jnz1568/getInfo.php?workbook=16_15.xlsx&amp;sheet=A0&amp;row=683&amp;col=19&amp;number=&amp;sourceID=57","")</f>
        <v/>
      </c>
      <c r="T683" s="4" t="str">
        <f>HYPERLINK("http://141.218.60.56/~jnz1568/getInfo.php?workbook=16_15.xlsx&amp;sheet=A0&amp;row=683&amp;col=20&amp;number=&amp;sourceID=57","")</f>
        <v/>
      </c>
      <c r="U683" s="4" t="str">
        <f>HYPERLINK("http://141.218.60.56/~jnz1568/getInfo.php?workbook=16_15.xlsx&amp;sheet=A0&amp;row=683&amp;col=21&amp;number=&amp;sourceID=47","")</f>
        <v/>
      </c>
      <c r="V683" s="4" t="str">
        <f>HYPERLINK("http://141.218.60.56/~jnz1568/getInfo.php?workbook=16_15.xlsx&amp;sheet=A0&amp;row=683&amp;col=22&amp;number=&amp;sourceID=47","")</f>
        <v/>
      </c>
    </row>
    <row r="684" spans="1:22">
      <c r="A684" s="3">
        <v>16</v>
      </c>
      <c r="B684" s="3">
        <v>15</v>
      </c>
      <c r="C684" s="3">
        <v>43</v>
      </c>
      <c r="D684" s="3">
        <v>6</v>
      </c>
      <c r="E684" s="3">
        <f>((1/(INDEX(E0!J$4:J$73,C684,1)-INDEX(E0!J$4:J$73,D684,1))))*100000000</f>
        <v>0</v>
      </c>
      <c r="F684" s="4" t="str">
        <f>HYPERLINK("http://141.218.60.56/~jnz1568/getInfo.php?workbook=16_15.xlsx&amp;sheet=A0&amp;row=684&amp;col=6&amp;number=&amp;sourceID=54","")</f>
        <v/>
      </c>
      <c r="G684" s="4" t="str">
        <f>HYPERLINK("http://141.218.60.56/~jnz1568/getInfo.php?workbook=16_15.xlsx&amp;sheet=A0&amp;row=684&amp;col=7&amp;number=2.9633&amp;sourceID=54","2.9633")</f>
        <v>2.9633</v>
      </c>
      <c r="H684" s="4" t="str">
        <f>HYPERLINK("http://141.218.60.56/~jnz1568/getInfo.php?workbook=16_15.xlsx&amp;sheet=A0&amp;row=684&amp;col=8&amp;number=0.18423&amp;sourceID=54","0.18423")</f>
        <v>0.18423</v>
      </c>
      <c r="I684" s="4" t="str">
        <f>HYPERLINK("http://141.218.60.56/~jnz1568/getInfo.php?workbook=16_15.xlsx&amp;sheet=A0&amp;row=684&amp;col=9&amp;number=&amp;sourceID=54","")</f>
        <v/>
      </c>
      <c r="J684" s="4" t="str">
        <f>HYPERLINK("http://141.218.60.56/~jnz1568/getInfo.php?workbook=16_15.xlsx&amp;sheet=A0&amp;row=684&amp;col=10&amp;number=2.59&amp;sourceID=54","2.59")</f>
        <v>2.59</v>
      </c>
      <c r="K684" s="4" t="str">
        <f>HYPERLINK("http://141.218.60.56/~jnz1568/getInfo.php?workbook=16_15.xlsx&amp;sheet=A0&amp;row=684&amp;col=11&amp;number=0.16948&amp;sourceID=54","0.16948")</f>
        <v>0.16948</v>
      </c>
      <c r="L684" s="4" t="str">
        <f>HYPERLINK("http://141.218.60.56/~jnz1568/getInfo.php?workbook=16_15.xlsx&amp;sheet=A0&amp;row=684&amp;col=12&amp;number=&amp;sourceID=53","")</f>
        <v/>
      </c>
      <c r="M684" s="4" t="str">
        <f>HYPERLINK("http://141.218.60.56/~jnz1568/getInfo.php?workbook=16_15.xlsx&amp;sheet=A0&amp;row=684&amp;col=13&amp;number=&amp;sourceID=53","")</f>
        <v/>
      </c>
      <c r="N684" s="4" t="str">
        <f>HYPERLINK("http://141.218.60.56/~jnz1568/getInfo.php?workbook=16_15.xlsx&amp;sheet=A0&amp;row=684&amp;col=14&amp;number=&amp;sourceID=53","")</f>
        <v/>
      </c>
      <c r="O684" s="4" t="str">
        <f>HYPERLINK("http://141.218.60.56/~jnz1568/getInfo.php?workbook=16_15.xlsx&amp;sheet=A0&amp;row=684&amp;col=15&amp;number=&amp;sourceID=55","")</f>
        <v/>
      </c>
      <c r="P684" s="4" t="str">
        <f>HYPERLINK("http://141.218.60.56/~jnz1568/getInfo.php?workbook=16_15.xlsx&amp;sheet=A0&amp;row=684&amp;col=16&amp;number=&amp;sourceID=55","")</f>
        <v/>
      </c>
      <c r="Q684" s="4" t="str">
        <f>HYPERLINK("http://141.218.60.56/~jnz1568/getInfo.php?workbook=16_15.xlsx&amp;sheet=A0&amp;row=684&amp;col=17&amp;number=&amp;sourceID=56","")</f>
        <v/>
      </c>
      <c r="R684" s="4" t="str">
        <f>HYPERLINK("http://141.218.60.56/~jnz1568/getInfo.php?workbook=16_15.xlsx&amp;sheet=A0&amp;row=684&amp;col=18&amp;number=&amp;sourceID=56","")</f>
        <v/>
      </c>
      <c r="S684" s="4" t="str">
        <f>HYPERLINK("http://141.218.60.56/~jnz1568/getInfo.php?workbook=16_15.xlsx&amp;sheet=A0&amp;row=684&amp;col=19&amp;number=&amp;sourceID=57","")</f>
        <v/>
      </c>
      <c r="T684" s="4" t="str">
        <f>HYPERLINK("http://141.218.60.56/~jnz1568/getInfo.php?workbook=16_15.xlsx&amp;sheet=A0&amp;row=684&amp;col=20&amp;number=&amp;sourceID=57","")</f>
        <v/>
      </c>
      <c r="U684" s="4" t="str">
        <f>HYPERLINK("http://141.218.60.56/~jnz1568/getInfo.php?workbook=16_15.xlsx&amp;sheet=A0&amp;row=684&amp;col=21&amp;number=&amp;sourceID=47","")</f>
        <v/>
      </c>
      <c r="V684" s="4" t="str">
        <f>HYPERLINK("http://141.218.60.56/~jnz1568/getInfo.php?workbook=16_15.xlsx&amp;sheet=A0&amp;row=684&amp;col=22&amp;number=&amp;sourceID=47","")</f>
        <v/>
      </c>
    </row>
    <row r="685" spans="1:22">
      <c r="A685" s="3">
        <v>16</v>
      </c>
      <c r="B685" s="3">
        <v>15</v>
      </c>
      <c r="C685" s="3">
        <v>43</v>
      </c>
      <c r="D685" s="3">
        <v>7</v>
      </c>
      <c r="E685" s="3">
        <f>((1/(INDEX(E0!J$4:J$73,C685,1)-INDEX(E0!J$4:J$73,D685,1))))*100000000</f>
        <v>0</v>
      </c>
      <c r="F685" s="4" t="str">
        <f>HYPERLINK("http://141.218.60.56/~jnz1568/getInfo.php?workbook=16_15.xlsx&amp;sheet=A0&amp;row=685&amp;col=6&amp;number=&amp;sourceID=54","")</f>
        <v/>
      </c>
      <c r="G685" s="4" t="str">
        <f>HYPERLINK("http://141.218.60.56/~jnz1568/getInfo.php?workbook=16_15.xlsx&amp;sheet=A0&amp;row=685&amp;col=7&amp;number=1.3148&amp;sourceID=54","1.3148")</f>
        <v>1.3148</v>
      </c>
      <c r="H685" s="4" t="str">
        <f>HYPERLINK("http://141.218.60.56/~jnz1568/getInfo.php?workbook=16_15.xlsx&amp;sheet=A0&amp;row=685&amp;col=8&amp;number=1.8338&amp;sourceID=54","1.8338")</f>
        <v>1.8338</v>
      </c>
      <c r="I685" s="4" t="str">
        <f>HYPERLINK("http://141.218.60.56/~jnz1568/getInfo.php?workbook=16_15.xlsx&amp;sheet=A0&amp;row=685&amp;col=9&amp;number=&amp;sourceID=54","")</f>
        <v/>
      </c>
      <c r="J685" s="4" t="str">
        <f>HYPERLINK("http://141.218.60.56/~jnz1568/getInfo.php?workbook=16_15.xlsx&amp;sheet=A0&amp;row=685&amp;col=10&amp;number=1.1427&amp;sourceID=54","1.1427")</f>
        <v>1.1427</v>
      </c>
      <c r="K685" s="4" t="str">
        <f>HYPERLINK("http://141.218.60.56/~jnz1568/getInfo.php?workbook=16_15.xlsx&amp;sheet=A0&amp;row=685&amp;col=11&amp;number=1.687&amp;sourceID=54","1.687")</f>
        <v>1.687</v>
      </c>
      <c r="L685" s="4" t="str">
        <f>HYPERLINK("http://141.218.60.56/~jnz1568/getInfo.php?workbook=16_15.xlsx&amp;sheet=A0&amp;row=685&amp;col=12&amp;number=&amp;sourceID=53","")</f>
        <v/>
      </c>
      <c r="M685" s="4" t="str">
        <f>HYPERLINK("http://141.218.60.56/~jnz1568/getInfo.php?workbook=16_15.xlsx&amp;sheet=A0&amp;row=685&amp;col=13&amp;number=&amp;sourceID=53","")</f>
        <v/>
      </c>
      <c r="N685" s="4" t="str">
        <f>HYPERLINK("http://141.218.60.56/~jnz1568/getInfo.php?workbook=16_15.xlsx&amp;sheet=A0&amp;row=685&amp;col=14&amp;number=&amp;sourceID=53","")</f>
        <v/>
      </c>
      <c r="O685" s="4" t="str">
        <f>HYPERLINK("http://141.218.60.56/~jnz1568/getInfo.php?workbook=16_15.xlsx&amp;sheet=A0&amp;row=685&amp;col=15&amp;number=&amp;sourceID=55","")</f>
        <v/>
      </c>
      <c r="P685" s="4" t="str">
        <f>HYPERLINK("http://141.218.60.56/~jnz1568/getInfo.php?workbook=16_15.xlsx&amp;sheet=A0&amp;row=685&amp;col=16&amp;number=&amp;sourceID=55","")</f>
        <v/>
      </c>
      <c r="Q685" s="4" t="str">
        <f>HYPERLINK("http://141.218.60.56/~jnz1568/getInfo.php?workbook=16_15.xlsx&amp;sheet=A0&amp;row=685&amp;col=17&amp;number=&amp;sourceID=56","")</f>
        <v/>
      </c>
      <c r="R685" s="4" t="str">
        <f>HYPERLINK("http://141.218.60.56/~jnz1568/getInfo.php?workbook=16_15.xlsx&amp;sheet=A0&amp;row=685&amp;col=18&amp;number=&amp;sourceID=56","")</f>
        <v/>
      </c>
      <c r="S685" s="4" t="str">
        <f>HYPERLINK("http://141.218.60.56/~jnz1568/getInfo.php?workbook=16_15.xlsx&amp;sheet=A0&amp;row=685&amp;col=19&amp;number=&amp;sourceID=57","")</f>
        <v/>
      </c>
      <c r="T685" s="4" t="str">
        <f>HYPERLINK("http://141.218.60.56/~jnz1568/getInfo.php?workbook=16_15.xlsx&amp;sheet=A0&amp;row=685&amp;col=20&amp;number=&amp;sourceID=57","")</f>
        <v/>
      </c>
      <c r="U685" s="4" t="str">
        <f>HYPERLINK("http://141.218.60.56/~jnz1568/getInfo.php?workbook=16_15.xlsx&amp;sheet=A0&amp;row=685&amp;col=21&amp;number=&amp;sourceID=47","")</f>
        <v/>
      </c>
      <c r="V685" s="4" t="str">
        <f>HYPERLINK("http://141.218.60.56/~jnz1568/getInfo.php?workbook=16_15.xlsx&amp;sheet=A0&amp;row=685&amp;col=22&amp;number=&amp;sourceID=47","")</f>
        <v/>
      </c>
    </row>
    <row r="686" spans="1:22">
      <c r="A686" s="3">
        <v>16</v>
      </c>
      <c r="B686" s="3">
        <v>15</v>
      </c>
      <c r="C686" s="3">
        <v>43</v>
      </c>
      <c r="D686" s="3">
        <v>8</v>
      </c>
      <c r="E686" s="3">
        <f>((1/(INDEX(E0!J$4:J$73,C686,1)-INDEX(E0!J$4:J$73,D686,1))))*100000000</f>
        <v>0</v>
      </c>
      <c r="F686" s="4" t="str">
        <f>HYPERLINK("http://141.218.60.56/~jnz1568/getInfo.php?workbook=16_15.xlsx&amp;sheet=A0&amp;row=686&amp;col=6&amp;number=&amp;sourceID=54","")</f>
        <v/>
      </c>
      <c r="G686" s="4" t="str">
        <f>HYPERLINK("http://141.218.60.56/~jnz1568/getInfo.php?workbook=16_15.xlsx&amp;sheet=A0&amp;row=686&amp;col=7&amp;number=0.1893&amp;sourceID=54","0.1893")</f>
        <v>0.1893</v>
      </c>
      <c r="H686" s="4" t="str">
        <f>HYPERLINK("http://141.218.60.56/~jnz1568/getInfo.php?workbook=16_15.xlsx&amp;sheet=A0&amp;row=686&amp;col=8&amp;number=0.11893&amp;sourceID=54","0.11893")</f>
        <v>0.11893</v>
      </c>
      <c r="I686" s="4" t="str">
        <f>HYPERLINK("http://141.218.60.56/~jnz1568/getInfo.php?workbook=16_15.xlsx&amp;sheet=A0&amp;row=686&amp;col=9&amp;number=&amp;sourceID=54","")</f>
        <v/>
      </c>
      <c r="J686" s="4" t="str">
        <f>HYPERLINK("http://141.218.60.56/~jnz1568/getInfo.php?workbook=16_15.xlsx&amp;sheet=A0&amp;row=686&amp;col=10&amp;number=0.16394&amp;sourceID=54","0.16394")</f>
        <v>0.16394</v>
      </c>
      <c r="K686" s="4" t="str">
        <f>HYPERLINK("http://141.218.60.56/~jnz1568/getInfo.php?workbook=16_15.xlsx&amp;sheet=A0&amp;row=686&amp;col=11&amp;number=0.10935&amp;sourceID=54","0.10935")</f>
        <v>0.10935</v>
      </c>
      <c r="L686" s="4" t="str">
        <f>HYPERLINK("http://141.218.60.56/~jnz1568/getInfo.php?workbook=16_15.xlsx&amp;sheet=A0&amp;row=686&amp;col=12&amp;number=&amp;sourceID=53","")</f>
        <v/>
      </c>
      <c r="M686" s="4" t="str">
        <f>HYPERLINK("http://141.218.60.56/~jnz1568/getInfo.php?workbook=16_15.xlsx&amp;sheet=A0&amp;row=686&amp;col=13&amp;number=&amp;sourceID=53","")</f>
        <v/>
      </c>
      <c r="N686" s="4" t="str">
        <f>HYPERLINK("http://141.218.60.56/~jnz1568/getInfo.php?workbook=16_15.xlsx&amp;sheet=A0&amp;row=686&amp;col=14&amp;number=&amp;sourceID=53","")</f>
        <v/>
      </c>
      <c r="O686" s="4" t="str">
        <f>HYPERLINK("http://141.218.60.56/~jnz1568/getInfo.php?workbook=16_15.xlsx&amp;sheet=A0&amp;row=686&amp;col=15&amp;number=&amp;sourceID=55","")</f>
        <v/>
      </c>
      <c r="P686" s="4" t="str">
        <f>HYPERLINK("http://141.218.60.56/~jnz1568/getInfo.php?workbook=16_15.xlsx&amp;sheet=A0&amp;row=686&amp;col=16&amp;number=&amp;sourceID=55","")</f>
        <v/>
      </c>
      <c r="Q686" s="4" t="str">
        <f>HYPERLINK("http://141.218.60.56/~jnz1568/getInfo.php?workbook=16_15.xlsx&amp;sheet=A0&amp;row=686&amp;col=17&amp;number=&amp;sourceID=56","")</f>
        <v/>
      </c>
      <c r="R686" s="4" t="str">
        <f>HYPERLINK("http://141.218.60.56/~jnz1568/getInfo.php?workbook=16_15.xlsx&amp;sheet=A0&amp;row=686&amp;col=18&amp;number=&amp;sourceID=56","")</f>
        <v/>
      </c>
      <c r="S686" s="4" t="str">
        <f>HYPERLINK("http://141.218.60.56/~jnz1568/getInfo.php?workbook=16_15.xlsx&amp;sheet=A0&amp;row=686&amp;col=19&amp;number=&amp;sourceID=57","")</f>
        <v/>
      </c>
      <c r="T686" s="4" t="str">
        <f>HYPERLINK("http://141.218.60.56/~jnz1568/getInfo.php?workbook=16_15.xlsx&amp;sheet=A0&amp;row=686&amp;col=20&amp;number=&amp;sourceID=57","")</f>
        <v/>
      </c>
      <c r="U686" s="4" t="str">
        <f>HYPERLINK("http://141.218.60.56/~jnz1568/getInfo.php?workbook=16_15.xlsx&amp;sheet=A0&amp;row=686&amp;col=21&amp;number=&amp;sourceID=47","")</f>
        <v/>
      </c>
      <c r="V686" s="4" t="str">
        <f>HYPERLINK("http://141.218.60.56/~jnz1568/getInfo.php?workbook=16_15.xlsx&amp;sheet=A0&amp;row=686&amp;col=22&amp;number=&amp;sourceID=47","")</f>
        <v/>
      </c>
    </row>
    <row r="687" spans="1:22">
      <c r="A687" s="3">
        <v>16</v>
      </c>
      <c r="B687" s="3">
        <v>15</v>
      </c>
      <c r="C687" s="3">
        <v>43</v>
      </c>
      <c r="D687" s="3">
        <v>9</v>
      </c>
      <c r="E687" s="3">
        <f>((1/(INDEX(E0!J$4:J$73,C687,1)-INDEX(E0!J$4:J$73,D687,1))))*100000000</f>
        <v>0</v>
      </c>
      <c r="F687" s="4" t="str">
        <f>HYPERLINK("http://141.218.60.56/~jnz1568/getInfo.php?workbook=16_15.xlsx&amp;sheet=A0&amp;row=687&amp;col=6&amp;number=&amp;sourceID=54","")</f>
        <v/>
      </c>
      <c r="G687" s="4" t="str">
        <f>HYPERLINK("http://141.218.60.56/~jnz1568/getInfo.php?workbook=16_15.xlsx&amp;sheet=A0&amp;row=687&amp;col=7&amp;number=0.00043558&amp;sourceID=54","0.00043558")</f>
        <v>0.00043558</v>
      </c>
      <c r="H687" s="4" t="str">
        <f>HYPERLINK("http://141.218.60.56/~jnz1568/getInfo.php?workbook=16_15.xlsx&amp;sheet=A0&amp;row=687&amp;col=8&amp;number=0.00036514&amp;sourceID=54","0.00036514")</f>
        <v>0.00036514</v>
      </c>
      <c r="I687" s="4" t="str">
        <f>HYPERLINK("http://141.218.60.56/~jnz1568/getInfo.php?workbook=16_15.xlsx&amp;sheet=A0&amp;row=687&amp;col=9&amp;number=&amp;sourceID=54","")</f>
        <v/>
      </c>
      <c r="J687" s="4" t="str">
        <f>HYPERLINK("http://141.218.60.56/~jnz1568/getInfo.php?workbook=16_15.xlsx&amp;sheet=A0&amp;row=687&amp;col=10&amp;number=0.00027858&amp;sourceID=54","0.00027858")</f>
        <v>0.00027858</v>
      </c>
      <c r="K687" s="4" t="str">
        <f>HYPERLINK("http://141.218.60.56/~jnz1568/getInfo.php?workbook=16_15.xlsx&amp;sheet=A0&amp;row=687&amp;col=11&amp;number=0.00032733&amp;sourceID=54","0.00032733")</f>
        <v>0.00032733</v>
      </c>
      <c r="L687" s="4" t="str">
        <f>HYPERLINK("http://141.218.60.56/~jnz1568/getInfo.php?workbook=16_15.xlsx&amp;sheet=A0&amp;row=687&amp;col=12&amp;number=&amp;sourceID=53","")</f>
        <v/>
      </c>
      <c r="M687" s="4" t="str">
        <f>HYPERLINK("http://141.218.60.56/~jnz1568/getInfo.php?workbook=16_15.xlsx&amp;sheet=A0&amp;row=687&amp;col=13&amp;number=&amp;sourceID=53","")</f>
        <v/>
      </c>
      <c r="N687" s="4" t="str">
        <f>HYPERLINK("http://141.218.60.56/~jnz1568/getInfo.php?workbook=16_15.xlsx&amp;sheet=A0&amp;row=687&amp;col=14&amp;number=&amp;sourceID=53","")</f>
        <v/>
      </c>
      <c r="O687" s="4" t="str">
        <f>HYPERLINK("http://141.218.60.56/~jnz1568/getInfo.php?workbook=16_15.xlsx&amp;sheet=A0&amp;row=687&amp;col=15&amp;number=&amp;sourceID=55","")</f>
        <v/>
      </c>
      <c r="P687" s="4" t="str">
        <f>HYPERLINK("http://141.218.60.56/~jnz1568/getInfo.php?workbook=16_15.xlsx&amp;sheet=A0&amp;row=687&amp;col=16&amp;number=&amp;sourceID=55","")</f>
        <v/>
      </c>
      <c r="Q687" s="4" t="str">
        <f>HYPERLINK("http://141.218.60.56/~jnz1568/getInfo.php?workbook=16_15.xlsx&amp;sheet=A0&amp;row=687&amp;col=17&amp;number=&amp;sourceID=56","")</f>
        <v/>
      </c>
      <c r="R687" s="4" t="str">
        <f>HYPERLINK("http://141.218.60.56/~jnz1568/getInfo.php?workbook=16_15.xlsx&amp;sheet=A0&amp;row=687&amp;col=18&amp;number=&amp;sourceID=56","")</f>
        <v/>
      </c>
      <c r="S687" s="4" t="str">
        <f>HYPERLINK("http://141.218.60.56/~jnz1568/getInfo.php?workbook=16_15.xlsx&amp;sheet=A0&amp;row=687&amp;col=19&amp;number=&amp;sourceID=57","")</f>
        <v/>
      </c>
      <c r="T687" s="4" t="str">
        <f>HYPERLINK("http://141.218.60.56/~jnz1568/getInfo.php?workbook=16_15.xlsx&amp;sheet=A0&amp;row=687&amp;col=20&amp;number=&amp;sourceID=57","")</f>
        <v/>
      </c>
      <c r="U687" s="4" t="str">
        <f>HYPERLINK("http://141.218.60.56/~jnz1568/getInfo.php?workbook=16_15.xlsx&amp;sheet=A0&amp;row=687&amp;col=21&amp;number=&amp;sourceID=47","")</f>
        <v/>
      </c>
      <c r="V687" s="4" t="str">
        <f>HYPERLINK("http://141.218.60.56/~jnz1568/getInfo.php?workbook=16_15.xlsx&amp;sheet=A0&amp;row=687&amp;col=22&amp;number=&amp;sourceID=47","")</f>
        <v/>
      </c>
    </row>
    <row r="688" spans="1:22">
      <c r="A688" s="3">
        <v>16</v>
      </c>
      <c r="B688" s="3">
        <v>15</v>
      </c>
      <c r="C688" s="3">
        <v>43</v>
      </c>
      <c r="D688" s="3">
        <v>10</v>
      </c>
      <c r="E688" s="3">
        <f>((1/(INDEX(E0!J$4:J$73,C688,1)-INDEX(E0!J$4:J$73,D688,1))))*100000000</f>
        <v>0</v>
      </c>
      <c r="F688" s="4" t="str">
        <f>HYPERLINK("http://141.218.60.56/~jnz1568/getInfo.php?workbook=16_15.xlsx&amp;sheet=A0&amp;row=688&amp;col=6&amp;number=&amp;sourceID=54","")</f>
        <v/>
      </c>
      <c r="G688" s="4" t="str">
        <f>HYPERLINK("http://141.218.60.56/~jnz1568/getInfo.php?workbook=16_15.xlsx&amp;sheet=A0&amp;row=688&amp;col=7&amp;number=0.0052449&amp;sourceID=54","0.0052449")</f>
        <v>0.0052449</v>
      </c>
      <c r="H688" s="4" t="str">
        <f>HYPERLINK("http://141.218.60.56/~jnz1568/getInfo.php?workbook=16_15.xlsx&amp;sheet=A0&amp;row=688&amp;col=8&amp;number=0.0002754&amp;sourceID=54","0.0002754")</f>
        <v>0.0002754</v>
      </c>
      <c r="I688" s="4" t="str">
        <f>HYPERLINK("http://141.218.60.56/~jnz1568/getInfo.php?workbook=16_15.xlsx&amp;sheet=A0&amp;row=688&amp;col=9&amp;number=&amp;sourceID=54","")</f>
        <v/>
      </c>
      <c r="J688" s="4" t="str">
        <f>HYPERLINK("http://141.218.60.56/~jnz1568/getInfo.php?workbook=16_15.xlsx&amp;sheet=A0&amp;row=688&amp;col=10&amp;number=0.0039588&amp;sourceID=54","0.0039588")</f>
        <v>0.0039588</v>
      </c>
      <c r="K688" s="4" t="str">
        <f>HYPERLINK("http://141.218.60.56/~jnz1568/getInfo.php?workbook=16_15.xlsx&amp;sheet=A0&amp;row=688&amp;col=11&amp;number=0.00024757&amp;sourceID=54","0.00024757")</f>
        <v>0.00024757</v>
      </c>
      <c r="L688" s="4" t="str">
        <f>HYPERLINK("http://141.218.60.56/~jnz1568/getInfo.php?workbook=16_15.xlsx&amp;sheet=A0&amp;row=688&amp;col=12&amp;number=&amp;sourceID=53","")</f>
        <v/>
      </c>
      <c r="M688" s="4" t="str">
        <f>HYPERLINK("http://141.218.60.56/~jnz1568/getInfo.php?workbook=16_15.xlsx&amp;sheet=A0&amp;row=688&amp;col=13&amp;number=&amp;sourceID=53","")</f>
        <v/>
      </c>
      <c r="N688" s="4" t="str">
        <f>HYPERLINK("http://141.218.60.56/~jnz1568/getInfo.php?workbook=16_15.xlsx&amp;sheet=A0&amp;row=688&amp;col=14&amp;number=&amp;sourceID=53","")</f>
        <v/>
      </c>
      <c r="O688" s="4" t="str">
        <f>HYPERLINK("http://141.218.60.56/~jnz1568/getInfo.php?workbook=16_15.xlsx&amp;sheet=A0&amp;row=688&amp;col=15&amp;number=&amp;sourceID=55","")</f>
        <v/>
      </c>
      <c r="P688" s="4" t="str">
        <f>HYPERLINK("http://141.218.60.56/~jnz1568/getInfo.php?workbook=16_15.xlsx&amp;sheet=A0&amp;row=688&amp;col=16&amp;number=&amp;sourceID=55","")</f>
        <v/>
      </c>
      <c r="Q688" s="4" t="str">
        <f>HYPERLINK("http://141.218.60.56/~jnz1568/getInfo.php?workbook=16_15.xlsx&amp;sheet=A0&amp;row=688&amp;col=17&amp;number=&amp;sourceID=56","")</f>
        <v/>
      </c>
      <c r="R688" s="4" t="str">
        <f>HYPERLINK("http://141.218.60.56/~jnz1568/getInfo.php?workbook=16_15.xlsx&amp;sheet=A0&amp;row=688&amp;col=18&amp;number=&amp;sourceID=56","")</f>
        <v/>
      </c>
      <c r="S688" s="4" t="str">
        <f>HYPERLINK("http://141.218.60.56/~jnz1568/getInfo.php?workbook=16_15.xlsx&amp;sheet=A0&amp;row=688&amp;col=19&amp;number=&amp;sourceID=57","")</f>
        <v/>
      </c>
      <c r="T688" s="4" t="str">
        <f>HYPERLINK("http://141.218.60.56/~jnz1568/getInfo.php?workbook=16_15.xlsx&amp;sheet=A0&amp;row=688&amp;col=20&amp;number=&amp;sourceID=57","")</f>
        <v/>
      </c>
      <c r="U688" s="4" t="str">
        <f>HYPERLINK("http://141.218.60.56/~jnz1568/getInfo.php?workbook=16_15.xlsx&amp;sheet=A0&amp;row=688&amp;col=21&amp;number=&amp;sourceID=47","")</f>
        <v/>
      </c>
      <c r="V688" s="4" t="str">
        <f>HYPERLINK("http://141.218.60.56/~jnz1568/getInfo.php?workbook=16_15.xlsx&amp;sheet=A0&amp;row=688&amp;col=22&amp;number=&amp;sourceID=47","")</f>
        <v/>
      </c>
    </row>
    <row r="689" spans="1:22">
      <c r="A689" s="3">
        <v>16</v>
      </c>
      <c r="B689" s="3">
        <v>15</v>
      </c>
      <c r="C689" s="3">
        <v>43</v>
      </c>
      <c r="D689" s="3">
        <v>11</v>
      </c>
      <c r="E689" s="3">
        <f>((1/(INDEX(E0!J$4:J$73,C689,1)-INDEX(E0!J$4:J$73,D689,1))))*100000000</f>
        <v>0</v>
      </c>
      <c r="F689" s="4" t="str">
        <f>HYPERLINK("http://141.218.60.56/~jnz1568/getInfo.php?workbook=16_15.xlsx&amp;sheet=A0&amp;row=689&amp;col=6&amp;number=&amp;sourceID=54","")</f>
        <v/>
      </c>
      <c r="G689" s="4" t="str">
        <f>HYPERLINK("http://141.218.60.56/~jnz1568/getInfo.php?workbook=16_15.xlsx&amp;sheet=A0&amp;row=689&amp;col=7&amp;number=0.0080732&amp;sourceID=54","0.0080732")</f>
        <v>0.0080732</v>
      </c>
      <c r="H689" s="4" t="str">
        <f>HYPERLINK("http://141.218.60.56/~jnz1568/getInfo.php?workbook=16_15.xlsx&amp;sheet=A0&amp;row=689&amp;col=8&amp;number=0.00015938&amp;sourceID=54","0.00015938")</f>
        <v>0.00015938</v>
      </c>
      <c r="I689" s="4" t="str">
        <f>HYPERLINK("http://141.218.60.56/~jnz1568/getInfo.php?workbook=16_15.xlsx&amp;sheet=A0&amp;row=689&amp;col=9&amp;number=&amp;sourceID=54","")</f>
        <v/>
      </c>
      <c r="J689" s="4" t="str">
        <f>HYPERLINK("http://141.218.60.56/~jnz1568/getInfo.php?workbook=16_15.xlsx&amp;sheet=A0&amp;row=689&amp;col=10&amp;number=0.0061491&amp;sourceID=54","0.0061491")</f>
        <v>0.0061491</v>
      </c>
      <c r="K689" s="4" t="str">
        <f>HYPERLINK("http://141.218.60.56/~jnz1568/getInfo.php?workbook=16_15.xlsx&amp;sheet=A0&amp;row=689&amp;col=11&amp;number=8.4782e-05&amp;sourceID=54","8.4782e-05")</f>
        <v>8.4782e-05</v>
      </c>
      <c r="L689" s="4" t="str">
        <f>HYPERLINK("http://141.218.60.56/~jnz1568/getInfo.php?workbook=16_15.xlsx&amp;sheet=A0&amp;row=689&amp;col=12&amp;number=&amp;sourceID=53","")</f>
        <v/>
      </c>
      <c r="M689" s="4" t="str">
        <f>HYPERLINK("http://141.218.60.56/~jnz1568/getInfo.php?workbook=16_15.xlsx&amp;sheet=A0&amp;row=689&amp;col=13&amp;number=&amp;sourceID=53","")</f>
        <v/>
      </c>
      <c r="N689" s="4" t="str">
        <f>HYPERLINK("http://141.218.60.56/~jnz1568/getInfo.php?workbook=16_15.xlsx&amp;sheet=A0&amp;row=689&amp;col=14&amp;number=&amp;sourceID=53","")</f>
        <v/>
      </c>
      <c r="O689" s="4" t="str">
        <f>HYPERLINK("http://141.218.60.56/~jnz1568/getInfo.php?workbook=16_15.xlsx&amp;sheet=A0&amp;row=689&amp;col=15&amp;number=&amp;sourceID=55","")</f>
        <v/>
      </c>
      <c r="P689" s="4" t="str">
        <f>HYPERLINK("http://141.218.60.56/~jnz1568/getInfo.php?workbook=16_15.xlsx&amp;sheet=A0&amp;row=689&amp;col=16&amp;number=&amp;sourceID=55","")</f>
        <v/>
      </c>
      <c r="Q689" s="4" t="str">
        <f>HYPERLINK("http://141.218.60.56/~jnz1568/getInfo.php?workbook=16_15.xlsx&amp;sheet=A0&amp;row=689&amp;col=17&amp;number=&amp;sourceID=56","")</f>
        <v/>
      </c>
      <c r="R689" s="4" t="str">
        <f>HYPERLINK("http://141.218.60.56/~jnz1568/getInfo.php?workbook=16_15.xlsx&amp;sheet=A0&amp;row=689&amp;col=18&amp;number=&amp;sourceID=56","")</f>
        <v/>
      </c>
      <c r="S689" s="4" t="str">
        <f>HYPERLINK("http://141.218.60.56/~jnz1568/getInfo.php?workbook=16_15.xlsx&amp;sheet=A0&amp;row=689&amp;col=19&amp;number=&amp;sourceID=57","")</f>
        <v/>
      </c>
      <c r="T689" s="4" t="str">
        <f>HYPERLINK("http://141.218.60.56/~jnz1568/getInfo.php?workbook=16_15.xlsx&amp;sheet=A0&amp;row=689&amp;col=20&amp;number=&amp;sourceID=57","")</f>
        <v/>
      </c>
      <c r="U689" s="4" t="str">
        <f>HYPERLINK("http://141.218.60.56/~jnz1568/getInfo.php?workbook=16_15.xlsx&amp;sheet=A0&amp;row=689&amp;col=21&amp;number=&amp;sourceID=47","")</f>
        <v/>
      </c>
      <c r="V689" s="4" t="str">
        <f>HYPERLINK("http://141.218.60.56/~jnz1568/getInfo.php?workbook=16_15.xlsx&amp;sheet=A0&amp;row=689&amp;col=22&amp;number=&amp;sourceID=47","")</f>
        <v/>
      </c>
    </row>
    <row r="690" spans="1:22">
      <c r="A690" s="3">
        <v>16</v>
      </c>
      <c r="B690" s="3">
        <v>15</v>
      </c>
      <c r="C690" s="3">
        <v>43</v>
      </c>
      <c r="D690" s="3">
        <v>12</v>
      </c>
      <c r="E690" s="3">
        <f>((1/(INDEX(E0!J$4:J$73,C690,1)-INDEX(E0!J$4:J$73,D690,1))))*100000000</f>
        <v>0</v>
      </c>
      <c r="F690" s="4" t="str">
        <f>HYPERLINK("http://141.218.60.56/~jnz1568/getInfo.php?workbook=16_15.xlsx&amp;sheet=A0&amp;row=690&amp;col=6&amp;number=&amp;sourceID=54","")</f>
        <v/>
      </c>
      <c r="G690" s="4" t="str">
        <f>HYPERLINK("http://141.218.60.56/~jnz1568/getInfo.php?workbook=16_15.xlsx&amp;sheet=A0&amp;row=690&amp;col=7&amp;number=0.012442&amp;sourceID=54","0.012442")</f>
        <v>0.012442</v>
      </c>
      <c r="H690" s="4" t="str">
        <f>HYPERLINK("http://141.218.60.56/~jnz1568/getInfo.php?workbook=16_15.xlsx&amp;sheet=A0&amp;row=690&amp;col=8&amp;number=4.8618e-06&amp;sourceID=54","4.8618e-06")</f>
        <v>4.8618e-06</v>
      </c>
      <c r="I690" s="4" t="str">
        <f>HYPERLINK("http://141.218.60.56/~jnz1568/getInfo.php?workbook=16_15.xlsx&amp;sheet=A0&amp;row=690&amp;col=9&amp;number=&amp;sourceID=54","")</f>
        <v/>
      </c>
      <c r="J690" s="4" t="str">
        <f>HYPERLINK("http://141.218.60.56/~jnz1568/getInfo.php?workbook=16_15.xlsx&amp;sheet=A0&amp;row=690&amp;col=10&amp;number=0.010027&amp;sourceID=54","0.010027")</f>
        <v>0.010027</v>
      </c>
      <c r="K690" s="4" t="str">
        <f>HYPERLINK("http://141.218.60.56/~jnz1568/getInfo.php?workbook=16_15.xlsx&amp;sheet=A0&amp;row=690&amp;col=11&amp;number=3.355e-06&amp;sourceID=54","3.355e-06")</f>
        <v>3.355e-06</v>
      </c>
      <c r="L690" s="4" t="str">
        <f>HYPERLINK("http://141.218.60.56/~jnz1568/getInfo.php?workbook=16_15.xlsx&amp;sheet=A0&amp;row=690&amp;col=12&amp;number=&amp;sourceID=53","")</f>
        <v/>
      </c>
      <c r="M690" s="4" t="str">
        <f>HYPERLINK("http://141.218.60.56/~jnz1568/getInfo.php?workbook=16_15.xlsx&amp;sheet=A0&amp;row=690&amp;col=13&amp;number=&amp;sourceID=53","")</f>
        <v/>
      </c>
      <c r="N690" s="4" t="str">
        <f>HYPERLINK("http://141.218.60.56/~jnz1568/getInfo.php?workbook=16_15.xlsx&amp;sheet=A0&amp;row=690&amp;col=14&amp;number=&amp;sourceID=53","")</f>
        <v/>
      </c>
      <c r="O690" s="4" t="str">
        <f>HYPERLINK("http://141.218.60.56/~jnz1568/getInfo.php?workbook=16_15.xlsx&amp;sheet=A0&amp;row=690&amp;col=15&amp;number=&amp;sourceID=55","")</f>
        <v/>
      </c>
      <c r="P690" s="4" t="str">
        <f>HYPERLINK("http://141.218.60.56/~jnz1568/getInfo.php?workbook=16_15.xlsx&amp;sheet=A0&amp;row=690&amp;col=16&amp;number=&amp;sourceID=55","")</f>
        <v/>
      </c>
      <c r="Q690" s="4" t="str">
        <f>HYPERLINK("http://141.218.60.56/~jnz1568/getInfo.php?workbook=16_15.xlsx&amp;sheet=A0&amp;row=690&amp;col=17&amp;number=&amp;sourceID=56","")</f>
        <v/>
      </c>
      <c r="R690" s="4" t="str">
        <f>HYPERLINK("http://141.218.60.56/~jnz1568/getInfo.php?workbook=16_15.xlsx&amp;sheet=A0&amp;row=690&amp;col=18&amp;number=&amp;sourceID=56","")</f>
        <v/>
      </c>
      <c r="S690" s="4" t="str">
        <f>HYPERLINK("http://141.218.60.56/~jnz1568/getInfo.php?workbook=16_15.xlsx&amp;sheet=A0&amp;row=690&amp;col=19&amp;number=&amp;sourceID=57","")</f>
        <v/>
      </c>
      <c r="T690" s="4" t="str">
        <f>HYPERLINK("http://141.218.60.56/~jnz1568/getInfo.php?workbook=16_15.xlsx&amp;sheet=A0&amp;row=690&amp;col=20&amp;number=&amp;sourceID=57","")</f>
        <v/>
      </c>
      <c r="U690" s="4" t="str">
        <f>HYPERLINK("http://141.218.60.56/~jnz1568/getInfo.php?workbook=16_15.xlsx&amp;sheet=A0&amp;row=690&amp;col=21&amp;number=&amp;sourceID=47","")</f>
        <v/>
      </c>
      <c r="V690" s="4" t="str">
        <f>HYPERLINK("http://141.218.60.56/~jnz1568/getInfo.php?workbook=16_15.xlsx&amp;sheet=A0&amp;row=690&amp;col=22&amp;number=&amp;sourceID=47","")</f>
        <v/>
      </c>
    </row>
    <row r="691" spans="1:22">
      <c r="A691" s="3">
        <v>16</v>
      </c>
      <c r="B691" s="3">
        <v>15</v>
      </c>
      <c r="C691" s="3">
        <v>43</v>
      </c>
      <c r="D691" s="3">
        <v>13</v>
      </c>
      <c r="E691" s="3">
        <f>((1/(INDEX(E0!J$4:J$73,C691,1)-INDEX(E0!J$4:J$73,D691,1))))*100000000</f>
        <v>0</v>
      </c>
      <c r="F691" s="4" t="str">
        <f>HYPERLINK("http://141.218.60.56/~jnz1568/getInfo.php?workbook=16_15.xlsx&amp;sheet=A0&amp;row=691&amp;col=6&amp;number=&amp;sourceID=54","")</f>
        <v/>
      </c>
      <c r="G691" s="4" t="str">
        <f>HYPERLINK("http://141.218.60.56/~jnz1568/getInfo.php?workbook=16_15.xlsx&amp;sheet=A0&amp;row=691&amp;col=7&amp;number=2.2045&amp;sourceID=54","2.2045")</f>
        <v>2.2045</v>
      </c>
      <c r="H691" s="4" t="str">
        <f>HYPERLINK("http://141.218.60.56/~jnz1568/getInfo.php?workbook=16_15.xlsx&amp;sheet=A0&amp;row=691&amp;col=8&amp;number=0.00070818&amp;sourceID=54","0.00070818")</f>
        <v>0.00070818</v>
      </c>
      <c r="I691" s="4" t="str">
        <f>HYPERLINK("http://141.218.60.56/~jnz1568/getInfo.php?workbook=16_15.xlsx&amp;sheet=A0&amp;row=691&amp;col=9&amp;number=&amp;sourceID=54","")</f>
        <v/>
      </c>
      <c r="J691" s="4" t="str">
        <f>HYPERLINK("http://141.218.60.56/~jnz1568/getInfo.php?workbook=16_15.xlsx&amp;sheet=A0&amp;row=691&amp;col=10&amp;number=1.6713&amp;sourceID=54","1.6713")</f>
        <v>1.6713</v>
      </c>
      <c r="K691" s="4" t="str">
        <f>HYPERLINK("http://141.218.60.56/~jnz1568/getInfo.php?workbook=16_15.xlsx&amp;sheet=A0&amp;row=691&amp;col=11&amp;number=0.00059889&amp;sourceID=54","0.00059889")</f>
        <v>0.00059889</v>
      </c>
      <c r="L691" s="4" t="str">
        <f>HYPERLINK("http://141.218.60.56/~jnz1568/getInfo.php?workbook=16_15.xlsx&amp;sheet=A0&amp;row=691&amp;col=12&amp;number=&amp;sourceID=53","")</f>
        <v/>
      </c>
      <c r="M691" s="4" t="str">
        <f>HYPERLINK("http://141.218.60.56/~jnz1568/getInfo.php?workbook=16_15.xlsx&amp;sheet=A0&amp;row=691&amp;col=13&amp;number=&amp;sourceID=53","")</f>
        <v/>
      </c>
      <c r="N691" s="4" t="str">
        <f>HYPERLINK("http://141.218.60.56/~jnz1568/getInfo.php?workbook=16_15.xlsx&amp;sheet=A0&amp;row=691&amp;col=14&amp;number=&amp;sourceID=53","")</f>
        <v/>
      </c>
      <c r="O691" s="4" t="str">
        <f>HYPERLINK("http://141.218.60.56/~jnz1568/getInfo.php?workbook=16_15.xlsx&amp;sheet=A0&amp;row=691&amp;col=15&amp;number=&amp;sourceID=55","")</f>
        <v/>
      </c>
      <c r="P691" s="4" t="str">
        <f>HYPERLINK("http://141.218.60.56/~jnz1568/getInfo.php?workbook=16_15.xlsx&amp;sheet=A0&amp;row=691&amp;col=16&amp;number=&amp;sourceID=55","")</f>
        <v/>
      </c>
      <c r="Q691" s="4" t="str">
        <f>HYPERLINK("http://141.218.60.56/~jnz1568/getInfo.php?workbook=16_15.xlsx&amp;sheet=A0&amp;row=691&amp;col=17&amp;number=&amp;sourceID=56","")</f>
        <v/>
      </c>
      <c r="R691" s="4" t="str">
        <f>HYPERLINK("http://141.218.60.56/~jnz1568/getInfo.php?workbook=16_15.xlsx&amp;sheet=A0&amp;row=691&amp;col=18&amp;number=&amp;sourceID=56","")</f>
        <v/>
      </c>
      <c r="S691" s="4" t="str">
        <f>HYPERLINK("http://141.218.60.56/~jnz1568/getInfo.php?workbook=16_15.xlsx&amp;sheet=A0&amp;row=691&amp;col=19&amp;number=&amp;sourceID=57","")</f>
        <v/>
      </c>
      <c r="T691" s="4" t="str">
        <f>HYPERLINK("http://141.218.60.56/~jnz1568/getInfo.php?workbook=16_15.xlsx&amp;sheet=A0&amp;row=691&amp;col=20&amp;number=&amp;sourceID=57","")</f>
        <v/>
      </c>
      <c r="U691" s="4" t="str">
        <f>HYPERLINK("http://141.218.60.56/~jnz1568/getInfo.php?workbook=16_15.xlsx&amp;sheet=A0&amp;row=691&amp;col=21&amp;number=&amp;sourceID=47","")</f>
        <v/>
      </c>
      <c r="V691" s="4" t="str">
        <f>HYPERLINK("http://141.218.60.56/~jnz1568/getInfo.php?workbook=16_15.xlsx&amp;sheet=A0&amp;row=691&amp;col=22&amp;number=&amp;sourceID=47","")</f>
        <v/>
      </c>
    </row>
    <row r="692" spans="1:22">
      <c r="A692" s="3">
        <v>16</v>
      </c>
      <c r="B692" s="3">
        <v>15</v>
      </c>
      <c r="C692" s="3">
        <v>43</v>
      </c>
      <c r="D692" s="3">
        <v>14</v>
      </c>
      <c r="E692" s="3">
        <f>((1/(INDEX(E0!J$4:J$73,C692,1)-INDEX(E0!J$4:J$73,D692,1))))*100000000</f>
        <v>0</v>
      </c>
      <c r="F692" s="4" t="str">
        <f>HYPERLINK("http://141.218.60.56/~jnz1568/getInfo.php?workbook=16_15.xlsx&amp;sheet=A0&amp;row=692&amp;col=6&amp;number=&amp;sourceID=54","")</f>
        <v/>
      </c>
      <c r="G692" s="4" t="str">
        <f>HYPERLINK("http://141.218.60.56/~jnz1568/getInfo.php?workbook=16_15.xlsx&amp;sheet=A0&amp;row=692&amp;col=7&amp;number=13.525&amp;sourceID=54","13.525")</f>
        <v>13.525</v>
      </c>
      <c r="H692" s="4" t="str">
        <f>HYPERLINK("http://141.218.60.56/~jnz1568/getInfo.php?workbook=16_15.xlsx&amp;sheet=A0&amp;row=692&amp;col=8&amp;number=9.3856e-07&amp;sourceID=54","9.3856e-07")</f>
        <v>9.3856e-07</v>
      </c>
      <c r="I692" s="4" t="str">
        <f>HYPERLINK("http://141.218.60.56/~jnz1568/getInfo.php?workbook=16_15.xlsx&amp;sheet=A0&amp;row=692&amp;col=9&amp;number=&amp;sourceID=54","")</f>
        <v/>
      </c>
      <c r="J692" s="4" t="str">
        <f>HYPERLINK("http://141.218.60.56/~jnz1568/getInfo.php?workbook=16_15.xlsx&amp;sheet=A0&amp;row=692&amp;col=10&amp;number=10.232&amp;sourceID=54","10.232")</f>
        <v>10.232</v>
      </c>
      <c r="K692" s="4" t="str">
        <f>HYPERLINK("http://141.218.60.56/~jnz1568/getInfo.php?workbook=16_15.xlsx&amp;sheet=A0&amp;row=692&amp;col=11&amp;number=5.1077e-07&amp;sourceID=54","5.1077e-07")</f>
        <v>5.1077e-07</v>
      </c>
      <c r="L692" s="4" t="str">
        <f>HYPERLINK("http://141.218.60.56/~jnz1568/getInfo.php?workbook=16_15.xlsx&amp;sheet=A0&amp;row=692&amp;col=12&amp;number=&amp;sourceID=53","")</f>
        <v/>
      </c>
      <c r="M692" s="4" t="str">
        <f>HYPERLINK("http://141.218.60.56/~jnz1568/getInfo.php?workbook=16_15.xlsx&amp;sheet=A0&amp;row=692&amp;col=13&amp;number=&amp;sourceID=53","")</f>
        <v/>
      </c>
      <c r="N692" s="4" t="str">
        <f>HYPERLINK("http://141.218.60.56/~jnz1568/getInfo.php?workbook=16_15.xlsx&amp;sheet=A0&amp;row=692&amp;col=14&amp;number=&amp;sourceID=53","")</f>
        <v/>
      </c>
      <c r="O692" s="4" t="str">
        <f>HYPERLINK("http://141.218.60.56/~jnz1568/getInfo.php?workbook=16_15.xlsx&amp;sheet=A0&amp;row=692&amp;col=15&amp;number=&amp;sourceID=55","")</f>
        <v/>
      </c>
      <c r="P692" s="4" t="str">
        <f>HYPERLINK("http://141.218.60.56/~jnz1568/getInfo.php?workbook=16_15.xlsx&amp;sheet=A0&amp;row=692&amp;col=16&amp;number=&amp;sourceID=55","")</f>
        <v/>
      </c>
      <c r="Q692" s="4" t="str">
        <f>HYPERLINK("http://141.218.60.56/~jnz1568/getInfo.php?workbook=16_15.xlsx&amp;sheet=A0&amp;row=692&amp;col=17&amp;number=&amp;sourceID=56","")</f>
        <v/>
      </c>
      <c r="R692" s="4" t="str">
        <f>HYPERLINK("http://141.218.60.56/~jnz1568/getInfo.php?workbook=16_15.xlsx&amp;sheet=A0&amp;row=692&amp;col=18&amp;number=&amp;sourceID=56","")</f>
        <v/>
      </c>
      <c r="S692" s="4" t="str">
        <f>HYPERLINK("http://141.218.60.56/~jnz1568/getInfo.php?workbook=16_15.xlsx&amp;sheet=A0&amp;row=692&amp;col=19&amp;number=&amp;sourceID=57","")</f>
        <v/>
      </c>
      <c r="T692" s="4" t="str">
        <f>HYPERLINK("http://141.218.60.56/~jnz1568/getInfo.php?workbook=16_15.xlsx&amp;sheet=A0&amp;row=692&amp;col=20&amp;number=&amp;sourceID=57","")</f>
        <v/>
      </c>
      <c r="U692" s="4" t="str">
        <f>HYPERLINK("http://141.218.60.56/~jnz1568/getInfo.php?workbook=16_15.xlsx&amp;sheet=A0&amp;row=692&amp;col=21&amp;number=&amp;sourceID=47","")</f>
        <v/>
      </c>
      <c r="V692" s="4" t="str">
        <f>HYPERLINK("http://141.218.60.56/~jnz1568/getInfo.php?workbook=16_15.xlsx&amp;sheet=A0&amp;row=692&amp;col=22&amp;number=&amp;sourceID=47","")</f>
        <v/>
      </c>
    </row>
    <row r="693" spans="1:22">
      <c r="A693" s="3">
        <v>16</v>
      </c>
      <c r="B693" s="3">
        <v>15</v>
      </c>
      <c r="C693" s="3">
        <v>43</v>
      </c>
      <c r="D693" s="3">
        <v>15</v>
      </c>
      <c r="E693" s="3">
        <f>((1/(INDEX(E0!J$4:J$73,C693,1)-INDEX(E0!J$4:J$73,D693,1))))*100000000</f>
        <v>0</v>
      </c>
      <c r="F693" s="4" t="str">
        <f>HYPERLINK("http://141.218.60.56/~jnz1568/getInfo.php?workbook=16_15.xlsx&amp;sheet=A0&amp;row=693&amp;col=6&amp;number=&amp;sourceID=54","")</f>
        <v/>
      </c>
      <c r="G693" s="4" t="str">
        <f>HYPERLINK("http://141.218.60.56/~jnz1568/getInfo.php?workbook=16_15.xlsx&amp;sheet=A0&amp;row=693&amp;col=7&amp;number=0.017735&amp;sourceID=54","0.017735")</f>
        <v>0.017735</v>
      </c>
      <c r="H693" s="4" t="str">
        <f>HYPERLINK("http://141.218.60.56/~jnz1568/getInfo.php?workbook=16_15.xlsx&amp;sheet=A0&amp;row=693&amp;col=8&amp;number=3.7241e-05&amp;sourceID=54","3.7241e-05")</f>
        <v>3.7241e-05</v>
      </c>
      <c r="I693" s="4" t="str">
        <f>HYPERLINK("http://141.218.60.56/~jnz1568/getInfo.php?workbook=16_15.xlsx&amp;sheet=A0&amp;row=693&amp;col=9&amp;number=&amp;sourceID=54","")</f>
        <v/>
      </c>
      <c r="J693" s="4" t="str">
        <f>HYPERLINK("http://141.218.60.56/~jnz1568/getInfo.php?workbook=16_15.xlsx&amp;sheet=A0&amp;row=693&amp;col=10&amp;number=0.015351&amp;sourceID=54","0.015351")</f>
        <v>0.015351</v>
      </c>
      <c r="K693" s="4" t="str">
        <f>HYPERLINK("http://141.218.60.56/~jnz1568/getInfo.php?workbook=16_15.xlsx&amp;sheet=A0&amp;row=693&amp;col=11&amp;number=2.275e-05&amp;sourceID=54","2.275e-05")</f>
        <v>2.275e-05</v>
      </c>
      <c r="L693" s="4" t="str">
        <f>HYPERLINK("http://141.218.60.56/~jnz1568/getInfo.php?workbook=16_15.xlsx&amp;sheet=A0&amp;row=693&amp;col=12&amp;number=&amp;sourceID=53","")</f>
        <v/>
      </c>
      <c r="M693" s="4" t="str">
        <f>HYPERLINK("http://141.218.60.56/~jnz1568/getInfo.php?workbook=16_15.xlsx&amp;sheet=A0&amp;row=693&amp;col=13&amp;number=&amp;sourceID=53","")</f>
        <v/>
      </c>
      <c r="N693" s="4" t="str">
        <f>HYPERLINK("http://141.218.60.56/~jnz1568/getInfo.php?workbook=16_15.xlsx&amp;sheet=A0&amp;row=693&amp;col=14&amp;number=&amp;sourceID=53","")</f>
        <v/>
      </c>
      <c r="O693" s="4" t="str">
        <f>HYPERLINK("http://141.218.60.56/~jnz1568/getInfo.php?workbook=16_15.xlsx&amp;sheet=A0&amp;row=693&amp;col=15&amp;number=&amp;sourceID=55","")</f>
        <v/>
      </c>
      <c r="P693" s="4" t="str">
        <f>HYPERLINK("http://141.218.60.56/~jnz1568/getInfo.php?workbook=16_15.xlsx&amp;sheet=A0&amp;row=693&amp;col=16&amp;number=&amp;sourceID=55","")</f>
        <v/>
      </c>
      <c r="Q693" s="4" t="str">
        <f>HYPERLINK("http://141.218.60.56/~jnz1568/getInfo.php?workbook=16_15.xlsx&amp;sheet=A0&amp;row=693&amp;col=17&amp;number=&amp;sourceID=56","")</f>
        <v/>
      </c>
      <c r="R693" s="4" t="str">
        <f>HYPERLINK("http://141.218.60.56/~jnz1568/getInfo.php?workbook=16_15.xlsx&amp;sheet=A0&amp;row=693&amp;col=18&amp;number=&amp;sourceID=56","")</f>
        <v/>
      </c>
      <c r="S693" s="4" t="str">
        <f>HYPERLINK("http://141.218.60.56/~jnz1568/getInfo.php?workbook=16_15.xlsx&amp;sheet=A0&amp;row=693&amp;col=19&amp;number=&amp;sourceID=57","")</f>
        <v/>
      </c>
      <c r="T693" s="4" t="str">
        <f>HYPERLINK("http://141.218.60.56/~jnz1568/getInfo.php?workbook=16_15.xlsx&amp;sheet=A0&amp;row=693&amp;col=20&amp;number=&amp;sourceID=57","")</f>
        <v/>
      </c>
      <c r="U693" s="4" t="str">
        <f>HYPERLINK("http://141.218.60.56/~jnz1568/getInfo.php?workbook=16_15.xlsx&amp;sheet=A0&amp;row=693&amp;col=21&amp;number=&amp;sourceID=47","")</f>
        <v/>
      </c>
      <c r="V693" s="4" t="str">
        <f>HYPERLINK("http://141.218.60.56/~jnz1568/getInfo.php?workbook=16_15.xlsx&amp;sheet=A0&amp;row=693&amp;col=22&amp;number=&amp;sourceID=47","")</f>
        <v/>
      </c>
    </row>
    <row r="694" spans="1:22">
      <c r="A694" s="3">
        <v>16</v>
      </c>
      <c r="B694" s="3">
        <v>15</v>
      </c>
      <c r="C694" s="3">
        <v>43</v>
      </c>
      <c r="D694" s="3">
        <v>16</v>
      </c>
      <c r="E694" s="3">
        <f>((1/(INDEX(E0!J$4:J$73,C694,1)-INDEX(E0!J$4:J$73,D694,1))))*100000000</f>
        <v>0</v>
      </c>
      <c r="F694" s="4" t="str">
        <f>HYPERLINK("http://141.218.60.56/~jnz1568/getInfo.php?workbook=16_15.xlsx&amp;sheet=A0&amp;row=694&amp;col=6&amp;number=&amp;sourceID=54","")</f>
        <v/>
      </c>
      <c r="G694" s="4" t="str">
        <f>HYPERLINK("http://141.218.60.56/~jnz1568/getInfo.php?workbook=16_15.xlsx&amp;sheet=A0&amp;row=694&amp;col=7&amp;number=24.948&amp;sourceID=54","24.948")</f>
        <v>24.948</v>
      </c>
      <c r="H694" s="4" t="str">
        <f>HYPERLINK("http://141.218.60.56/~jnz1568/getInfo.php?workbook=16_15.xlsx&amp;sheet=A0&amp;row=694&amp;col=8&amp;number=0.0018194&amp;sourceID=54","0.0018194")</f>
        <v>0.0018194</v>
      </c>
      <c r="I694" s="4" t="str">
        <f>HYPERLINK("http://141.218.60.56/~jnz1568/getInfo.php?workbook=16_15.xlsx&amp;sheet=A0&amp;row=694&amp;col=9&amp;number=&amp;sourceID=54","")</f>
        <v/>
      </c>
      <c r="J694" s="4" t="str">
        <f>HYPERLINK("http://141.218.60.56/~jnz1568/getInfo.php?workbook=16_15.xlsx&amp;sheet=A0&amp;row=694&amp;col=10&amp;number=18.827&amp;sourceID=54","18.827")</f>
        <v>18.827</v>
      </c>
      <c r="K694" s="4" t="str">
        <f>HYPERLINK("http://141.218.60.56/~jnz1568/getInfo.php?workbook=16_15.xlsx&amp;sheet=A0&amp;row=694&amp;col=11&amp;number=0.0015296&amp;sourceID=54","0.0015296")</f>
        <v>0.0015296</v>
      </c>
      <c r="L694" s="4" t="str">
        <f>HYPERLINK("http://141.218.60.56/~jnz1568/getInfo.php?workbook=16_15.xlsx&amp;sheet=A0&amp;row=694&amp;col=12&amp;number=&amp;sourceID=53","")</f>
        <v/>
      </c>
      <c r="M694" s="4" t="str">
        <f>HYPERLINK("http://141.218.60.56/~jnz1568/getInfo.php?workbook=16_15.xlsx&amp;sheet=A0&amp;row=694&amp;col=13&amp;number=&amp;sourceID=53","")</f>
        <v/>
      </c>
      <c r="N694" s="4" t="str">
        <f>HYPERLINK("http://141.218.60.56/~jnz1568/getInfo.php?workbook=16_15.xlsx&amp;sheet=A0&amp;row=694&amp;col=14&amp;number=&amp;sourceID=53","")</f>
        <v/>
      </c>
      <c r="O694" s="4" t="str">
        <f>HYPERLINK("http://141.218.60.56/~jnz1568/getInfo.php?workbook=16_15.xlsx&amp;sheet=A0&amp;row=694&amp;col=15&amp;number=&amp;sourceID=55","")</f>
        <v/>
      </c>
      <c r="P694" s="4" t="str">
        <f>HYPERLINK("http://141.218.60.56/~jnz1568/getInfo.php?workbook=16_15.xlsx&amp;sheet=A0&amp;row=694&amp;col=16&amp;number=&amp;sourceID=55","")</f>
        <v/>
      </c>
      <c r="Q694" s="4" t="str">
        <f>HYPERLINK("http://141.218.60.56/~jnz1568/getInfo.php?workbook=16_15.xlsx&amp;sheet=A0&amp;row=694&amp;col=17&amp;number=&amp;sourceID=56","")</f>
        <v/>
      </c>
      <c r="R694" s="4" t="str">
        <f>HYPERLINK("http://141.218.60.56/~jnz1568/getInfo.php?workbook=16_15.xlsx&amp;sheet=A0&amp;row=694&amp;col=18&amp;number=&amp;sourceID=56","")</f>
        <v/>
      </c>
      <c r="S694" s="4" t="str">
        <f>HYPERLINK("http://141.218.60.56/~jnz1568/getInfo.php?workbook=16_15.xlsx&amp;sheet=A0&amp;row=694&amp;col=19&amp;number=&amp;sourceID=57","")</f>
        <v/>
      </c>
      <c r="T694" s="4" t="str">
        <f>HYPERLINK("http://141.218.60.56/~jnz1568/getInfo.php?workbook=16_15.xlsx&amp;sheet=A0&amp;row=694&amp;col=20&amp;number=&amp;sourceID=57","")</f>
        <v/>
      </c>
      <c r="U694" s="4" t="str">
        <f>HYPERLINK("http://141.218.60.56/~jnz1568/getInfo.php?workbook=16_15.xlsx&amp;sheet=A0&amp;row=694&amp;col=21&amp;number=&amp;sourceID=47","")</f>
        <v/>
      </c>
      <c r="V694" s="4" t="str">
        <f>HYPERLINK("http://141.218.60.56/~jnz1568/getInfo.php?workbook=16_15.xlsx&amp;sheet=A0&amp;row=694&amp;col=22&amp;number=&amp;sourceID=47","")</f>
        <v/>
      </c>
    </row>
    <row r="695" spans="1:22">
      <c r="A695" s="3">
        <v>16</v>
      </c>
      <c r="B695" s="3">
        <v>15</v>
      </c>
      <c r="C695" s="3">
        <v>43</v>
      </c>
      <c r="D695" s="3">
        <v>17</v>
      </c>
      <c r="E695" s="3">
        <f>((1/(INDEX(E0!J$4:J$73,C695,1)-INDEX(E0!J$4:J$73,D695,1))))*100000000</f>
        <v>0</v>
      </c>
      <c r="F695" s="4" t="str">
        <f>HYPERLINK("http://141.218.60.56/~jnz1568/getInfo.php?workbook=16_15.xlsx&amp;sheet=A0&amp;row=695&amp;col=6&amp;number=&amp;sourceID=54","")</f>
        <v/>
      </c>
      <c r="G695" s="4" t="str">
        <f>HYPERLINK("http://141.218.60.56/~jnz1568/getInfo.php?workbook=16_15.xlsx&amp;sheet=A0&amp;row=695&amp;col=7&amp;number=0.079439&amp;sourceID=54","0.079439")</f>
        <v>0.079439</v>
      </c>
      <c r="H695" s="4" t="str">
        <f>HYPERLINK("http://141.218.60.56/~jnz1568/getInfo.php?workbook=16_15.xlsx&amp;sheet=A0&amp;row=695&amp;col=8&amp;number=1.1459e-05&amp;sourceID=54","1.1459e-05")</f>
        <v>1.1459e-05</v>
      </c>
      <c r="I695" s="4" t="str">
        <f>HYPERLINK("http://141.218.60.56/~jnz1568/getInfo.php?workbook=16_15.xlsx&amp;sheet=A0&amp;row=695&amp;col=9&amp;number=&amp;sourceID=54","")</f>
        <v/>
      </c>
      <c r="J695" s="4" t="str">
        <f>HYPERLINK("http://141.218.60.56/~jnz1568/getInfo.php?workbook=16_15.xlsx&amp;sheet=A0&amp;row=695&amp;col=10&amp;number=0.049698&amp;sourceID=54","0.049698")</f>
        <v>0.049698</v>
      </c>
      <c r="K695" s="4" t="str">
        <f>HYPERLINK("http://141.218.60.56/~jnz1568/getInfo.php?workbook=16_15.xlsx&amp;sheet=A0&amp;row=695&amp;col=11&amp;number=1.6806e-05&amp;sourceID=54","1.6806e-05")</f>
        <v>1.6806e-05</v>
      </c>
      <c r="L695" s="4" t="str">
        <f>HYPERLINK("http://141.218.60.56/~jnz1568/getInfo.php?workbook=16_15.xlsx&amp;sheet=A0&amp;row=695&amp;col=12&amp;number=&amp;sourceID=53","")</f>
        <v/>
      </c>
      <c r="M695" s="4" t="str">
        <f>HYPERLINK("http://141.218.60.56/~jnz1568/getInfo.php?workbook=16_15.xlsx&amp;sheet=A0&amp;row=695&amp;col=13&amp;number=&amp;sourceID=53","")</f>
        <v/>
      </c>
      <c r="N695" s="4" t="str">
        <f>HYPERLINK("http://141.218.60.56/~jnz1568/getInfo.php?workbook=16_15.xlsx&amp;sheet=A0&amp;row=695&amp;col=14&amp;number=&amp;sourceID=53","")</f>
        <v/>
      </c>
      <c r="O695" s="4" t="str">
        <f>HYPERLINK("http://141.218.60.56/~jnz1568/getInfo.php?workbook=16_15.xlsx&amp;sheet=A0&amp;row=695&amp;col=15&amp;number=&amp;sourceID=55","")</f>
        <v/>
      </c>
      <c r="P695" s="4" t="str">
        <f>HYPERLINK("http://141.218.60.56/~jnz1568/getInfo.php?workbook=16_15.xlsx&amp;sheet=A0&amp;row=695&amp;col=16&amp;number=&amp;sourceID=55","")</f>
        <v/>
      </c>
      <c r="Q695" s="4" t="str">
        <f>HYPERLINK("http://141.218.60.56/~jnz1568/getInfo.php?workbook=16_15.xlsx&amp;sheet=A0&amp;row=695&amp;col=17&amp;number=&amp;sourceID=56","")</f>
        <v/>
      </c>
      <c r="R695" s="4" t="str">
        <f>HYPERLINK("http://141.218.60.56/~jnz1568/getInfo.php?workbook=16_15.xlsx&amp;sheet=A0&amp;row=695&amp;col=18&amp;number=&amp;sourceID=56","")</f>
        <v/>
      </c>
      <c r="S695" s="4" t="str">
        <f>HYPERLINK("http://141.218.60.56/~jnz1568/getInfo.php?workbook=16_15.xlsx&amp;sheet=A0&amp;row=695&amp;col=19&amp;number=&amp;sourceID=57","")</f>
        <v/>
      </c>
      <c r="T695" s="4" t="str">
        <f>HYPERLINK("http://141.218.60.56/~jnz1568/getInfo.php?workbook=16_15.xlsx&amp;sheet=A0&amp;row=695&amp;col=20&amp;number=&amp;sourceID=57","")</f>
        <v/>
      </c>
      <c r="U695" s="4" t="str">
        <f>HYPERLINK("http://141.218.60.56/~jnz1568/getInfo.php?workbook=16_15.xlsx&amp;sheet=A0&amp;row=695&amp;col=21&amp;number=&amp;sourceID=47","")</f>
        <v/>
      </c>
      <c r="V695" s="4" t="str">
        <f>HYPERLINK("http://141.218.60.56/~jnz1568/getInfo.php?workbook=16_15.xlsx&amp;sheet=A0&amp;row=695&amp;col=22&amp;number=&amp;sourceID=47","")</f>
        <v/>
      </c>
    </row>
    <row r="696" spans="1:22">
      <c r="A696" s="3">
        <v>16</v>
      </c>
      <c r="B696" s="3">
        <v>15</v>
      </c>
      <c r="C696" s="3">
        <v>43</v>
      </c>
      <c r="D696" s="3">
        <v>18</v>
      </c>
      <c r="E696" s="3">
        <f>((1/(INDEX(E0!J$4:J$73,C696,1)-INDEX(E0!J$4:J$73,D696,1))))*100000000</f>
        <v>0</v>
      </c>
      <c r="F696" s="4" t="str">
        <f>HYPERLINK("http://141.218.60.56/~jnz1568/getInfo.php?workbook=16_15.xlsx&amp;sheet=A0&amp;row=696&amp;col=6&amp;number=&amp;sourceID=54","")</f>
        <v/>
      </c>
      <c r="G696" s="4" t="str">
        <f>HYPERLINK("http://141.218.60.56/~jnz1568/getInfo.php?workbook=16_15.xlsx&amp;sheet=A0&amp;row=696&amp;col=7&amp;number=0.18208&amp;sourceID=54","0.18208")</f>
        <v>0.18208</v>
      </c>
      <c r="H696" s="4" t="str">
        <f>HYPERLINK("http://141.218.60.56/~jnz1568/getInfo.php?workbook=16_15.xlsx&amp;sheet=A0&amp;row=696&amp;col=8&amp;number=&amp;sourceID=54","")</f>
        <v/>
      </c>
      <c r="I696" s="4" t="str">
        <f>HYPERLINK("http://141.218.60.56/~jnz1568/getInfo.php?workbook=16_15.xlsx&amp;sheet=A0&amp;row=696&amp;col=9&amp;number=&amp;sourceID=54","")</f>
        <v/>
      </c>
      <c r="J696" s="4" t="str">
        <f>HYPERLINK("http://141.218.60.56/~jnz1568/getInfo.php?workbook=16_15.xlsx&amp;sheet=A0&amp;row=696&amp;col=10&amp;number=0.15573&amp;sourceID=54","0.15573")</f>
        <v>0.15573</v>
      </c>
      <c r="K696" s="4" t="str">
        <f>HYPERLINK("http://141.218.60.56/~jnz1568/getInfo.php?workbook=16_15.xlsx&amp;sheet=A0&amp;row=696&amp;col=11&amp;number=&amp;sourceID=54","")</f>
        <v/>
      </c>
      <c r="L696" s="4" t="str">
        <f>HYPERLINK("http://141.218.60.56/~jnz1568/getInfo.php?workbook=16_15.xlsx&amp;sheet=A0&amp;row=696&amp;col=12&amp;number=&amp;sourceID=53","")</f>
        <v/>
      </c>
      <c r="M696" s="4" t="str">
        <f>HYPERLINK("http://141.218.60.56/~jnz1568/getInfo.php?workbook=16_15.xlsx&amp;sheet=A0&amp;row=696&amp;col=13&amp;number=&amp;sourceID=53","")</f>
        <v/>
      </c>
      <c r="N696" s="4" t="str">
        <f>HYPERLINK("http://141.218.60.56/~jnz1568/getInfo.php?workbook=16_15.xlsx&amp;sheet=A0&amp;row=696&amp;col=14&amp;number=&amp;sourceID=53","")</f>
        <v/>
      </c>
      <c r="O696" s="4" t="str">
        <f>HYPERLINK("http://141.218.60.56/~jnz1568/getInfo.php?workbook=16_15.xlsx&amp;sheet=A0&amp;row=696&amp;col=15&amp;number=&amp;sourceID=55","")</f>
        <v/>
      </c>
      <c r="P696" s="4" t="str">
        <f>HYPERLINK("http://141.218.60.56/~jnz1568/getInfo.php?workbook=16_15.xlsx&amp;sheet=A0&amp;row=696&amp;col=16&amp;number=&amp;sourceID=55","")</f>
        <v/>
      </c>
      <c r="Q696" s="4" t="str">
        <f>HYPERLINK("http://141.218.60.56/~jnz1568/getInfo.php?workbook=16_15.xlsx&amp;sheet=A0&amp;row=696&amp;col=17&amp;number=&amp;sourceID=56","")</f>
        <v/>
      </c>
      <c r="R696" s="4" t="str">
        <f>HYPERLINK("http://141.218.60.56/~jnz1568/getInfo.php?workbook=16_15.xlsx&amp;sheet=A0&amp;row=696&amp;col=18&amp;number=&amp;sourceID=56","")</f>
        <v/>
      </c>
      <c r="S696" s="4" t="str">
        <f>HYPERLINK("http://141.218.60.56/~jnz1568/getInfo.php?workbook=16_15.xlsx&amp;sheet=A0&amp;row=696&amp;col=19&amp;number=&amp;sourceID=57","")</f>
        <v/>
      </c>
      <c r="T696" s="4" t="str">
        <f>HYPERLINK("http://141.218.60.56/~jnz1568/getInfo.php?workbook=16_15.xlsx&amp;sheet=A0&amp;row=696&amp;col=20&amp;number=&amp;sourceID=57","")</f>
        <v/>
      </c>
      <c r="U696" s="4" t="str">
        <f>HYPERLINK("http://141.218.60.56/~jnz1568/getInfo.php?workbook=16_15.xlsx&amp;sheet=A0&amp;row=696&amp;col=21&amp;number=&amp;sourceID=47","")</f>
        <v/>
      </c>
      <c r="V696" s="4" t="str">
        <f>HYPERLINK("http://141.218.60.56/~jnz1568/getInfo.php?workbook=16_15.xlsx&amp;sheet=A0&amp;row=696&amp;col=22&amp;number=&amp;sourceID=47","")</f>
        <v/>
      </c>
    </row>
    <row r="697" spans="1:22">
      <c r="A697" s="3">
        <v>16</v>
      </c>
      <c r="B697" s="3">
        <v>15</v>
      </c>
      <c r="C697" s="3">
        <v>43</v>
      </c>
      <c r="D697" s="3">
        <v>20</v>
      </c>
      <c r="E697" s="3">
        <f>((1/(INDEX(E0!J$4:J$73,C697,1)-INDEX(E0!J$4:J$73,D697,1))))*100000000</f>
        <v>0</v>
      </c>
      <c r="F697" s="4" t="str">
        <f>HYPERLINK("http://141.218.60.56/~jnz1568/getInfo.php?workbook=16_15.xlsx&amp;sheet=A0&amp;row=697&amp;col=6&amp;number=&amp;sourceID=54","")</f>
        <v/>
      </c>
      <c r="G697" s="4" t="str">
        <f>HYPERLINK("http://141.218.60.56/~jnz1568/getInfo.php?workbook=16_15.xlsx&amp;sheet=A0&amp;row=697&amp;col=7&amp;number=8.3328e-05&amp;sourceID=54","8.3328e-05")</f>
        <v>8.3328e-05</v>
      </c>
      <c r="H697" s="4" t="str">
        <f>HYPERLINK("http://141.218.60.56/~jnz1568/getInfo.php?workbook=16_15.xlsx&amp;sheet=A0&amp;row=697&amp;col=8&amp;number=1.6971e-06&amp;sourceID=54","1.6971e-06")</f>
        <v>1.6971e-06</v>
      </c>
      <c r="I697" s="4" t="str">
        <f>HYPERLINK("http://141.218.60.56/~jnz1568/getInfo.php?workbook=16_15.xlsx&amp;sheet=A0&amp;row=697&amp;col=9&amp;number=&amp;sourceID=54","")</f>
        <v/>
      </c>
      <c r="J697" s="4" t="str">
        <f>HYPERLINK("http://141.218.60.56/~jnz1568/getInfo.php?workbook=16_15.xlsx&amp;sheet=A0&amp;row=697&amp;col=10&amp;number=3.1847e-05&amp;sourceID=54","3.1847e-05")</f>
        <v>3.1847e-05</v>
      </c>
      <c r="K697" s="4" t="str">
        <f>HYPERLINK("http://141.218.60.56/~jnz1568/getInfo.php?workbook=16_15.xlsx&amp;sheet=A0&amp;row=697&amp;col=11&amp;number=1.1059e-06&amp;sourceID=54","1.1059e-06")</f>
        <v>1.1059e-06</v>
      </c>
      <c r="L697" s="4" t="str">
        <f>HYPERLINK("http://141.218.60.56/~jnz1568/getInfo.php?workbook=16_15.xlsx&amp;sheet=A0&amp;row=697&amp;col=12&amp;number=&amp;sourceID=53","")</f>
        <v/>
      </c>
      <c r="M697" s="4" t="str">
        <f>HYPERLINK("http://141.218.60.56/~jnz1568/getInfo.php?workbook=16_15.xlsx&amp;sheet=A0&amp;row=697&amp;col=13&amp;number=&amp;sourceID=53","")</f>
        <v/>
      </c>
      <c r="N697" s="4" t="str">
        <f>HYPERLINK("http://141.218.60.56/~jnz1568/getInfo.php?workbook=16_15.xlsx&amp;sheet=A0&amp;row=697&amp;col=14&amp;number=&amp;sourceID=53","")</f>
        <v/>
      </c>
      <c r="O697" s="4" t="str">
        <f>HYPERLINK("http://141.218.60.56/~jnz1568/getInfo.php?workbook=16_15.xlsx&amp;sheet=A0&amp;row=697&amp;col=15&amp;number=&amp;sourceID=55","")</f>
        <v/>
      </c>
      <c r="P697" s="4" t="str">
        <f>HYPERLINK("http://141.218.60.56/~jnz1568/getInfo.php?workbook=16_15.xlsx&amp;sheet=A0&amp;row=697&amp;col=16&amp;number=&amp;sourceID=55","")</f>
        <v/>
      </c>
      <c r="Q697" s="4" t="str">
        <f>HYPERLINK("http://141.218.60.56/~jnz1568/getInfo.php?workbook=16_15.xlsx&amp;sheet=A0&amp;row=697&amp;col=17&amp;number=&amp;sourceID=56","")</f>
        <v/>
      </c>
      <c r="R697" s="4" t="str">
        <f>HYPERLINK("http://141.218.60.56/~jnz1568/getInfo.php?workbook=16_15.xlsx&amp;sheet=A0&amp;row=697&amp;col=18&amp;number=&amp;sourceID=56","")</f>
        <v/>
      </c>
      <c r="S697" s="4" t="str">
        <f>HYPERLINK("http://141.218.60.56/~jnz1568/getInfo.php?workbook=16_15.xlsx&amp;sheet=A0&amp;row=697&amp;col=19&amp;number=&amp;sourceID=57","")</f>
        <v/>
      </c>
      <c r="T697" s="4" t="str">
        <f>HYPERLINK("http://141.218.60.56/~jnz1568/getInfo.php?workbook=16_15.xlsx&amp;sheet=A0&amp;row=697&amp;col=20&amp;number=&amp;sourceID=57","")</f>
        <v/>
      </c>
      <c r="U697" s="4" t="str">
        <f>HYPERLINK("http://141.218.60.56/~jnz1568/getInfo.php?workbook=16_15.xlsx&amp;sheet=A0&amp;row=697&amp;col=21&amp;number=&amp;sourceID=47","")</f>
        <v/>
      </c>
      <c r="V697" s="4" t="str">
        <f>HYPERLINK("http://141.218.60.56/~jnz1568/getInfo.php?workbook=16_15.xlsx&amp;sheet=A0&amp;row=697&amp;col=22&amp;number=&amp;sourceID=47","")</f>
        <v/>
      </c>
    </row>
    <row r="698" spans="1:22">
      <c r="A698" s="3">
        <v>16</v>
      </c>
      <c r="B698" s="3">
        <v>15</v>
      </c>
      <c r="C698" s="3">
        <v>43</v>
      </c>
      <c r="D698" s="3">
        <v>21</v>
      </c>
      <c r="E698" s="3">
        <f>((1/(INDEX(E0!J$4:J$73,C698,1)-INDEX(E0!J$4:J$73,D698,1))))*100000000</f>
        <v>0</v>
      </c>
      <c r="F698" s="4" t="str">
        <f>HYPERLINK("http://141.218.60.56/~jnz1568/getInfo.php?workbook=16_15.xlsx&amp;sheet=A0&amp;row=698&amp;col=6&amp;number=&amp;sourceID=54","")</f>
        <v/>
      </c>
      <c r="G698" s="4" t="str">
        <f>HYPERLINK("http://141.218.60.56/~jnz1568/getInfo.php?workbook=16_15.xlsx&amp;sheet=A0&amp;row=698&amp;col=7&amp;number=0.0030022&amp;sourceID=54","0.0030022")</f>
        <v>0.0030022</v>
      </c>
      <c r="H698" s="4" t="str">
        <f>HYPERLINK("http://141.218.60.56/~jnz1568/getInfo.php?workbook=16_15.xlsx&amp;sheet=A0&amp;row=698&amp;col=8&amp;number=3.625e-05&amp;sourceID=54","3.625e-05")</f>
        <v>3.625e-05</v>
      </c>
      <c r="I698" s="4" t="str">
        <f>HYPERLINK("http://141.218.60.56/~jnz1568/getInfo.php?workbook=16_15.xlsx&amp;sheet=A0&amp;row=698&amp;col=9&amp;number=&amp;sourceID=54","")</f>
        <v/>
      </c>
      <c r="J698" s="4" t="str">
        <f>HYPERLINK("http://141.218.60.56/~jnz1568/getInfo.php?workbook=16_15.xlsx&amp;sheet=A0&amp;row=698&amp;col=10&amp;number=0.00092524&amp;sourceID=54","0.00092524")</f>
        <v>0.00092524</v>
      </c>
      <c r="K698" s="4" t="str">
        <f>HYPERLINK("http://141.218.60.56/~jnz1568/getInfo.php?workbook=16_15.xlsx&amp;sheet=A0&amp;row=698&amp;col=11&amp;number=3.3249e-05&amp;sourceID=54","3.3249e-05")</f>
        <v>3.3249e-05</v>
      </c>
      <c r="L698" s="4" t="str">
        <f>HYPERLINK("http://141.218.60.56/~jnz1568/getInfo.php?workbook=16_15.xlsx&amp;sheet=A0&amp;row=698&amp;col=12&amp;number=&amp;sourceID=53","")</f>
        <v/>
      </c>
      <c r="M698" s="4" t="str">
        <f>HYPERLINK("http://141.218.60.56/~jnz1568/getInfo.php?workbook=16_15.xlsx&amp;sheet=A0&amp;row=698&amp;col=13&amp;number=&amp;sourceID=53","")</f>
        <v/>
      </c>
      <c r="N698" s="4" t="str">
        <f>HYPERLINK("http://141.218.60.56/~jnz1568/getInfo.php?workbook=16_15.xlsx&amp;sheet=A0&amp;row=698&amp;col=14&amp;number=&amp;sourceID=53","")</f>
        <v/>
      </c>
      <c r="O698" s="4" t="str">
        <f>HYPERLINK("http://141.218.60.56/~jnz1568/getInfo.php?workbook=16_15.xlsx&amp;sheet=A0&amp;row=698&amp;col=15&amp;number=&amp;sourceID=55","")</f>
        <v/>
      </c>
      <c r="P698" s="4" t="str">
        <f>HYPERLINK("http://141.218.60.56/~jnz1568/getInfo.php?workbook=16_15.xlsx&amp;sheet=A0&amp;row=698&amp;col=16&amp;number=&amp;sourceID=55","")</f>
        <v/>
      </c>
      <c r="Q698" s="4" t="str">
        <f>HYPERLINK("http://141.218.60.56/~jnz1568/getInfo.php?workbook=16_15.xlsx&amp;sheet=A0&amp;row=698&amp;col=17&amp;number=&amp;sourceID=56","")</f>
        <v/>
      </c>
      <c r="R698" s="4" t="str">
        <f>HYPERLINK("http://141.218.60.56/~jnz1568/getInfo.php?workbook=16_15.xlsx&amp;sheet=A0&amp;row=698&amp;col=18&amp;number=&amp;sourceID=56","")</f>
        <v/>
      </c>
      <c r="S698" s="4" t="str">
        <f>HYPERLINK("http://141.218.60.56/~jnz1568/getInfo.php?workbook=16_15.xlsx&amp;sheet=A0&amp;row=698&amp;col=19&amp;number=&amp;sourceID=57","")</f>
        <v/>
      </c>
      <c r="T698" s="4" t="str">
        <f>HYPERLINK("http://141.218.60.56/~jnz1568/getInfo.php?workbook=16_15.xlsx&amp;sheet=A0&amp;row=698&amp;col=20&amp;number=&amp;sourceID=57","")</f>
        <v/>
      </c>
      <c r="U698" s="4" t="str">
        <f>HYPERLINK("http://141.218.60.56/~jnz1568/getInfo.php?workbook=16_15.xlsx&amp;sheet=A0&amp;row=698&amp;col=21&amp;number=&amp;sourceID=47","")</f>
        <v/>
      </c>
      <c r="V698" s="4" t="str">
        <f>HYPERLINK("http://141.218.60.56/~jnz1568/getInfo.php?workbook=16_15.xlsx&amp;sheet=A0&amp;row=698&amp;col=22&amp;number=&amp;sourceID=47","")</f>
        <v/>
      </c>
    </row>
    <row r="699" spans="1:22">
      <c r="A699" s="3">
        <v>16</v>
      </c>
      <c r="B699" s="3">
        <v>15</v>
      </c>
      <c r="C699" s="3">
        <v>43</v>
      </c>
      <c r="D699" s="3">
        <v>22</v>
      </c>
      <c r="E699" s="3">
        <f>((1/(INDEX(E0!J$4:J$73,C699,1)-INDEX(E0!J$4:J$73,D699,1))))*100000000</f>
        <v>0</v>
      </c>
      <c r="F699" s="4" t="str">
        <f>HYPERLINK("http://141.218.60.56/~jnz1568/getInfo.php?workbook=16_15.xlsx&amp;sheet=A0&amp;row=699&amp;col=6&amp;number=&amp;sourceID=54","")</f>
        <v/>
      </c>
      <c r="G699" s="4" t="str">
        <f>HYPERLINK("http://141.218.60.56/~jnz1568/getInfo.php?workbook=16_15.xlsx&amp;sheet=A0&amp;row=699&amp;col=7&amp;number=1.0656&amp;sourceID=54","1.0656")</f>
        <v>1.0656</v>
      </c>
      <c r="H699" s="4" t="str">
        <f>HYPERLINK("http://141.218.60.56/~jnz1568/getInfo.php?workbook=16_15.xlsx&amp;sheet=A0&amp;row=699&amp;col=8&amp;number=0.0079596&amp;sourceID=54","0.0079596")</f>
        <v>0.0079596</v>
      </c>
      <c r="I699" s="4" t="str">
        <f>HYPERLINK("http://141.218.60.56/~jnz1568/getInfo.php?workbook=16_15.xlsx&amp;sheet=A0&amp;row=699&amp;col=9&amp;number=&amp;sourceID=54","")</f>
        <v/>
      </c>
      <c r="J699" s="4" t="str">
        <f>HYPERLINK("http://141.218.60.56/~jnz1568/getInfo.php?workbook=16_15.xlsx&amp;sheet=A0&amp;row=699&amp;col=10&amp;number=0.87265&amp;sourceID=54","0.87265")</f>
        <v>0.87265</v>
      </c>
      <c r="K699" s="4" t="str">
        <f>HYPERLINK("http://141.218.60.56/~jnz1568/getInfo.php?workbook=16_15.xlsx&amp;sheet=A0&amp;row=699&amp;col=11&amp;number=0.0083621&amp;sourceID=54","0.0083621")</f>
        <v>0.0083621</v>
      </c>
      <c r="L699" s="4" t="str">
        <f>HYPERLINK("http://141.218.60.56/~jnz1568/getInfo.php?workbook=16_15.xlsx&amp;sheet=A0&amp;row=699&amp;col=12&amp;number=&amp;sourceID=53","")</f>
        <v/>
      </c>
      <c r="M699" s="4" t="str">
        <f>HYPERLINK("http://141.218.60.56/~jnz1568/getInfo.php?workbook=16_15.xlsx&amp;sheet=A0&amp;row=699&amp;col=13&amp;number=&amp;sourceID=53","")</f>
        <v/>
      </c>
      <c r="N699" s="4" t="str">
        <f>HYPERLINK("http://141.218.60.56/~jnz1568/getInfo.php?workbook=16_15.xlsx&amp;sheet=A0&amp;row=699&amp;col=14&amp;number=&amp;sourceID=53","")</f>
        <v/>
      </c>
      <c r="O699" s="4" t="str">
        <f>HYPERLINK("http://141.218.60.56/~jnz1568/getInfo.php?workbook=16_15.xlsx&amp;sheet=A0&amp;row=699&amp;col=15&amp;number=&amp;sourceID=55","")</f>
        <v/>
      </c>
      <c r="P699" s="4" t="str">
        <f>HYPERLINK("http://141.218.60.56/~jnz1568/getInfo.php?workbook=16_15.xlsx&amp;sheet=A0&amp;row=699&amp;col=16&amp;number=&amp;sourceID=55","")</f>
        <v/>
      </c>
      <c r="Q699" s="4" t="str">
        <f>HYPERLINK("http://141.218.60.56/~jnz1568/getInfo.php?workbook=16_15.xlsx&amp;sheet=A0&amp;row=699&amp;col=17&amp;number=&amp;sourceID=56","")</f>
        <v/>
      </c>
      <c r="R699" s="4" t="str">
        <f>HYPERLINK("http://141.218.60.56/~jnz1568/getInfo.php?workbook=16_15.xlsx&amp;sheet=A0&amp;row=699&amp;col=18&amp;number=&amp;sourceID=56","")</f>
        <v/>
      </c>
      <c r="S699" s="4" t="str">
        <f>HYPERLINK("http://141.218.60.56/~jnz1568/getInfo.php?workbook=16_15.xlsx&amp;sheet=A0&amp;row=699&amp;col=19&amp;number=&amp;sourceID=57","")</f>
        <v/>
      </c>
      <c r="T699" s="4" t="str">
        <f>HYPERLINK("http://141.218.60.56/~jnz1568/getInfo.php?workbook=16_15.xlsx&amp;sheet=A0&amp;row=699&amp;col=20&amp;number=&amp;sourceID=57","")</f>
        <v/>
      </c>
      <c r="U699" s="4" t="str">
        <f>HYPERLINK("http://141.218.60.56/~jnz1568/getInfo.php?workbook=16_15.xlsx&amp;sheet=A0&amp;row=699&amp;col=21&amp;number=&amp;sourceID=47","")</f>
        <v/>
      </c>
      <c r="V699" s="4" t="str">
        <f>HYPERLINK("http://141.218.60.56/~jnz1568/getInfo.php?workbook=16_15.xlsx&amp;sheet=A0&amp;row=699&amp;col=22&amp;number=&amp;sourceID=47","")</f>
        <v/>
      </c>
    </row>
    <row r="700" spans="1:22">
      <c r="A700" s="3">
        <v>16</v>
      </c>
      <c r="B700" s="3">
        <v>15</v>
      </c>
      <c r="C700" s="3">
        <v>43</v>
      </c>
      <c r="D700" s="3">
        <v>23</v>
      </c>
      <c r="E700" s="3">
        <f>((1/(INDEX(E0!J$4:J$73,C700,1)-INDEX(E0!J$4:J$73,D700,1))))*100000000</f>
        <v>0</v>
      </c>
      <c r="F700" s="4" t="str">
        <f>HYPERLINK("http://141.218.60.56/~jnz1568/getInfo.php?workbook=16_15.xlsx&amp;sheet=A0&amp;row=700&amp;col=6&amp;number=&amp;sourceID=54","")</f>
        <v/>
      </c>
      <c r="G700" s="4" t="str">
        <f>HYPERLINK("http://141.218.60.56/~jnz1568/getInfo.php?workbook=16_15.xlsx&amp;sheet=A0&amp;row=700&amp;col=7&amp;number=0.9563&amp;sourceID=54","0.9563")</f>
        <v>0.9563</v>
      </c>
      <c r="H700" s="4" t="str">
        <f>HYPERLINK("http://141.218.60.56/~jnz1568/getInfo.php?workbook=16_15.xlsx&amp;sheet=A0&amp;row=700&amp;col=8&amp;number=0.01619&amp;sourceID=54","0.01619")</f>
        <v>0.01619</v>
      </c>
      <c r="I700" s="4" t="str">
        <f>HYPERLINK("http://141.218.60.56/~jnz1568/getInfo.php?workbook=16_15.xlsx&amp;sheet=A0&amp;row=700&amp;col=9&amp;number=&amp;sourceID=54","")</f>
        <v/>
      </c>
      <c r="J700" s="4" t="str">
        <f>HYPERLINK("http://141.218.60.56/~jnz1568/getInfo.php?workbook=16_15.xlsx&amp;sheet=A0&amp;row=700&amp;col=10&amp;number=0.78475&amp;sourceID=54","0.78475")</f>
        <v>0.78475</v>
      </c>
      <c r="K700" s="4" t="str">
        <f>HYPERLINK("http://141.218.60.56/~jnz1568/getInfo.php?workbook=16_15.xlsx&amp;sheet=A0&amp;row=700&amp;col=11&amp;number=0.0095487&amp;sourceID=54","0.0095487")</f>
        <v>0.0095487</v>
      </c>
      <c r="L700" s="4" t="str">
        <f>HYPERLINK("http://141.218.60.56/~jnz1568/getInfo.php?workbook=16_15.xlsx&amp;sheet=A0&amp;row=700&amp;col=12&amp;number=&amp;sourceID=53","")</f>
        <v/>
      </c>
      <c r="M700" s="4" t="str">
        <f>HYPERLINK("http://141.218.60.56/~jnz1568/getInfo.php?workbook=16_15.xlsx&amp;sheet=A0&amp;row=700&amp;col=13&amp;number=&amp;sourceID=53","")</f>
        <v/>
      </c>
      <c r="N700" s="4" t="str">
        <f>HYPERLINK("http://141.218.60.56/~jnz1568/getInfo.php?workbook=16_15.xlsx&amp;sheet=A0&amp;row=700&amp;col=14&amp;number=&amp;sourceID=53","")</f>
        <v/>
      </c>
      <c r="O700" s="4" t="str">
        <f>HYPERLINK("http://141.218.60.56/~jnz1568/getInfo.php?workbook=16_15.xlsx&amp;sheet=A0&amp;row=700&amp;col=15&amp;number=&amp;sourceID=55","")</f>
        <v/>
      </c>
      <c r="P700" s="4" t="str">
        <f>HYPERLINK("http://141.218.60.56/~jnz1568/getInfo.php?workbook=16_15.xlsx&amp;sheet=A0&amp;row=700&amp;col=16&amp;number=&amp;sourceID=55","")</f>
        <v/>
      </c>
      <c r="Q700" s="4" t="str">
        <f>HYPERLINK("http://141.218.60.56/~jnz1568/getInfo.php?workbook=16_15.xlsx&amp;sheet=A0&amp;row=700&amp;col=17&amp;number=&amp;sourceID=56","")</f>
        <v/>
      </c>
      <c r="R700" s="4" t="str">
        <f>HYPERLINK("http://141.218.60.56/~jnz1568/getInfo.php?workbook=16_15.xlsx&amp;sheet=A0&amp;row=700&amp;col=18&amp;number=&amp;sourceID=56","")</f>
        <v/>
      </c>
      <c r="S700" s="4" t="str">
        <f>HYPERLINK("http://141.218.60.56/~jnz1568/getInfo.php?workbook=16_15.xlsx&amp;sheet=A0&amp;row=700&amp;col=19&amp;number=&amp;sourceID=57","")</f>
        <v/>
      </c>
      <c r="T700" s="4" t="str">
        <f>HYPERLINK("http://141.218.60.56/~jnz1568/getInfo.php?workbook=16_15.xlsx&amp;sheet=A0&amp;row=700&amp;col=20&amp;number=&amp;sourceID=57","")</f>
        <v/>
      </c>
      <c r="U700" s="4" t="str">
        <f>HYPERLINK("http://141.218.60.56/~jnz1568/getInfo.php?workbook=16_15.xlsx&amp;sheet=A0&amp;row=700&amp;col=21&amp;number=&amp;sourceID=47","")</f>
        <v/>
      </c>
      <c r="V700" s="4" t="str">
        <f>HYPERLINK("http://141.218.60.56/~jnz1568/getInfo.php?workbook=16_15.xlsx&amp;sheet=A0&amp;row=700&amp;col=22&amp;number=&amp;sourceID=47","")</f>
        <v/>
      </c>
    </row>
    <row r="701" spans="1:22">
      <c r="A701" s="3">
        <v>16</v>
      </c>
      <c r="B701" s="3">
        <v>15</v>
      </c>
      <c r="C701" s="3">
        <v>43</v>
      </c>
      <c r="D701" s="3">
        <v>24</v>
      </c>
      <c r="E701" s="3">
        <f>((1/(INDEX(E0!J$4:J$73,C701,1)-INDEX(E0!J$4:J$73,D701,1))))*100000000</f>
        <v>0</v>
      </c>
      <c r="F701" s="4" t="str">
        <f>HYPERLINK("http://141.218.60.56/~jnz1568/getInfo.php?workbook=16_15.xlsx&amp;sheet=A0&amp;row=701&amp;col=6&amp;number=&amp;sourceID=54","")</f>
        <v/>
      </c>
      <c r="G701" s="4" t="str">
        <f>HYPERLINK("http://141.218.60.56/~jnz1568/getInfo.php?workbook=16_15.xlsx&amp;sheet=A0&amp;row=701&amp;col=7&amp;number=0.044428&amp;sourceID=54","0.044428")</f>
        <v>0.044428</v>
      </c>
      <c r="H701" s="4" t="str">
        <f>HYPERLINK("http://141.218.60.56/~jnz1568/getInfo.php?workbook=16_15.xlsx&amp;sheet=A0&amp;row=701&amp;col=8&amp;number=0.0016136&amp;sourceID=54","0.0016136")</f>
        <v>0.0016136</v>
      </c>
      <c r="I701" s="4" t="str">
        <f>HYPERLINK("http://141.218.60.56/~jnz1568/getInfo.php?workbook=16_15.xlsx&amp;sheet=A0&amp;row=701&amp;col=9&amp;number=&amp;sourceID=54","")</f>
        <v/>
      </c>
      <c r="J701" s="4" t="str">
        <f>HYPERLINK("http://141.218.60.56/~jnz1568/getInfo.php?workbook=16_15.xlsx&amp;sheet=A0&amp;row=701&amp;col=10&amp;number=0.036156&amp;sourceID=54","0.036156")</f>
        <v>0.036156</v>
      </c>
      <c r="K701" s="4" t="str">
        <f>HYPERLINK("http://141.218.60.56/~jnz1568/getInfo.php?workbook=16_15.xlsx&amp;sheet=A0&amp;row=701&amp;col=11&amp;number=0.0022774&amp;sourceID=54","0.0022774")</f>
        <v>0.0022774</v>
      </c>
      <c r="L701" s="4" t="str">
        <f>HYPERLINK("http://141.218.60.56/~jnz1568/getInfo.php?workbook=16_15.xlsx&amp;sheet=A0&amp;row=701&amp;col=12&amp;number=&amp;sourceID=53","")</f>
        <v/>
      </c>
      <c r="M701" s="4" t="str">
        <f>HYPERLINK("http://141.218.60.56/~jnz1568/getInfo.php?workbook=16_15.xlsx&amp;sheet=A0&amp;row=701&amp;col=13&amp;number=&amp;sourceID=53","")</f>
        <v/>
      </c>
      <c r="N701" s="4" t="str">
        <f>HYPERLINK("http://141.218.60.56/~jnz1568/getInfo.php?workbook=16_15.xlsx&amp;sheet=A0&amp;row=701&amp;col=14&amp;number=&amp;sourceID=53","")</f>
        <v/>
      </c>
      <c r="O701" s="4" t="str">
        <f>HYPERLINK("http://141.218.60.56/~jnz1568/getInfo.php?workbook=16_15.xlsx&amp;sheet=A0&amp;row=701&amp;col=15&amp;number=&amp;sourceID=55","")</f>
        <v/>
      </c>
      <c r="P701" s="4" t="str">
        <f>HYPERLINK("http://141.218.60.56/~jnz1568/getInfo.php?workbook=16_15.xlsx&amp;sheet=A0&amp;row=701&amp;col=16&amp;number=&amp;sourceID=55","")</f>
        <v/>
      </c>
      <c r="Q701" s="4" t="str">
        <f>HYPERLINK("http://141.218.60.56/~jnz1568/getInfo.php?workbook=16_15.xlsx&amp;sheet=A0&amp;row=701&amp;col=17&amp;number=&amp;sourceID=56","")</f>
        <v/>
      </c>
      <c r="R701" s="4" t="str">
        <f>HYPERLINK("http://141.218.60.56/~jnz1568/getInfo.php?workbook=16_15.xlsx&amp;sheet=A0&amp;row=701&amp;col=18&amp;number=&amp;sourceID=56","")</f>
        <v/>
      </c>
      <c r="S701" s="4" t="str">
        <f>HYPERLINK("http://141.218.60.56/~jnz1568/getInfo.php?workbook=16_15.xlsx&amp;sheet=A0&amp;row=701&amp;col=19&amp;number=&amp;sourceID=57","")</f>
        <v/>
      </c>
      <c r="T701" s="4" t="str">
        <f>HYPERLINK("http://141.218.60.56/~jnz1568/getInfo.php?workbook=16_15.xlsx&amp;sheet=A0&amp;row=701&amp;col=20&amp;number=&amp;sourceID=57","")</f>
        <v/>
      </c>
      <c r="U701" s="4" t="str">
        <f>HYPERLINK("http://141.218.60.56/~jnz1568/getInfo.php?workbook=16_15.xlsx&amp;sheet=A0&amp;row=701&amp;col=21&amp;number=&amp;sourceID=47","")</f>
        <v/>
      </c>
      <c r="V701" s="4" t="str">
        <f>HYPERLINK("http://141.218.60.56/~jnz1568/getInfo.php?workbook=16_15.xlsx&amp;sheet=A0&amp;row=701&amp;col=22&amp;number=&amp;sourceID=47","")</f>
        <v/>
      </c>
    </row>
    <row r="702" spans="1:22">
      <c r="A702" s="3">
        <v>16</v>
      </c>
      <c r="B702" s="3">
        <v>15</v>
      </c>
      <c r="C702" s="3">
        <v>43</v>
      </c>
      <c r="D702" s="3">
        <v>25</v>
      </c>
      <c r="E702" s="3">
        <f>((1/(INDEX(E0!J$4:J$73,C702,1)-INDEX(E0!J$4:J$73,D702,1))))*100000000</f>
        <v>0</v>
      </c>
      <c r="F702" s="4" t="str">
        <f>HYPERLINK("http://141.218.60.56/~jnz1568/getInfo.php?workbook=16_15.xlsx&amp;sheet=A0&amp;row=702&amp;col=6&amp;number=&amp;sourceID=54","")</f>
        <v/>
      </c>
      <c r="G702" s="4" t="str">
        <f>HYPERLINK("http://141.218.60.56/~jnz1568/getInfo.php?workbook=16_15.xlsx&amp;sheet=A0&amp;row=702&amp;col=7&amp;number=1.7845&amp;sourceID=54","1.7845")</f>
        <v>1.7845</v>
      </c>
      <c r="H702" s="4" t="str">
        <f>HYPERLINK("http://141.218.60.56/~jnz1568/getInfo.php?workbook=16_15.xlsx&amp;sheet=A0&amp;row=702&amp;col=8&amp;number=&amp;sourceID=54","")</f>
        <v/>
      </c>
      <c r="I702" s="4" t="str">
        <f>HYPERLINK("http://141.218.60.56/~jnz1568/getInfo.php?workbook=16_15.xlsx&amp;sheet=A0&amp;row=702&amp;col=9&amp;number=&amp;sourceID=54","")</f>
        <v/>
      </c>
      <c r="J702" s="4" t="str">
        <f>HYPERLINK("http://141.218.60.56/~jnz1568/getInfo.php?workbook=16_15.xlsx&amp;sheet=A0&amp;row=702&amp;col=10&amp;number=1.4235&amp;sourceID=54","1.4235")</f>
        <v>1.4235</v>
      </c>
      <c r="K702" s="4" t="str">
        <f>HYPERLINK("http://141.218.60.56/~jnz1568/getInfo.php?workbook=16_15.xlsx&amp;sheet=A0&amp;row=702&amp;col=11&amp;number=&amp;sourceID=54","")</f>
        <v/>
      </c>
      <c r="L702" s="4" t="str">
        <f>HYPERLINK("http://141.218.60.56/~jnz1568/getInfo.php?workbook=16_15.xlsx&amp;sheet=A0&amp;row=702&amp;col=12&amp;number=&amp;sourceID=53","")</f>
        <v/>
      </c>
      <c r="M702" s="4" t="str">
        <f>HYPERLINK("http://141.218.60.56/~jnz1568/getInfo.php?workbook=16_15.xlsx&amp;sheet=A0&amp;row=702&amp;col=13&amp;number=&amp;sourceID=53","")</f>
        <v/>
      </c>
      <c r="N702" s="4" t="str">
        <f>HYPERLINK("http://141.218.60.56/~jnz1568/getInfo.php?workbook=16_15.xlsx&amp;sheet=A0&amp;row=702&amp;col=14&amp;number=&amp;sourceID=53","")</f>
        <v/>
      </c>
      <c r="O702" s="4" t="str">
        <f>HYPERLINK("http://141.218.60.56/~jnz1568/getInfo.php?workbook=16_15.xlsx&amp;sheet=A0&amp;row=702&amp;col=15&amp;number=&amp;sourceID=55","")</f>
        <v/>
      </c>
      <c r="P702" s="4" t="str">
        <f>HYPERLINK("http://141.218.60.56/~jnz1568/getInfo.php?workbook=16_15.xlsx&amp;sheet=A0&amp;row=702&amp;col=16&amp;number=&amp;sourceID=55","")</f>
        <v/>
      </c>
      <c r="Q702" s="4" t="str">
        <f>HYPERLINK("http://141.218.60.56/~jnz1568/getInfo.php?workbook=16_15.xlsx&amp;sheet=A0&amp;row=702&amp;col=17&amp;number=&amp;sourceID=56","")</f>
        <v/>
      </c>
      <c r="R702" s="4" t="str">
        <f>HYPERLINK("http://141.218.60.56/~jnz1568/getInfo.php?workbook=16_15.xlsx&amp;sheet=A0&amp;row=702&amp;col=18&amp;number=&amp;sourceID=56","")</f>
        <v/>
      </c>
      <c r="S702" s="4" t="str">
        <f>HYPERLINK("http://141.218.60.56/~jnz1568/getInfo.php?workbook=16_15.xlsx&amp;sheet=A0&amp;row=702&amp;col=19&amp;number=&amp;sourceID=57","")</f>
        <v/>
      </c>
      <c r="T702" s="4" t="str">
        <f>HYPERLINK("http://141.218.60.56/~jnz1568/getInfo.php?workbook=16_15.xlsx&amp;sheet=A0&amp;row=702&amp;col=20&amp;number=&amp;sourceID=57","")</f>
        <v/>
      </c>
      <c r="U702" s="4" t="str">
        <f>HYPERLINK("http://141.218.60.56/~jnz1568/getInfo.php?workbook=16_15.xlsx&amp;sheet=A0&amp;row=702&amp;col=21&amp;number=&amp;sourceID=47","")</f>
        <v/>
      </c>
      <c r="V702" s="4" t="str">
        <f>HYPERLINK("http://141.218.60.56/~jnz1568/getInfo.php?workbook=16_15.xlsx&amp;sheet=A0&amp;row=702&amp;col=22&amp;number=&amp;sourceID=47","")</f>
        <v/>
      </c>
    </row>
    <row r="703" spans="1:22">
      <c r="A703" s="3">
        <v>16</v>
      </c>
      <c r="B703" s="3">
        <v>15</v>
      </c>
      <c r="C703" s="3">
        <v>43</v>
      </c>
      <c r="D703" s="3">
        <v>26</v>
      </c>
      <c r="E703" s="3">
        <f>((1/(INDEX(E0!J$4:J$73,C703,1)-INDEX(E0!J$4:J$73,D703,1))))*100000000</f>
        <v>0</v>
      </c>
      <c r="F703" s="4" t="str">
        <f>HYPERLINK("http://141.218.60.56/~jnz1568/getInfo.php?workbook=16_15.xlsx&amp;sheet=A0&amp;row=703&amp;col=6&amp;number=&amp;sourceID=54","")</f>
        <v/>
      </c>
      <c r="G703" s="4" t="str">
        <f>HYPERLINK("http://141.218.60.56/~jnz1568/getInfo.php?workbook=16_15.xlsx&amp;sheet=A0&amp;row=703&amp;col=7&amp;number=0.0011059&amp;sourceID=54","0.0011059")</f>
        <v>0.0011059</v>
      </c>
      <c r="H703" s="4" t="str">
        <f>HYPERLINK("http://141.218.60.56/~jnz1568/getInfo.php?workbook=16_15.xlsx&amp;sheet=A0&amp;row=703&amp;col=8&amp;number=2.7465e-05&amp;sourceID=54","2.7465e-05")</f>
        <v>2.7465e-05</v>
      </c>
      <c r="I703" s="4" t="str">
        <f>HYPERLINK("http://141.218.60.56/~jnz1568/getInfo.php?workbook=16_15.xlsx&amp;sheet=A0&amp;row=703&amp;col=9&amp;number=&amp;sourceID=54","")</f>
        <v/>
      </c>
      <c r="J703" s="4" t="str">
        <f>HYPERLINK("http://141.218.60.56/~jnz1568/getInfo.php?workbook=16_15.xlsx&amp;sheet=A0&amp;row=703&amp;col=10&amp;number=0.0018819&amp;sourceID=54","0.0018819")</f>
        <v>0.0018819</v>
      </c>
      <c r="K703" s="4" t="str">
        <f>HYPERLINK("http://141.218.60.56/~jnz1568/getInfo.php?workbook=16_15.xlsx&amp;sheet=A0&amp;row=703&amp;col=11&amp;number=9.7062e-05&amp;sourceID=54","9.7062e-05")</f>
        <v>9.7062e-05</v>
      </c>
      <c r="L703" s="4" t="str">
        <f>HYPERLINK("http://141.218.60.56/~jnz1568/getInfo.php?workbook=16_15.xlsx&amp;sheet=A0&amp;row=703&amp;col=12&amp;number=&amp;sourceID=53","")</f>
        <v/>
      </c>
      <c r="M703" s="4" t="str">
        <f>HYPERLINK("http://141.218.60.56/~jnz1568/getInfo.php?workbook=16_15.xlsx&amp;sheet=A0&amp;row=703&amp;col=13&amp;number=&amp;sourceID=53","")</f>
        <v/>
      </c>
      <c r="N703" s="4" t="str">
        <f>HYPERLINK("http://141.218.60.56/~jnz1568/getInfo.php?workbook=16_15.xlsx&amp;sheet=A0&amp;row=703&amp;col=14&amp;number=&amp;sourceID=53","")</f>
        <v/>
      </c>
      <c r="O703" s="4" t="str">
        <f>HYPERLINK("http://141.218.60.56/~jnz1568/getInfo.php?workbook=16_15.xlsx&amp;sheet=A0&amp;row=703&amp;col=15&amp;number=&amp;sourceID=55","")</f>
        <v/>
      </c>
      <c r="P703" s="4" t="str">
        <f>HYPERLINK("http://141.218.60.56/~jnz1568/getInfo.php?workbook=16_15.xlsx&amp;sheet=A0&amp;row=703&amp;col=16&amp;number=&amp;sourceID=55","")</f>
        <v/>
      </c>
      <c r="Q703" s="4" t="str">
        <f>HYPERLINK("http://141.218.60.56/~jnz1568/getInfo.php?workbook=16_15.xlsx&amp;sheet=A0&amp;row=703&amp;col=17&amp;number=&amp;sourceID=56","")</f>
        <v/>
      </c>
      <c r="R703" s="4" t="str">
        <f>HYPERLINK("http://141.218.60.56/~jnz1568/getInfo.php?workbook=16_15.xlsx&amp;sheet=A0&amp;row=703&amp;col=18&amp;number=&amp;sourceID=56","")</f>
        <v/>
      </c>
      <c r="S703" s="4" t="str">
        <f>HYPERLINK("http://141.218.60.56/~jnz1568/getInfo.php?workbook=16_15.xlsx&amp;sheet=A0&amp;row=703&amp;col=19&amp;number=&amp;sourceID=57","")</f>
        <v/>
      </c>
      <c r="T703" s="4" t="str">
        <f>HYPERLINK("http://141.218.60.56/~jnz1568/getInfo.php?workbook=16_15.xlsx&amp;sheet=A0&amp;row=703&amp;col=20&amp;number=&amp;sourceID=57","")</f>
        <v/>
      </c>
      <c r="U703" s="4" t="str">
        <f>HYPERLINK("http://141.218.60.56/~jnz1568/getInfo.php?workbook=16_15.xlsx&amp;sheet=A0&amp;row=703&amp;col=21&amp;number=&amp;sourceID=47","")</f>
        <v/>
      </c>
      <c r="V703" s="4" t="str">
        <f>HYPERLINK("http://141.218.60.56/~jnz1568/getInfo.php?workbook=16_15.xlsx&amp;sheet=A0&amp;row=703&amp;col=22&amp;number=&amp;sourceID=47","")</f>
        <v/>
      </c>
    </row>
    <row r="704" spans="1:22">
      <c r="A704" s="3">
        <v>16</v>
      </c>
      <c r="B704" s="3">
        <v>15</v>
      </c>
      <c r="C704" s="3">
        <v>43</v>
      </c>
      <c r="D704" s="3">
        <v>27</v>
      </c>
      <c r="E704" s="3">
        <f>((1/(INDEX(E0!J$4:J$73,C704,1)-INDEX(E0!J$4:J$73,D704,1))))*100000000</f>
        <v>0</v>
      </c>
      <c r="F704" s="4" t="str">
        <f>HYPERLINK("http://141.218.60.56/~jnz1568/getInfo.php?workbook=16_15.xlsx&amp;sheet=A0&amp;row=704&amp;col=6&amp;number=&amp;sourceID=54","")</f>
        <v/>
      </c>
      <c r="G704" s="4" t="str">
        <f>HYPERLINK("http://141.218.60.56/~jnz1568/getInfo.php?workbook=16_15.xlsx&amp;sheet=A0&amp;row=704&amp;col=7&amp;number=0.040315&amp;sourceID=54","0.040315")</f>
        <v>0.040315</v>
      </c>
      <c r="H704" s="4" t="str">
        <f>HYPERLINK("http://141.218.60.56/~jnz1568/getInfo.php?workbook=16_15.xlsx&amp;sheet=A0&amp;row=704&amp;col=8&amp;number=&amp;sourceID=54","")</f>
        <v/>
      </c>
      <c r="I704" s="4" t="str">
        <f>HYPERLINK("http://141.218.60.56/~jnz1568/getInfo.php?workbook=16_15.xlsx&amp;sheet=A0&amp;row=704&amp;col=9&amp;number=&amp;sourceID=54","")</f>
        <v/>
      </c>
      <c r="J704" s="4" t="str">
        <f>HYPERLINK("http://141.218.60.56/~jnz1568/getInfo.php?workbook=16_15.xlsx&amp;sheet=A0&amp;row=704&amp;col=10&amp;number=0.070078&amp;sourceID=54","0.070078")</f>
        <v>0.070078</v>
      </c>
      <c r="K704" s="4" t="str">
        <f>HYPERLINK("http://141.218.60.56/~jnz1568/getInfo.php?workbook=16_15.xlsx&amp;sheet=A0&amp;row=704&amp;col=11&amp;number=&amp;sourceID=54","")</f>
        <v/>
      </c>
      <c r="L704" s="4" t="str">
        <f>HYPERLINK("http://141.218.60.56/~jnz1568/getInfo.php?workbook=16_15.xlsx&amp;sheet=A0&amp;row=704&amp;col=12&amp;number=&amp;sourceID=53","")</f>
        <v/>
      </c>
      <c r="M704" s="4" t="str">
        <f>HYPERLINK("http://141.218.60.56/~jnz1568/getInfo.php?workbook=16_15.xlsx&amp;sheet=A0&amp;row=704&amp;col=13&amp;number=&amp;sourceID=53","")</f>
        <v/>
      </c>
      <c r="N704" s="4" t="str">
        <f>HYPERLINK("http://141.218.60.56/~jnz1568/getInfo.php?workbook=16_15.xlsx&amp;sheet=A0&amp;row=704&amp;col=14&amp;number=&amp;sourceID=53","")</f>
        <v/>
      </c>
      <c r="O704" s="4" t="str">
        <f>HYPERLINK("http://141.218.60.56/~jnz1568/getInfo.php?workbook=16_15.xlsx&amp;sheet=A0&amp;row=704&amp;col=15&amp;number=&amp;sourceID=55","")</f>
        <v/>
      </c>
      <c r="P704" s="4" t="str">
        <f>HYPERLINK("http://141.218.60.56/~jnz1568/getInfo.php?workbook=16_15.xlsx&amp;sheet=A0&amp;row=704&amp;col=16&amp;number=&amp;sourceID=55","")</f>
        <v/>
      </c>
      <c r="Q704" s="4" t="str">
        <f>HYPERLINK("http://141.218.60.56/~jnz1568/getInfo.php?workbook=16_15.xlsx&amp;sheet=A0&amp;row=704&amp;col=17&amp;number=&amp;sourceID=56","")</f>
        <v/>
      </c>
      <c r="R704" s="4" t="str">
        <f>HYPERLINK("http://141.218.60.56/~jnz1568/getInfo.php?workbook=16_15.xlsx&amp;sheet=A0&amp;row=704&amp;col=18&amp;number=&amp;sourceID=56","")</f>
        <v/>
      </c>
      <c r="S704" s="4" t="str">
        <f>HYPERLINK("http://141.218.60.56/~jnz1568/getInfo.php?workbook=16_15.xlsx&amp;sheet=A0&amp;row=704&amp;col=19&amp;number=&amp;sourceID=57","")</f>
        <v/>
      </c>
      <c r="T704" s="4" t="str">
        <f>HYPERLINK("http://141.218.60.56/~jnz1568/getInfo.php?workbook=16_15.xlsx&amp;sheet=A0&amp;row=704&amp;col=20&amp;number=&amp;sourceID=57","")</f>
        <v/>
      </c>
      <c r="U704" s="4" t="str">
        <f>HYPERLINK("http://141.218.60.56/~jnz1568/getInfo.php?workbook=16_15.xlsx&amp;sheet=A0&amp;row=704&amp;col=21&amp;number=&amp;sourceID=47","")</f>
        <v/>
      </c>
      <c r="V704" s="4" t="str">
        <f>HYPERLINK("http://141.218.60.56/~jnz1568/getInfo.php?workbook=16_15.xlsx&amp;sheet=A0&amp;row=704&amp;col=22&amp;number=&amp;sourceID=47","")</f>
        <v/>
      </c>
    </row>
    <row r="705" spans="1:22">
      <c r="A705" s="3">
        <v>16</v>
      </c>
      <c r="B705" s="3">
        <v>15</v>
      </c>
      <c r="C705" s="3">
        <v>43</v>
      </c>
      <c r="D705" s="3">
        <v>28</v>
      </c>
      <c r="E705" s="3">
        <f>((1/(INDEX(E0!J$4:J$73,C705,1)-INDEX(E0!J$4:J$73,D705,1))))*100000000</f>
        <v>0</v>
      </c>
      <c r="F705" s="4" t="str">
        <f>HYPERLINK("http://141.218.60.56/~jnz1568/getInfo.php?workbook=16_15.xlsx&amp;sheet=A0&amp;row=705&amp;col=6&amp;number=&amp;sourceID=54","")</f>
        <v/>
      </c>
      <c r="G705" s="4" t="str">
        <f>HYPERLINK("http://141.218.60.56/~jnz1568/getInfo.php?workbook=16_15.xlsx&amp;sheet=A0&amp;row=705&amp;col=7&amp;number=7.7105e-07&amp;sourceID=54","7.7105e-07")</f>
        <v>7.7105e-07</v>
      </c>
      <c r="H705" s="4" t="str">
        <f>HYPERLINK("http://141.218.60.56/~jnz1568/getInfo.php?workbook=16_15.xlsx&amp;sheet=A0&amp;row=705&amp;col=8&amp;number=3.68e-05&amp;sourceID=54","3.68e-05")</f>
        <v>3.68e-05</v>
      </c>
      <c r="I705" s="4" t="str">
        <f>HYPERLINK("http://141.218.60.56/~jnz1568/getInfo.php?workbook=16_15.xlsx&amp;sheet=A0&amp;row=705&amp;col=9&amp;number=&amp;sourceID=54","")</f>
        <v/>
      </c>
      <c r="J705" s="4" t="str">
        <f>HYPERLINK("http://141.218.60.56/~jnz1568/getInfo.php?workbook=16_15.xlsx&amp;sheet=A0&amp;row=705&amp;col=10&amp;number=3.4514e-07&amp;sourceID=54","3.4514e-07")</f>
        <v>3.4514e-07</v>
      </c>
      <c r="K705" s="4" t="str">
        <f>HYPERLINK("http://141.218.60.56/~jnz1568/getInfo.php?workbook=16_15.xlsx&amp;sheet=A0&amp;row=705&amp;col=11&amp;number=2.1867e-05&amp;sourceID=54","2.1867e-05")</f>
        <v>2.1867e-05</v>
      </c>
      <c r="L705" s="4" t="str">
        <f>HYPERLINK("http://141.218.60.56/~jnz1568/getInfo.php?workbook=16_15.xlsx&amp;sheet=A0&amp;row=705&amp;col=12&amp;number=&amp;sourceID=53","")</f>
        <v/>
      </c>
      <c r="M705" s="4" t="str">
        <f>HYPERLINK("http://141.218.60.56/~jnz1568/getInfo.php?workbook=16_15.xlsx&amp;sheet=A0&amp;row=705&amp;col=13&amp;number=&amp;sourceID=53","")</f>
        <v/>
      </c>
      <c r="N705" s="4" t="str">
        <f>HYPERLINK("http://141.218.60.56/~jnz1568/getInfo.php?workbook=16_15.xlsx&amp;sheet=A0&amp;row=705&amp;col=14&amp;number=&amp;sourceID=53","")</f>
        <v/>
      </c>
      <c r="O705" s="4" t="str">
        <f>HYPERLINK("http://141.218.60.56/~jnz1568/getInfo.php?workbook=16_15.xlsx&amp;sheet=A0&amp;row=705&amp;col=15&amp;number=&amp;sourceID=55","")</f>
        <v/>
      </c>
      <c r="P705" s="4" t="str">
        <f>HYPERLINK("http://141.218.60.56/~jnz1568/getInfo.php?workbook=16_15.xlsx&amp;sheet=A0&amp;row=705&amp;col=16&amp;number=&amp;sourceID=55","")</f>
        <v/>
      </c>
      <c r="Q705" s="4" t="str">
        <f>HYPERLINK("http://141.218.60.56/~jnz1568/getInfo.php?workbook=16_15.xlsx&amp;sheet=A0&amp;row=705&amp;col=17&amp;number=&amp;sourceID=56","")</f>
        <v/>
      </c>
      <c r="R705" s="4" t="str">
        <f>HYPERLINK("http://141.218.60.56/~jnz1568/getInfo.php?workbook=16_15.xlsx&amp;sheet=A0&amp;row=705&amp;col=18&amp;number=&amp;sourceID=56","")</f>
        <v/>
      </c>
      <c r="S705" s="4" t="str">
        <f>HYPERLINK("http://141.218.60.56/~jnz1568/getInfo.php?workbook=16_15.xlsx&amp;sheet=A0&amp;row=705&amp;col=19&amp;number=&amp;sourceID=57","")</f>
        <v/>
      </c>
      <c r="T705" s="4" t="str">
        <f>HYPERLINK("http://141.218.60.56/~jnz1568/getInfo.php?workbook=16_15.xlsx&amp;sheet=A0&amp;row=705&amp;col=20&amp;number=&amp;sourceID=57","")</f>
        <v/>
      </c>
      <c r="U705" s="4" t="str">
        <f>HYPERLINK("http://141.218.60.56/~jnz1568/getInfo.php?workbook=16_15.xlsx&amp;sheet=A0&amp;row=705&amp;col=21&amp;number=&amp;sourceID=47","")</f>
        <v/>
      </c>
      <c r="V705" s="4" t="str">
        <f>HYPERLINK("http://141.218.60.56/~jnz1568/getInfo.php?workbook=16_15.xlsx&amp;sheet=A0&amp;row=705&amp;col=22&amp;number=&amp;sourceID=47","")</f>
        <v/>
      </c>
    </row>
    <row r="706" spans="1:22">
      <c r="A706" s="3">
        <v>16</v>
      </c>
      <c r="B706" s="3">
        <v>15</v>
      </c>
      <c r="C706" s="3">
        <v>43</v>
      </c>
      <c r="D706" s="3">
        <v>29</v>
      </c>
      <c r="E706" s="3">
        <f>((1/(INDEX(E0!J$4:J$73,C706,1)-INDEX(E0!J$4:J$73,D706,1))))*100000000</f>
        <v>0</v>
      </c>
      <c r="F706" s="4" t="str">
        <f>HYPERLINK("http://141.218.60.56/~jnz1568/getInfo.php?workbook=16_15.xlsx&amp;sheet=A0&amp;row=706&amp;col=6&amp;number=&amp;sourceID=54","")</f>
        <v/>
      </c>
      <c r="G706" s="4" t="str">
        <f>HYPERLINK("http://141.218.60.56/~jnz1568/getInfo.php?workbook=16_15.xlsx&amp;sheet=A0&amp;row=706&amp;col=7&amp;number=3.7445e-06&amp;sourceID=54","3.7445e-06")</f>
        <v>3.7445e-06</v>
      </c>
      <c r="H706" s="4" t="str">
        <f>HYPERLINK("http://141.218.60.56/~jnz1568/getInfo.php?workbook=16_15.xlsx&amp;sheet=A0&amp;row=706&amp;col=8&amp;number=0.00024977&amp;sourceID=54","0.00024977")</f>
        <v>0.00024977</v>
      </c>
      <c r="I706" s="4" t="str">
        <f>HYPERLINK("http://141.218.60.56/~jnz1568/getInfo.php?workbook=16_15.xlsx&amp;sheet=A0&amp;row=706&amp;col=9&amp;number=&amp;sourceID=54","")</f>
        <v/>
      </c>
      <c r="J706" s="4" t="str">
        <f>HYPERLINK("http://141.218.60.56/~jnz1568/getInfo.php?workbook=16_15.xlsx&amp;sheet=A0&amp;row=706&amp;col=10&amp;number=2.664e-07&amp;sourceID=54","2.664e-07")</f>
        <v>2.664e-07</v>
      </c>
      <c r="K706" s="4" t="str">
        <f>HYPERLINK("http://141.218.60.56/~jnz1568/getInfo.php?workbook=16_15.xlsx&amp;sheet=A0&amp;row=706&amp;col=11&amp;number=0.00016661&amp;sourceID=54","0.00016661")</f>
        <v>0.00016661</v>
      </c>
      <c r="L706" s="4" t="str">
        <f>HYPERLINK("http://141.218.60.56/~jnz1568/getInfo.php?workbook=16_15.xlsx&amp;sheet=A0&amp;row=706&amp;col=12&amp;number=&amp;sourceID=53","")</f>
        <v/>
      </c>
      <c r="M706" s="4" t="str">
        <f>HYPERLINK("http://141.218.60.56/~jnz1568/getInfo.php?workbook=16_15.xlsx&amp;sheet=A0&amp;row=706&amp;col=13&amp;number=&amp;sourceID=53","")</f>
        <v/>
      </c>
      <c r="N706" s="4" t="str">
        <f>HYPERLINK("http://141.218.60.56/~jnz1568/getInfo.php?workbook=16_15.xlsx&amp;sheet=A0&amp;row=706&amp;col=14&amp;number=&amp;sourceID=53","")</f>
        <v/>
      </c>
      <c r="O706" s="4" t="str">
        <f>HYPERLINK("http://141.218.60.56/~jnz1568/getInfo.php?workbook=16_15.xlsx&amp;sheet=A0&amp;row=706&amp;col=15&amp;number=&amp;sourceID=55","")</f>
        <v/>
      </c>
      <c r="P706" s="4" t="str">
        <f>HYPERLINK("http://141.218.60.56/~jnz1568/getInfo.php?workbook=16_15.xlsx&amp;sheet=A0&amp;row=706&amp;col=16&amp;number=&amp;sourceID=55","")</f>
        <v/>
      </c>
      <c r="Q706" s="4" t="str">
        <f>HYPERLINK("http://141.218.60.56/~jnz1568/getInfo.php?workbook=16_15.xlsx&amp;sheet=A0&amp;row=706&amp;col=17&amp;number=&amp;sourceID=56","")</f>
        <v/>
      </c>
      <c r="R706" s="4" t="str">
        <f>HYPERLINK("http://141.218.60.56/~jnz1568/getInfo.php?workbook=16_15.xlsx&amp;sheet=A0&amp;row=706&amp;col=18&amp;number=&amp;sourceID=56","")</f>
        <v/>
      </c>
      <c r="S706" s="4" t="str">
        <f>HYPERLINK("http://141.218.60.56/~jnz1568/getInfo.php?workbook=16_15.xlsx&amp;sheet=A0&amp;row=706&amp;col=19&amp;number=&amp;sourceID=57","")</f>
        <v/>
      </c>
      <c r="T706" s="4" t="str">
        <f>HYPERLINK("http://141.218.60.56/~jnz1568/getInfo.php?workbook=16_15.xlsx&amp;sheet=A0&amp;row=706&amp;col=20&amp;number=&amp;sourceID=57","")</f>
        <v/>
      </c>
      <c r="U706" s="4" t="str">
        <f>HYPERLINK("http://141.218.60.56/~jnz1568/getInfo.php?workbook=16_15.xlsx&amp;sheet=A0&amp;row=706&amp;col=21&amp;number=&amp;sourceID=47","")</f>
        <v/>
      </c>
      <c r="V706" s="4" t="str">
        <f>HYPERLINK("http://141.218.60.56/~jnz1568/getInfo.php?workbook=16_15.xlsx&amp;sheet=A0&amp;row=706&amp;col=22&amp;number=&amp;sourceID=47","")</f>
        <v/>
      </c>
    </row>
    <row r="707" spans="1:22">
      <c r="A707" s="3">
        <v>16</v>
      </c>
      <c r="B707" s="3">
        <v>15</v>
      </c>
      <c r="C707" s="3">
        <v>43</v>
      </c>
      <c r="D707" s="3">
        <v>30</v>
      </c>
      <c r="E707" s="3">
        <f>((1/(INDEX(E0!J$4:J$73,C707,1)-INDEX(E0!J$4:J$73,D707,1))))*100000000</f>
        <v>0</v>
      </c>
      <c r="F707" s="4" t="str">
        <f>HYPERLINK("http://141.218.60.56/~jnz1568/getInfo.php?workbook=16_15.xlsx&amp;sheet=A0&amp;row=707&amp;col=6&amp;number=&amp;sourceID=54","")</f>
        <v/>
      </c>
      <c r="G707" s="4" t="str">
        <f>HYPERLINK("http://141.218.60.56/~jnz1568/getInfo.php?workbook=16_15.xlsx&amp;sheet=A0&amp;row=707&amp;col=7&amp;number=4.0601e-06&amp;sourceID=54","4.0601e-06")</f>
        <v>4.0601e-06</v>
      </c>
      <c r="H707" s="4" t="str">
        <f>HYPERLINK("http://141.218.60.56/~jnz1568/getInfo.php?workbook=16_15.xlsx&amp;sheet=A0&amp;row=707&amp;col=8&amp;number=0.0001898&amp;sourceID=54","0.0001898")</f>
        <v>0.0001898</v>
      </c>
      <c r="I707" s="4" t="str">
        <f>HYPERLINK("http://141.218.60.56/~jnz1568/getInfo.php?workbook=16_15.xlsx&amp;sheet=A0&amp;row=707&amp;col=9&amp;number=&amp;sourceID=54","")</f>
        <v/>
      </c>
      <c r="J707" s="4" t="str">
        <f>HYPERLINK("http://141.218.60.56/~jnz1568/getInfo.php?workbook=16_15.xlsx&amp;sheet=A0&amp;row=707&amp;col=10&amp;number=1.3359e-05&amp;sourceID=54","1.3359e-05")</f>
        <v>1.3359e-05</v>
      </c>
      <c r="K707" s="4" t="str">
        <f>HYPERLINK("http://141.218.60.56/~jnz1568/getInfo.php?workbook=16_15.xlsx&amp;sheet=A0&amp;row=707&amp;col=11&amp;number=0.00013182&amp;sourceID=54","0.00013182")</f>
        <v>0.00013182</v>
      </c>
      <c r="L707" s="4" t="str">
        <f>HYPERLINK("http://141.218.60.56/~jnz1568/getInfo.php?workbook=16_15.xlsx&amp;sheet=A0&amp;row=707&amp;col=12&amp;number=&amp;sourceID=53","")</f>
        <v/>
      </c>
      <c r="M707" s="4" t="str">
        <f>HYPERLINK("http://141.218.60.56/~jnz1568/getInfo.php?workbook=16_15.xlsx&amp;sheet=A0&amp;row=707&amp;col=13&amp;number=&amp;sourceID=53","")</f>
        <v/>
      </c>
      <c r="N707" s="4" t="str">
        <f>HYPERLINK("http://141.218.60.56/~jnz1568/getInfo.php?workbook=16_15.xlsx&amp;sheet=A0&amp;row=707&amp;col=14&amp;number=&amp;sourceID=53","")</f>
        <v/>
      </c>
      <c r="O707" s="4" t="str">
        <f>HYPERLINK("http://141.218.60.56/~jnz1568/getInfo.php?workbook=16_15.xlsx&amp;sheet=A0&amp;row=707&amp;col=15&amp;number=&amp;sourceID=55","")</f>
        <v/>
      </c>
      <c r="P707" s="4" t="str">
        <f>HYPERLINK("http://141.218.60.56/~jnz1568/getInfo.php?workbook=16_15.xlsx&amp;sheet=A0&amp;row=707&amp;col=16&amp;number=&amp;sourceID=55","")</f>
        <v/>
      </c>
      <c r="Q707" s="4" t="str">
        <f>HYPERLINK("http://141.218.60.56/~jnz1568/getInfo.php?workbook=16_15.xlsx&amp;sheet=A0&amp;row=707&amp;col=17&amp;number=&amp;sourceID=56","")</f>
        <v/>
      </c>
      <c r="R707" s="4" t="str">
        <f>HYPERLINK("http://141.218.60.56/~jnz1568/getInfo.php?workbook=16_15.xlsx&amp;sheet=A0&amp;row=707&amp;col=18&amp;number=&amp;sourceID=56","")</f>
        <v/>
      </c>
      <c r="S707" s="4" t="str">
        <f>HYPERLINK("http://141.218.60.56/~jnz1568/getInfo.php?workbook=16_15.xlsx&amp;sheet=A0&amp;row=707&amp;col=19&amp;number=&amp;sourceID=57","")</f>
        <v/>
      </c>
      <c r="T707" s="4" t="str">
        <f>HYPERLINK("http://141.218.60.56/~jnz1568/getInfo.php?workbook=16_15.xlsx&amp;sheet=A0&amp;row=707&amp;col=20&amp;number=&amp;sourceID=57","")</f>
        <v/>
      </c>
      <c r="U707" s="4" t="str">
        <f>HYPERLINK("http://141.218.60.56/~jnz1568/getInfo.php?workbook=16_15.xlsx&amp;sheet=A0&amp;row=707&amp;col=21&amp;number=&amp;sourceID=47","")</f>
        <v/>
      </c>
      <c r="V707" s="4" t="str">
        <f>HYPERLINK("http://141.218.60.56/~jnz1568/getInfo.php?workbook=16_15.xlsx&amp;sheet=A0&amp;row=707&amp;col=22&amp;number=&amp;sourceID=47","")</f>
        <v/>
      </c>
    </row>
    <row r="708" spans="1:22">
      <c r="A708" s="3">
        <v>16</v>
      </c>
      <c r="B708" s="3">
        <v>15</v>
      </c>
      <c r="C708" s="3">
        <v>43</v>
      </c>
      <c r="D708" s="3">
        <v>31</v>
      </c>
      <c r="E708" s="3">
        <f>((1/(INDEX(E0!J$4:J$73,C708,1)-INDEX(E0!J$4:J$73,D708,1))))*100000000</f>
        <v>0</v>
      </c>
      <c r="F708" s="4" t="str">
        <f>HYPERLINK("http://141.218.60.56/~jnz1568/getInfo.php?workbook=16_15.xlsx&amp;sheet=A0&amp;row=708&amp;col=6&amp;number=2241&amp;sourceID=54","2241")</f>
        <v>2241</v>
      </c>
      <c r="G708" s="4" t="str">
        <f>HYPERLINK("http://141.218.60.56/~jnz1568/getInfo.php?workbook=16_15.xlsx&amp;sheet=A0&amp;row=708&amp;col=7&amp;number=&amp;sourceID=54","")</f>
        <v/>
      </c>
      <c r="H708" s="4" t="str">
        <f>HYPERLINK("http://141.218.60.56/~jnz1568/getInfo.php?workbook=16_15.xlsx&amp;sheet=A0&amp;row=708&amp;col=8&amp;number=&amp;sourceID=54","")</f>
        <v/>
      </c>
      <c r="I708" s="4" t="str">
        <f>HYPERLINK("http://141.218.60.56/~jnz1568/getInfo.php?workbook=16_15.xlsx&amp;sheet=A0&amp;row=708&amp;col=9&amp;number=1307.6&amp;sourceID=54","1307.6")</f>
        <v>1307.6</v>
      </c>
      <c r="J708" s="4" t="str">
        <f>HYPERLINK("http://141.218.60.56/~jnz1568/getInfo.php?workbook=16_15.xlsx&amp;sheet=A0&amp;row=708&amp;col=10&amp;number=&amp;sourceID=54","")</f>
        <v/>
      </c>
      <c r="K708" s="4" t="str">
        <f>HYPERLINK("http://141.218.60.56/~jnz1568/getInfo.php?workbook=16_15.xlsx&amp;sheet=A0&amp;row=708&amp;col=11&amp;number=&amp;sourceID=54","")</f>
        <v/>
      </c>
      <c r="L708" s="4" t="str">
        <f>HYPERLINK("http://141.218.60.56/~jnz1568/getInfo.php?workbook=16_15.xlsx&amp;sheet=A0&amp;row=708&amp;col=12&amp;number=1852.14613186&amp;sourceID=53","1852.14613186")</f>
        <v>1852.14613186</v>
      </c>
      <c r="M708" s="4" t="str">
        <f>HYPERLINK("http://141.218.60.56/~jnz1568/getInfo.php?workbook=16_15.xlsx&amp;sheet=A0&amp;row=708&amp;col=13&amp;number=&amp;sourceID=53","")</f>
        <v/>
      </c>
      <c r="N708" s="4" t="str">
        <f>HYPERLINK("http://141.218.60.56/~jnz1568/getInfo.php?workbook=16_15.xlsx&amp;sheet=A0&amp;row=708&amp;col=14&amp;number=&amp;sourceID=53","")</f>
        <v/>
      </c>
      <c r="O708" s="4" t="str">
        <f>HYPERLINK("http://141.218.60.56/~jnz1568/getInfo.php?workbook=16_15.xlsx&amp;sheet=A0&amp;row=708&amp;col=15&amp;number=&amp;sourceID=55","")</f>
        <v/>
      </c>
      <c r="P708" s="4" t="str">
        <f>HYPERLINK("http://141.218.60.56/~jnz1568/getInfo.php?workbook=16_15.xlsx&amp;sheet=A0&amp;row=708&amp;col=16&amp;number=&amp;sourceID=55","")</f>
        <v/>
      </c>
      <c r="Q708" s="4" t="str">
        <f>HYPERLINK("http://141.218.60.56/~jnz1568/getInfo.php?workbook=16_15.xlsx&amp;sheet=A0&amp;row=708&amp;col=17&amp;number=&amp;sourceID=56","")</f>
        <v/>
      </c>
      <c r="R708" s="4" t="str">
        <f>HYPERLINK("http://141.218.60.56/~jnz1568/getInfo.php?workbook=16_15.xlsx&amp;sheet=A0&amp;row=708&amp;col=18&amp;number=&amp;sourceID=56","")</f>
        <v/>
      </c>
      <c r="S708" s="4" t="str">
        <f>HYPERLINK("http://141.218.60.56/~jnz1568/getInfo.php?workbook=16_15.xlsx&amp;sheet=A0&amp;row=708&amp;col=19&amp;number=&amp;sourceID=57","")</f>
        <v/>
      </c>
      <c r="T708" s="4" t="str">
        <f>HYPERLINK("http://141.218.60.56/~jnz1568/getInfo.php?workbook=16_15.xlsx&amp;sheet=A0&amp;row=708&amp;col=20&amp;number=&amp;sourceID=57","")</f>
        <v/>
      </c>
      <c r="U708" s="4" t="str">
        <f>HYPERLINK("http://141.218.60.56/~jnz1568/getInfo.php?workbook=16_15.xlsx&amp;sheet=A0&amp;row=708&amp;col=21&amp;number=&amp;sourceID=47","")</f>
        <v/>
      </c>
      <c r="V708" s="4" t="str">
        <f>HYPERLINK("http://141.218.60.56/~jnz1568/getInfo.php?workbook=16_15.xlsx&amp;sheet=A0&amp;row=708&amp;col=22&amp;number=&amp;sourceID=47","")</f>
        <v/>
      </c>
    </row>
    <row r="709" spans="1:22">
      <c r="A709" s="3">
        <v>16</v>
      </c>
      <c r="B709" s="3">
        <v>15</v>
      </c>
      <c r="C709" s="3">
        <v>43</v>
      </c>
      <c r="D709" s="3">
        <v>32</v>
      </c>
      <c r="E709" s="3">
        <f>((1/(INDEX(E0!J$4:J$73,C709,1)-INDEX(E0!J$4:J$73,D709,1))))*100000000</f>
        <v>0</v>
      </c>
      <c r="F709" s="4" t="str">
        <f>HYPERLINK("http://141.218.60.56/~jnz1568/getInfo.php?workbook=16_15.xlsx&amp;sheet=A0&amp;row=709&amp;col=6&amp;number=&amp;sourceID=54","")</f>
        <v/>
      </c>
      <c r="G709" s="4" t="str">
        <f>HYPERLINK("http://141.218.60.56/~jnz1568/getInfo.php?workbook=16_15.xlsx&amp;sheet=A0&amp;row=709&amp;col=7&amp;number=3.2949e-08&amp;sourceID=54","3.2949e-08")</f>
        <v>3.2949e-08</v>
      </c>
      <c r="H709" s="4" t="str">
        <f>HYPERLINK("http://141.218.60.56/~jnz1568/getInfo.php?workbook=16_15.xlsx&amp;sheet=A0&amp;row=709&amp;col=8&amp;number=&amp;sourceID=54","")</f>
        <v/>
      </c>
      <c r="I709" s="4" t="str">
        <f>HYPERLINK("http://141.218.60.56/~jnz1568/getInfo.php?workbook=16_15.xlsx&amp;sheet=A0&amp;row=709&amp;col=9&amp;number=&amp;sourceID=54","")</f>
        <v/>
      </c>
      <c r="J709" s="4" t="str">
        <f>HYPERLINK("http://141.218.60.56/~jnz1568/getInfo.php?workbook=16_15.xlsx&amp;sheet=A0&amp;row=709&amp;col=10&amp;number=4.3912e-08&amp;sourceID=54","4.3912e-08")</f>
        <v>4.3912e-08</v>
      </c>
      <c r="K709" s="4" t="str">
        <f>HYPERLINK("http://141.218.60.56/~jnz1568/getInfo.php?workbook=16_15.xlsx&amp;sheet=A0&amp;row=709&amp;col=11&amp;number=&amp;sourceID=54","")</f>
        <v/>
      </c>
      <c r="L709" s="4" t="str">
        <f>HYPERLINK("http://141.218.60.56/~jnz1568/getInfo.php?workbook=16_15.xlsx&amp;sheet=A0&amp;row=709&amp;col=12&amp;number=&amp;sourceID=53","")</f>
        <v/>
      </c>
      <c r="M709" s="4" t="str">
        <f>HYPERLINK("http://141.218.60.56/~jnz1568/getInfo.php?workbook=16_15.xlsx&amp;sheet=A0&amp;row=709&amp;col=13&amp;number=&amp;sourceID=53","")</f>
        <v/>
      </c>
      <c r="N709" s="4" t="str">
        <f>HYPERLINK("http://141.218.60.56/~jnz1568/getInfo.php?workbook=16_15.xlsx&amp;sheet=A0&amp;row=709&amp;col=14&amp;number=&amp;sourceID=53","")</f>
        <v/>
      </c>
      <c r="O709" s="4" t="str">
        <f>HYPERLINK("http://141.218.60.56/~jnz1568/getInfo.php?workbook=16_15.xlsx&amp;sheet=A0&amp;row=709&amp;col=15&amp;number=&amp;sourceID=55","")</f>
        <v/>
      </c>
      <c r="P709" s="4" t="str">
        <f>HYPERLINK("http://141.218.60.56/~jnz1568/getInfo.php?workbook=16_15.xlsx&amp;sheet=A0&amp;row=709&amp;col=16&amp;number=&amp;sourceID=55","")</f>
        <v/>
      </c>
      <c r="Q709" s="4" t="str">
        <f>HYPERLINK("http://141.218.60.56/~jnz1568/getInfo.php?workbook=16_15.xlsx&amp;sheet=A0&amp;row=709&amp;col=17&amp;number=&amp;sourceID=56","")</f>
        <v/>
      </c>
      <c r="R709" s="4" t="str">
        <f>HYPERLINK("http://141.218.60.56/~jnz1568/getInfo.php?workbook=16_15.xlsx&amp;sheet=A0&amp;row=709&amp;col=18&amp;number=&amp;sourceID=56","")</f>
        <v/>
      </c>
      <c r="S709" s="4" t="str">
        <f>HYPERLINK("http://141.218.60.56/~jnz1568/getInfo.php?workbook=16_15.xlsx&amp;sheet=A0&amp;row=709&amp;col=19&amp;number=&amp;sourceID=57","")</f>
        <v/>
      </c>
      <c r="T709" s="4" t="str">
        <f>HYPERLINK("http://141.218.60.56/~jnz1568/getInfo.php?workbook=16_15.xlsx&amp;sheet=A0&amp;row=709&amp;col=20&amp;number=&amp;sourceID=57","")</f>
        <v/>
      </c>
      <c r="U709" s="4" t="str">
        <f>HYPERLINK("http://141.218.60.56/~jnz1568/getInfo.php?workbook=16_15.xlsx&amp;sheet=A0&amp;row=709&amp;col=21&amp;number=&amp;sourceID=47","")</f>
        <v/>
      </c>
      <c r="V709" s="4" t="str">
        <f>HYPERLINK("http://141.218.60.56/~jnz1568/getInfo.php?workbook=16_15.xlsx&amp;sheet=A0&amp;row=709&amp;col=22&amp;number=&amp;sourceID=47","")</f>
        <v/>
      </c>
    </row>
    <row r="710" spans="1:22">
      <c r="A710" s="3">
        <v>16</v>
      </c>
      <c r="B710" s="3">
        <v>15</v>
      </c>
      <c r="C710" s="3">
        <v>43</v>
      </c>
      <c r="D710" s="3">
        <v>34</v>
      </c>
      <c r="E710" s="3">
        <f>((1/(INDEX(E0!J$4:J$73,C710,1)-INDEX(E0!J$4:J$73,D710,1))))*100000000</f>
        <v>0</v>
      </c>
      <c r="F710" s="4" t="str">
        <f>HYPERLINK("http://141.218.60.56/~jnz1568/getInfo.php?workbook=16_15.xlsx&amp;sheet=A0&amp;row=710&amp;col=6&amp;number=607.35&amp;sourceID=54","607.35")</f>
        <v>607.35</v>
      </c>
      <c r="G710" s="4" t="str">
        <f>HYPERLINK("http://141.218.60.56/~jnz1568/getInfo.php?workbook=16_15.xlsx&amp;sheet=A0&amp;row=710&amp;col=7&amp;number=&amp;sourceID=54","")</f>
        <v/>
      </c>
      <c r="H710" s="4" t="str">
        <f>HYPERLINK("http://141.218.60.56/~jnz1568/getInfo.php?workbook=16_15.xlsx&amp;sheet=A0&amp;row=710&amp;col=8&amp;number=&amp;sourceID=54","")</f>
        <v/>
      </c>
      <c r="I710" s="4" t="str">
        <f>HYPERLINK("http://141.218.60.56/~jnz1568/getInfo.php?workbook=16_15.xlsx&amp;sheet=A0&amp;row=710&amp;col=9&amp;number=262.31&amp;sourceID=54","262.31")</f>
        <v>262.31</v>
      </c>
      <c r="J710" s="4" t="str">
        <f>HYPERLINK("http://141.218.60.56/~jnz1568/getInfo.php?workbook=16_15.xlsx&amp;sheet=A0&amp;row=710&amp;col=10&amp;number=&amp;sourceID=54","")</f>
        <v/>
      </c>
      <c r="K710" s="4" t="str">
        <f>HYPERLINK("http://141.218.60.56/~jnz1568/getInfo.php?workbook=16_15.xlsx&amp;sheet=A0&amp;row=710&amp;col=11&amp;number=&amp;sourceID=54","")</f>
        <v/>
      </c>
      <c r="L710" s="4" t="str">
        <f>HYPERLINK("http://141.218.60.56/~jnz1568/getInfo.php?workbook=16_15.xlsx&amp;sheet=A0&amp;row=710&amp;col=12&amp;number=1590.18557382&amp;sourceID=53","1590.18557382")</f>
        <v>1590.18557382</v>
      </c>
      <c r="M710" s="4" t="str">
        <f>HYPERLINK("http://141.218.60.56/~jnz1568/getInfo.php?workbook=16_15.xlsx&amp;sheet=A0&amp;row=710&amp;col=13&amp;number=&amp;sourceID=53","")</f>
        <v/>
      </c>
      <c r="N710" s="4" t="str">
        <f>HYPERLINK("http://141.218.60.56/~jnz1568/getInfo.php?workbook=16_15.xlsx&amp;sheet=A0&amp;row=710&amp;col=14&amp;number=&amp;sourceID=53","")</f>
        <v/>
      </c>
      <c r="O710" s="4" t="str">
        <f>HYPERLINK("http://141.218.60.56/~jnz1568/getInfo.php?workbook=16_15.xlsx&amp;sheet=A0&amp;row=710&amp;col=15&amp;number=&amp;sourceID=55","")</f>
        <v/>
      </c>
      <c r="P710" s="4" t="str">
        <f>HYPERLINK("http://141.218.60.56/~jnz1568/getInfo.php?workbook=16_15.xlsx&amp;sheet=A0&amp;row=710&amp;col=16&amp;number=&amp;sourceID=55","")</f>
        <v/>
      </c>
      <c r="Q710" s="4" t="str">
        <f>HYPERLINK("http://141.218.60.56/~jnz1568/getInfo.php?workbook=16_15.xlsx&amp;sheet=A0&amp;row=710&amp;col=17&amp;number=&amp;sourceID=56","")</f>
        <v/>
      </c>
      <c r="R710" s="4" t="str">
        <f>HYPERLINK("http://141.218.60.56/~jnz1568/getInfo.php?workbook=16_15.xlsx&amp;sheet=A0&amp;row=710&amp;col=18&amp;number=&amp;sourceID=56","")</f>
        <v/>
      </c>
      <c r="S710" s="4" t="str">
        <f>HYPERLINK("http://141.218.60.56/~jnz1568/getInfo.php?workbook=16_15.xlsx&amp;sheet=A0&amp;row=710&amp;col=19&amp;number=&amp;sourceID=57","")</f>
        <v/>
      </c>
      <c r="T710" s="4" t="str">
        <f>HYPERLINK("http://141.218.60.56/~jnz1568/getInfo.php?workbook=16_15.xlsx&amp;sheet=A0&amp;row=710&amp;col=20&amp;number=&amp;sourceID=57","")</f>
        <v/>
      </c>
      <c r="U710" s="4" t="str">
        <f>HYPERLINK("http://141.218.60.56/~jnz1568/getInfo.php?workbook=16_15.xlsx&amp;sheet=A0&amp;row=710&amp;col=21&amp;number=&amp;sourceID=47","")</f>
        <v/>
      </c>
      <c r="V710" s="4" t="str">
        <f>HYPERLINK("http://141.218.60.56/~jnz1568/getInfo.php?workbook=16_15.xlsx&amp;sheet=A0&amp;row=710&amp;col=22&amp;number=&amp;sourceID=47","")</f>
        <v/>
      </c>
    </row>
    <row r="711" spans="1:22">
      <c r="A711" s="3">
        <v>16</v>
      </c>
      <c r="B711" s="3">
        <v>15</v>
      </c>
      <c r="C711" s="3">
        <v>43</v>
      </c>
      <c r="D711" s="3">
        <v>35</v>
      </c>
      <c r="E711" s="3">
        <f>((1/(INDEX(E0!J$4:J$73,C711,1)-INDEX(E0!J$4:J$73,D711,1))))*100000000</f>
        <v>0</v>
      </c>
      <c r="F711" s="4" t="str">
        <f>HYPERLINK("http://141.218.60.56/~jnz1568/getInfo.php?workbook=16_15.xlsx&amp;sheet=A0&amp;row=711&amp;col=6&amp;number=1366.1&amp;sourceID=54","1366.1")</f>
        <v>1366.1</v>
      </c>
      <c r="G711" s="4" t="str">
        <f>HYPERLINK("http://141.218.60.56/~jnz1568/getInfo.php?workbook=16_15.xlsx&amp;sheet=A0&amp;row=711&amp;col=7&amp;number=&amp;sourceID=54","")</f>
        <v/>
      </c>
      <c r="H711" s="4" t="str">
        <f>HYPERLINK("http://141.218.60.56/~jnz1568/getInfo.php?workbook=16_15.xlsx&amp;sheet=A0&amp;row=711&amp;col=8&amp;number=&amp;sourceID=54","")</f>
        <v/>
      </c>
      <c r="I711" s="4" t="str">
        <f>HYPERLINK("http://141.218.60.56/~jnz1568/getInfo.php?workbook=16_15.xlsx&amp;sheet=A0&amp;row=711&amp;col=9&amp;number=581.71&amp;sourceID=54","581.71")</f>
        <v>581.71</v>
      </c>
      <c r="J711" s="4" t="str">
        <f>HYPERLINK("http://141.218.60.56/~jnz1568/getInfo.php?workbook=16_15.xlsx&amp;sheet=A0&amp;row=711&amp;col=10&amp;number=&amp;sourceID=54","")</f>
        <v/>
      </c>
      <c r="K711" s="4" t="str">
        <f>HYPERLINK("http://141.218.60.56/~jnz1568/getInfo.php?workbook=16_15.xlsx&amp;sheet=A0&amp;row=711&amp;col=11&amp;number=&amp;sourceID=54","")</f>
        <v/>
      </c>
      <c r="L711" s="4" t="str">
        <f>HYPERLINK("http://141.218.60.56/~jnz1568/getInfo.php?workbook=16_15.xlsx&amp;sheet=A0&amp;row=711&amp;col=12&amp;number=3932.1434683&amp;sourceID=53","3932.1434683")</f>
        <v>3932.1434683</v>
      </c>
      <c r="M711" s="4" t="str">
        <f>HYPERLINK("http://141.218.60.56/~jnz1568/getInfo.php?workbook=16_15.xlsx&amp;sheet=A0&amp;row=711&amp;col=13&amp;number=&amp;sourceID=53","")</f>
        <v/>
      </c>
      <c r="N711" s="4" t="str">
        <f>HYPERLINK("http://141.218.60.56/~jnz1568/getInfo.php?workbook=16_15.xlsx&amp;sheet=A0&amp;row=711&amp;col=14&amp;number=&amp;sourceID=53","")</f>
        <v/>
      </c>
      <c r="O711" s="4" t="str">
        <f>HYPERLINK("http://141.218.60.56/~jnz1568/getInfo.php?workbook=16_15.xlsx&amp;sheet=A0&amp;row=711&amp;col=15&amp;number=&amp;sourceID=55","")</f>
        <v/>
      </c>
      <c r="P711" s="4" t="str">
        <f>HYPERLINK("http://141.218.60.56/~jnz1568/getInfo.php?workbook=16_15.xlsx&amp;sheet=A0&amp;row=711&amp;col=16&amp;number=&amp;sourceID=55","")</f>
        <v/>
      </c>
      <c r="Q711" s="4" t="str">
        <f>HYPERLINK("http://141.218.60.56/~jnz1568/getInfo.php?workbook=16_15.xlsx&amp;sheet=A0&amp;row=711&amp;col=17&amp;number=&amp;sourceID=56","")</f>
        <v/>
      </c>
      <c r="R711" s="4" t="str">
        <f>HYPERLINK("http://141.218.60.56/~jnz1568/getInfo.php?workbook=16_15.xlsx&amp;sheet=A0&amp;row=711&amp;col=18&amp;number=&amp;sourceID=56","")</f>
        <v/>
      </c>
      <c r="S711" s="4" t="str">
        <f>HYPERLINK("http://141.218.60.56/~jnz1568/getInfo.php?workbook=16_15.xlsx&amp;sheet=A0&amp;row=711&amp;col=19&amp;number=&amp;sourceID=57","")</f>
        <v/>
      </c>
      <c r="T711" s="4" t="str">
        <f>HYPERLINK("http://141.218.60.56/~jnz1568/getInfo.php?workbook=16_15.xlsx&amp;sheet=A0&amp;row=711&amp;col=20&amp;number=&amp;sourceID=57","")</f>
        <v/>
      </c>
      <c r="U711" s="4" t="str">
        <f>HYPERLINK("http://141.218.60.56/~jnz1568/getInfo.php?workbook=16_15.xlsx&amp;sheet=A0&amp;row=711&amp;col=21&amp;number=&amp;sourceID=47","")</f>
        <v/>
      </c>
      <c r="V711" s="4" t="str">
        <f>HYPERLINK("http://141.218.60.56/~jnz1568/getInfo.php?workbook=16_15.xlsx&amp;sheet=A0&amp;row=711&amp;col=22&amp;number=&amp;sourceID=47","")</f>
        <v/>
      </c>
    </row>
    <row r="712" spans="1:22">
      <c r="A712" s="3">
        <v>16</v>
      </c>
      <c r="B712" s="3">
        <v>15</v>
      </c>
      <c r="C712" s="3">
        <v>43</v>
      </c>
      <c r="D712" s="3">
        <v>36</v>
      </c>
      <c r="E712" s="3">
        <f>((1/(INDEX(E0!J$4:J$73,C712,1)-INDEX(E0!J$4:J$73,D712,1))))*100000000</f>
        <v>0</v>
      </c>
      <c r="F712" s="4" t="str">
        <f>HYPERLINK("http://141.218.60.56/~jnz1568/getInfo.php?workbook=16_15.xlsx&amp;sheet=A0&amp;row=712&amp;col=6&amp;number=60.582&amp;sourceID=54","60.582")</f>
        <v>60.582</v>
      </c>
      <c r="G712" s="4" t="str">
        <f>HYPERLINK("http://141.218.60.56/~jnz1568/getInfo.php?workbook=16_15.xlsx&amp;sheet=A0&amp;row=712&amp;col=7&amp;number=&amp;sourceID=54","")</f>
        <v/>
      </c>
      <c r="H712" s="4" t="str">
        <f>HYPERLINK("http://141.218.60.56/~jnz1568/getInfo.php?workbook=16_15.xlsx&amp;sheet=A0&amp;row=712&amp;col=8&amp;number=&amp;sourceID=54","")</f>
        <v/>
      </c>
      <c r="I712" s="4" t="str">
        <f>HYPERLINK("http://141.218.60.56/~jnz1568/getInfo.php?workbook=16_15.xlsx&amp;sheet=A0&amp;row=712&amp;col=9&amp;number=28.531&amp;sourceID=54","28.531")</f>
        <v>28.531</v>
      </c>
      <c r="J712" s="4" t="str">
        <f>HYPERLINK("http://141.218.60.56/~jnz1568/getInfo.php?workbook=16_15.xlsx&amp;sheet=A0&amp;row=712&amp;col=10&amp;number=&amp;sourceID=54","")</f>
        <v/>
      </c>
      <c r="K712" s="4" t="str">
        <f>HYPERLINK("http://141.218.60.56/~jnz1568/getInfo.php?workbook=16_15.xlsx&amp;sheet=A0&amp;row=712&amp;col=11&amp;number=&amp;sourceID=54","")</f>
        <v/>
      </c>
      <c r="L712" s="4" t="str">
        <f>HYPERLINK("http://141.218.60.56/~jnz1568/getInfo.php?workbook=16_15.xlsx&amp;sheet=A0&amp;row=712&amp;col=12&amp;number=3546.2625557&amp;sourceID=53","3546.2625557")</f>
        <v>3546.2625557</v>
      </c>
      <c r="M712" s="4" t="str">
        <f>HYPERLINK("http://141.218.60.56/~jnz1568/getInfo.php?workbook=16_15.xlsx&amp;sheet=A0&amp;row=712&amp;col=13&amp;number=&amp;sourceID=53","")</f>
        <v/>
      </c>
      <c r="N712" s="4" t="str">
        <f>HYPERLINK("http://141.218.60.56/~jnz1568/getInfo.php?workbook=16_15.xlsx&amp;sheet=A0&amp;row=712&amp;col=14&amp;number=&amp;sourceID=53","")</f>
        <v/>
      </c>
      <c r="O712" s="4" t="str">
        <f>HYPERLINK("http://141.218.60.56/~jnz1568/getInfo.php?workbook=16_15.xlsx&amp;sheet=A0&amp;row=712&amp;col=15&amp;number=&amp;sourceID=55","")</f>
        <v/>
      </c>
      <c r="P712" s="4" t="str">
        <f>HYPERLINK("http://141.218.60.56/~jnz1568/getInfo.php?workbook=16_15.xlsx&amp;sheet=A0&amp;row=712&amp;col=16&amp;number=&amp;sourceID=55","")</f>
        <v/>
      </c>
      <c r="Q712" s="4" t="str">
        <f>HYPERLINK("http://141.218.60.56/~jnz1568/getInfo.php?workbook=16_15.xlsx&amp;sheet=A0&amp;row=712&amp;col=17&amp;number=&amp;sourceID=56","")</f>
        <v/>
      </c>
      <c r="R712" s="4" t="str">
        <f>HYPERLINK("http://141.218.60.56/~jnz1568/getInfo.php?workbook=16_15.xlsx&amp;sheet=A0&amp;row=712&amp;col=18&amp;number=&amp;sourceID=56","")</f>
        <v/>
      </c>
      <c r="S712" s="4" t="str">
        <f>HYPERLINK("http://141.218.60.56/~jnz1568/getInfo.php?workbook=16_15.xlsx&amp;sheet=A0&amp;row=712&amp;col=19&amp;number=&amp;sourceID=57","")</f>
        <v/>
      </c>
      <c r="T712" s="4" t="str">
        <f>HYPERLINK("http://141.218.60.56/~jnz1568/getInfo.php?workbook=16_15.xlsx&amp;sheet=A0&amp;row=712&amp;col=20&amp;number=&amp;sourceID=57","")</f>
        <v/>
      </c>
      <c r="U712" s="4" t="str">
        <f>HYPERLINK("http://141.218.60.56/~jnz1568/getInfo.php?workbook=16_15.xlsx&amp;sheet=A0&amp;row=712&amp;col=21&amp;number=&amp;sourceID=47","")</f>
        <v/>
      </c>
      <c r="V712" s="4" t="str">
        <f>HYPERLINK("http://141.218.60.56/~jnz1568/getInfo.php?workbook=16_15.xlsx&amp;sheet=A0&amp;row=712&amp;col=22&amp;number=&amp;sourceID=47","")</f>
        <v/>
      </c>
    </row>
    <row r="713" spans="1:22">
      <c r="A713" s="3">
        <v>16</v>
      </c>
      <c r="B713" s="3">
        <v>15</v>
      </c>
      <c r="C713" s="3">
        <v>43</v>
      </c>
      <c r="D713" s="3">
        <v>38</v>
      </c>
      <c r="E713" s="3">
        <f>((1/(INDEX(E0!J$4:J$73,C713,1)-INDEX(E0!J$4:J$73,D713,1))))*100000000</f>
        <v>0</v>
      </c>
      <c r="F713" s="4" t="str">
        <f>HYPERLINK("http://141.218.60.56/~jnz1568/getInfo.php?workbook=16_15.xlsx&amp;sheet=A0&amp;row=713&amp;col=6&amp;number=15232&amp;sourceID=54","15232")</f>
        <v>15232</v>
      </c>
      <c r="G713" s="4" t="str">
        <f>HYPERLINK("http://141.218.60.56/~jnz1568/getInfo.php?workbook=16_15.xlsx&amp;sheet=A0&amp;row=713&amp;col=7&amp;number=&amp;sourceID=54","")</f>
        <v/>
      </c>
      <c r="H713" s="4" t="str">
        <f>HYPERLINK("http://141.218.60.56/~jnz1568/getInfo.php?workbook=16_15.xlsx&amp;sheet=A0&amp;row=713&amp;col=8&amp;number=&amp;sourceID=54","")</f>
        <v/>
      </c>
      <c r="I713" s="4" t="str">
        <f>HYPERLINK("http://141.218.60.56/~jnz1568/getInfo.php?workbook=16_15.xlsx&amp;sheet=A0&amp;row=713&amp;col=9&amp;number=2043.3&amp;sourceID=54","2043.3")</f>
        <v>2043.3</v>
      </c>
      <c r="J713" s="4" t="str">
        <f>HYPERLINK("http://141.218.60.56/~jnz1568/getInfo.php?workbook=16_15.xlsx&amp;sheet=A0&amp;row=713&amp;col=10&amp;number=&amp;sourceID=54","")</f>
        <v/>
      </c>
      <c r="K713" s="4" t="str">
        <f>HYPERLINK("http://141.218.60.56/~jnz1568/getInfo.php?workbook=16_15.xlsx&amp;sheet=A0&amp;row=713&amp;col=11&amp;number=&amp;sourceID=54","")</f>
        <v/>
      </c>
      <c r="L713" s="4" t="str">
        <f>HYPERLINK("http://141.218.60.56/~jnz1568/getInfo.php?workbook=16_15.xlsx&amp;sheet=A0&amp;row=713&amp;col=12&amp;number=7438.96849363&amp;sourceID=53","7438.96849363")</f>
        <v>7438.96849363</v>
      </c>
      <c r="M713" s="4" t="str">
        <f>HYPERLINK("http://141.218.60.56/~jnz1568/getInfo.php?workbook=16_15.xlsx&amp;sheet=A0&amp;row=713&amp;col=13&amp;number=&amp;sourceID=53","")</f>
        <v/>
      </c>
      <c r="N713" s="4" t="str">
        <f>HYPERLINK("http://141.218.60.56/~jnz1568/getInfo.php?workbook=16_15.xlsx&amp;sheet=A0&amp;row=713&amp;col=14&amp;number=&amp;sourceID=53","")</f>
        <v/>
      </c>
      <c r="O713" s="4" t="str">
        <f>HYPERLINK("http://141.218.60.56/~jnz1568/getInfo.php?workbook=16_15.xlsx&amp;sheet=A0&amp;row=713&amp;col=15&amp;number=&amp;sourceID=55","")</f>
        <v/>
      </c>
      <c r="P713" s="4" t="str">
        <f>HYPERLINK("http://141.218.60.56/~jnz1568/getInfo.php?workbook=16_15.xlsx&amp;sheet=A0&amp;row=713&amp;col=16&amp;number=&amp;sourceID=55","")</f>
        <v/>
      </c>
      <c r="Q713" s="4" t="str">
        <f>HYPERLINK("http://141.218.60.56/~jnz1568/getInfo.php?workbook=16_15.xlsx&amp;sheet=A0&amp;row=713&amp;col=17&amp;number=&amp;sourceID=56","")</f>
        <v/>
      </c>
      <c r="R713" s="4" t="str">
        <f>HYPERLINK("http://141.218.60.56/~jnz1568/getInfo.php?workbook=16_15.xlsx&amp;sheet=A0&amp;row=713&amp;col=18&amp;number=&amp;sourceID=56","")</f>
        <v/>
      </c>
      <c r="S713" s="4" t="str">
        <f>HYPERLINK("http://141.218.60.56/~jnz1568/getInfo.php?workbook=16_15.xlsx&amp;sheet=A0&amp;row=713&amp;col=19&amp;number=&amp;sourceID=57","")</f>
        <v/>
      </c>
      <c r="T713" s="4" t="str">
        <f>HYPERLINK("http://141.218.60.56/~jnz1568/getInfo.php?workbook=16_15.xlsx&amp;sheet=A0&amp;row=713&amp;col=20&amp;number=&amp;sourceID=57","")</f>
        <v/>
      </c>
      <c r="U713" s="4" t="str">
        <f>HYPERLINK("http://141.218.60.56/~jnz1568/getInfo.php?workbook=16_15.xlsx&amp;sheet=A0&amp;row=713&amp;col=21&amp;number=&amp;sourceID=47","")</f>
        <v/>
      </c>
      <c r="V713" s="4" t="str">
        <f>HYPERLINK("http://141.218.60.56/~jnz1568/getInfo.php?workbook=16_15.xlsx&amp;sheet=A0&amp;row=713&amp;col=22&amp;number=&amp;sourceID=47","")</f>
        <v/>
      </c>
    </row>
    <row r="714" spans="1:22">
      <c r="A714" s="3">
        <v>16</v>
      </c>
      <c r="B714" s="3">
        <v>15</v>
      </c>
      <c r="C714" s="3">
        <v>43</v>
      </c>
      <c r="D714" s="3">
        <v>39</v>
      </c>
      <c r="E714" s="3">
        <f>((1/(INDEX(E0!J$4:J$73,C714,1)-INDEX(E0!J$4:J$73,D714,1))))*100000000</f>
        <v>0</v>
      </c>
      <c r="F714" s="4" t="str">
        <f>HYPERLINK("http://141.218.60.56/~jnz1568/getInfo.php?workbook=16_15.xlsx&amp;sheet=A0&amp;row=714&amp;col=6&amp;number=930.99&amp;sourceID=54","930.99")</f>
        <v>930.99</v>
      </c>
      <c r="G714" s="4" t="str">
        <f>HYPERLINK("http://141.218.60.56/~jnz1568/getInfo.php?workbook=16_15.xlsx&amp;sheet=A0&amp;row=714&amp;col=7&amp;number=&amp;sourceID=54","")</f>
        <v/>
      </c>
      <c r="H714" s="4" t="str">
        <f>HYPERLINK("http://141.218.60.56/~jnz1568/getInfo.php?workbook=16_15.xlsx&amp;sheet=A0&amp;row=714&amp;col=8&amp;number=&amp;sourceID=54","")</f>
        <v/>
      </c>
      <c r="I714" s="4" t="str">
        <f>HYPERLINK("http://141.218.60.56/~jnz1568/getInfo.php?workbook=16_15.xlsx&amp;sheet=A0&amp;row=714&amp;col=9&amp;number=126&amp;sourceID=54","126")</f>
        <v>126</v>
      </c>
      <c r="J714" s="4" t="str">
        <f>HYPERLINK("http://141.218.60.56/~jnz1568/getInfo.php?workbook=16_15.xlsx&amp;sheet=A0&amp;row=714&amp;col=10&amp;number=&amp;sourceID=54","")</f>
        <v/>
      </c>
      <c r="K714" s="4" t="str">
        <f>HYPERLINK("http://141.218.60.56/~jnz1568/getInfo.php?workbook=16_15.xlsx&amp;sheet=A0&amp;row=714&amp;col=11&amp;number=&amp;sourceID=54","")</f>
        <v/>
      </c>
      <c r="L714" s="4" t="str">
        <f>HYPERLINK("http://141.218.60.56/~jnz1568/getInfo.php?workbook=16_15.xlsx&amp;sheet=A0&amp;row=714&amp;col=12&amp;number=696.083012838&amp;sourceID=53","696.083012838")</f>
        <v>696.083012838</v>
      </c>
      <c r="M714" s="4" t="str">
        <f>HYPERLINK("http://141.218.60.56/~jnz1568/getInfo.php?workbook=16_15.xlsx&amp;sheet=A0&amp;row=714&amp;col=13&amp;number=&amp;sourceID=53","")</f>
        <v/>
      </c>
      <c r="N714" s="4" t="str">
        <f>HYPERLINK("http://141.218.60.56/~jnz1568/getInfo.php?workbook=16_15.xlsx&amp;sheet=A0&amp;row=714&amp;col=14&amp;number=&amp;sourceID=53","")</f>
        <v/>
      </c>
      <c r="O714" s="4" t="str">
        <f>HYPERLINK("http://141.218.60.56/~jnz1568/getInfo.php?workbook=16_15.xlsx&amp;sheet=A0&amp;row=714&amp;col=15&amp;number=&amp;sourceID=55","")</f>
        <v/>
      </c>
      <c r="P714" s="4" t="str">
        <f>HYPERLINK("http://141.218.60.56/~jnz1568/getInfo.php?workbook=16_15.xlsx&amp;sheet=A0&amp;row=714&amp;col=16&amp;number=&amp;sourceID=55","")</f>
        <v/>
      </c>
      <c r="Q714" s="4" t="str">
        <f>HYPERLINK("http://141.218.60.56/~jnz1568/getInfo.php?workbook=16_15.xlsx&amp;sheet=A0&amp;row=714&amp;col=17&amp;number=&amp;sourceID=56","")</f>
        <v/>
      </c>
      <c r="R714" s="4" t="str">
        <f>HYPERLINK("http://141.218.60.56/~jnz1568/getInfo.php?workbook=16_15.xlsx&amp;sheet=A0&amp;row=714&amp;col=18&amp;number=&amp;sourceID=56","")</f>
        <v/>
      </c>
      <c r="S714" s="4" t="str">
        <f>HYPERLINK("http://141.218.60.56/~jnz1568/getInfo.php?workbook=16_15.xlsx&amp;sheet=A0&amp;row=714&amp;col=19&amp;number=&amp;sourceID=57","")</f>
        <v/>
      </c>
      <c r="T714" s="4" t="str">
        <f>HYPERLINK("http://141.218.60.56/~jnz1568/getInfo.php?workbook=16_15.xlsx&amp;sheet=A0&amp;row=714&amp;col=20&amp;number=&amp;sourceID=57","")</f>
        <v/>
      </c>
      <c r="U714" s="4" t="str">
        <f>HYPERLINK("http://141.218.60.56/~jnz1568/getInfo.php?workbook=16_15.xlsx&amp;sheet=A0&amp;row=714&amp;col=21&amp;number=&amp;sourceID=47","")</f>
        <v/>
      </c>
      <c r="V714" s="4" t="str">
        <f>HYPERLINK("http://141.218.60.56/~jnz1568/getInfo.php?workbook=16_15.xlsx&amp;sheet=A0&amp;row=714&amp;col=22&amp;number=&amp;sourceID=47","")</f>
        <v/>
      </c>
    </row>
    <row r="715" spans="1:22">
      <c r="A715" s="3">
        <v>16</v>
      </c>
      <c r="B715" s="3">
        <v>15</v>
      </c>
      <c r="C715" s="3">
        <v>43</v>
      </c>
      <c r="D715" s="3">
        <v>40</v>
      </c>
      <c r="E715" s="3">
        <f>((1/(INDEX(E0!J$4:J$73,C715,1)-INDEX(E0!J$4:J$73,D715,1))))*100000000</f>
        <v>0</v>
      </c>
      <c r="F715" s="4" t="str">
        <f>HYPERLINK("http://141.218.60.56/~jnz1568/getInfo.php?workbook=16_15.xlsx&amp;sheet=A0&amp;row=715&amp;col=6&amp;number=9543.7&amp;sourceID=54","9543.7")</f>
        <v>9543.7</v>
      </c>
      <c r="G715" s="4" t="str">
        <f>HYPERLINK("http://141.218.60.56/~jnz1568/getInfo.php?workbook=16_15.xlsx&amp;sheet=A0&amp;row=715&amp;col=7&amp;number=&amp;sourceID=54","")</f>
        <v/>
      </c>
      <c r="H715" s="4" t="str">
        <f>HYPERLINK("http://141.218.60.56/~jnz1568/getInfo.php?workbook=16_15.xlsx&amp;sheet=A0&amp;row=715&amp;col=8&amp;number=&amp;sourceID=54","")</f>
        <v/>
      </c>
      <c r="I715" s="4" t="str">
        <f>HYPERLINK("http://141.218.60.56/~jnz1568/getInfo.php?workbook=16_15.xlsx&amp;sheet=A0&amp;row=715&amp;col=9&amp;number=682.7&amp;sourceID=54","682.7")</f>
        <v>682.7</v>
      </c>
      <c r="J715" s="4" t="str">
        <f>HYPERLINK("http://141.218.60.56/~jnz1568/getInfo.php?workbook=16_15.xlsx&amp;sheet=A0&amp;row=715&amp;col=10&amp;number=&amp;sourceID=54","")</f>
        <v/>
      </c>
      <c r="K715" s="4" t="str">
        <f>HYPERLINK("http://141.218.60.56/~jnz1568/getInfo.php?workbook=16_15.xlsx&amp;sheet=A0&amp;row=715&amp;col=11&amp;number=&amp;sourceID=54","")</f>
        <v/>
      </c>
      <c r="L715" s="4" t="str">
        <f>HYPERLINK("http://141.218.60.56/~jnz1568/getInfo.php?workbook=16_15.xlsx&amp;sheet=A0&amp;row=715&amp;col=12&amp;number=3593.19577058&amp;sourceID=53","3593.19577058")</f>
        <v>3593.19577058</v>
      </c>
      <c r="M715" s="4" t="str">
        <f>HYPERLINK("http://141.218.60.56/~jnz1568/getInfo.php?workbook=16_15.xlsx&amp;sheet=A0&amp;row=715&amp;col=13&amp;number=&amp;sourceID=53","")</f>
        <v/>
      </c>
      <c r="N715" s="4" t="str">
        <f>HYPERLINK("http://141.218.60.56/~jnz1568/getInfo.php?workbook=16_15.xlsx&amp;sheet=A0&amp;row=715&amp;col=14&amp;number=&amp;sourceID=53","")</f>
        <v/>
      </c>
      <c r="O715" s="4" t="str">
        <f>HYPERLINK("http://141.218.60.56/~jnz1568/getInfo.php?workbook=16_15.xlsx&amp;sheet=A0&amp;row=715&amp;col=15&amp;number=&amp;sourceID=55","")</f>
        <v/>
      </c>
      <c r="P715" s="4" t="str">
        <f>HYPERLINK("http://141.218.60.56/~jnz1568/getInfo.php?workbook=16_15.xlsx&amp;sheet=A0&amp;row=715&amp;col=16&amp;number=&amp;sourceID=55","")</f>
        <v/>
      </c>
      <c r="Q715" s="4" t="str">
        <f>HYPERLINK("http://141.218.60.56/~jnz1568/getInfo.php?workbook=16_15.xlsx&amp;sheet=A0&amp;row=715&amp;col=17&amp;number=&amp;sourceID=56","")</f>
        <v/>
      </c>
      <c r="R715" s="4" t="str">
        <f>HYPERLINK("http://141.218.60.56/~jnz1568/getInfo.php?workbook=16_15.xlsx&amp;sheet=A0&amp;row=715&amp;col=18&amp;number=&amp;sourceID=56","")</f>
        <v/>
      </c>
      <c r="S715" s="4" t="str">
        <f>HYPERLINK("http://141.218.60.56/~jnz1568/getInfo.php?workbook=16_15.xlsx&amp;sheet=A0&amp;row=715&amp;col=19&amp;number=&amp;sourceID=57","")</f>
        <v/>
      </c>
      <c r="T715" s="4" t="str">
        <f>HYPERLINK("http://141.218.60.56/~jnz1568/getInfo.php?workbook=16_15.xlsx&amp;sheet=A0&amp;row=715&amp;col=20&amp;number=&amp;sourceID=57","")</f>
        <v/>
      </c>
      <c r="U715" s="4" t="str">
        <f>HYPERLINK("http://141.218.60.56/~jnz1568/getInfo.php?workbook=16_15.xlsx&amp;sheet=A0&amp;row=715&amp;col=21&amp;number=&amp;sourceID=47","")</f>
        <v/>
      </c>
      <c r="V715" s="4" t="str">
        <f>HYPERLINK("http://141.218.60.56/~jnz1568/getInfo.php?workbook=16_15.xlsx&amp;sheet=A0&amp;row=715&amp;col=22&amp;number=&amp;sourceID=47","")</f>
        <v/>
      </c>
    </row>
    <row r="716" spans="1:22">
      <c r="A716" s="3">
        <v>16</v>
      </c>
      <c r="B716" s="3">
        <v>15</v>
      </c>
      <c r="C716" s="3">
        <v>43</v>
      </c>
      <c r="D716" s="3">
        <v>41</v>
      </c>
      <c r="E716" s="3">
        <f>((1/(INDEX(E0!J$4:J$73,C716,1)-INDEX(E0!J$4:J$73,D716,1))))*100000000</f>
        <v>0</v>
      </c>
      <c r="F716" s="4" t="str">
        <f>HYPERLINK("http://141.218.60.56/~jnz1568/getInfo.php?workbook=16_15.xlsx&amp;sheet=A0&amp;row=716&amp;col=6&amp;number=&amp;sourceID=54","")</f>
        <v/>
      </c>
      <c r="G716" s="4" t="str">
        <f>HYPERLINK("http://141.218.60.56/~jnz1568/getInfo.php?workbook=16_15.xlsx&amp;sheet=A0&amp;row=716&amp;col=7&amp;number=2.7808e-10&amp;sourceID=54","2.7808e-10")</f>
        <v>2.7808e-10</v>
      </c>
      <c r="H716" s="4" t="str">
        <f>HYPERLINK("http://141.218.60.56/~jnz1568/getInfo.php?workbook=16_15.xlsx&amp;sheet=A0&amp;row=716&amp;col=8&amp;number=0.00017259&amp;sourceID=54","0.00017259")</f>
        <v>0.00017259</v>
      </c>
      <c r="I716" s="4" t="str">
        <f>HYPERLINK("http://141.218.60.56/~jnz1568/getInfo.php?workbook=16_15.xlsx&amp;sheet=A0&amp;row=716&amp;col=9&amp;number=&amp;sourceID=54","")</f>
        <v/>
      </c>
      <c r="J716" s="4" t="str">
        <f>HYPERLINK("http://141.218.60.56/~jnz1568/getInfo.php?workbook=16_15.xlsx&amp;sheet=A0&amp;row=716&amp;col=10&amp;number=2.8245e-10&amp;sourceID=54","2.8245e-10")</f>
        <v>2.8245e-10</v>
      </c>
      <c r="K716" s="4" t="str">
        <f>HYPERLINK("http://141.218.60.56/~jnz1568/getInfo.php?workbook=16_15.xlsx&amp;sheet=A0&amp;row=716&amp;col=11&amp;number=0.0001743&amp;sourceID=54","0.0001743")</f>
        <v>0.0001743</v>
      </c>
      <c r="L716" s="4" t="str">
        <f>HYPERLINK("http://141.218.60.56/~jnz1568/getInfo.php?workbook=16_15.xlsx&amp;sheet=A0&amp;row=716&amp;col=12&amp;number=&amp;sourceID=53","")</f>
        <v/>
      </c>
      <c r="M716" s="4" t="str">
        <f>HYPERLINK("http://141.218.60.56/~jnz1568/getInfo.php?workbook=16_15.xlsx&amp;sheet=A0&amp;row=716&amp;col=13&amp;number=&amp;sourceID=53","")</f>
        <v/>
      </c>
      <c r="N716" s="4" t="str">
        <f>HYPERLINK("http://141.218.60.56/~jnz1568/getInfo.php?workbook=16_15.xlsx&amp;sheet=A0&amp;row=716&amp;col=14&amp;number=&amp;sourceID=53","")</f>
        <v/>
      </c>
      <c r="O716" s="4" t="str">
        <f>HYPERLINK("http://141.218.60.56/~jnz1568/getInfo.php?workbook=16_15.xlsx&amp;sheet=A0&amp;row=716&amp;col=15&amp;number=&amp;sourceID=55","")</f>
        <v/>
      </c>
      <c r="P716" s="4" t="str">
        <f>HYPERLINK("http://141.218.60.56/~jnz1568/getInfo.php?workbook=16_15.xlsx&amp;sheet=A0&amp;row=716&amp;col=16&amp;number=&amp;sourceID=55","")</f>
        <v/>
      </c>
      <c r="Q716" s="4" t="str">
        <f>HYPERLINK("http://141.218.60.56/~jnz1568/getInfo.php?workbook=16_15.xlsx&amp;sheet=A0&amp;row=716&amp;col=17&amp;number=&amp;sourceID=56","")</f>
        <v/>
      </c>
      <c r="R716" s="4" t="str">
        <f>HYPERLINK("http://141.218.60.56/~jnz1568/getInfo.php?workbook=16_15.xlsx&amp;sheet=A0&amp;row=716&amp;col=18&amp;number=&amp;sourceID=56","")</f>
        <v/>
      </c>
      <c r="S716" s="4" t="str">
        <f>HYPERLINK("http://141.218.60.56/~jnz1568/getInfo.php?workbook=16_15.xlsx&amp;sheet=A0&amp;row=716&amp;col=19&amp;number=&amp;sourceID=57","")</f>
        <v/>
      </c>
      <c r="T716" s="4" t="str">
        <f>HYPERLINK("http://141.218.60.56/~jnz1568/getInfo.php?workbook=16_15.xlsx&amp;sheet=A0&amp;row=716&amp;col=20&amp;number=&amp;sourceID=57","")</f>
        <v/>
      </c>
      <c r="U716" s="4" t="str">
        <f>HYPERLINK("http://141.218.60.56/~jnz1568/getInfo.php?workbook=16_15.xlsx&amp;sheet=A0&amp;row=716&amp;col=21&amp;number=&amp;sourceID=47","")</f>
        <v/>
      </c>
      <c r="V716" s="4" t="str">
        <f>HYPERLINK("http://141.218.60.56/~jnz1568/getInfo.php?workbook=16_15.xlsx&amp;sheet=A0&amp;row=716&amp;col=22&amp;number=&amp;sourceID=47","")</f>
        <v/>
      </c>
    </row>
    <row r="717" spans="1:22">
      <c r="A717" s="3">
        <v>16</v>
      </c>
      <c r="B717" s="3">
        <v>15</v>
      </c>
      <c r="C717" s="3">
        <v>43</v>
      </c>
      <c r="D717" s="3">
        <v>42</v>
      </c>
      <c r="E717" s="3">
        <f>((1/(INDEX(E0!J$4:J$73,C717,1)-INDEX(E0!J$4:J$73,D717,1))))*100000000</f>
        <v>0</v>
      </c>
      <c r="F717" s="4" t="str">
        <f>HYPERLINK("http://141.218.60.56/~jnz1568/getInfo.php?workbook=16_15.xlsx&amp;sheet=A0&amp;row=717&amp;col=6&amp;number=13.939&amp;sourceID=54","13.939")</f>
        <v>13.939</v>
      </c>
      <c r="G717" s="4" t="str">
        <f>HYPERLINK("http://141.218.60.56/~jnz1568/getInfo.php?workbook=16_15.xlsx&amp;sheet=A0&amp;row=717&amp;col=7&amp;number=&amp;sourceID=54","")</f>
        <v/>
      </c>
      <c r="H717" s="4" t="str">
        <f>HYPERLINK("http://141.218.60.56/~jnz1568/getInfo.php?workbook=16_15.xlsx&amp;sheet=A0&amp;row=717&amp;col=8&amp;number=&amp;sourceID=54","")</f>
        <v/>
      </c>
      <c r="I717" s="4" t="str">
        <f>HYPERLINK("http://141.218.60.56/~jnz1568/getInfo.php?workbook=16_15.xlsx&amp;sheet=A0&amp;row=717&amp;col=9&amp;number=0.0012601&amp;sourceID=54","0.0012601")</f>
        <v>0.0012601</v>
      </c>
      <c r="J717" s="4" t="str">
        <f>HYPERLINK("http://141.218.60.56/~jnz1568/getInfo.php?workbook=16_15.xlsx&amp;sheet=A0&amp;row=717&amp;col=10&amp;number=&amp;sourceID=54","")</f>
        <v/>
      </c>
      <c r="K717" s="4" t="str">
        <f>HYPERLINK("http://141.218.60.56/~jnz1568/getInfo.php?workbook=16_15.xlsx&amp;sheet=A0&amp;row=717&amp;col=11&amp;number=&amp;sourceID=54","")</f>
        <v/>
      </c>
      <c r="L717" s="4" t="str">
        <f>HYPERLINK("http://141.218.60.56/~jnz1568/getInfo.php?workbook=16_15.xlsx&amp;sheet=A0&amp;row=717&amp;col=12&amp;number=0.161835742648&amp;sourceID=53","0.161835742648")</f>
        <v>0.161835742648</v>
      </c>
      <c r="M717" s="4" t="str">
        <f>HYPERLINK("http://141.218.60.56/~jnz1568/getInfo.php?workbook=16_15.xlsx&amp;sheet=A0&amp;row=717&amp;col=13&amp;number=&amp;sourceID=53","")</f>
        <v/>
      </c>
      <c r="N717" s="4" t="str">
        <f>HYPERLINK("http://141.218.60.56/~jnz1568/getInfo.php?workbook=16_15.xlsx&amp;sheet=A0&amp;row=717&amp;col=14&amp;number=&amp;sourceID=53","")</f>
        <v/>
      </c>
      <c r="O717" s="4" t="str">
        <f>HYPERLINK("http://141.218.60.56/~jnz1568/getInfo.php?workbook=16_15.xlsx&amp;sheet=A0&amp;row=717&amp;col=15&amp;number=&amp;sourceID=55","")</f>
        <v/>
      </c>
      <c r="P717" s="4" t="str">
        <f>HYPERLINK("http://141.218.60.56/~jnz1568/getInfo.php?workbook=16_15.xlsx&amp;sheet=A0&amp;row=717&amp;col=16&amp;number=&amp;sourceID=55","")</f>
        <v/>
      </c>
      <c r="Q717" s="4" t="str">
        <f>HYPERLINK("http://141.218.60.56/~jnz1568/getInfo.php?workbook=16_15.xlsx&amp;sheet=A0&amp;row=717&amp;col=17&amp;number=&amp;sourceID=56","")</f>
        <v/>
      </c>
      <c r="R717" s="4" t="str">
        <f>HYPERLINK("http://141.218.60.56/~jnz1568/getInfo.php?workbook=16_15.xlsx&amp;sheet=A0&amp;row=717&amp;col=18&amp;number=&amp;sourceID=56","")</f>
        <v/>
      </c>
      <c r="S717" s="4" t="str">
        <f>HYPERLINK("http://141.218.60.56/~jnz1568/getInfo.php?workbook=16_15.xlsx&amp;sheet=A0&amp;row=717&amp;col=19&amp;number=&amp;sourceID=57","")</f>
        <v/>
      </c>
      <c r="T717" s="4" t="str">
        <f>HYPERLINK("http://141.218.60.56/~jnz1568/getInfo.php?workbook=16_15.xlsx&amp;sheet=A0&amp;row=717&amp;col=20&amp;number=&amp;sourceID=57","")</f>
        <v/>
      </c>
      <c r="U717" s="4" t="str">
        <f>HYPERLINK("http://141.218.60.56/~jnz1568/getInfo.php?workbook=16_15.xlsx&amp;sheet=A0&amp;row=717&amp;col=21&amp;number=&amp;sourceID=47","")</f>
        <v/>
      </c>
      <c r="V717" s="4" t="str">
        <f>HYPERLINK("http://141.218.60.56/~jnz1568/getInfo.php?workbook=16_15.xlsx&amp;sheet=A0&amp;row=717&amp;col=22&amp;number=&amp;sourceID=47","")</f>
        <v/>
      </c>
    </row>
    <row r="718" spans="1:22">
      <c r="A718" s="3">
        <v>16</v>
      </c>
      <c r="B718" s="3">
        <v>15</v>
      </c>
      <c r="C718" s="3">
        <v>44</v>
      </c>
      <c r="D718" s="3">
        <v>1</v>
      </c>
      <c r="E718" s="3">
        <f>((1/(INDEX(E0!J$4:J$73,C718,1)-INDEX(E0!J$4:J$73,D718,1))))*100000000</f>
        <v>0</v>
      </c>
      <c r="F718" s="4" t="str">
        <f>HYPERLINK("http://141.218.60.56/~jnz1568/getInfo.php?workbook=16_15.xlsx&amp;sheet=A0&amp;row=718&amp;col=6&amp;number=9694400000&amp;sourceID=54","9694400000")</f>
        <v>9694400000</v>
      </c>
      <c r="G718" s="4" t="str">
        <f>HYPERLINK("http://141.218.60.56/~jnz1568/getInfo.php?workbook=16_15.xlsx&amp;sheet=A0&amp;row=718&amp;col=7&amp;number=&amp;sourceID=54","")</f>
        <v/>
      </c>
      <c r="H718" s="4" t="str">
        <f>HYPERLINK("http://141.218.60.56/~jnz1568/getInfo.php?workbook=16_15.xlsx&amp;sheet=A0&amp;row=718&amp;col=8&amp;number=&amp;sourceID=54","")</f>
        <v/>
      </c>
      <c r="I718" s="4" t="str">
        <f>HYPERLINK("http://141.218.60.56/~jnz1568/getInfo.php?workbook=16_15.xlsx&amp;sheet=A0&amp;row=718&amp;col=9&amp;number=9585200000&amp;sourceID=54","9585200000")</f>
        <v>9585200000</v>
      </c>
      <c r="J718" s="4" t="str">
        <f>HYPERLINK("http://141.218.60.56/~jnz1568/getInfo.php?workbook=16_15.xlsx&amp;sheet=A0&amp;row=718&amp;col=10&amp;number=&amp;sourceID=54","")</f>
        <v/>
      </c>
      <c r="K718" s="4" t="str">
        <f>HYPERLINK("http://141.218.60.56/~jnz1568/getInfo.php?workbook=16_15.xlsx&amp;sheet=A0&amp;row=718&amp;col=11&amp;number=&amp;sourceID=54","")</f>
        <v/>
      </c>
      <c r="L718" s="4" t="str">
        <f>HYPERLINK("http://141.218.60.56/~jnz1568/getInfo.php?workbook=16_15.xlsx&amp;sheet=A0&amp;row=718&amp;col=12&amp;number=8780715648.25&amp;sourceID=53","8780715648.25")</f>
        <v>8780715648.25</v>
      </c>
      <c r="M718" s="4" t="str">
        <f>HYPERLINK("http://141.218.60.56/~jnz1568/getInfo.php?workbook=16_15.xlsx&amp;sheet=A0&amp;row=718&amp;col=13&amp;number=&amp;sourceID=53","")</f>
        <v/>
      </c>
      <c r="N718" s="4" t="str">
        <f>HYPERLINK("http://141.218.60.56/~jnz1568/getInfo.php?workbook=16_15.xlsx&amp;sheet=A0&amp;row=718&amp;col=14&amp;number=&amp;sourceID=53","")</f>
        <v/>
      </c>
      <c r="O718" s="4" t="str">
        <f>HYPERLINK("http://141.218.60.56/~jnz1568/getInfo.php?workbook=16_15.xlsx&amp;sheet=A0&amp;row=718&amp;col=15&amp;number=&amp;sourceID=55","")</f>
        <v/>
      </c>
      <c r="P718" s="4" t="str">
        <f>HYPERLINK("http://141.218.60.56/~jnz1568/getInfo.php?workbook=16_15.xlsx&amp;sheet=A0&amp;row=718&amp;col=16&amp;number=&amp;sourceID=55","")</f>
        <v/>
      </c>
      <c r="Q718" s="4" t="str">
        <f>HYPERLINK("http://141.218.60.56/~jnz1568/getInfo.php?workbook=16_15.xlsx&amp;sheet=A0&amp;row=718&amp;col=17&amp;number=&amp;sourceID=56","")</f>
        <v/>
      </c>
      <c r="R718" s="4" t="str">
        <f>HYPERLINK("http://141.218.60.56/~jnz1568/getInfo.php?workbook=16_15.xlsx&amp;sheet=A0&amp;row=718&amp;col=18&amp;number=&amp;sourceID=56","")</f>
        <v/>
      </c>
      <c r="S718" s="4" t="str">
        <f>HYPERLINK("http://141.218.60.56/~jnz1568/getInfo.php?workbook=16_15.xlsx&amp;sheet=A0&amp;row=718&amp;col=19&amp;number=&amp;sourceID=57","")</f>
        <v/>
      </c>
      <c r="T718" s="4" t="str">
        <f>HYPERLINK("http://141.218.60.56/~jnz1568/getInfo.php?workbook=16_15.xlsx&amp;sheet=A0&amp;row=718&amp;col=20&amp;number=&amp;sourceID=57","")</f>
        <v/>
      </c>
      <c r="U718" s="4" t="str">
        <f>HYPERLINK("http://141.218.60.56/~jnz1568/getInfo.php?workbook=16_15.xlsx&amp;sheet=A0&amp;row=718&amp;col=21&amp;number=&amp;sourceID=47","")</f>
        <v/>
      </c>
      <c r="V718" s="4" t="str">
        <f>HYPERLINK("http://141.218.60.56/~jnz1568/getInfo.php?workbook=16_15.xlsx&amp;sheet=A0&amp;row=718&amp;col=22&amp;number=&amp;sourceID=47","")</f>
        <v/>
      </c>
    </row>
    <row r="719" spans="1:22">
      <c r="A719" s="3">
        <v>16</v>
      </c>
      <c r="B719" s="3">
        <v>15</v>
      </c>
      <c r="C719" s="3">
        <v>44</v>
      </c>
      <c r="D719" s="3">
        <v>2</v>
      </c>
      <c r="E719" s="3">
        <f>((1/(INDEX(E0!J$4:J$73,C719,1)-INDEX(E0!J$4:J$73,D719,1))))*100000000</f>
        <v>0</v>
      </c>
      <c r="F719" s="4" t="str">
        <f>HYPERLINK("http://141.218.60.56/~jnz1568/getInfo.php?workbook=16_15.xlsx&amp;sheet=A0&amp;row=719&amp;col=6&amp;number=330370&amp;sourceID=54","330370")</f>
        <v>330370</v>
      </c>
      <c r="G719" s="4" t="str">
        <f>HYPERLINK("http://141.218.60.56/~jnz1568/getInfo.php?workbook=16_15.xlsx&amp;sheet=A0&amp;row=719&amp;col=7&amp;number=&amp;sourceID=54","")</f>
        <v/>
      </c>
      <c r="H719" s="4" t="str">
        <f>HYPERLINK("http://141.218.60.56/~jnz1568/getInfo.php?workbook=16_15.xlsx&amp;sheet=A0&amp;row=719&amp;col=8&amp;number=&amp;sourceID=54","")</f>
        <v/>
      </c>
      <c r="I719" s="4" t="str">
        <f>HYPERLINK("http://141.218.60.56/~jnz1568/getInfo.php?workbook=16_15.xlsx&amp;sheet=A0&amp;row=719&amp;col=9&amp;number=250240&amp;sourceID=54","250240")</f>
        <v>250240</v>
      </c>
      <c r="J719" s="4" t="str">
        <f>HYPERLINK("http://141.218.60.56/~jnz1568/getInfo.php?workbook=16_15.xlsx&amp;sheet=A0&amp;row=719&amp;col=10&amp;number=&amp;sourceID=54","")</f>
        <v/>
      </c>
      <c r="K719" s="4" t="str">
        <f>HYPERLINK("http://141.218.60.56/~jnz1568/getInfo.php?workbook=16_15.xlsx&amp;sheet=A0&amp;row=719&amp;col=11&amp;number=&amp;sourceID=54","")</f>
        <v/>
      </c>
      <c r="L719" s="4" t="str">
        <f>HYPERLINK("http://141.218.60.56/~jnz1568/getInfo.php?workbook=16_15.xlsx&amp;sheet=A0&amp;row=719&amp;col=12&amp;number=424837.858511&amp;sourceID=53","424837.858511")</f>
        <v>424837.858511</v>
      </c>
      <c r="M719" s="4" t="str">
        <f>HYPERLINK("http://141.218.60.56/~jnz1568/getInfo.php?workbook=16_15.xlsx&amp;sheet=A0&amp;row=719&amp;col=13&amp;number=&amp;sourceID=53","")</f>
        <v/>
      </c>
      <c r="N719" s="4" t="str">
        <f>HYPERLINK("http://141.218.60.56/~jnz1568/getInfo.php?workbook=16_15.xlsx&amp;sheet=A0&amp;row=719&amp;col=14&amp;number=&amp;sourceID=53","")</f>
        <v/>
      </c>
      <c r="O719" s="4" t="str">
        <f>HYPERLINK("http://141.218.60.56/~jnz1568/getInfo.php?workbook=16_15.xlsx&amp;sheet=A0&amp;row=719&amp;col=15&amp;number=&amp;sourceID=55","")</f>
        <v/>
      </c>
      <c r="P719" s="4" t="str">
        <f>HYPERLINK("http://141.218.60.56/~jnz1568/getInfo.php?workbook=16_15.xlsx&amp;sheet=A0&amp;row=719&amp;col=16&amp;number=&amp;sourceID=55","")</f>
        <v/>
      </c>
      <c r="Q719" s="4" t="str">
        <f>HYPERLINK("http://141.218.60.56/~jnz1568/getInfo.php?workbook=16_15.xlsx&amp;sheet=A0&amp;row=719&amp;col=17&amp;number=&amp;sourceID=56","")</f>
        <v/>
      </c>
      <c r="R719" s="4" t="str">
        <f>HYPERLINK("http://141.218.60.56/~jnz1568/getInfo.php?workbook=16_15.xlsx&amp;sheet=A0&amp;row=719&amp;col=18&amp;number=&amp;sourceID=56","")</f>
        <v/>
      </c>
      <c r="S719" s="4" t="str">
        <f>HYPERLINK("http://141.218.60.56/~jnz1568/getInfo.php?workbook=16_15.xlsx&amp;sheet=A0&amp;row=719&amp;col=19&amp;number=&amp;sourceID=57","")</f>
        <v/>
      </c>
      <c r="T719" s="4" t="str">
        <f>HYPERLINK("http://141.218.60.56/~jnz1568/getInfo.php?workbook=16_15.xlsx&amp;sheet=A0&amp;row=719&amp;col=20&amp;number=&amp;sourceID=57","")</f>
        <v/>
      </c>
      <c r="U719" s="4" t="str">
        <f>HYPERLINK("http://141.218.60.56/~jnz1568/getInfo.php?workbook=16_15.xlsx&amp;sheet=A0&amp;row=719&amp;col=21&amp;number=&amp;sourceID=47","")</f>
        <v/>
      </c>
      <c r="V719" s="4" t="str">
        <f>HYPERLINK("http://141.218.60.56/~jnz1568/getInfo.php?workbook=16_15.xlsx&amp;sheet=A0&amp;row=719&amp;col=22&amp;number=&amp;sourceID=47","")</f>
        <v/>
      </c>
    </row>
    <row r="720" spans="1:22">
      <c r="A720" s="3">
        <v>16</v>
      </c>
      <c r="B720" s="3">
        <v>15</v>
      </c>
      <c r="C720" s="3">
        <v>44</v>
      </c>
      <c r="D720" s="3">
        <v>4</v>
      </c>
      <c r="E720" s="3">
        <f>((1/(INDEX(E0!J$4:J$73,C720,1)-INDEX(E0!J$4:J$73,D720,1))))*100000000</f>
        <v>0</v>
      </c>
      <c r="F720" s="4" t="str">
        <f>HYPERLINK("http://141.218.60.56/~jnz1568/getInfo.php?workbook=16_15.xlsx&amp;sheet=A0&amp;row=720&amp;col=6&amp;number=66.585&amp;sourceID=54","66.585")</f>
        <v>66.585</v>
      </c>
      <c r="G720" s="4" t="str">
        <f>HYPERLINK("http://141.218.60.56/~jnz1568/getInfo.php?workbook=16_15.xlsx&amp;sheet=A0&amp;row=720&amp;col=7&amp;number=&amp;sourceID=54","")</f>
        <v/>
      </c>
      <c r="H720" s="4" t="str">
        <f>HYPERLINK("http://141.218.60.56/~jnz1568/getInfo.php?workbook=16_15.xlsx&amp;sheet=A0&amp;row=720&amp;col=8&amp;number=&amp;sourceID=54","")</f>
        <v/>
      </c>
      <c r="I720" s="4" t="str">
        <f>HYPERLINK("http://141.218.60.56/~jnz1568/getInfo.php?workbook=16_15.xlsx&amp;sheet=A0&amp;row=720&amp;col=9&amp;number=1276.9&amp;sourceID=54","1276.9")</f>
        <v>1276.9</v>
      </c>
      <c r="J720" s="4" t="str">
        <f>HYPERLINK("http://141.218.60.56/~jnz1568/getInfo.php?workbook=16_15.xlsx&amp;sheet=A0&amp;row=720&amp;col=10&amp;number=&amp;sourceID=54","")</f>
        <v/>
      </c>
      <c r="K720" s="4" t="str">
        <f>HYPERLINK("http://141.218.60.56/~jnz1568/getInfo.php?workbook=16_15.xlsx&amp;sheet=A0&amp;row=720&amp;col=11&amp;number=&amp;sourceID=54","")</f>
        <v/>
      </c>
      <c r="L720" s="4" t="str">
        <f>HYPERLINK("http://141.218.60.56/~jnz1568/getInfo.php?workbook=16_15.xlsx&amp;sheet=A0&amp;row=720&amp;col=12&amp;number=75.4649350908&amp;sourceID=53","75.4649350908")</f>
        <v>75.4649350908</v>
      </c>
      <c r="M720" s="4" t="str">
        <f>HYPERLINK("http://141.218.60.56/~jnz1568/getInfo.php?workbook=16_15.xlsx&amp;sheet=A0&amp;row=720&amp;col=13&amp;number=&amp;sourceID=53","")</f>
        <v/>
      </c>
      <c r="N720" s="4" t="str">
        <f>HYPERLINK("http://141.218.60.56/~jnz1568/getInfo.php?workbook=16_15.xlsx&amp;sheet=A0&amp;row=720&amp;col=14&amp;number=&amp;sourceID=53","")</f>
        <v/>
      </c>
      <c r="O720" s="4" t="str">
        <f>HYPERLINK("http://141.218.60.56/~jnz1568/getInfo.php?workbook=16_15.xlsx&amp;sheet=A0&amp;row=720&amp;col=15&amp;number=&amp;sourceID=55","")</f>
        <v/>
      </c>
      <c r="P720" s="4" t="str">
        <f>HYPERLINK("http://141.218.60.56/~jnz1568/getInfo.php?workbook=16_15.xlsx&amp;sheet=A0&amp;row=720&amp;col=16&amp;number=&amp;sourceID=55","")</f>
        <v/>
      </c>
      <c r="Q720" s="4" t="str">
        <f>HYPERLINK("http://141.218.60.56/~jnz1568/getInfo.php?workbook=16_15.xlsx&amp;sheet=A0&amp;row=720&amp;col=17&amp;number=&amp;sourceID=56","")</f>
        <v/>
      </c>
      <c r="R720" s="4" t="str">
        <f>HYPERLINK("http://141.218.60.56/~jnz1568/getInfo.php?workbook=16_15.xlsx&amp;sheet=A0&amp;row=720&amp;col=18&amp;number=&amp;sourceID=56","")</f>
        <v/>
      </c>
      <c r="S720" s="4" t="str">
        <f>HYPERLINK("http://141.218.60.56/~jnz1568/getInfo.php?workbook=16_15.xlsx&amp;sheet=A0&amp;row=720&amp;col=19&amp;number=&amp;sourceID=57","")</f>
        <v/>
      </c>
      <c r="T720" s="4" t="str">
        <f>HYPERLINK("http://141.218.60.56/~jnz1568/getInfo.php?workbook=16_15.xlsx&amp;sheet=A0&amp;row=720&amp;col=20&amp;number=&amp;sourceID=57","")</f>
        <v/>
      </c>
      <c r="U720" s="4" t="str">
        <f>HYPERLINK("http://141.218.60.56/~jnz1568/getInfo.php?workbook=16_15.xlsx&amp;sheet=A0&amp;row=720&amp;col=21&amp;number=&amp;sourceID=47","")</f>
        <v/>
      </c>
      <c r="V720" s="4" t="str">
        <f>HYPERLINK("http://141.218.60.56/~jnz1568/getInfo.php?workbook=16_15.xlsx&amp;sheet=A0&amp;row=720&amp;col=22&amp;number=&amp;sourceID=47","")</f>
        <v/>
      </c>
    </row>
    <row r="721" spans="1:22">
      <c r="A721" s="3">
        <v>16</v>
      </c>
      <c r="B721" s="3">
        <v>15</v>
      </c>
      <c r="C721" s="3">
        <v>44</v>
      </c>
      <c r="D721" s="3">
        <v>5</v>
      </c>
      <c r="E721" s="3">
        <f>((1/(INDEX(E0!J$4:J$73,C721,1)-INDEX(E0!J$4:J$73,D721,1))))*100000000</f>
        <v>0</v>
      </c>
      <c r="F721" s="4" t="str">
        <f>HYPERLINK("http://141.218.60.56/~jnz1568/getInfo.php?workbook=16_15.xlsx&amp;sheet=A0&amp;row=721&amp;col=6&amp;number=85138&amp;sourceID=54","85138")</f>
        <v>85138</v>
      </c>
      <c r="G721" s="4" t="str">
        <f>HYPERLINK("http://141.218.60.56/~jnz1568/getInfo.php?workbook=16_15.xlsx&amp;sheet=A0&amp;row=721&amp;col=7&amp;number=&amp;sourceID=54","")</f>
        <v/>
      </c>
      <c r="H721" s="4" t="str">
        <f>HYPERLINK("http://141.218.60.56/~jnz1568/getInfo.php?workbook=16_15.xlsx&amp;sheet=A0&amp;row=721&amp;col=8&amp;number=&amp;sourceID=54","")</f>
        <v/>
      </c>
      <c r="I721" s="4" t="str">
        <f>HYPERLINK("http://141.218.60.56/~jnz1568/getInfo.php?workbook=16_15.xlsx&amp;sheet=A0&amp;row=721&amp;col=9&amp;number=34672&amp;sourceID=54","34672")</f>
        <v>34672</v>
      </c>
      <c r="J721" s="4" t="str">
        <f>HYPERLINK("http://141.218.60.56/~jnz1568/getInfo.php?workbook=16_15.xlsx&amp;sheet=A0&amp;row=721&amp;col=10&amp;number=&amp;sourceID=54","")</f>
        <v/>
      </c>
      <c r="K721" s="4" t="str">
        <f>HYPERLINK("http://141.218.60.56/~jnz1568/getInfo.php?workbook=16_15.xlsx&amp;sheet=A0&amp;row=721&amp;col=11&amp;number=&amp;sourceID=54","")</f>
        <v/>
      </c>
      <c r="L721" s="4" t="str">
        <f>HYPERLINK("http://141.218.60.56/~jnz1568/getInfo.php?workbook=16_15.xlsx&amp;sheet=A0&amp;row=721&amp;col=12&amp;number=86219.2369265&amp;sourceID=53","86219.2369265")</f>
        <v>86219.2369265</v>
      </c>
      <c r="M721" s="4" t="str">
        <f>HYPERLINK("http://141.218.60.56/~jnz1568/getInfo.php?workbook=16_15.xlsx&amp;sheet=A0&amp;row=721&amp;col=13&amp;number=&amp;sourceID=53","")</f>
        <v/>
      </c>
      <c r="N721" s="4" t="str">
        <f>HYPERLINK("http://141.218.60.56/~jnz1568/getInfo.php?workbook=16_15.xlsx&amp;sheet=A0&amp;row=721&amp;col=14&amp;number=&amp;sourceID=53","")</f>
        <v/>
      </c>
      <c r="O721" s="4" t="str">
        <f>HYPERLINK("http://141.218.60.56/~jnz1568/getInfo.php?workbook=16_15.xlsx&amp;sheet=A0&amp;row=721&amp;col=15&amp;number=&amp;sourceID=55","")</f>
        <v/>
      </c>
      <c r="P721" s="4" t="str">
        <f>HYPERLINK("http://141.218.60.56/~jnz1568/getInfo.php?workbook=16_15.xlsx&amp;sheet=A0&amp;row=721&amp;col=16&amp;number=&amp;sourceID=55","")</f>
        <v/>
      </c>
      <c r="Q721" s="4" t="str">
        <f>HYPERLINK("http://141.218.60.56/~jnz1568/getInfo.php?workbook=16_15.xlsx&amp;sheet=A0&amp;row=721&amp;col=17&amp;number=&amp;sourceID=56","")</f>
        <v/>
      </c>
      <c r="R721" s="4" t="str">
        <f>HYPERLINK("http://141.218.60.56/~jnz1568/getInfo.php?workbook=16_15.xlsx&amp;sheet=A0&amp;row=721&amp;col=18&amp;number=&amp;sourceID=56","")</f>
        <v/>
      </c>
      <c r="S721" s="4" t="str">
        <f>HYPERLINK("http://141.218.60.56/~jnz1568/getInfo.php?workbook=16_15.xlsx&amp;sheet=A0&amp;row=721&amp;col=19&amp;number=&amp;sourceID=57","")</f>
        <v/>
      </c>
      <c r="T721" s="4" t="str">
        <f>HYPERLINK("http://141.218.60.56/~jnz1568/getInfo.php?workbook=16_15.xlsx&amp;sheet=A0&amp;row=721&amp;col=20&amp;number=&amp;sourceID=57","")</f>
        <v/>
      </c>
      <c r="U721" s="4" t="str">
        <f>HYPERLINK("http://141.218.60.56/~jnz1568/getInfo.php?workbook=16_15.xlsx&amp;sheet=A0&amp;row=721&amp;col=21&amp;number=&amp;sourceID=47","")</f>
        <v/>
      </c>
      <c r="V721" s="4" t="str">
        <f>HYPERLINK("http://141.218.60.56/~jnz1568/getInfo.php?workbook=16_15.xlsx&amp;sheet=A0&amp;row=721&amp;col=22&amp;number=&amp;sourceID=47","")</f>
        <v/>
      </c>
    </row>
    <row r="722" spans="1:22">
      <c r="A722" s="3">
        <v>16</v>
      </c>
      <c r="B722" s="3">
        <v>15</v>
      </c>
      <c r="C722" s="3">
        <v>44</v>
      </c>
      <c r="D722" s="3">
        <v>6</v>
      </c>
      <c r="E722" s="3">
        <f>((1/(INDEX(E0!J$4:J$73,C722,1)-INDEX(E0!J$4:J$73,D722,1))))*100000000</f>
        <v>0</v>
      </c>
      <c r="F722" s="4" t="str">
        <f>HYPERLINK("http://141.218.60.56/~jnz1568/getInfo.php?workbook=16_15.xlsx&amp;sheet=A0&amp;row=722&amp;col=6&amp;number=&amp;sourceID=54","")</f>
        <v/>
      </c>
      <c r="G722" s="4" t="str">
        <f>HYPERLINK("http://141.218.60.56/~jnz1568/getInfo.php?workbook=16_15.xlsx&amp;sheet=A0&amp;row=722&amp;col=7&amp;number=4.1606&amp;sourceID=54","4.1606")</f>
        <v>4.1606</v>
      </c>
      <c r="H722" s="4" t="str">
        <f>HYPERLINK("http://141.218.60.56/~jnz1568/getInfo.php?workbook=16_15.xlsx&amp;sheet=A0&amp;row=722&amp;col=8&amp;number=&amp;sourceID=54","")</f>
        <v/>
      </c>
      <c r="I722" s="4" t="str">
        <f>HYPERLINK("http://141.218.60.56/~jnz1568/getInfo.php?workbook=16_15.xlsx&amp;sheet=A0&amp;row=722&amp;col=9&amp;number=&amp;sourceID=54","")</f>
        <v/>
      </c>
      <c r="J722" s="4" t="str">
        <f>HYPERLINK("http://141.218.60.56/~jnz1568/getInfo.php?workbook=16_15.xlsx&amp;sheet=A0&amp;row=722&amp;col=10&amp;number=3.6318&amp;sourceID=54","3.6318")</f>
        <v>3.6318</v>
      </c>
      <c r="K722" s="4" t="str">
        <f>HYPERLINK("http://141.218.60.56/~jnz1568/getInfo.php?workbook=16_15.xlsx&amp;sheet=A0&amp;row=722&amp;col=11&amp;number=&amp;sourceID=54","")</f>
        <v/>
      </c>
      <c r="L722" s="4" t="str">
        <f>HYPERLINK("http://141.218.60.56/~jnz1568/getInfo.php?workbook=16_15.xlsx&amp;sheet=A0&amp;row=722&amp;col=12&amp;number=&amp;sourceID=53","")</f>
        <v/>
      </c>
      <c r="M722" s="4" t="str">
        <f>HYPERLINK("http://141.218.60.56/~jnz1568/getInfo.php?workbook=16_15.xlsx&amp;sheet=A0&amp;row=722&amp;col=13&amp;number=&amp;sourceID=53","")</f>
        <v/>
      </c>
      <c r="N722" s="4" t="str">
        <f>HYPERLINK("http://141.218.60.56/~jnz1568/getInfo.php?workbook=16_15.xlsx&amp;sheet=A0&amp;row=722&amp;col=14&amp;number=&amp;sourceID=53","")</f>
        <v/>
      </c>
      <c r="O722" s="4" t="str">
        <f>HYPERLINK("http://141.218.60.56/~jnz1568/getInfo.php?workbook=16_15.xlsx&amp;sheet=A0&amp;row=722&amp;col=15&amp;number=&amp;sourceID=55","")</f>
        <v/>
      </c>
      <c r="P722" s="4" t="str">
        <f>HYPERLINK("http://141.218.60.56/~jnz1568/getInfo.php?workbook=16_15.xlsx&amp;sheet=A0&amp;row=722&amp;col=16&amp;number=&amp;sourceID=55","")</f>
        <v/>
      </c>
      <c r="Q722" s="4" t="str">
        <f>HYPERLINK("http://141.218.60.56/~jnz1568/getInfo.php?workbook=16_15.xlsx&amp;sheet=A0&amp;row=722&amp;col=17&amp;number=&amp;sourceID=56","")</f>
        <v/>
      </c>
      <c r="R722" s="4" t="str">
        <f>HYPERLINK("http://141.218.60.56/~jnz1568/getInfo.php?workbook=16_15.xlsx&amp;sheet=A0&amp;row=722&amp;col=18&amp;number=&amp;sourceID=56","")</f>
        <v/>
      </c>
      <c r="S722" s="4" t="str">
        <f>HYPERLINK("http://141.218.60.56/~jnz1568/getInfo.php?workbook=16_15.xlsx&amp;sheet=A0&amp;row=722&amp;col=19&amp;number=&amp;sourceID=57","")</f>
        <v/>
      </c>
      <c r="T722" s="4" t="str">
        <f>HYPERLINK("http://141.218.60.56/~jnz1568/getInfo.php?workbook=16_15.xlsx&amp;sheet=A0&amp;row=722&amp;col=20&amp;number=&amp;sourceID=57","")</f>
        <v/>
      </c>
      <c r="U722" s="4" t="str">
        <f>HYPERLINK("http://141.218.60.56/~jnz1568/getInfo.php?workbook=16_15.xlsx&amp;sheet=A0&amp;row=722&amp;col=21&amp;number=&amp;sourceID=47","")</f>
        <v/>
      </c>
      <c r="V722" s="4" t="str">
        <f>HYPERLINK("http://141.218.60.56/~jnz1568/getInfo.php?workbook=16_15.xlsx&amp;sheet=A0&amp;row=722&amp;col=22&amp;number=&amp;sourceID=47","")</f>
        <v/>
      </c>
    </row>
    <row r="723" spans="1:22">
      <c r="A723" s="3">
        <v>16</v>
      </c>
      <c r="B723" s="3">
        <v>15</v>
      </c>
      <c r="C723" s="3">
        <v>44</v>
      </c>
      <c r="D723" s="3">
        <v>7</v>
      </c>
      <c r="E723" s="3">
        <f>((1/(INDEX(E0!J$4:J$73,C723,1)-INDEX(E0!J$4:J$73,D723,1))))*100000000</f>
        <v>0</v>
      </c>
      <c r="F723" s="4" t="str">
        <f>HYPERLINK("http://141.218.60.56/~jnz1568/getInfo.php?workbook=16_15.xlsx&amp;sheet=A0&amp;row=723&amp;col=6&amp;number=&amp;sourceID=54","")</f>
        <v/>
      </c>
      <c r="G723" s="4" t="str">
        <f>HYPERLINK("http://141.218.60.56/~jnz1568/getInfo.php?workbook=16_15.xlsx&amp;sheet=A0&amp;row=723&amp;col=7&amp;number=0.40388&amp;sourceID=54","0.40388")</f>
        <v>0.40388</v>
      </c>
      <c r="H723" s="4" t="str">
        <f>HYPERLINK("http://141.218.60.56/~jnz1568/getInfo.php?workbook=16_15.xlsx&amp;sheet=A0&amp;row=723&amp;col=8&amp;number=0.30649&amp;sourceID=54","0.30649")</f>
        <v>0.30649</v>
      </c>
      <c r="I723" s="4" t="str">
        <f>HYPERLINK("http://141.218.60.56/~jnz1568/getInfo.php?workbook=16_15.xlsx&amp;sheet=A0&amp;row=723&amp;col=9&amp;number=&amp;sourceID=54","")</f>
        <v/>
      </c>
      <c r="J723" s="4" t="str">
        <f>HYPERLINK("http://141.218.60.56/~jnz1568/getInfo.php?workbook=16_15.xlsx&amp;sheet=A0&amp;row=723&amp;col=10&amp;number=0.35053&amp;sourceID=54","0.35053")</f>
        <v>0.35053</v>
      </c>
      <c r="K723" s="4" t="str">
        <f>HYPERLINK("http://141.218.60.56/~jnz1568/getInfo.php?workbook=16_15.xlsx&amp;sheet=A0&amp;row=723&amp;col=11&amp;number=0.28232&amp;sourceID=54","0.28232")</f>
        <v>0.28232</v>
      </c>
      <c r="L723" s="4" t="str">
        <f>HYPERLINK("http://141.218.60.56/~jnz1568/getInfo.php?workbook=16_15.xlsx&amp;sheet=A0&amp;row=723&amp;col=12&amp;number=&amp;sourceID=53","")</f>
        <v/>
      </c>
      <c r="M723" s="4" t="str">
        <f>HYPERLINK("http://141.218.60.56/~jnz1568/getInfo.php?workbook=16_15.xlsx&amp;sheet=A0&amp;row=723&amp;col=13&amp;number=&amp;sourceID=53","")</f>
        <v/>
      </c>
      <c r="N723" s="4" t="str">
        <f>HYPERLINK("http://141.218.60.56/~jnz1568/getInfo.php?workbook=16_15.xlsx&amp;sheet=A0&amp;row=723&amp;col=14&amp;number=&amp;sourceID=53","")</f>
        <v/>
      </c>
      <c r="O723" s="4" t="str">
        <f>HYPERLINK("http://141.218.60.56/~jnz1568/getInfo.php?workbook=16_15.xlsx&amp;sheet=A0&amp;row=723&amp;col=15&amp;number=&amp;sourceID=55","")</f>
        <v/>
      </c>
      <c r="P723" s="4" t="str">
        <f>HYPERLINK("http://141.218.60.56/~jnz1568/getInfo.php?workbook=16_15.xlsx&amp;sheet=A0&amp;row=723&amp;col=16&amp;number=&amp;sourceID=55","")</f>
        <v/>
      </c>
      <c r="Q723" s="4" t="str">
        <f>HYPERLINK("http://141.218.60.56/~jnz1568/getInfo.php?workbook=16_15.xlsx&amp;sheet=A0&amp;row=723&amp;col=17&amp;number=&amp;sourceID=56","")</f>
        <v/>
      </c>
      <c r="R723" s="4" t="str">
        <f>HYPERLINK("http://141.218.60.56/~jnz1568/getInfo.php?workbook=16_15.xlsx&amp;sheet=A0&amp;row=723&amp;col=18&amp;number=&amp;sourceID=56","")</f>
        <v/>
      </c>
      <c r="S723" s="4" t="str">
        <f>HYPERLINK("http://141.218.60.56/~jnz1568/getInfo.php?workbook=16_15.xlsx&amp;sheet=A0&amp;row=723&amp;col=19&amp;number=&amp;sourceID=57","")</f>
        <v/>
      </c>
      <c r="T723" s="4" t="str">
        <f>HYPERLINK("http://141.218.60.56/~jnz1568/getInfo.php?workbook=16_15.xlsx&amp;sheet=A0&amp;row=723&amp;col=20&amp;number=&amp;sourceID=57","")</f>
        <v/>
      </c>
      <c r="U723" s="4" t="str">
        <f>HYPERLINK("http://141.218.60.56/~jnz1568/getInfo.php?workbook=16_15.xlsx&amp;sheet=A0&amp;row=723&amp;col=21&amp;number=&amp;sourceID=47","")</f>
        <v/>
      </c>
      <c r="V723" s="4" t="str">
        <f>HYPERLINK("http://141.218.60.56/~jnz1568/getInfo.php?workbook=16_15.xlsx&amp;sheet=A0&amp;row=723&amp;col=22&amp;number=&amp;sourceID=47","")</f>
        <v/>
      </c>
    </row>
    <row r="724" spans="1:22">
      <c r="A724" s="3">
        <v>16</v>
      </c>
      <c r="B724" s="3">
        <v>15</v>
      </c>
      <c r="C724" s="3">
        <v>44</v>
      </c>
      <c r="D724" s="3">
        <v>8</v>
      </c>
      <c r="E724" s="3">
        <f>((1/(INDEX(E0!J$4:J$73,C724,1)-INDEX(E0!J$4:J$73,D724,1))))*100000000</f>
        <v>0</v>
      </c>
      <c r="F724" s="4" t="str">
        <f>HYPERLINK("http://141.218.60.56/~jnz1568/getInfo.php?workbook=16_15.xlsx&amp;sheet=A0&amp;row=724&amp;col=6&amp;number=&amp;sourceID=54","")</f>
        <v/>
      </c>
      <c r="G724" s="4" t="str">
        <f>HYPERLINK("http://141.218.60.56/~jnz1568/getInfo.php?workbook=16_15.xlsx&amp;sheet=A0&amp;row=724&amp;col=7&amp;number=&amp;sourceID=54","")</f>
        <v/>
      </c>
      <c r="H724" s="4" t="str">
        <f>HYPERLINK("http://141.218.60.56/~jnz1568/getInfo.php?workbook=16_15.xlsx&amp;sheet=A0&amp;row=724&amp;col=8&amp;number=0.87626&amp;sourceID=54","0.87626")</f>
        <v>0.87626</v>
      </c>
      <c r="I724" s="4" t="str">
        <f>HYPERLINK("http://141.218.60.56/~jnz1568/getInfo.php?workbook=16_15.xlsx&amp;sheet=A0&amp;row=724&amp;col=9&amp;number=&amp;sourceID=54","")</f>
        <v/>
      </c>
      <c r="J724" s="4" t="str">
        <f>HYPERLINK("http://141.218.60.56/~jnz1568/getInfo.php?workbook=16_15.xlsx&amp;sheet=A0&amp;row=724&amp;col=10&amp;number=&amp;sourceID=54","")</f>
        <v/>
      </c>
      <c r="K724" s="4" t="str">
        <f>HYPERLINK("http://141.218.60.56/~jnz1568/getInfo.php?workbook=16_15.xlsx&amp;sheet=A0&amp;row=724&amp;col=11&amp;number=0.80681&amp;sourceID=54","0.80681")</f>
        <v>0.80681</v>
      </c>
      <c r="L724" s="4" t="str">
        <f>HYPERLINK("http://141.218.60.56/~jnz1568/getInfo.php?workbook=16_15.xlsx&amp;sheet=A0&amp;row=724&amp;col=12&amp;number=&amp;sourceID=53","")</f>
        <v/>
      </c>
      <c r="M724" s="4" t="str">
        <f>HYPERLINK("http://141.218.60.56/~jnz1568/getInfo.php?workbook=16_15.xlsx&amp;sheet=A0&amp;row=724&amp;col=13&amp;number=&amp;sourceID=53","")</f>
        <v/>
      </c>
      <c r="N724" s="4" t="str">
        <f>HYPERLINK("http://141.218.60.56/~jnz1568/getInfo.php?workbook=16_15.xlsx&amp;sheet=A0&amp;row=724&amp;col=14&amp;number=&amp;sourceID=53","")</f>
        <v/>
      </c>
      <c r="O724" s="4" t="str">
        <f>HYPERLINK("http://141.218.60.56/~jnz1568/getInfo.php?workbook=16_15.xlsx&amp;sheet=A0&amp;row=724&amp;col=15&amp;number=&amp;sourceID=55","")</f>
        <v/>
      </c>
      <c r="P724" s="4" t="str">
        <f>HYPERLINK("http://141.218.60.56/~jnz1568/getInfo.php?workbook=16_15.xlsx&amp;sheet=A0&amp;row=724&amp;col=16&amp;number=&amp;sourceID=55","")</f>
        <v/>
      </c>
      <c r="Q724" s="4" t="str">
        <f>HYPERLINK("http://141.218.60.56/~jnz1568/getInfo.php?workbook=16_15.xlsx&amp;sheet=A0&amp;row=724&amp;col=17&amp;number=&amp;sourceID=56","")</f>
        <v/>
      </c>
      <c r="R724" s="4" t="str">
        <f>HYPERLINK("http://141.218.60.56/~jnz1568/getInfo.php?workbook=16_15.xlsx&amp;sheet=A0&amp;row=724&amp;col=18&amp;number=&amp;sourceID=56","")</f>
        <v/>
      </c>
      <c r="S724" s="4" t="str">
        <f>HYPERLINK("http://141.218.60.56/~jnz1568/getInfo.php?workbook=16_15.xlsx&amp;sheet=A0&amp;row=724&amp;col=19&amp;number=&amp;sourceID=57","")</f>
        <v/>
      </c>
      <c r="T724" s="4" t="str">
        <f>HYPERLINK("http://141.218.60.56/~jnz1568/getInfo.php?workbook=16_15.xlsx&amp;sheet=A0&amp;row=724&amp;col=20&amp;number=&amp;sourceID=57","")</f>
        <v/>
      </c>
      <c r="U724" s="4" t="str">
        <f>HYPERLINK("http://141.218.60.56/~jnz1568/getInfo.php?workbook=16_15.xlsx&amp;sheet=A0&amp;row=724&amp;col=21&amp;number=&amp;sourceID=47","")</f>
        <v/>
      </c>
      <c r="V724" s="4" t="str">
        <f>HYPERLINK("http://141.218.60.56/~jnz1568/getInfo.php?workbook=16_15.xlsx&amp;sheet=A0&amp;row=724&amp;col=22&amp;number=&amp;sourceID=47","")</f>
        <v/>
      </c>
    </row>
    <row r="725" spans="1:22">
      <c r="A725" s="3">
        <v>16</v>
      </c>
      <c r="B725" s="3">
        <v>15</v>
      </c>
      <c r="C725" s="3">
        <v>44</v>
      </c>
      <c r="D725" s="3">
        <v>9</v>
      </c>
      <c r="E725" s="3">
        <f>((1/(INDEX(E0!J$4:J$73,C725,1)-INDEX(E0!J$4:J$73,D725,1))))*100000000</f>
        <v>0</v>
      </c>
      <c r="F725" s="4" t="str">
        <f>HYPERLINK("http://141.218.60.56/~jnz1568/getInfo.php?workbook=16_15.xlsx&amp;sheet=A0&amp;row=725&amp;col=6&amp;number=&amp;sourceID=54","")</f>
        <v/>
      </c>
      <c r="G725" s="4" t="str">
        <f>HYPERLINK("http://141.218.60.56/~jnz1568/getInfo.php?workbook=16_15.xlsx&amp;sheet=A0&amp;row=725&amp;col=7&amp;number=9.3131e-05&amp;sourceID=54","9.3131e-05")</f>
        <v>9.3131e-05</v>
      </c>
      <c r="H725" s="4" t="str">
        <f>HYPERLINK("http://141.218.60.56/~jnz1568/getInfo.php?workbook=16_15.xlsx&amp;sheet=A0&amp;row=725&amp;col=8&amp;number=0.00030363&amp;sourceID=54","0.00030363")</f>
        <v>0.00030363</v>
      </c>
      <c r="I725" s="4" t="str">
        <f>HYPERLINK("http://141.218.60.56/~jnz1568/getInfo.php?workbook=16_15.xlsx&amp;sheet=A0&amp;row=725&amp;col=9&amp;number=&amp;sourceID=54","")</f>
        <v/>
      </c>
      <c r="J725" s="4" t="str">
        <f>HYPERLINK("http://141.218.60.56/~jnz1568/getInfo.php?workbook=16_15.xlsx&amp;sheet=A0&amp;row=725&amp;col=10&amp;number=7.7298e-05&amp;sourceID=54","7.7298e-05")</f>
        <v>7.7298e-05</v>
      </c>
      <c r="K725" s="4" t="str">
        <f>HYPERLINK("http://141.218.60.56/~jnz1568/getInfo.php?workbook=16_15.xlsx&amp;sheet=A0&amp;row=725&amp;col=11&amp;number=0.00027256&amp;sourceID=54","0.00027256")</f>
        <v>0.00027256</v>
      </c>
      <c r="L725" s="4" t="str">
        <f>HYPERLINK("http://141.218.60.56/~jnz1568/getInfo.php?workbook=16_15.xlsx&amp;sheet=A0&amp;row=725&amp;col=12&amp;number=&amp;sourceID=53","")</f>
        <v/>
      </c>
      <c r="M725" s="4" t="str">
        <f>HYPERLINK("http://141.218.60.56/~jnz1568/getInfo.php?workbook=16_15.xlsx&amp;sheet=A0&amp;row=725&amp;col=13&amp;number=&amp;sourceID=53","")</f>
        <v/>
      </c>
      <c r="N725" s="4" t="str">
        <f>HYPERLINK("http://141.218.60.56/~jnz1568/getInfo.php?workbook=16_15.xlsx&amp;sheet=A0&amp;row=725&amp;col=14&amp;number=&amp;sourceID=53","")</f>
        <v/>
      </c>
      <c r="O725" s="4" t="str">
        <f>HYPERLINK("http://141.218.60.56/~jnz1568/getInfo.php?workbook=16_15.xlsx&amp;sheet=A0&amp;row=725&amp;col=15&amp;number=&amp;sourceID=55","")</f>
        <v/>
      </c>
      <c r="P725" s="4" t="str">
        <f>HYPERLINK("http://141.218.60.56/~jnz1568/getInfo.php?workbook=16_15.xlsx&amp;sheet=A0&amp;row=725&amp;col=16&amp;number=&amp;sourceID=55","")</f>
        <v/>
      </c>
      <c r="Q725" s="4" t="str">
        <f>HYPERLINK("http://141.218.60.56/~jnz1568/getInfo.php?workbook=16_15.xlsx&amp;sheet=A0&amp;row=725&amp;col=17&amp;number=&amp;sourceID=56","")</f>
        <v/>
      </c>
      <c r="R725" s="4" t="str">
        <f>HYPERLINK("http://141.218.60.56/~jnz1568/getInfo.php?workbook=16_15.xlsx&amp;sheet=A0&amp;row=725&amp;col=18&amp;number=&amp;sourceID=56","")</f>
        <v/>
      </c>
      <c r="S725" s="4" t="str">
        <f>HYPERLINK("http://141.218.60.56/~jnz1568/getInfo.php?workbook=16_15.xlsx&amp;sheet=A0&amp;row=725&amp;col=19&amp;number=&amp;sourceID=57","")</f>
        <v/>
      </c>
      <c r="T725" s="4" t="str">
        <f>HYPERLINK("http://141.218.60.56/~jnz1568/getInfo.php?workbook=16_15.xlsx&amp;sheet=A0&amp;row=725&amp;col=20&amp;number=&amp;sourceID=57","")</f>
        <v/>
      </c>
      <c r="U725" s="4" t="str">
        <f>HYPERLINK("http://141.218.60.56/~jnz1568/getInfo.php?workbook=16_15.xlsx&amp;sheet=A0&amp;row=725&amp;col=21&amp;number=&amp;sourceID=47","")</f>
        <v/>
      </c>
      <c r="V725" s="4" t="str">
        <f>HYPERLINK("http://141.218.60.56/~jnz1568/getInfo.php?workbook=16_15.xlsx&amp;sheet=A0&amp;row=725&amp;col=22&amp;number=&amp;sourceID=47","")</f>
        <v/>
      </c>
    </row>
    <row r="726" spans="1:22">
      <c r="A726" s="3">
        <v>16</v>
      </c>
      <c r="B726" s="3">
        <v>15</v>
      </c>
      <c r="C726" s="3">
        <v>44</v>
      </c>
      <c r="D726" s="3">
        <v>10</v>
      </c>
      <c r="E726" s="3">
        <f>((1/(INDEX(E0!J$4:J$73,C726,1)-INDEX(E0!J$4:J$73,D726,1))))*100000000</f>
        <v>0</v>
      </c>
      <c r="F726" s="4" t="str">
        <f>HYPERLINK("http://141.218.60.56/~jnz1568/getInfo.php?workbook=16_15.xlsx&amp;sheet=A0&amp;row=726&amp;col=6&amp;number=&amp;sourceID=54","")</f>
        <v/>
      </c>
      <c r="G726" s="4" t="str">
        <f>HYPERLINK("http://141.218.60.56/~jnz1568/getInfo.php?workbook=16_15.xlsx&amp;sheet=A0&amp;row=726&amp;col=7&amp;number=0.0045102&amp;sourceID=54","0.0045102")</f>
        <v>0.0045102</v>
      </c>
      <c r="H726" s="4" t="str">
        <f>HYPERLINK("http://141.218.60.56/~jnz1568/getInfo.php?workbook=16_15.xlsx&amp;sheet=A0&amp;row=726&amp;col=8&amp;number=&amp;sourceID=54","")</f>
        <v/>
      </c>
      <c r="I726" s="4" t="str">
        <f>HYPERLINK("http://141.218.60.56/~jnz1568/getInfo.php?workbook=16_15.xlsx&amp;sheet=A0&amp;row=726&amp;col=9&amp;number=&amp;sourceID=54","")</f>
        <v/>
      </c>
      <c r="J726" s="4" t="str">
        <f>HYPERLINK("http://141.218.60.56/~jnz1568/getInfo.php?workbook=16_15.xlsx&amp;sheet=A0&amp;row=726&amp;col=10&amp;number=0.0032671&amp;sourceID=54","0.0032671")</f>
        <v>0.0032671</v>
      </c>
      <c r="K726" s="4" t="str">
        <f>HYPERLINK("http://141.218.60.56/~jnz1568/getInfo.php?workbook=16_15.xlsx&amp;sheet=A0&amp;row=726&amp;col=11&amp;number=&amp;sourceID=54","")</f>
        <v/>
      </c>
      <c r="L726" s="4" t="str">
        <f>HYPERLINK("http://141.218.60.56/~jnz1568/getInfo.php?workbook=16_15.xlsx&amp;sheet=A0&amp;row=726&amp;col=12&amp;number=&amp;sourceID=53","")</f>
        <v/>
      </c>
      <c r="M726" s="4" t="str">
        <f>HYPERLINK("http://141.218.60.56/~jnz1568/getInfo.php?workbook=16_15.xlsx&amp;sheet=A0&amp;row=726&amp;col=13&amp;number=&amp;sourceID=53","")</f>
        <v/>
      </c>
      <c r="N726" s="4" t="str">
        <f>HYPERLINK("http://141.218.60.56/~jnz1568/getInfo.php?workbook=16_15.xlsx&amp;sheet=A0&amp;row=726&amp;col=14&amp;number=&amp;sourceID=53","")</f>
        <v/>
      </c>
      <c r="O726" s="4" t="str">
        <f>HYPERLINK("http://141.218.60.56/~jnz1568/getInfo.php?workbook=16_15.xlsx&amp;sheet=A0&amp;row=726&amp;col=15&amp;number=&amp;sourceID=55","")</f>
        <v/>
      </c>
      <c r="P726" s="4" t="str">
        <f>HYPERLINK("http://141.218.60.56/~jnz1568/getInfo.php?workbook=16_15.xlsx&amp;sheet=A0&amp;row=726&amp;col=16&amp;number=&amp;sourceID=55","")</f>
        <v/>
      </c>
      <c r="Q726" s="4" t="str">
        <f>HYPERLINK("http://141.218.60.56/~jnz1568/getInfo.php?workbook=16_15.xlsx&amp;sheet=A0&amp;row=726&amp;col=17&amp;number=&amp;sourceID=56","")</f>
        <v/>
      </c>
      <c r="R726" s="4" t="str">
        <f>HYPERLINK("http://141.218.60.56/~jnz1568/getInfo.php?workbook=16_15.xlsx&amp;sheet=A0&amp;row=726&amp;col=18&amp;number=&amp;sourceID=56","")</f>
        <v/>
      </c>
      <c r="S726" s="4" t="str">
        <f>HYPERLINK("http://141.218.60.56/~jnz1568/getInfo.php?workbook=16_15.xlsx&amp;sheet=A0&amp;row=726&amp;col=19&amp;number=&amp;sourceID=57","")</f>
        <v/>
      </c>
      <c r="T726" s="4" t="str">
        <f>HYPERLINK("http://141.218.60.56/~jnz1568/getInfo.php?workbook=16_15.xlsx&amp;sheet=A0&amp;row=726&amp;col=20&amp;number=&amp;sourceID=57","")</f>
        <v/>
      </c>
      <c r="U726" s="4" t="str">
        <f>HYPERLINK("http://141.218.60.56/~jnz1568/getInfo.php?workbook=16_15.xlsx&amp;sheet=A0&amp;row=726&amp;col=21&amp;number=&amp;sourceID=47","")</f>
        <v/>
      </c>
      <c r="V726" s="4" t="str">
        <f>HYPERLINK("http://141.218.60.56/~jnz1568/getInfo.php?workbook=16_15.xlsx&amp;sheet=A0&amp;row=726&amp;col=22&amp;number=&amp;sourceID=47","")</f>
        <v/>
      </c>
    </row>
    <row r="727" spans="1:22">
      <c r="A727" s="3">
        <v>16</v>
      </c>
      <c r="B727" s="3">
        <v>15</v>
      </c>
      <c r="C727" s="3">
        <v>44</v>
      </c>
      <c r="D727" s="3">
        <v>11</v>
      </c>
      <c r="E727" s="3">
        <f>((1/(INDEX(E0!J$4:J$73,C727,1)-INDEX(E0!J$4:J$73,D727,1))))*100000000</f>
        <v>0</v>
      </c>
      <c r="F727" s="4" t="str">
        <f>HYPERLINK("http://141.218.60.56/~jnz1568/getInfo.php?workbook=16_15.xlsx&amp;sheet=A0&amp;row=727&amp;col=6&amp;number=&amp;sourceID=54","")</f>
        <v/>
      </c>
      <c r="G727" s="4" t="str">
        <f>HYPERLINK("http://141.218.60.56/~jnz1568/getInfo.php?workbook=16_15.xlsx&amp;sheet=A0&amp;row=727&amp;col=7&amp;number=0.0087569&amp;sourceID=54","0.0087569")</f>
        <v>0.0087569</v>
      </c>
      <c r="H727" s="4" t="str">
        <f>HYPERLINK("http://141.218.60.56/~jnz1568/getInfo.php?workbook=16_15.xlsx&amp;sheet=A0&amp;row=727&amp;col=8&amp;number=0.00026425&amp;sourceID=54","0.00026425")</f>
        <v>0.00026425</v>
      </c>
      <c r="I727" s="4" t="str">
        <f>HYPERLINK("http://141.218.60.56/~jnz1568/getInfo.php?workbook=16_15.xlsx&amp;sheet=A0&amp;row=727&amp;col=9&amp;number=&amp;sourceID=54","")</f>
        <v/>
      </c>
      <c r="J727" s="4" t="str">
        <f>HYPERLINK("http://141.218.60.56/~jnz1568/getInfo.php?workbook=16_15.xlsx&amp;sheet=A0&amp;row=727&amp;col=10&amp;number=0.0068793&amp;sourceID=54","0.0068793")</f>
        <v>0.0068793</v>
      </c>
      <c r="K727" s="4" t="str">
        <f>HYPERLINK("http://141.218.60.56/~jnz1568/getInfo.php?workbook=16_15.xlsx&amp;sheet=A0&amp;row=727&amp;col=11&amp;number=0.00021854&amp;sourceID=54","0.00021854")</f>
        <v>0.00021854</v>
      </c>
      <c r="L727" s="4" t="str">
        <f>HYPERLINK("http://141.218.60.56/~jnz1568/getInfo.php?workbook=16_15.xlsx&amp;sheet=A0&amp;row=727&amp;col=12&amp;number=&amp;sourceID=53","")</f>
        <v/>
      </c>
      <c r="M727" s="4" t="str">
        <f>HYPERLINK("http://141.218.60.56/~jnz1568/getInfo.php?workbook=16_15.xlsx&amp;sheet=A0&amp;row=727&amp;col=13&amp;number=&amp;sourceID=53","")</f>
        <v/>
      </c>
      <c r="N727" s="4" t="str">
        <f>HYPERLINK("http://141.218.60.56/~jnz1568/getInfo.php?workbook=16_15.xlsx&amp;sheet=A0&amp;row=727&amp;col=14&amp;number=&amp;sourceID=53","")</f>
        <v/>
      </c>
      <c r="O727" s="4" t="str">
        <f>HYPERLINK("http://141.218.60.56/~jnz1568/getInfo.php?workbook=16_15.xlsx&amp;sheet=A0&amp;row=727&amp;col=15&amp;number=&amp;sourceID=55","")</f>
        <v/>
      </c>
      <c r="P727" s="4" t="str">
        <f>HYPERLINK("http://141.218.60.56/~jnz1568/getInfo.php?workbook=16_15.xlsx&amp;sheet=A0&amp;row=727&amp;col=16&amp;number=&amp;sourceID=55","")</f>
        <v/>
      </c>
      <c r="Q727" s="4" t="str">
        <f>HYPERLINK("http://141.218.60.56/~jnz1568/getInfo.php?workbook=16_15.xlsx&amp;sheet=A0&amp;row=727&amp;col=17&amp;number=&amp;sourceID=56","")</f>
        <v/>
      </c>
      <c r="R727" s="4" t="str">
        <f>HYPERLINK("http://141.218.60.56/~jnz1568/getInfo.php?workbook=16_15.xlsx&amp;sheet=A0&amp;row=727&amp;col=18&amp;number=&amp;sourceID=56","")</f>
        <v/>
      </c>
      <c r="S727" s="4" t="str">
        <f>HYPERLINK("http://141.218.60.56/~jnz1568/getInfo.php?workbook=16_15.xlsx&amp;sheet=A0&amp;row=727&amp;col=19&amp;number=&amp;sourceID=57","")</f>
        <v/>
      </c>
      <c r="T727" s="4" t="str">
        <f>HYPERLINK("http://141.218.60.56/~jnz1568/getInfo.php?workbook=16_15.xlsx&amp;sheet=A0&amp;row=727&amp;col=20&amp;number=&amp;sourceID=57","")</f>
        <v/>
      </c>
      <c r="U727" s="4" t="str">
        <f>HYPERLINK("http://141.218.60.56/~jnz1568/getInfo.php?workbook=16_15.xlsx&amp;sheet=A0&amp;row=727&amp;col=21&amp;number=&amp;sourceID=47","")</f>
        <v/>
      </c>
      <c r="V727" s="4" t="str">
        <f>HYPERLINK("http://141.218.60.56/~jnz1568/getInfo.php?workbook=16_15.xlsx&amp;sheet=A0&amp;row=727&amp;col=22&amp;number=&amp;sourceID=47","")</f>
        <v/>
      </c>
    </row>
    <row r="728" spans="1:22">
      <c r="A728" s="3">
        <v>16</v>
      </c>
      <c r="B728" s="3">
        <v>15</v>
      </c>
      <c r="C728" s="3">
        <v>44</v>
      </c>
      <c r="D728" s="3">
        <v>12</v>
      </c>
      <c r="E728" s="3">
        <f>((1/(INDEX(E0!J$4:J$73,C728,1)-INDEX(E0!J$4:J$73,D728,1))))*100000000</f>
        <v>0</v>
      </c>
      <c r="F728" s="4" t="str">
        <f>HYPERLINK("http://141.218.60.56/~jnz1568/getInfo.php?workbook=16_15.xlsx&amp;sheet=A0&amp;row=728&amp;col=6&amp;number=&amp;sourceID=54","")</f>
        <v/>
      </c>
      <c r="G728" s="4" t="str">
        <f>HYPERLINK("http://141.218.60.56/~jnz1568/getInfo.php?workbook=16_15.xlsx&amp;sheet=A0&amp;row=728&amp;col=7&amp;number=&amp;sourceID=54","")</f>
        <v/>
      </c>
      <c r="H728" s="4" t="str">
        <f>HYPERLINK("http://141.218.60.56/~jnz1568/getInfo.php?workbook=16_15.xlsx&amp;sheet=A0&amp;row=728&amp;col=8&amp;number=0.00023344&amp;sourceID=54","0.00023344")</f>
        <v>0.00023344</v>
      </c>
      <c r="I728" s="4" t="str">
        <f>HYPERLINK("http://141.218.60.56/~jnz1568/getInfo.php?workbook=16_15.xlsx&amp;sheet=A0&amp;row=728&amp;col=9&amp;number=&amp;sourceID=54","")</f>
        <v/>
      </c>
      <c r="J728" s="4" t="str">
        <f>HYPERLINK("http://141.218.60.56/~jnz1568/getInfo.php?workbook=16_15.xlsx&amp;sheet=A0&amp;row=728&amp;col=10&amp;number=&amp;sourceID=54","")</f>
        <v/>
      </c>
      <c r="K728" s="4" t="str">
        <f>HYPERLINK("http://141.218.60.56/~jnz1568/getInfo.php?workbook=16_15.xlsx&amp;sheet=A0&amp;row=728&amp;col=11&amp;number=0.00019366&amp;sourceID=54","0.00019366")</f>
        <v>0.00019366</v>
      </c>
      <c r="L728" s="4" t="str">
        <f>HYPERLINK("http://141.218.60.56/~jnz1568/getInfo.php?workbook=16_15.xlsx&amp;sheet=A0&amp;row=728&amp;col=12&amp;number=&amp;sourceID=53","")</f>
        <v/>
      </c>
      <c r="M728" s="4" t="str">
        <f>HYPERLINK("http://141.218.60.56/~jnz1568/getInfo.php?workbook=16_15.xlsx&amp;sheet=A0&amp;row=728&amp;col=13&amp;number=&amp;sourceID=53","")</f>
        <v/>
      </c>
      <c r="N728" s="4" t="str">
        <f>HYPERLINK("http://141.218.60.56/~jnz1568/getInfo.php?workbook=16_15.xlsx&amp;sheet=A0&amp;row=728&amp;col=14&amp;number=&amp;sourceID=53","")</f>
        <v/>
      </c>
      <c r="O728" s="4" t="str">
        <f>HYPERLINK("http://141.218.60.56/~jnz1568/getInfo.php?workbook=16_15.xlsx&amp;sheet=A0&amp;row=728&amp;col=15&amp;number=&amp;sourceID=55","")</f>
        <v/>
      </c>
      <c r="P728" s="4" t="str">
        <f>HYPERLINK("http://141.218.60.56/~jnz1568/getInfo.php?workbook=16_15.xlsx&amp;sheet=A0&amp;row=728&amp;col=16&amp;number=&amp;sourceID=55","")</f>
        <v/>
      </c>
      <c r="Q728" s="4" t="str">
        <f>HYPERLINK("http://141.218.60.56/~jnz1568/getInfo.php?workbook=16_15.xlsx&amp;sheet=A0&amp;row=728&amp;col=17&amp;number=&amp;sourceID=56","")</f>
        <v/>
      </c>
      <c r="R728" s="4" t="str">
        <f>HYPERLINK("http://141.218.60.56/~jnz1568/getInfo.php?workbook=16_15.xlsx&amp;sheet=A0&amp;row=728&amp;col=18&amp;number=&amp;sourceID=56","")</f>
        <v/>
      </c>
      <c r="S728" s="4" t="str">
        <f>HYPERLINK("http://141.218.60.56/~jnz1568/getInfo.php?workbook=16_15.xlsx&amp;sheet=A0&amp;row=728&amp;col=19&amp;number=&amp;sourceID=57","")</f>
        <v/>
      </c>
      <c r="T728" s="4" t="str">
        <f>HYPERLINK("http://141.218.60.56/~jnz1568/getInfo.php?workbook=16_15.xlsx&amp;sheet=A0&amp;row=728&amp;col=20&amp;number=&amp;sourceID=57","")</f>
        <v/>
      </c>
      <c r="U728" s="4" t="str">
        <f>HYPERLINK("http://141.218.60.56/~jnz1568/getInfo.php?workbook=16_15.xlsx&amp;sheet=A0&amp;row=728&amp;col=21&amp;number=&amp;sourceID=47","")</f>
        <v/>
      </c>
      <c r="V728" s="4" t="str">
        <f>HYPERLINK("http://141.218.60.56/~jnz1568/getInfo.php?workbook=16_15.xlsx&amp;sheet=A0&amp;row=728&amp;col=22&amp;number=&amp;sourceID=47","")</f>
        <v/>
      </c>
    </row>
    <row r="729" spans="1:22">
      <c r="A729" s="3">
        <v>16</v>
      </c>
      <c r="B729" s="3">
        <v>15</v>
      </c>
      <c r="C729" s="3">
        <v>44</v>
      </c>
      <c r="D729" s="3">
        <v>13</v>
      </c>
      <c r="E729" s="3">
        <f>((1/(INDEX(E0!J$4:J$73,C729,1)-INDEX(E0!J$4:J$73,D729,1))))*100000000</f>
        <v>0</v>
      </c>
      <c r="F729" s="4" t="str">
        <f>HYPERLINK("http://141.218.60.56/~jnz1568/getInfo.php?workbook=16_15.xlsx&amp;sheet=A0&amp;row=729&amp;col=6&amp;number=&amp;sourceID=54","")</f>
        <v/>
      </c>
      <c r="G729" s="4" t="str">
        <f>HYPERLINK("http://141.218.60.56/~jnz1568/getInfo.php?workbook=16_15.xlsx&amp;sheet=A0&amp;row=729&amp;col=7&amp;number=&amp;sourceID=54","")</f>
        <v/>
      </c>
      <c r="H729" s="4" t="str">
        <f>HYPERLINK("http://141.218.60.56/~jnz1568/getInfo.php?workbook=16_15.xlsx&amp;sheet=A0&amp;row=729&amp;col=8&amp;number=2.425e-06&amp;sourceID=54","2.425e-06")</f>
        <v>2.425e-06</v>
      </c>
      <c r="I729" s="4" t="str">
        <f>HYPERLINK("http://141.218.60.56/~jnz1568/getInfo.php?workbook=16_15.xlsx&amp;sheet=A0&amp;row=729&amp;col=9&amp;number=&amp;sourceID=54","")</f>
        <v/>
      </c>
      <c r="J729" s="4" t="str">
        <f>HYPERLINK("http://141.218.60.56/~jnz1568/getInfo.php?workbook=16_15.xlsx&amp;sheet=A0&amp;row=729&amp;col=10&amp;number=&amp;sourceID=54","")</f>
        <v/>
      </c>
      <c r="K729" s="4" t="str">
        <f>HYPERLINK("http://141.218.60.56/~jnz1568/getInfo.php?workbook=16_15.xlsx&amp;sheet=A0&amp;row=729&amp;col=11&amp;number=1.2391e-06&amp;sourceID=54","1.2391e-06")</f>
        <v>1.2391e-06</v>
      </c>
      <c r="L729" s="4" t="str">
        <f>HYPERLINK("http://141.218.60.56/~jnz1568/getInfo.php?workbook=16_15.xlsx&amp;sheet=A0&amp;row=729&amp;col=12&amp;number=&amp;sourceID=53","")</f>
        <v/>
      </c>
      <c r="M729" s="4" t="str">
        <f>HYPERLINK("http://141.218.60.56/~jnz1568/getInfo.php?workbook=16_15.xlsx&amp;sheet=A0&amp;row=729&amp;col=13&amp;number=&amp;sourceID=53","")</f>
        <v/>
      </c>
      <c r="N729" s="4" t="str">
        <f>HYPERLINK("http://141.218.60.56/~jnz1568/getInfo.php?workbook=16_15.xlsx&amp;sheet=A0&amp;row=729&amp;col=14&amp;number=&amp;sourceID=53","")</f>
        <v/>
      </c>
      <c r="O729" s="4" t="str">
        <f>HYPERLINK("http://141.218.60.56/~jnz1568/getInfo.php?workbook=16_15.xlsx&amp;sheet=A0&amp;row=729&amp;col=15&amp;number=&amp;sourceID=55","")</f>
        <v/>
      </c>
      <c r="P729" s="4" t="str">
        <f>HYPERLINK("http://141.218.60.56/~jnz1568/getInfo.php?workbook=16_15.xlsx&amp;sheet=A0&amp;row=729&amp;col=16&amp;number=&amp;sourceID=55","")</f>
        <v/>
      </c>
      <c r="Q729" s="4" t="str">
        <f>HYPERLINK("http://141.218.60.56/~jnz1568/getInfo.php?workbook=16_15.xlsx&amp;sheet=A0&amp;row=729&amp;col=17&amp;number=&amp;sourceID=56","")</f>
        <v/>
      </c>
      <c r="R729" s="4" t="str">
        <f>HYPERLINK("http://141.218.60.56/~jnz1568/getInfo.php?workbook=16_15.xlsx&amp;sheet=A0&amp;row=729&amp;col=18&amp;number=&amp;sourceID=56","")</f>
        <v/>
      </c>
      <c r="S729" s="4" t="str">
        <f>HYPERLINK("http://141.218.60.56/~jnz1568/getInfo.php?workbook=16_15.xlsx&amp;sheet=A0&amp;row=729&amp;col=19&amp;number=&amp;sourceID=57","")</f>
        <v/>
      </c>
      <c r="T729" s="4" t="str">
        <f>HYPERLINK("http://141.218.60.56/~jnz1568/getInfo.php?workbook=16_15.xlsx&amp;sheet=A0&amp;row=729&amp;col=20&amp;number=&amp;sourceID=57","")</f>
        <v/>
      </c>
      <c r="U729" s="4" t="str">
        <f>HYPERLINK("http://141.218.60.56/~jnz1568/getInfo.php?workbook=16_15.xlsx&amp;sheet=A0&amp;row=729&amp;col=21&amp;number=&amp;sourceID=47","")</f>
        <v/>
      </c>
      <c r="V729" s="4" t="str">
        <f>HYPERLINK("http://141.218.60.56/~jnz1568/getInfo.php?workbook=16_15.xlsx&amp;sheet=A0&amp;row=729&amp;col=22&amp;number=&amp;sourceID=47","")</f>
        <v/>
      </c>
    </row>
    <row r="730" spans="1:22">
      <c r="A730" s="3">
        <v>16</v>
      </c>
      <c r="B730" s="3">
        <v>15</v>
      </c>
      <c r="C730" s="3">
        <v>44</v>
      </c>
      <c r="D730" s="3">
        <v>14</v>
      </c>
      <c r="E730" s="3">
        <f>((1/(INDEX(E0!J$4:J$73,C730,1)-INDEX(E0!J$4:J$73,D730,1))))*100000000</f>
        <v>0</v>
      </c>
      <c r="F730" s="4" t="str">
        <f>HYPERLINK("http://141.218.60.56/~jnz1568/getInfo.php?workbook=16_15.xlsx&amp;sheet=A0&amp;row=730&amp;col=6&amp;number=&amp;sourceID=54","")</f>
        <v/>
      </c>
      <c r="G730" s="4" t="str">
        <f>HYPERLINK("http://141.218.60.56/~jnz1568/getInfo.php?workbook=16_15.xlsx&amp;sheet=A0&amp;row=730&amp;col=7&amp;number=4.2978&amp;sourceID=54","4.2978")</f>
        <v>4.2978</v>
      </c>
      <c r="H730" s="4" t="str">
        <f>HYPERLINK("http://141.218.60.56/~jnz1568/getInfo.php?workbook=16_15.xlsx&amp;sheet=A0&amp;row=730&amp;col=8&amp;number=0.0011023&amp;sourceID=54","0.0011023")</f>
        <v>0.0011023</v>
      </c>
      <c r="I730" s="4" t="str">
        <f>HYPERLINK("http://141.218.60.56/~jnz1568/getInfo.php?workbook=16_15.xlsx&amp;sheet=A0&amp;row=730&amp;col=9&amp;number=&amp;sourceID=54","")</f>
        <v/>
      </c>
      <c r="J730" s="4" t="str">
        <f>HYPERLINK("http://141.218.60.56/~jnz1568/getInfo.php?workbook=16_15.xlsx&amp;sheet=A0&amp;row=730&amp;col=10&amp;number=3.2516&amp;sourceID=54","3.2516")</f>
        <v>3.2516</v>
      </c>
      <c r="K730" s="4" t="str">
        <f>HYPERLINK("http://141.218.60.56/~jnz1568/getInfo.php?workbook=16_15.xlsx&amp;sheet=A0&amp;row=730&amp;col=11&amp;number=0.00095364&amp;sourceID=54","0.00095364")</f>
        <v>0.00095364</v>
      </c>
      <c r="L730" s="4" t="str">
        <f>HYPERLINK("http://141.218.60.56/~jnz1568/getInfo.php?workbook=16_15.xlsx&amp;sheet=A0&amp;row=730&amp;col=12&amp;number=&amp;sourceID=53","")</f>
        <v/>
      </c>
      <c r="M730" s="4" t="str">
        <f>HYPERLINK("http://141.218.60.56/~jnz1568/getInfo.php?workbook=16_15.xlsx&amp;sheet=A0&amp;row=730&amp;col=13&amp;number=&amp;sourceID=53","")</f>
        <v/>
      </c>
      <c r="N730" s="4" t="str">
        <f>HYPERLINK("http://141.218.60.56/~jnz1568/getInfo.php?workbook=16_15.xlsx&amp;sheet=A0&amp;row=730&amp;col=14&amp;number=&amp;sourceID=53","")</f>
        <v/>
      </c>
      <c r="O730" s="4" t="str">
        <f>HYPERLINK("http://141.218.60.56/~jnz1568/getInfo.php?workbook=16_15.xlsx&amp;sheet=A0&amp;row=730&amp;col=15&amp;number=&amp;sourceID=55","")</f>
        <v/>
      </c>
      <c r="P730" s="4" t="str">
        <f>HYPERLINK("http://141.218.60.56/~jnz1568/getInfo.php?workbook=16_15.xlsx&amp;sheet=A0&amp;row=730&amp;col=16&amp;number=&amp;sourceID=55","")</f>
        <v/>
      </c>
      <c r="Q730" s="4" t="str">
        <f>HYPERLINK("http://141.218.60.56/~jnz1568/getInfo.php?workbook=16_15.xlsx&amp;sheet=A0&amp;row=730&amp;col=17&amp;number=&amp;sourceID=56","")</f>
        <v/>
      </c>
      <c r="R730" s="4" t="str">
        <f>HYPERLINK("http://141.218.60.56/~jnz1568/getInfo.php?workbook=16_15.xlsx&amp;sheet=A0&amp;row=730&amp;col=18&amp;number=&amp;sourceID=56","")</f>
        <v/>
      </c>
      <c r="S730" s="4" t="str">
        <f>HYPERLINK("http://141.218.60.56/~jnz1568/getInfo.php?workbook=16_15.xlsx&amp;sheet=A0&amp;row=730&amp;col=19&amp;number=&amp;sourceID=57","")</f>
        <v/>
      </c>
      <c r="T730" s="4" t="str">
        <f>HYPERLINK("http://141.218.60.56/~jnz1568/getInfo.php?workbook=16_15.xlsx&amp;sheet=A0&amp;row=730&amp;col=20&amp;number=&amp;sourceID=57","")</f>
        <v/>
      </c>
      <c r="U730" s="4" t="str">
        <f>HYPERLINK("http://141.218.60.56/~jnz1568/getInfo.php?workbook=16_15.xlsx&amp;sheet=A0&amp;row=730&amp;col=21&amp;number=&amp;sourceID=47","")</f>
        <v/>
      </c>
      <c r="V730" s="4" t="str">
        <f>HYPERLINK("http://141.218.60.56/~jnz1568/getInfo.php?workbook=16_15.xlsx&amp;sheet=A0&amp;row=730&amp;col=22&amp;number=&amp;sourceID=47","")</f>
        <v/>
      </c>
    </row>
    <row r="731" spans="1:22">
      <c r="A731" s="3">
        <v>16</v>
      </c>
      <c r="B731" s="3">
        <v>15</v>
      </c>
      <c r="C731" s="3">
        <v>44</v>
      </c>
      <c r="D731" s="3">
        <v>15</v>
      </c>
      <c r="E731" s="3">
        <f>((1/(INDEX(E0!J$4:J$73,C731,1)-INDEX(E0!J$4:J$73,D731,1))))*100000000</f>
        <v>0</v>
      </c>
      <c r="F731" s="4" t="str">
        <f>HYPERLINK("http://141.218.60.56/~jnz1568/getInfo.php?workbook=16_15.xlsx&amp;sheet=A0&amp;row=731&amp;col=6&amp;number=&amp;sourceID=54","")</f>
        <v/>
      </c>
      <c r="G731" s="4" t="str">
        <f>HYPERLINK("http://141.218.60.56/~jnz1568/getInfo.php?workbook=16_15.xlsx&amp;sheet=A0&amp;row=731&amp;col=7&amp;number=0.20235&amp;sourceID=54","0.20235")</f>
        <v>0.20235</v>
      </c>
      <c r="H731" s="4" t="str">
        <f>HYPERLINK("http://141.218.60.56/~jnz1568/getInfo.php?workbook=16_15.xlsx&amp;sheet=A0&amp;row=731&amp;col=8&amp;number=3.3344e-06&amp;sourceID=54","3.3344e-06")</f>
        <v>3.3344e-06</v>
      </c>
      <c r="I731" s="4" t="str">
        <f>HYPERLINK("http://141.218.60.56/~jnz1568/getInfo.php?workbook=16_15.xlsx&amp;sheet=A0&amp;row=731&amp;col=9&amp;number=&amp;sourceID=54","")</f>
        <v/>
      </c>
      <c r="J731" s="4" t="str">
        <f>HYPERLINK("http://141.218.60.56/~jnz1568/getInfo.php?workbook=16_15.xlsx&amp;sheet=A0&amp;row=731&amp;col=10&amp;number=0.17749&amp;sourceID=54","0.17749")</f>
        <v>0.17749</v>
      </c>
      <c r="K731" s="4" t="str">
        <f>HYPERLINK("http://141.218.60.56/~jnz1568/getInfo.php?workbook=16_15.xlsx&amp;sheet=A0&amp;row=731&amp;col=11&amp;number=1.683e-06&amp;sourceID=54","1.683e-06")</f>
        <v>1.683e-06</v>
      </c>
      <c r="L731" s="4" t="str">
        <f>HYPERLINK("http://141.218.60.56/~jnz1568/getInfo.php?workbook=16_15.xlsx&amp;sheet=A0&amp;row=731&amp;col=12&amp;number=&amp;sourceID=53","")</f>
        <v/>
      </c>
      <c r="M731" s="4" t="str">
        <f>HYPERLINK("http://141.218.60.56/~jnz1568/getInfo.php?workbook=16_15.xlsx&amp;sheet=A0&amp;row=731&amp;col=13&amp;number=&amp;sourceID=53","")</f>
        <v/>
      </c>
      <c r="N731" s="4" t="str">
        <f>HYPERLINK("http://141.218.60.56/~jnz1568/getInfo.php?workbook=16_15.xlsx&amp;sheet=A0&amp;row=731&amp;col=14&amp;number=&amp;sourceID=53","")</f>
        <v/>
      </c>
      <c r="O731" s="4" t="str">
        <f>HYPERLINK("http://141.218.60.56/~jnz1568/getInfo.php?workbook=16_15.xlsx&amp;sheet=A0&amp;row=731&amp;col=15&amp;number=&amp;sourceID=55","")</f>
        <v/>
      </c>
      <c r="P731" s="4" t="str">
        <f>HYPERLINK("http://141.218.60.56/~jnz1568/getInfo.php?workbook=16_15.xlsx&amp;sheet=A0&amp;row=731&amp;col=16&amp;number=&amp;sourceID=55","")</f>
        <v/>
      </c>
      <c r="Q731" s="4" t="str">
        <f>HYPERLINK("http://141.218.60.56/~jnz1568/getInfo.php?workbook=16_15.xlsx&amp;sheet=A0&amp;row=731&amp;col=17&amp;number=&amp;sourceID=56","")</f>
        <v/>
      </c>
      <c r="R731" s="4" t="str">
        <f>HYPERLINK("http://141.218.60.56/~jnz1568/getInfo.php?workbook=16_15.xlsx&amp;sheet=A0&amp;row=731&amp;col=18&amp;number=&amp;sourceID=56","")</f>
        <v/>
      </c>
      <c r="S731" s="4" t="str">
        <f>HYPERLINK("http://141.218.60.56/~jnz1568/getInfo.php?workbook=16_15.xlsx&amp;sheet=A0&amp;row=731&amp;col=19&amp;number=&amp;sourceID=57","")</f>
        <v/>
      </c>
      <c r="T731" s="4" t="str">
        <f>HYPERLINK("http://141.218.60.56/~jnz1568/getInfo.php?workbook=16_15.xlsx&amp;sheet=A0&amp;row=731&amp;col=20&amp;number=&amp;sourceID=57","")</f>
        <v/>
      </c>
      <c r="U731" s="4" t="str">
        <f>HYPERLINK("http://141.218.60.56/~jnz1568/getInfo.php?workbook=16_15.xlsx&amp;sheet=A0&amp;row=731&amp;col=21&amp;number=&amp;sourceID=47","")</f>
        <v/>
      </c>
      <c r="V731" s="4" t="str">
        <f>HYPERLINK("http://141.218.60.56/~jnz1568/getInfo.php?workbook=16_15.xlsx&amp;sheet=A0&amp;row=731&amp;col=22&amp;number=&amp;sourceID=47","")</f>
        <v/>
      </c>
    </row>
    <row r="732" spans="1:22">
      <c r="A732" s="3">
        <v>16</v>
      </c>
      <c r="B732" s="3">
        <v>15</v>
      </c>
      <c r="C732" s="3">
        <v>44</v>
      </c>
      <c r="D732" s="3">
        <v>16</v>
      </c>
      <c r="E732" s="3">
        <f>((1/(INDEX(E0!J$4:J$73,C732,1)-INDEX(E0!J$4:J$73,D732,1))))*100000000</f>
        <v>0</v>
      </c>
      <c r="F732" s="4" t="str">
        <f>HYPERLINK("http://141.218.60.56/~jnz1568/getInfo.php?workbook=16_15.xlsx&amp;sheet=A0&amp;row=732&amp;col=6&amp;number=&amp;sourceID=54","")</f>
        <v/>
      </c>
      <c r="G732" s="4" t="str">
        <f>HYPERLINK("http://141.218.60.56/~jnz1568/getInfo.php?workbook=16_15.xlsx&amp;sheet=A0&amp;row=732&amp;col=7&amp;number=36.215&amp;sourceID=54","36.215")</f>
        <v>36.215</v>
      </c>
      <c r="H732" s="4" t="str">
        <f>HYPERLINK("http://141.218.60.56/~jnz1568/getInfo.php?workbook=16_15.xlsx&amp;sheet=A0&amp;row=732&amp;col=8&amp;number=&amp;sourceID=54","")</f>
        <v/>
      </c>
      <c r="I732" s="4" t="str">
        <f>HYPERLINK("http://141.218.60.56/~jnz1568/getInfo.php?workbook=16_15.xlsx&amp;sheet=A0&amp;row=732&amp;col=9&amp;number=&amp;sourceID=54","")</f>
        <v/>
      </c>
      <c r="J732" s="4" t="str">
        <f>HYPERLINK("http://141.218.60.56/~jnz1568/getInfo.php?workbook=16_15.xlsx&amp;sheet=A0&amp;row=732&amp;col=10&amp;number=27.275&amp;sourceID=54","27.275")</f>
        <v>27.275</v>
      </c>
      <c r="K732" s="4" t="str">
        <f>HYPERLINK("http://141.218.60.56/~jnz1568/getInfo.php?workbook=16_15.xlsx&amp;sheet=A0&amp;row=732&amp;col=11&amp;number=&amp;sourceID=54","")</f>
        <v/>
      </c>
      <c r="L732" s="4" t="str">
        <f>HYPERLINK("http://141.218.60.56/~jnz1568/getInfo.php?workbook=16_15.xlsx&amp;sheet=A0&amp;row=732&amp;col=12&amp;number=&amp;sourceID=53","")</f>
        <v/>
      </c>
      <c r="M732" s="4" t="str">
        <f>HYPERLINK("http://141.218.60.56/~jnz1568/getInfo.php?workbook=16_15.xlsx&amp;sheet=A0&amp;row=732&amp;col=13&amp;number=&amp;sourceID=53","")</f>
        <v/>
      </c>
      <c r="N732" s="4" t="str">
        <f>HYPERLINK("http://141.218.60.56/~jnz1568/getInfo.php?workbook=16_15.xlsx&amp;sheet=A0&amp;row=732&amp;col=14&amp;number=&amp;sourceID=53","")</f>
        <v/>
      </c>
      <c r="O732" s="4" t="str">
        <f>HYPERLINK("http://141.218.60.56/~jnz1568/getInfo.php?workbook=16_15.xlsx&amp;sheet=A0&amp;row=732&amp;col=15&amp;number=&amp;sourceID=55","")</f>
        <v/>
      </c>
      <c r="P732" s="4" t="str">
        <f>HYPERLINK("http://141.218.60.56/~jnz1568/getInfo.php?workbook=16_15.xlsx&amp;sheet=A0&amp;row=732&amp;col=16&amp;number=&amp;sourceID=55","")</f>
        <v/>
      </c>
      <c r="Q732" s="4" t="str">
        <f>HYPERLINK("http://141.218.60.56/~jnz1568/getInfo.php?workbook=16_15.xlsx&amp;sheet=A0&amp;row=732&amp;col=17&amp;number=&amp;sourceID=56","")</f>
        <v/>
      </c>
      <c r="R732" s="4" t="str">
        <f>HYPERLINK("http://141.218.60.56/~jnz1568/getInfo.php?workbook=16_15.xlsx&amp;sheet=A0&amp;row=732&amp;col=18&amp;number=&amp;sourceID=56","")</f>
        <v/>
      </c>
      <c r="S732" s="4" t="str">
        <f>HYPERLINK("http://141.218.60.56/~jnz1568/getInfo.php?workbook=16_15.xlsx&amp;sheet=A0&amp;row=732&amp;col=19&amp;number=&amp;sourceID=57","")</f>
        <v/>
      </c>
      <c r="T732" s="4" t="str">
        <f>HYPERLINK("http://141.218.60.56/~jnz1568/getInfo.php?workbook=16_15.xlsx&amp;sheet=A0&amp;row=732&amp;col=20&amp;number=&amp;sourceID=57","")</f>
        <v/>
      </c>
      <c r="U732" s="4" t="str">
        <f>HYPERLINK("http://141.218.60.56/~jnz1568/getInfo.php?workbook=16_15.xlsx&amp;sheet=A0&amp;row=732&amp;col=21&amp;number=&amp;sourceID=47","")</f>
        <v/>
      </c>
      <c r="V732" s="4" t="str">
        <f>HYPERLINK("http://141.218.60.56/~jnz1568/getInfo.php?workbook=16_15.xlsx&amp;sheet=A0&amp;row=732&amp;col=22&amp;number=&amp;sourceID=47","")</f>
        <v/>
      </c>
    </row>
    <row r="733" spans="1:22">
      <c r="A733" s="3">
        <v>16</v>
      </c>
      <c r="B733" s="3">
        <v>15</v>
      </c>
      <c r="C733" s="3">
        <v>44</v>
      </c>
      <c r="D733" s="3">
        <v>17</v>
      </c>
      <c r="E733" s="3">
        <f>((1/(INDEX(E0!J$4:J$73,C733,1)-INDEX(E0!J$4:J$73,D733,1))))*100000000</f>
        <v>0</v>
      </c>
      <c r="F733" s="4" t="str">
        <f>HYPERLINK("http://141.218.60.56/~jnz1568/getInfo.php?workbook=16_15.xlsx&amp;sheet=A0&amp;row=733&amp;col=6&amp;number=&amp;sourceID=54","")</f>
        <v/>
      </c>
      <c r="G733" s="4" t="str">
        <f>HYPERLINK("http://141.218.60.56/~jnz1568/getInfo.php?workbook=16_15.xlsx&amp;sheet=A0&amp;row=733&amp;col=7&amp;number=0.18373&amp;sourceID=54","0.18373")</f>
        <v>0.18373</v>
      </c>
      <c r="H733" s="4" t="str">
        <f>HYPERLINK("http://141.218.60.56/~jnz1568/getInfo.php?workbook=16_15.xlsx&amp;sheet=A0&amp;row=733&amp;col=8&amp;number=&amp;sourceID=54","")</f>
        <v/>
      </c>
      <c r="I733" s="4" t="str">
        <f>HYPERLINK("http://141.218.60.56/~jnz1568/getInfo.php?workbook=16_15.xlsx&amp;sheet=A0&amp;row=733&amp;col=9&amp;number=&amp;sourceID=54","")</f>
        <v/>
      </c>
      <c r="J733" s="4" t="str">
        <f>HYPERLINK("http://141.218.60.56/~jnz1568/getInfo.php?workbook=16_15.xlsx&amp;sheet=A0&amp;row=733&amp;col=10&amp;number=0.19939&amp;sourceID=54","0.19939")</f>
        <v>0.19939</v>
      </c>
      <c r="K733" s="4" t="str">
        <f>HYPERLINK("http://141.218.60.56/~jnz1568/getInfo.php?workbook=16_15.xlsx&amp;sheet=A0&amp;row=733&amp;col=11&amp;number=&amp;sourceID=54","")</f>
        <v/>
      </c>
      <c r="L733" s="4" t="str">
        <f>HYPERLINK("http://141.218.60.56/~jnz1568/getInfo.php?workbook=16_15.xlsx&amp;sheet=A0&amp;row=733&amp;col=12&amp;number=&amp;sourceID=53","")</f>
        <v/>
      </c>
      <c r="M733" s="4" t="str">
        <f>HYPERLINK("http://141.218.60.56/~jnz1568/getInfo.php?workbook=16_15.xlsx&amp;sheet=A0&amp;row=733&amp;col=13&amp;number=&amp;sourceID=53","")</f>
        <v/>
      </c>
      <c r="N733" s="4" t="str">
        <f>HYPERLINK("http://141.218.60.56/~jnz1568/getInfo.php?workbook=16_15.xlsx&amp;sheet=A0&amp;row=733&amp;col=14&amp;number=&amp;sourceID=53","")</f>
        <v/>
      </c>
      <c r="O733" s="4" t="str">
        <f>HYPERLINK("http://141.218.60.56/~jnz1568/getInfo.php?workbook=16_15.xlsx&amp;sheet=A0&amp;row=733&amp;col=15&amp;number=&amp;sourceID=55","")</f>
        <v/>
      </c>
      <c r="P733" s="4" t="str">
        <f>HYPERLINK("http://141.218.60.56/~jnz1568/getInfo.php?workbook=16_15.xlsx&amp;sheet=A0&amp;row=733&amp;col=16&amp;number=&amp;sourceID=55","")</f>
        <v/>
      </c>
      <c r="Q733" s="4" t="str">
        <f>HYPERLINK("http://141.218.60.56/~jnz1568/getInfo.php?workbook=16_15.xlsx&amp;sheet=A0&amp;row=733&amp;col=17&amp;number=&amp;sourceID=56","")</f>
        <v/>
      </c>
      <c r="R733" s="4" t="str">
        <f>HYPERLINK("http://141.218.60.56/~jnz1568/getInfo.php?workbook=16_15.xlsx&amp;sheet=A0&amp;row=733&amp;col=18&amp;number=&amp;sourceID=56","")</f>
        <v/>
      </c>
      <c r="S733" s="4" t="str">
        <f>HYPERLINK("http://141.218.60.56/~jnz1568/getInfo.php?workbook=16_15.xlsx&amp;sheet=A0&amp;row=733&amp;col=19&amp;number=&amp;sourceID=57","")</f>
        <v/>
      </c>
      <c r="T733" s="4" t="str">
        <f>HYPERLINK("http://141.218.60.56/~jnz1568/getInfo.php?workbook=16_15.xlsx&amp;sheet=A0&amp;row=733&amp;col=20&amp;number=&amp;sourceID=57","")</f>
        <v/>
      </c>
      <c r="U733" s="4" t="str">
        <f>HYPERLINK("http://141.218.60.56/~jnz1568/getInfo.php?workbook=16_15.xlsx&amp;sheet=A0&amp;row=733&amp;col=21&amp;number=&amp;sourceID=47","")</f>
        <v/>
      </c>
      <c r="V733" s="4" t="str">
        <f>HYPERLINK("http://141.218.60.56/~jnz1568/getInfo.php?workbook=16_15.xlsx&amp;sheet=A0&amp;row=733&amp;col=22&amp;number=&amp;sourceID=47","")</f>
        <v/>
      </c>
    </row>
    <row r="734" spans="1:22">
      <c r="A734" s="3">
        <v>16</v>
      </c>
      <c r="B734" s="3">
        <v>15</v>
      </c>
      <c r="C734" s="3">
        <v>44</v>
      </c>
      <c r="D734" s="3">
        <v>20</v>
      </c>
      <c r="E734" s="3">
        <f>((1/(INDEX(E0!J$4:J$73,C734,1)-INDEX(E0!J$4:J$73,D734,1))))*100000000</f>
        <v>0</v>
      </c>
      <c r="F734" s="4" t="str">
        <f>HYPERLINK("http://141.218.60.56/~jnz1568/getInfo.php?workbook=16_15.xlsx&amp;sheet=A0&amp;row=734&amp;col=6&amp;number=&amp;sourceID=54","")</f>
        <v/>
      </c>
      <c r="G734" s="4" t="str">
        <f>HYPERLINK("http://141.218.60.56/~jnz1568/getInfo.php?workbook=16_15.xlsx&amp;sheet=A0&amp;row=734&amp;col=7&amp;number=&amp;sourceID=54","")</f>
        <v/>
      </c>
      <c r="H734" s="4" t="str">
        <f>HYPERLINK("http://141.218.60.56/~jnz1568/getInfo.php?workbook=16_15.xlsx&amp;sheet=A0&amp;row=734&amp;col=8&amp;number=6.3188e-05&amp;sourceID=54","6.3188e-05")</f>
        <v>6.3188e-05</v>
      </c>
      <c r="I734" s="4" t="str">
        <f>HYPERLINK("http://141.218.60.56/~jnz1568/getInfo.php?workbook=16_15.xlsx&amp;sheet=A0&amp;row=734&amp;col=9&amp;number=&amp;sourceID=54","")</f>
        <v/>
      </c>
      <c r="J734" s="4" t="str">
        <f>HYPERLINK("http://141.218.60.56/~jnz1568/getInfo.php?workbook=16_15.xlsx&amp;sheet=A0&amp;row=734&amp;col=10&amp;number=&amp;sourceID=54","")</f>
        <v/>
      </c>
      <c r="K734" s="4" t="str">
        <f>HYPERLINK("http://141.218.60.56/~jnz1568/getInfo.php?workbook=16_15.xlsx&amp;sheet=A0&amp;row=734&amp;col=11&amp;number=6.2605e-05&amp;sourceID=54","6.2605e-05")</f>
        <v>6.2605e-05</v>
      </c>
      <c r="L734" s="4" t="str">
        <f>HYPERLINK("http://141.218.60.56/~jnz1568/getInfo.php?workbook=16_15.xlsx&amp;sheet=A0&amp;row=734&amp;col=12&amp;number=&amp;sourceID=53","")</f>
        <v/>
      </c>
      <c r="M734" s="4" t="str">
        <f>HYPERLINK("http://141.218.60.56/~jnz1568/getInfo.php?workbook=16_15.xlsx&amp;sheet=A0&amp;row=734&amp;col=13&amp;number=&amp;sourceID=53","")</f>
        <v/>
      </c>
      <c r="N734" s="4" t="str">
        <f>HYPERLINK("http://141.218.60.56/~jnz1568/getInfo.php?workbook=16_15.xlsx&amp;sheet=A0&amp;row=734&amp;col=14&amp;number=&amp;sourceID=53","")</f>
        <v/>
      </c>
      <c r="O734" s="4" t="str">
        <f>HYPERLINK("http://141.218.60.56/~jnz1568/getInfo.php?workbook=16_15.xlsx&amp;sheet=A0&amp;row=734&amp;col=15&amp;number=&amp;sourceID=55","")</f>
        <v/>
      </c>
      <c r="P734" s="4" t="str">
        <f>HYPERLINK("http://141.218.60.56/~jnz1568/getInfo.php?workbook=16_15.xlsx&amp;sheet=A0&amp;row=734&amp;col=16&amp;number=&amp;sourceID=55","")</f>
        <v/>
      </c>
      <c r="Q734" s="4" t="str">
        <f>HYPERLINK("http://141.218.60.56/~jnz1568/getInfo.php?workbook=16_15.xlsx&amp;sheet=A0&amp;row=734&amp;col=17&amp;number=&amp;sourceID=56","")</f>
        <v/>
      </c>
      <c r="R734" s="4" t="str">
        <f>HYPERLINK("http://141.218.60.56/~jnz1568/getInfo.php?workbook=16_15.xlsx&amp;sheet=A0&amp;row=734&amp;col=18&amp;number=&amp;sourceID=56","")</f>
        <v/>
      </c>
      <c r="S734" s="4" t="str">
        <f>HYPERLINK("http://141.218.60.56/~jnz1568/getInfo.php?workbook=16_15.xlsx&amp;sheet=A0&amp;row=734&amp;col=19&amp;number=&amp;sourceID=57","")</f>
        <v/>
      </c>
      <c r="T734" s="4" t="str">
        <f>HYPERLINK("http://141.218.60.56/~jnz1568/getInfo.php?workbook=16_15.xlsx&amp;sheet=A0&amp;row=734&amp;col=20&amp;number=&amp;sourceID=57","")</f>
        <v/>
      </c>
      <c r="U734" s="4" t="str">
        <f>HYPERLINK("http://141.218.60.56/~jnz1568/getInfo.php?workbook=16_15.xlsx&amp;sheet=A0&amp;row=734&amp;col=21&amp;number=&amp;sourceID=47","")</f>
        <v/>
      </c>
      <c r="V734" s="4" t="str">
        <f>HYPERLINK("http://141.218.60.56/~jnz1568/getInfo.php?workbook=16_15.xlsx&amp;sheet=A0&amp;row=734&amp;col=22&amp;number=&amp;sourceID=47","")</f>
        <v/>
      </c>
    </row>
    <row r="735" spans="1:22">
      <c r="A735" s="3">
        <v>16</v>
      </c>
      <c r="B735" s="3">
        <v>15</v>
      </c>
      <c r="C735" s="3">
        <v>44</v>
      </c>
      <c r="D735" s="3">
        <v>21</v>
      </c>
      <c r="E735" s="3">
        <f>((1/(INDEX(E0!J$4:J$73,C735,1)-INDEX(E0!J$4:J$73,D735,1))))*100000000</f>
        <v>0</v>
      </c>
      <c r="F735" s="4" t="str">
        <f>HYPERLINK("http://141.218.60.56/~jnz1568/getInfo.php?workbook=16_15.xlsx&amp;sheet=A0&amp;row=735&amp;col=6&amp;number=&amp;sourceID=54","")</f>
        <v/>
      </c>
      <c r="G735" s="4" t="str">
        <f>HYPERLINK("http://141.218.60.56/~jnz1568/getInfo.php?workbook=16_15.xlsx&amp;sheet=A0&amp;row=735&amp;col=7&amp;number=0.00059527&amp;sourceID=54","0.00059527")</f>
        <v>0.00059527</v>
      </c>
      <c r="H735" s="4" t="str">
        <f>HYPERLINK("http://141.218.60.56/~jnz1568/getInfo.php?workbook=16_15.xlsx&amp;sheet=A0&amp;row=735&amp;col=8&amp;number=9.0199e-05&amp;sourceID=54","9.0199e-05")</f>
        <v>9.0199e-05</v>
      </c>
      <c r="I735" s="4" t="str">
        <f>HYPERLINK("http://141.218.60.56/~jnz1568/getInfo.php?workbook=16_15.xlsx&amp;sheet=A0&amp;row=735&amp;col=9&amp;number=&amp;sourceID=54","")</f>
        <v/>
      </c>
      <c r="J735" s="4" t="str">
        <f>HYPERLINK("http://141.218.60.56/~jnz1568/getInfo.php?workbook=16_15.xlsx&amp;sheet=A0&amp;row=735&amp;col=10&amp;number=0.00016588&amp;sourceID=54","0.00016588")</f>
        <v>0.00016588</v>
      </c>
      <c r="K735" s="4" t="str">
        <f>HYPERLINK("http://141.218.60.56/~jnz1568/getInfo.php?workbook=16_15.xlsx&amp;sheet=A0&amp;row=735&amp;col=11&amp;number=7.6193e-05&amp;sourceID=54","7.6193e-05")</f>
        <v>7.6193e-05</v>
      </c>
      <c r="L735" s="4" t="str">
        <f>HYPERLINK("http://141.218.60.56/~jnz1568/getInfo.php?workbook=16_15.xlsx&amp;sheet=A0&amp;row=735&amp;col=12&amp;number=&amp;sourceID=53","")</f>
        <v/>
      </c>
      <c r="M735" s="4" t="str">
        <f>HYPERLINK("http://141.218.60.56/~jnz1568/getInfo.php?workbook=16_15.xlsx&amp;sheet=A0&amp;row=735&amp;col=13&amp;number=&amp;sourceID=53","")</f>
        <v/>
      </c>
      <c r="N735" s="4" t="str">
        <f>HYPERLINK("http://141.218.60.56/~jnz1568/getInfo.php?workbook=16_15.xlsx&amp;sheet=A0&amp;row=735&amp;col=14&amp;number=&amp;sourceID=53","")</f>
        <v/>
      </c>
      <c r="O735" s="4" t="str">
        <f>HYPERLINK("http://141.218.60.56/~jnz1568/getInfo.php?workbook=16_15.xlsx&amp;sheet=A0&amp;row=735&amp;col=15&amp;number=&amp;sourceID=55","")</f>
        <v/>
      </c>
      <c r="P735" s="4" t="str">
        <f>HYPERLINK("http://141.218.60.56/~jnz1568/getInfo.php?workbook=16_15.xlsx&amp;sheet=A0&amp;row=735&amp;col=16&amp;number=&amp;sourceID=55","")</f>
        <v/>
      </c>
      <c r="Q735" s="4" t="str">
        <f>HYPERLINK("http://141.218.60.56/~jnz1568/getInfo.php?workbook=16_15.xlsx&amp;sheet=A0&amp;row=735&amp;col=17&amp;number=&amp;sourceID=56","")</f>
        <v/>
      </c>
      <c r="R735" s="4" t="str">
        <f>HYPERLINK("http://141.218.60.56/~jnz1568/getInfo.php?workbook=16_15.xlsx&amp;sheet=A0&amp;row=735&amp;col=18&amp;number=&amp;sourceID=56","")</f>
        <v/>
      </c>
      <c r="S735" s="4" t="str">
        <f>HYPERLINK("http://141.218.60.56/~jnz1568/getInfo.php?workbook=16_15.xlsx&amp;sheet=A0&amp;row=735&amp;col=19&amp;number=&amp;sourceID=57","")</f>
        <v/>
      </c>
      <c r="T735" s="4" t="str">
        <f>HYPERLINK("http://141.218.60.56/~jnz1568/getInfo.php?workbook=16_15.xlsx&amp;sheet=A0&amp;row=735&amp;col=20&amp;number=&amp;sourceID=57","")</f>
        <v/>
      </c>
      <c r="U735" s="4" t="str">
        <f>HYPERLINK("http://141.218.60.56/~jnz1568/getInfo.php?workbook=16_15.xlsx&amp;sheet=A0&amp;row=735&amp;col=21&amp;number=&amp;sourceID=47","")</f>
        <v/>
      </c>
      <c r="V735" s="4" t="str">
        <f>HYPERLINK("http://141.218.60.56/~jnz1568/getInfo.php?workbook=16_15.xlsx&amp;sheet=A0&amp;row=735&amp;col=22&amp;number=&amp;sourceID=47","")</f>
        <v/>
      </c>
    </row>
    <row r="736" spans="1:22">
      <c r="A736" s="3">
        <v>16</v>
      </c>
      <c r="B736" s="3">
        <v>15</v>
      </c>
      <c r="C736" s="3">
        <v>44</v>
      </c>
      <c r="D736" s="3">
        <v>22</v>
      </c>
      <c r="E736" s="3">
        <f>((1/(INDEX(E0!J$4:J$73,C736,1)-INDEX(E0!J$4:J$73,D736,1))))*100000000</f>
        <v>0</v>
      </c>
      <c r="F736" s="4" t="str">
        <f>HYPERLINK("http://141.218.60.56/~jnz1568/getInfo.php?workbook=16_15.xlsx&amp;sheet=A0&amp;row=736&amp;col=6&amp;number=&amp;sourceID=54","")</f>
        <v/>
      </c>
      <c r="G736" s="4" t="str">
        <f>HYPERLINK("http://141.218.60.56/~jnz1568/getInfo.php?workbook=16_15.xlsx&amp;sheet=A0&amp;row=736&amp;col=7&amp;number=&amp;sourceID=54","")</f>
        <v/>
      </c>
      <c r="H736" s="4" t="str">
        <f>HYPERLINK("http://141.218.60.56/~jnz1568/getInfo.php?workbook=16_15.xlsx&amp;sheet=A0&amp;row=736&amp;col=8&amp;number=0.025361&amp;sourceID=54","0.025361")</f>
        <v>0.025361</v>
      </c>
      <c r="I736" s="4" t="str">
        <f>HYPERLINK("http://141.218.60.56/~jnz1568/getInfo.php?workbook=16_15.xlsx&amp;sheet=A0&amp;row=736&amp;col=9&amp;number=&amp;sourceID=54","")</f>
        <v/>
      </c>
      <c r="J736" s="4" t="str">
        <f>HYPERLINK("http://141.218.60.56/~jnz1568/getInfo.php?workbook=16_15.xlsx&amp;sheet=A0&amp;row=736&amp;col=10&amp;number=&amp;sourceID=54","")</f>
        <v/>
      </c>
      <c r="K736" s="4" t="str">
        <f>HYPERLINK("http://141.218.60.56/~jnz1568/getInfo.php?workbook=16_15.xlsx&amp;sheet=A0&amp;row=736&amp;col=11&amp;number=0.021242&amp;sourceID=54","0.021242")</f>
        <v>0.021242</v>
      </c>
      <c r="L736" s="4" t="str">
        <f>HYPERLINK("http://141.218.60.56/~jnz1568/getInfo.php?workbook=16_15.xlsx&amp;sheet=A0&amp;row=736&amp;col=12&amp;number=&amp;sourceID=53","")</f>
        <v/>
      </c>
      <c r="M736" s="4" t="str">
        <f>HYPERLINK("http://141.218.60.56/~jnz1568/getInfo.php?workbook=16_15.xlsx&amp;sheet=A0&amp;row=736&amp;col=13&amp;number=&amp;sourceID=53","")</f>
        <v/>
      </c>
      <c r="N736" s="4" t="str">
        <f>HYPERLINK("http://141.218.60.56/~jnz1568/getInfo.php?workbook=16_15.xlsx&amp;sheet=A0&amp;row=736&amp;col=14&amp;number=&amp;sourceID=53","")</f>
        <v/>
      </c>
      <c r="O736" s="4" t="str">
        <f>HYPERLINK("http://141.218.60.56/~jnz1568/getInfo.php?workbook=16_15.xlsx&amp;sheet=A0&amp;row=736&amp;col=15&amp;number=&amp;sourceID=55","")</f>
        <v/>
      </c>
      <c r="P736" s="4" t="str">
        <f>HYPERLINK("http://141.218.60.56/~jnz1568/getInfo.php?workbook=16_15.xlsx&amp;sheet=A0&amp;row=736&amp;col=16&amp;number=&amp;sourceID=55","")</f>
        <v/>
      </c>
      <c r="Q736" s="4" t="str">
        <f>HYPERLINK("http://141.218.60.56/~jnz1568/getInfo.php?workbook=16_15.xlsx&amp;sheet=A0&amp;row=736&amp;col=17&amp;number=&amp;sourceID=56","")</f>
        <v/>
      </c>
      <c r="R736" s="4" t="str">
        <f>HYPERLINK("http://141.218.60.56/~jnz1568/getInfo.php?workbook=16_15.xlsx&amp;sheet=A0&amp;row=736&amp;col=18&amp;number=&amp;sourceID=56","")</f>
        <v/>
      </c>
      <c r="S736" s="4" t="str">
        <f>HYPERLINK("http://141.218.60.56/~jnz1568/getInfo.php?workbook=16_15.xlsx&amp;sheet=A0&amp;row=736&amp;col=19&amp;number=&amp;sourceID=57","")</f>
        <v/>
      </c>
      <c r="T736" s="4" t="str">
        <f>HYPERLINK("http://141.218.60.56/~jnz1568/getInfo.php?workbook=16_15.xlsx&amp;sheet=A0&amp;row=736&amp;col=20&amp;number=&amp;sourceID=57","")</f>
        <v/>
      </c>
      <c r="U736" s="4" t="str">
        <f>HYPERLINK("http://141.218.60.56/~jnz1568/getInfo.php?workbook=16_15.xlsx&amp;sheet=A0&amp;row=736&amp;col=21&amp;number=&amp;sourceID=47","")</f>
        <v/>
      </c>
      <c r="V736" s="4" t="str">
        <f>HYPERLINK("http://141.218.60.56/~jnz1568/getInfo.php?workbook=16_15.xlsx&amp;sheet=A0&amp;row=736&amp;col=22&amp;number=&amp;sourceID=47","")</f>
        <v/>
      </c>
    </row>
    <row r="737" spans="1:22">
      <c r="A737" s="3">
        <v>16</v>
      </c>
      <c r="B737" s="3">
        <v>15</v>
      </c>
      <c r="C737" s="3">
        <v>44</v>
      </c>
      <c r="D737" s="3">
        <v>23</v>
      </c>
      <c r="E737" s="3">
        <f>((1/(INDEX(E0!J$4:J$73,C737,1)-INDEX(E0!J$4:J$73,D737,1))))*100000000</f>
        <v>0</v>
      </c>
      <c r="F737" s="4" t="str">
        <f>HYPERLINK("http://141.218.60.56/~jnz1568/getInfo.php?workbook=16_15.xlsx&amp;sheet=A0&amp;row=737&amp;col=6&amp;number=&amp;sourceID=54","")</f>
        <v/>
      </c>
      <c r="G737" s="4" t="str">
        <f>HYPERLINK("http://141.218.60.56/~jnz1568/getInfo.php?workbook=16_15.xlsx&amp;sheet=A0&amp;row=737&amp;col=7&amp;number=1.1912&amp;sourceID=54","1.1912")</f>
        <v>1.1912</v>
      </c>
      <c r="H737" s="4" t="str">
        <f>HYPERLINK("http://141.218.60.56/~jnz1568/getInfo.php?workbook=16_15.xlsx&amp;sheet=A0&amp;row=737&amp;col=8&amp;number=0.0018292&amp;sourceID=54","0.0018292")</f>
        <v>0.0018292</v>
      </c>
      <c r="I737" s="4" t="str">
        <f>HYPERLINK("http://141.218.60.56/~jnz1568/getInfo.php?workbook=16_15.xlsx&amp;sheet=A0&amp;row=737&amp;col=9&amp;number=&amp;sourceID=54","")</f>
        <v/>
      </c>
      <c r="J737" s="4" t="str">
        <f>HYPERLINK("http://141.218.60.56/~jnz1568/getInfo.php?workbook=16_15.xlsx&amp;sheet=A0&amp;row=737&amp;col=10&amp;number=0.97764&amp;sourceID=54","0.97764")</f>
        <v>0.97764</v>
      </c>
      <c r="K737" s="4" t="str">
        <f>HYPERLINK("http://141.218.60.56/~jnz1568/getInfo.php?workbook=16_15.xlsx&amp;sheet=A0&amp;row=737&amp;col=11&amp;number=0.00098205&amp;sourceID=54","0.00098205")</f>
        <v>0.00098205</v>
      </c>
      <c r="L737" s="4" t="str">
        <f>HYPERLINK("http://141.218.60.56/~jnz1568/getInfo.php?workbook=16_15.xlsx&amp;sheet=A0&amp;row=737&amp;col=12&amp;number=&amp;sourceID=53","")</f>
        <v/>
      </c>
      <c r="M737" s="4" t="str">
        <f>HYPERLINK("http://141.218.60.56/~jnz1568/getInfo.php?workbook=16_15.xlsx&amp;sheet=A0&amp;row=737&amp;col=13&amp;number=&amp;sourceID=53","")</f>
        <v/>
      </c>
      <c r="N737" s="4" t="str">
        <f>HYPERLINK("http://141.218.60.56/~jnz1568/getInfo.php?workbook=16_15.xlsx&amp;sheet=A0&amp;row=737&amp;col=14&amp;number=&amp;sourceID=53","")</f>
        <v/>
      </c>
      <c r="O737" s="4" t="str">
        <f>HYPERLINK("http://141.218.60.56/~jnz1568/getInfo.php?workbook=16_15.xlsx&amp;sheet=A0&amp;row=737&amp;col=15&amp;number=&amp;sourceID=55","")</f>
        <v/>
      </c>
      <c r="P737" s="4" t="str">
        <f>HYPERLINK("http://141.218.60.56/~jnz1568/getInfo.php?workbook=16_15.xlsx&amp;sheet=A0&amp;row=737&amp;col=16&amp;number=&amp;sourceID=55","")</f>
        <v/>
      </c>
      <c r="Q737" s="4" t="str">
        <f>HYPERLINK("http://141.218.60.56/~jnz1568/getInfo.php?workbook=16_15.xlsx&amp;sheet=A0&amp;row=737&amp;col=17&amp;number=&amp;sourceID=56","")</f>
        <v/>
      </c>
      <c r="R737" s="4" t="str">
        <f>HYPERLINK("http://141.218.60.56/~jnz1568/getInfo.php?workbook=16_15.xlsx&amp;sheet=A0&amp;row=737&amp;col=18&amp;number=&amp;sourceID=56","")</f>
        <v/>
      </c>
      <c r="S737" s="4" t="str">
        <f>HYPERLINK("http://141.218.60.56/~jnz1568/getInfo.php?workbook=16_15.xlsx&amp;sheet=A0&amp;row=737&amp;col=19&amp;number=&amp;sourceID=57","")</f>
        <v/>
      </c>
      <c r="T737" s="4" t="str">
        <f>HYPERLINK("http://141.218.60.56/~jnz1568/getInfo.php?workbook=16_15.xlsx&amp;sheet=A0&amp;row=737&amp;col=20&amp;number=&amp;sourceID=57","")</f>
        <v/>
      </c>
      <c r="U737" s="4" t="str">
        <f>HYPERLINK("http://141.218.60.56/~jnz1568/getInfo.php?workbook=16_15.xlsx&amp;sheet=A0&amp;row=737&amp;col=21&amp;number=&amp;sourceID=47","")</f>
        <v/>
      </c>
      <c r="V737" s="4" t="str">
        <f>HYPERLINK("http://141.218.60.56/~jnz1568/getInfo.php?workbook=16_15.xlsx&amp;sheet=A0&amp;row=737&amp;col=22&amp;number=&amp;sourceID=47","")</f>
        <v/>
      </c>
    </row>
    <row r="738" spans="1:22">
      <c r="A738" s="3">
        <v>16</v>
      </c>
      <c r="B738" s="3">
        <v>15</v>
      </c>
      <c r="C738" s="3">
        <v>44</v>
      </c>
      <c r="D738" s="3">
        <v>24</v>
      </c>
      <c r="E738" s="3">
        <f>((1/(INDEX(E0!J$4:J$73,C738,1)-INDEX(E0!J$4:J$73,D738,1))))*100000000</f>
        <v>0</v>
      </c>
      <c r="F738" s="4" t="str">
        <f>HYPERLINK("http://141.218.60.56/~jnz1568/getInfo.php?workbook=16_15.xlsx&amp;sheet=A0&amp;row=738&amp;col=6&amp;number=&amp;sourceID=54","")</f>
        <v/>
      </c>
      <c r="G738" s="4" t="str">
        <f>HYPERLINK("http://141.218.60.56/~jnz1568/getInfo.php?workbook=16_15.xlsx&amp;sheet=A0&amp;row=738&amp;col=7&amp;number=2.7593&amp;sourceID=54","2.7593")</f>
        <v>2.7593</v>
      </c>
      <c r="H738" s="4" t="str">
        <f>HYPERLINK("http://141.218.60.56/~jnz1568/getInfo.php?workbook=16_15.xlsx&amp;sheet=A0&amp;row=738&amp;col=8&amp;number=&amp;sourceID=54","")</f>
        <v/>
      </c>
      <c r="I738" s="4" t="str">
        <f>HYPERLINK("http://141.218.60.56/~jnz1568/getInfo.php?workbook=16_15.xlsx&amp;sheet=A0&amp;row=738&amp;col=9&amp;number=&amp;sourceID=54","")</f>
        <v/>
      </c>
      <c r="J738" s="4" t="str">
        <f>HYPERLINK("http://141.218.60.56/~jnz1568/getInfo.php?workbook=16_15.xlsx&amp;sheet=A0&amp;row=738&amp;col=10&amp;number=2.2207&amp;sourceID=54","2.2207")</f>
        <v>2.2207</v>
      </c>
      <c r="K738" s="4" t="str">
        <f>HYPERLINK("http://141.218.60.56/~jnz1568/getInfo.php?workbook=16_15.xlsx&amp;sheet=A0&amp;row=738&amp;col=11&amp;number=&amp;sourceID=54","")</f>
        <v/>
      </c>
      <c r="L738" s="4" t="str">
        <f>HYPERLINK("http://141.218.60.56/~jnz1568/getInfo.php?workbook=16_15.xlsx&amp;sheet=A0&amp;row=738&amp;col=12&amp;number=&amp;sourceID=53","")</f>
        <v/>
      </c>
      <c r="M738" s="4" t="str">
        <f>HYPERLINK("http://141.218.60.56/~jnz1568/getInfo.php?workbook=16_15.xlsx&amp;sheet=A0&amp;row=738&amp;col=13&amp;number=&amp;sourceID=53","")</f>
        <v/>
      </c>
      <c r="N738" s="4" t="str">
        <f>HYPERLINK("http://141.218.60.56/~jnz1568/getInfo.php?workbook=16_15.xlsx&amp;sheet=A0&amp;row=738&amp;col=14&amp;number=&amp;sourceID=53","")</f>
        <v/>
      </c>
      <c r="O738" s="4" t="str">
        <f>HYPERLINK("http://141.218.60.56/~jnz1568/getInfo.php?workbook=16_15.xlsx&amp;sheet=A0&amp;row=738&amp;col=15&amp;number=&amp;sourceID=55","")</f>
        <v/>
      </c>
      <c r="P738" s="4" t="str">
        <f>HYPERLINK("http://141.218.60.56/~jnz1568/getInfo.php?workbook=16_15.xlsx&amp;sheet=A0&amp;row=738&amp;col=16&amp;number=&amp;sourceID=55","")</f>
        <v/>
      </c>
      <c r="Q738" s="4" t="str">
        <f>HYPERLINK("http://141.218.60.56/~jnz1568/getInfo.php?workbook=16_15.xlsx&amp;sheet=A0&amp;row=738&amp;col=17&amp;number=&amp;sourceID=56","")</f>
        <v/>
      </c>
      <c r="R738" s="4" t="str">
        <f>HYPERLINK("http://141.218.60.56/~jnz1568/getInfo.php?workbook=16_15.xlsx&amp;sheet=A0&amp;row=738&amp;col=18&amp;number=&amp;sourceID=56","")</f>
        <v/>
      </c>
      <c r="S738" s="4" t="str">
        <f>HYPERLINK("http://141.218.60.56/~jnz1568/getInfo.php?workbook=16_15.xlsx&amp;sheet=A0&amp;row=738&amp;col=19&amp;number=&amp;sourceID=57","")</f>
        <v/>
      </c>
      <c r="T738" s="4" t="str">
        <f>HYPERLINK("http://141.218.60.56/~jnz1568/getInfo.php?workbook=16_15.xlsx&amp;sheet=A0&amp;row=738&amp;col=20&amp;number=&amp;sourceID=57","")</f>
        <v/>
      </c>
      <c r="U738" s="4" t="str">
        <f>HYPERLINK("http://141.218.60.56/~jnz1568/getInfo.php?workbook=16_15.xlsx&amp;sheet=A0&amp;row=738&amp;col=21&amp;number=&amp;sourceID=47","")</f>
        <v/>
      </c>
      <c r="V738" s="4" t="str">
        <f>HYPERLINK("http://141.218.60.56/~jnz1568/getInfo.php?workbook=16_15.xlsx&amp;sheet=A0&amp;row=738&amp;col=22&amp;number=&amp;sourceID=47","")</f>
        <v/>
      </c>
    </row>
    <row r="739" spans="1:22">
      <c r="A739" s="3">
        <v>16</v>
      </c>
      <c r="B739" s="3">
        <v>15</v>
      </c>
      <c r="C739" s="3">
        <v>44</v>
      </c>
      <c r="D739" s="3">
        <v>26</v>
      </c>
      <c r="E739" s="3">
        <f>((1/(INDEX(E0!J$4:J$73,C739,1)-INDEX(E0!J$4:J$73,D739,1))))*100000000</f>
        <v>0</v>
      </c>
      <c r="F739" s="4" t="str">
        <f>HYPERLINK("http://141.218.60.56/~jnz1568/getInfo.php?workbook=16_15.xlsx&amp;sheet=A0&amp;row=739&amp;col=6&amp;number=&amp;sourceID=54","")</f>
        <v/>
      </c>
      <c r="G739" s="4" t="str">
        <f>HYPERLINK("http://141.218.60.56/~jnz1568/getInfo.php?workbook=16_15.xlsx&amp;sheet=A0&amp;row=739&amp;col=7&amp;number=0.030535&amp;sourceID=54","0.030535")</f>
        <v>0.030535</v>
      </c>
      <c r="H739" s="4" t="str">
        <f>HYPERLINK("http://141.218.60.56/~jnz1568/getInfo.php?workbook=16_15.xlsx&amp;sheet=A0&amp;row=739&amp;col=8&amp;number=&amp;sourceID=54","")</f>
        <v/>
      </c>
      <c r="I739" s="4" t="str">
        <f>HYPERLINK("http://141.218.60.56/~jnz1568/getInfo.php?workbook=16_15.xlsx&amp;sheet=A0&amp;row=739&amp;col=9&amp;number=&amp;sourceID=54","")</f>
        <v/>
      </c>
      <c r="J739" s="4" t="str">
        <f>HYPERLINK("http://141.218.60.56/~jnz1568/getInfo.php?workbook=16_15.xlsx&amp;sheet=A0&amp;row=739&amp;col=10&amp;number=0.073374&amp;sourceID=54","0.073374")</f>
        <v>0.073374</v>
      </c>
      <c r="K739" s="4" t="str">
        <f>HYPERLINK("http://141.218.60.56/~jnz1568/getInfo.php?workbook=16_15.xlsx&amp;sheet=A0&amp;row=739&amp;col=11&amp;number=&amp;sourceID=54","")</f>
        <v/>
      </c>
      <c r="L739" s="4" t="str">
        <f>HYPERLINK("http://141.218.60.56/~jnz1568/getInfo.php?workbook=16_15.xlsx&amp;sheet=A0&amp;row=739&amp;col=12&amp;number=&amp;sourceID=53","")</f>
        <v/>
      </c>
      <c r="M739" s="4" t="str">
        <f>HYPERLINK("http://141.218.60.56/~jnz1568/getInfo.php?workbook=16_15.xlsx&amp;sheet=A0&amp;row=739&amp;col=13&amp;number=&amp;sourceID=53","")</f>
        <v/>
      </c>
      <c r="N739" s="4" t="str">
        <f>HYPERLINK("http://141.218.60.56/~jnz1568/getInfo.php?workbook=16_15.xlsx&amp;sheet=A0&amp;row=739&amp;col=14&amp;number=&amp;sourceID=53","")</f>
        <v/>
      </c>
      <c r="O739" s="4" t="str">
        <f>HYPERLINK("http://141.218.60.56/~jnz1568/getInfo.php?workbook=16_15.xlsx&amp;sheet=A0&amp;row=739&amp;col=15&amp;number=&amp;sourceID=55","")</f>
        <v/>
      </c>
      <c r="P739" s="4" t="str">
        <f>HYPERLINK("http://141.218.60.56/~jnz1568/getInfo.php?workbook=16_15.xlsx&amp;sheet=A0&amp;row=739&amp;col=16&amp;number=&amp;sourceID=55","")</f>
        <v/>
      </c>
      <c r="Q739" s="4" t="str">
        <f>HYPERLINK("http://141.218.60.56/~jnz1568/getInfo.php?workbook=16_15.xlsx&amp;sheet=A0&amp;row=739&amp;col=17&amp;number=&amp;sourceID=56","")</f>
        <v/>
      </c>
      <c r="R739" s="4" t="str">
        <f>HYPERLINK("http://141.218.60.56/~jnz1568/getInfo.php?workbook=16_15.xlsx&amp;sheet=A0&amp;row=739&amp;col=18&amp;number=&amp;sourceID=56","")</f>
        <v/>
      </c>
      <c r="S739" s="4" t="str">
        <f>HYPERLINK("http://141.218.60.56/~jnz1568/getInfo.php?workbook=16_15.xlsx&amp;sheet=A0&amp;row=739&amp;col=19&amp;number=&amp;sourceID=57","")</f>
        <v/>
      </c>
      <c r="T739" s="4" t="str">
        <f>HYPERLINK("http://141.218.60.56/~jnz1568/getInfo.php?workbook=16_15.xlsx&amp;sheet=A0&amp;row=739&amp;col=20&amp;number=&amp;sourceID=57","")</f>
        <v/>
      </c>
      <c r="U739" s="4" t="str">
        <f>HYPERLINK("http://141.218.60.56/~jnz1568/getInfo.php?workbook=16_15.xlsx&amp;sheet=A0&amp;row=739&amp;col=21&amp;number=&amp;sourceID=47","")</f>
        <v/>
      </c>
      <c r="V739" s="4" t="str">
        <f>HYPERLINK("http://141.218.60.56/~jnz1568/getInfo.php?workbook=16_15.xlsx&amp;sheet=A0&amp;row=739&amp;col=22&amp;number=&amp;sourceID=47","")</f>
        <v/>
      </c>
    </row>
    <row r="740" spans="1:22">
      <c r="A740" s="3">
        <v>16</v>
      </c>
      <c r="B740" s="3">
        <v>15</v>
      </c>
      <c r="C740" s="3">
        <v>44</v>
      </c>
      <c r="D740" s="3">
        <v>28</v>
      </c>
      <c r="E740" s="3">
        <f>((1/(INDEX(E0!J$4:J$73,C740,1)-INDEX(E0!J$4:J$73,D740,1))))*100000000</f>
        <v>0</v>
      </c>
      <c r="F740" s="4" t="str">
        <f>HYPERLINK("http://141.218.60.56/~jnz1568/getInfo.php?workbook=16_15.xlsx&amp;sheet=A0&amp;row=740&amp;col=6&amp;number=&amp;sourceID=54","")</f>
        <v/>
      </c>
      <c r="G740" s="4" t="str">
        <f>HYPERLINK("http://141.218.60.56/~jnz1568/getInfo.php?workbook=16_15.xlsx&amp;sheet=A0&amp;row=740&amp;col=7&amp;number=&amp;sourceID=54","")</f>
        <v/>
      </c>
      <c r="H740" s="4" t="str">
        <f>HYPERLINK("http://141.218.60.56/~jnz1568/getInfo.php?workbook=16_15.xlsx&amp;sheet=A0&amp;row=740&amp;col=8&amp;number=1.7926e-05&amp;sourceID=54","1.7926e-05")</f>
        <v>1.7926e-05</v>
      </c>
      <c r="I740" s="4" t="str">
        <f>HYPERLINK("http://141.218.60.56/~jnz1568/getInfo.php?workbook=16_15.xlsx&amp;sheet=A0&amp;row=740&amp;col=9&amp;number=&amp;sourceID=54","")</f>
        <v/>
      </c>
      <c r="J740" s="4" t="str">
        <f>HYPERLINK("http://141.218.60.56/~jnz1568/getInfo.php?workbook=16_15.xlsx&amp;sheet=A0&amp;row=740&amp;col=10&amp;number=&amp;sourceID=54","")</f>
        <v/>
      </c>
      <c r="K740" s="4" t="str">
        <f>HYPERLINK("http://141.218.60.56/~jnz1568/getInfo.php?workbook=16_15.xlsx&amp;sheet=A0&amp;row=740&amp;col=11&amp;number=1.0021e-06&amp;sourceID=54","1.0021e-06")</f>
        <v>1.0021e-06</v>
      </c>
      <c r="L740" s="4" t="str">
        <f>HYPERLINK("http://141.218.60.56/~jnz1568/getInfo.php?workbook=16_15.xlsx&amp;sheet=A0&amp;row=740&amp;col=12&amp;number=&amp;sourceID=53","")</f>
        <v/>
      </c>
      <c r="M740" s="4" t="str">
        <f>HYPERLINK("http://141.218.60.56/~jnz1568/getInfo.php?workbook=16_15.xlsx&amp;sheet=A0&amp;row=740&amp;col=13&amp;number=&amp;sourceID=53","")</f>
        <v/>
      </c>
      <c r="N740" s="4" t="str">
        <f>HYPERLINK("http://141.218.60.56/~jnz1568/getInfo.php?workbook=16_15.xlsx&amp;sheet=A0&amp;row=740&amp;col=14&amp;number=&amp;sourceID=53","")</f>
        <v/>
      </c>
      <c r="O740" s="4" t="str">
        <f>HYPERLINK("http://141.218.60.56/~jnz1568/getInfo.php?workbook=16_15.xlsx&amp;sheet=A0&amp;row=740&amp;col=15&amp;number=&amp;sourceID=55","")</f>
        <v/>
      </c>
      <c r="P740" s="4" t="str">
        <f>HYPERLINK("http://141.218.60.56/~jnz1568/getInfo.php?workbook=16_15.xlsx&amp;sheet=A0&amp;row=740&amp;col=16&amp;number=&amp;sourceID=55","")</f>
        <v/>
      </c>
      <c r="Q740" s="4" t="str">
        <f>HYPERLINK("http://141.218.60.56/~jnz1568/getInfo.php?workbook=16_15.xlsx&amp;sheet=A0&amp;row=740&amp;col=17&amp;number=&amp;sourceID=56","")</f>
        <v/>
      </c>
      <c r="R740" s="4" t="str">
        <f>HYPERLINK("http://141.218.60.56/~jnz1568/getInfo.php?workbook=16_15.xlsx&amp;sheet=A0&amp;row=740&amp;col=18&amp;number=&amp;sourceID=56","")</f>
        <v/>
      </c>
      <c r="S740" s="4" t="str">
        <f>HYPERLINK("http://141.218.60.56/~jnz1568/getInfo.php?workbook=16_15.xlsx&amp;sheet=A0&amp;row=740&amp;col=19&amp;number=&amp;sourceID=57","")</f>
        <v/>
      </c>
      <c r="T740" s="4" t="str">
        <f>HYPERLINK("http://141.218.60.56/~jnz1568/getInfo.php?workbook=16_15.xlsx&amp;sheet=A0&amp;row=740&amp;col=20&amp;number=&amp;sourceID=57","")</f>
        <v/>
      </c>
      <c r="U740" s="4" t="str">
        <f>HYPERLINK("http://141.218.60.56/~jnz1568/getInfo.php?workbook=16_15.xlsx&amp;sheet=A0&amp;row=740&amp;col=21&amp;number=&amp;sourceID=47","")</f>
        <v/>
      </c>
      <c r="V740" s="4" t="str">
        <f>HYPERLINK("http://141.218.60.56/~jnz1568/getInfo.php?workbook=16_15.xlsx&amp;sheet=A0&amp;row=740&amp;col=22&amp;number=&amp;sourceID=47","")</f>
        <v/>
      </c>
    </row>
    <row r="741" spans="1:22">
      <c r="A741" s="3">
        <v>16</v>
      </c>
      <c r="B741" s="3">
        <v>15</v>
      </c>
      <c r="C741" s="3">
        <v>44</v>
      </c>
      <c r="D741" s="3">
        <v>29</v>
      </c>
      <c r="E741" s="3">
        <f>((1/(INDEX(E0!J$4:J$73,C741,1)-INDEX(E0!J$4:J$73,D741,1))))*100000000</f>
        <v>0</v>
      </c>
      <c r="F741" s="4" t="str">
        <f>HYPERLINK("http://141.218.60.56/~jnz1568/getInfo.php?workbook=16_15.xlsx&amp;sheet=A0&amp;row=741&amp;col=6&amp;number=&amp;sourceID=54","")</f>
        <v/>
      </c>
      <c r="G741" s="4" t="str">
        <f>HYPERLINK("http://141.218.60.56/~jnz1568/getInfo.php?workbook=16_15.xlsx&amp;sheet=A0&amp;row=741&amp;col=7&amp;number=4.9145e-05&amp;sourceID=54","4.9145e-05")</f>
        <v>4.9145e-05</v>
      </c>
      <c r="H741" s="4" t="str">
        <f>HYPERLINK("http://141.218.60.56/~jnz1568/getInfo.php?workbook=16_15.xlsx&amp;sheet=A0&amp;row=741&amp;col=8&amp;number=0.00013434&amp;sourceID=54","0.00013434")</f>
        <v>0.00013434</v>
      </c>
      <c r="I741" s="4" t="str">
        <f>HYPERLINK("http://141.218.60.56/~jnz1568/getInfo.php?workbook=16_15.xlsx&amp;sheet=A0&amp;row=741&amp;col=9&amp;number=&amp;sourceID=54","")</f>
        <v/>
      </c>
      <c r="J741" s="4" t="str">
        <f>HYPERLINK("http://141.218.60.56/~jnz1568/getInfo.php?workbook=16_15.xlsx&amp;sheet=A0&amp;row=741&amp;col=10&amp;number=2.6671e-05&amp;sourceID=54","2.6671e-05")</f>
        <v>2.6671e-05</v>
      </c>
      <c r="K741" s="4" t="str">
        <f>HYPERLINK("http://141.218.60.56/~jnz1568/getInfo.php?workbook=16_15.xlsx&amp;sheet=A0&amp;row=741&amp;col=11&amp;number=9.7771e-05&amp;sourceID=54","9.7771e-05")</f>
        <v>9.7771e-05</v>
      </c>
      <c r="L741" s="4" t="str">
        <f>HYPERLINK("http://141.218.60.56/~jnz1568/getInfo.php?workbook=16_15.xlsx&amp;sheet=A0&amp;row=741&amp;col=12&amp;number=&amp;sourceID=53","")</f>
        <v/>
      </c>
      <c r="M741" s="4" t="str">
        <f>HYPERLINK("http://141.218.60.56/~jnz1568/getInfo.php?workbook=16_15.xlsx&amp;sheet=A0&amp;row=741&amp;col=13&amp;number=&amp;sourceID=53","")</f>
        <v/>
      </c>
      <c r="N741" s="4" t="str">
        <f>HYPERLINK("http://141.218.60.56/~jnz1568/getInfo.php?workbook=16_15.xlsx&amp;sheet=A0&amp;row=741&amp;col=14&amp;number=&amp;sourceID=53","")</f>
        <v/>
      </c>
      <c r="O741" s="4" t="str">
        <f>HYPERLINK("http://141.218.60.56/~jnz1568/getInfo.php?workbook=16_15.xlsx&amp;sheet=A0&amp;row=741&amp;col=15&amp;number=&amp;sourceID=55","")</f>
        <v/>
      </c>
      <c r="P741" s="4" t="str">
        <f>HYPERLINK("http://141.218.60.56/~jnz1568/getInfo.php?workbook=16_15.xlsx&amp;sheet=A0&amp;row=741&amp;col=16&amp;number=&amp;sourceID=55","")</f>
        <v/>
      </c>
      <c r="Q741" s="4" t="str">
        <f>HYPERLINK("http://141.218.60.56/~jnz1568/getInfo.php?workbook=16_15.xlsx&amp;sheet=A0&amp;row=741&amp;col=17&amp;number=&amp;sourceID=56","")</f>
        <v/>
      </c>
      <c r="R741" s="4" t="str">
        <f>HYPERLINK("http://141.218.60.56/~jnz1568/getInfo.php?workbook=16_15.xlsx&amp;sheet=A0&amp;row=741&amp;col=18&amp;number=&amp;sourceID=56","")</f>
        <v/>
      </c>
      <c r="S741" s="4" t="str">
        <f>HYPERLINK("http://141.218.60.56/~jnz1568/getInfo.php?workbook=16_15.xlsx&amp;sheet=A0&amp;row=741&amp;col=19&amp;number=&amp;sourceID=57","")</f>
        <v/>
      </c>
      <c r="T741" s="4" t="str">
        <f>HYPERLINK("http://141.218.60.56/~jnz1568/getInfo.php?workbook=16_15.xlsx&amp;sheet=A0&amp;row=741&amp;col=20&amp;number=&amp;sourceID=57","")</f>
        <v/>
      </c>
      <c r="U741" s="4" t="str">
        <f>HYPERLINK("http://141.218.60.56/~jnz1568/getInfo.php?workbook=16_15.xlsx&amp;sheet=A0&amp;row=741&amp;col=21&amp;number=&amp;sourceID=47","")</f>
        <v/>
      </c>
      <c r="V741" s="4" t="str">
        <f>HYPERLINK("http://141.218.60.56/~jnz1568/getInfo.php?workbook=16_15.xlsx&amp;sheet=A0&amp;row=741&amp;col=22&amp;number=&amp;sourceID=47","")</f>
        <v/>
      </c>
    </row>
    <row r="742" spans="1:22">
      <c r="A742" s="3">
        <v>16</v>
      </c>
      <c r="B742" s="3">
        <v>15</v>
      </c>
      <c r="C742" s="3">
        <v>44</v>
      </c>
      <c r="D742" s="3">
        <v>30</v>
      </c>
      <c r="E742" s="3">
        <f>((1/(INDEX(E0!J$4:J$73,C742,1)-INDEX(E0!J$4:J$73,D742,1))))*100000000</f>
        <v>0</v>
      </c>
      <c r="F742" s="4" t="str">
        <f>HYPERLINK("http://141.218.60.56/~jnz1568/getInfo.php?workbook=16_15.xlsx&amp;sheet=A0&amp;row=742&amp;col=6&amp;number=&amp;sourceID=54","")</f>
        <v/>
      </c>
      <c r="G742" s="4" t="str">
        <f>HYPERLINK("http://141.218.60.56/~jnz1568/getInfo.php?workbook=16_15.xlsx&amp;sheet=A0&amp;row=742&amp;col=7&amp;number=7.9522e-05&amp;sourceID=54","7.9522e-05")</f>
        <v>7.9522e-05</v>
      </c>
      <c r="H742" s="4" t="str">
        <f>HYPERLINK("http://141.218.60.56/~jnz1568/getInfo.php?workbook=16_15.xlsx&amp;sheet=A0&amp;row=742&amp;col=8&amp;number=&amp;sourceID=54","")</f>
        <v/>
      </c>
      <c r="I742" s="4" t="str">
        <f>HYPERLINK("http://141.218.60.56/~jnz1568/getInfo.php?workbook=16_15.xlsx&amp;sheet=A0&amp;row=742&amp;col=9&amp;number=&amp;sourceID=54","")</f>
        <v/>
      </c>
      <c r="J742" s="4" t="str">
        <f>HYPERLINK("http://141.218.60.56/~jnz1568/getInfo.php?workbook=16_15.xlsx&amp;sheet=A0&amp;row=742&amp;col=10&amp;number=8.1125e-05&amp;sourceID=54","8.1125e-05")</f>
        <v>8.1125e-05</v>
      </c>
      <c r="K742" s="4" t="str">
        <f>HYPERLINK("http://141.218.60.56/~jnz1568/getInfo.php?workbook=16_15.xlsx&amp;sheet=A0&amp;row=742&amp;col=11&amp;number=&amp;sourceID=54","")</f>
        <v/>
      </c>
      <c r="L742" s="4" t="str">
        <f>HYPERLINK("http://141.218.60.56/~jnz1568/getInfo.php?workbook=16_15.xlsx&amp;sheet=A0&amp;row=742&amp;col=12&amp;number=&amp;sourceID=53","")</f>
        <v/>
      </c>
      <c r="M742" s="4" t="str">
        <f>HYPERLINK("http://141.218.60.56/~jnz1568/getInfo.php?workbook=16_15.xlsx&amp;sheet=A0&amp;row=742&amp;col=13&amp;number=&amp;sourceID=53","")</f>
        <v/>
      </c>
      <c r="N742" s="4" t="str">
        <f>HYPERLINK("http://141.218.60.56/~jnz1568/getInfo.php?workbook=16_15.xlsx&amp;sheet=A0&amp;row=742&amp;col=14&amp;number=&amp;sourceID=53","")</f>
        <v/>
      </c>
      <c r="O742" s="4" t="str">
        <f>HYPERLINK("http://141.218.60.56/~jnz1568/getInfo.php?workbook=16_15.xlsx&amp;sheet=A0&amp;row=742&amp;col=15&amp;number=&amp;sourceID=55","")</f>
        <v/>
      </c>
      <c r="P742" s="4" t="str">
        <f>HYPERLINK("http://141.218.60.56/~jnz1568/getInfo.php?workbook=16_15.xlsx&amp;sheet=A0&amp;row=742&amp;col=16&amp;number=&amp;sourceID=55","")</f>
        <v/>
      </c>
      <c r="Q742" s="4" t="str">
        <f>HYPERLINK("http://141.218.60.56/~jnz1568/getInfo.php?workbook=16_15.xlsx&amp;sheet=A0&amp;row=742&amp;col=17&amp;number=&amp;sourceID=56","")</f>
        <v/>
      </c>
      <c r="R742" s="4" t="str">
        <f>HYPERLINK("http://141.218.60.56/~jnz1568/getInfo.php?workbook=16_15.xlsx&amp;sheet=A0&amp;row=742&amp;col=18&amp;number=&amp;sourceID=56","")</f>
        <v/>
      </c>
      <c r="S742" s="4" t="str">
        <f>HYPERLINK("http://141.218.60.56/~jnz1568/getInfo.php?workbook=16_15.xlsx&amp;sheet=A0&amp;row=742&amp;col=19&amp;number=&amp;sourceID=57","")</f>
        <v/>
      </c>
      <c r="T742" s="4" t="str">
        <f>HYPERLINK("http://141.218.60.56/~jnz1568/getInfo.php?workbook=16_15.xlsx&amp;sheet=A0&amp;row=742&amp;col=20&amp;number=&amp;sourceID=57","")</f>
        <v/>
      </c>
      <c r="U742" s="4" t="str">
        <f>HYPERLINK("http://141.218.60.56/~jnz1568/getInfo.php?workbook=16_15.xlsx&amp;sheet=A0&amp;row=742&amp;col=21&amp;number=&amp;sourceID=47","")</f>
        <v/>
      </c>
      <c r="V742" s="4" t="str">
        <f>HYPERLINK("http://141.218.60.56/~jnz1568/getInfo.php?workbook=16_15.xlsx&amp;sheet=A0&amp;row=742&amp;col=22&amp;number=&amp;sourceID=47","")</f>
        <v/>
      </c>
    </row>
    <row r="743" spans="1:22">
      <c r="A743" s="3">
        <v>16</v>
      </c>
      <c r="B743" s="3">
        <v>15</v>
      </c>
      <c r="C743" s="3">
        <v>44</v>
      </c>
      <c r="D743" s="3">
        <v>31</v>
      </c>
      <c r="E743" s="3">
        <f>((1/(INDEX(E0!J$4:J$73,C743,1)-INDEX(E0!J$4:J$73,D743,1))))*100000000</f>
        <v>0</v>
      </c>
      <c r="F743" s="4" t="str">
        <f>HYPERLINK("http://141.218.60.56/~jnz1568/getInfo.php?workbook=16_15.xlsx&amp;sheet=A0&amp;row=743&amp;col=6&amp;number=902.99&amp;sourceID=54","902.99")</f>
        <v>902.99</v>
      </c>
      <c r="G743" s="4" t="str">
        <f>HYPERLINK("http://141.218.60.56/~jnz1568/getInfo.php?workbook=16_15.xlsx&amp;sheet=A0&amp;row=743&amp;col=7&amp;number=&amp;sourceID=54","")</f>
        <v/>
      </c>
      <c r="H743" s="4" t="str">
        <f>HYPERLINK("http://141.218.60.56/~jnz1568/getInfo.php?workbook=16_15.xlsx&amp;sheet=A0&amp;row=743&amp;col=8&amp;number=&amp;sourceID=54","")</f>
        <v/>
      </c>
      <c r="I743" s="4" t="str">
        <f>HYPERLINK("http://141.218.60.56/~jnz1568/getInfo.php?workbook=16_15.xlsx&amp;sheet=A0&amp;row=743&amp;col=9&amp;number=529.34&amp;sourceID=54","529.34")</f>
        <v>529.34</v>
      </c>
      <c r="J743" s="4" t="str">
        <f>HYPERLINK("http://141.218.60.56/~jnz1568/getInfo.php?workbook=16_15.xlsx&amp;sheet=A0&amp;row=743&amp;col=10&amp;number=&amp;sourceID=54","")</f>
        <v/>
      </c>
      <c r="K743" s="4" t="str">
        <f>HYPERLINK("http://141.218.60.56/~jnz1568/getInfo.php?workbook=16_15.xlsx&amp;sheet=A0&amp;row=743&amp;col=11&amp;number=&amp;sourceID=54","")</f>
        <v/>
      </c>
      <c r="L743" s="4" t="str">
        <f>HYPERLINK("http://141.218.60.56/~jnz1568/getInfo.php?workbook=16_15.xlsx&amp;sheet=A0&amp;row=743&amp;col=12&amp;number=685.698747044&amp;sourceID=53","685.698747044")</f>
        <v>685.698747044</v>
      </c>
      <c r="M743" s="4" t="str">
        <f>HYPERLINK("http://141.218.60.56/~jnz1568/getInfo.php?workbook=16_15.xlsx&amp;sheet=A0&amp;row=743&amp;col=13&amp;number=&amp;sourceID=53","")</f>
        <v/>
      </c>
      <c r="N743" s="4" t="str">
        <f>HYPERLINK("http://141.218.60.56/~jnz1568/getInfo.php?workbook=16_15.xlsx&amp;sheet=A0&amp;row=743&amp;col=14&amp;number=&amp;sourceID=53","")</f>
        <v/>
      </c>
      <c r="O743" s="4" t="str">
        <f>HYPERLINK("http://141.218.60.56/~jnz1568/getInfo.php?workbook=16_15.xlsx&amp;sheet=A0&amp;row=743&amp;col=15&amp;number=&amp;sourceID=55","")</f>
        <v/>
      </c>
      <c r="P743" s="4" t="str">
        <f>HYPERLINK("http://141.218.60.56/~jnz1568/getInfo.php?workbook=16_15.xlsx&amp;sheet=A0&amp;row=743&amp;col=16&amp;number=&amp;sourceID=55","")</f>
        <v/>
      </c>
      <c r="Q743" s="4" t="str">
        <f>HYPERLINK("http://141.218.60.56/~jnz1568/getInfo.php?workbook=16_15.xlsx&amp;sheet=A0&amp;row=743&amp;col=17&amp;number=&amp;sourceID=56","")</f>
        <v/>
      </c>
      <c r="R743" s="4" t="str">
        <f>HYPERLINK("http://141.218.60.56/~jnz1568/getInfo.php?workbook=16_15.xlsx&amp;sheet=A0&amp;row=743&amp;col=18&amp;number=&amp;sourceID=56","")</f>
        <v/>
      </c>
      <c r="S743" s="4" t="str">
        <f>HYPERLINK("http://141.218.60.56/~jnz1568/getInfo.php?workbook=16_15.xlsx&amp;sheet=A0&amp;row=743&amp;col=19&amp;number=&amp;sourceID=57","")</f>
        <v/>
      </c>
      <c r="T743" s="4" t="str">
        <f>HYPERLINK("http://141.218.60.56/~jnz1568/getInfo.php?workbook=16_15.xlsx&amp;sheet=A0&amp;row=743&amp;col=20&amp;number=&amp;sourceID=57","")</f>
        <v/>
      </c>
      <c r="U743" s="4" t="str">
        <f>HYPERLINK("http://141.218.60.56/~jnz1568/getInfo.php?workbook=16_15.xlsx&amp;sheet=A0&amp;row=743&amp;col=21&amp;number=&amp;sourceID=47","")</f>
        <v/>
      </c>
      <c r="V743" s="4" t="str">
        <f>HYPERLINK("http://141.218.60.56/~jnz1568/getInfo.php?workbook=16_15.xlsx&amp;sheet=A0&amp;row=743&amp;col=22&amp;number=&amp;sourceID=47","")</f>
        <v/>
      </c>
    </row>
    <row r="744" spans="1:22">
      <c r="A744" s="3">
        <v>16</v>
      </c>
      <c r="B744" s="3">
        <v>15</v>
      </c>
      <c r="C744" s="3">
        <v>44</v>
      </c>
      <c r="D744" s="3">
        <v>34</v>
      </c>
      <c r="E744" s="3">
        <f>((1/(INDEX(E0!J$4:J$73,C744,1)-INDEX(E0!J$4:J$73,D744,1))))*100000000</f>
        <v>0</v>
      </c>
      <c r="F744" s="4" t="str">
        <f>HYPERLINK("http://141.218.60.56/~jnz1568/getInfo.php?workbook=16_15.xlsx&amp;sheet=A0&amp;row=744&amp;col=6&amp;number=778.87&amp;sourceID=54","778.87")</f>
        <v>778.87</v>
      </c>
      <c r="G744" s="4" t="str">
        <f>HYPERLINK("http://141.218.60.56/~jnz1568/getInfo.php?workbook=16_15.xlsx&amp;sheet=A0&amp;row=744&amp;col=7&amp;number=&amp;sourceID=54","")</f>
        <v/>
      </c>
      <c r="H744" s="4" t="str">
        <f>HYPERLINK("http://141.218.60.56/~jnz1568/getInfo.php?workbook=16_15.xlsx&amp;sheet=A0&amp;row=744&amp;col=8&amp;number=&amp;sourceID=54","")</f>
        <v/>
      </c>
      <c r="I744" s="4" t="str">
        <f>HYPERLINK("http://141.218.60.56/~jnz1568/getInfo.php?workbook=16_15.xlsx&amp;sheet=A0&amp;row=744&amp;col=9&amp;number=360.78&amp;sourceID=54","360.78")</f>
        <v>360.78</v>
      </c>
      <c r="J744" s="4" t="str">
        <f>HYPERLINK("http://141.218.60.56/~jnz1568/getInfo.php?workbook=16_15.xlsx&amp;sheet=A0&amp;row=744&amp;col=10&amp;number=&amp;sourceID=54","")</f>
        <v/>
      </c>
      <c r="K744" s="4" t="str">
        <f>HYPERLINK("http://141.218.60.56/~jnz1568/getInfo.php?workbook=16_15.xlsx&amp;sheet=A0&amp;row=744&amp;col=11&amp;number=&amp;sourceID=54","")</f>
        <v/>
      </c>
      <c r="L744" s="4" t="str">
        <f>HYPERLINK("http://141.218.60.56/~jnz1568/getInfo.php?workbook=16_15.xlsx&amp;sheet=A0&amp;row=744&amp;col=12&amp;number=778.236998768&amp;sourceID=53","778.236998768")</f>
        <v>778.236998768</v>
      </c>
      <c r="M744" s="4" t="str">
        <f>HYPERLINK("http://141.218.60.56/~jnz1568/getInfo.php?workbook=16_15.xlsx&amp;sheet=A0&amp;row=744&amp;col=13&amp;number=&amp;sourceID=53","")</f>
        <v/>
      </c>
      <c r="N744" s="4" t="str">
        <f>HYPERLINK("http://141.218.60.56/~jnz1568/getInfo.php?workbook=16_15.xlsx&amp;sheet=A0&amp;row=744&amp;col=14&amp;number=&amp;sourceID=53","")</f>
        <v/>
      </c>
      <c r="O744" s="4" t="str">
        <f>HYPERLINK("http://141.218.60.56/~jnz1568/getInfo.php?workbook=16_15.xlsx&amp;sheet=A0&amp;row=744&amp;col=15&amp;number=&amp;sourceID=55","")</f>
        <v/>
      </c>
      <c r="P744" s="4" t="str">
        <f>HYPERLINK("http://141.218.60.56/~jnz1568/getInfo.php?workbook=16_15.xlsx&amp;sheet=A0&amp;row=744&amp;col=16&amp;number=&amp;sourceID=55","")</f>
        <v/>
      </c>
      <c r="Q744" s="4" t="str">
        <f>HYPERLINK("http://141.218.60.56/~jnz1568/getInfo.php?workbook=16_15.xlsx&amp;sheet=A0&amp;row=744&amp;col=17&amp;number=&amp;sourceID=56","")</f>
        <v/>
      </c>
      <c r="R744" s="4" t="str">
        <f>HYPERLINK("http://141.218.60.56/~jnz1568/getInfo.php?workbook=16_15.xlsx&amp;sheet=A0&amp;row=744&amp;col=18&amp;number=&amp;sourceID=56","")</f>
        <v/>
      </c>
      <c r="S744" s="4" t="str">
        <f>HYPERLINK("http://141.218.60.56/~jnz1568/getInfo.php?workbook=16_15.xlsx&amp;sheet=A0&amp;row=744&amp;col=19&amp;number=&amp;sourceID=57","")</f>
        <v/>
      </c>
      <c r="T744" s="4" t="str">
        <f>HYPERLINK("http://141.218.60.56/~jnz1568/getInfo.php?workbook=16_15.xlsx&amp;sheet=A0&amp;row=744&amp;col=20&amp;number=&amp;sourceID=57","")</f>
        <v/>
      </c>
      <c r="U744" s="4" t="str">
        <f>HYPERLINK("http://141.218.60.56/~jnz1568/getInfo.php?workbook=16_15.xlsx&amp;sheet=A0&amp;row=744&amp;col=21&amp;number=&amp;sourceID=47","")</f>
        <v/>
      </c>
      <c r="V744" s="4" t="str">
        <f>HYPERLINK("http://141.218.60.56/~jnz1568/getInfo.php?workbook=16_15.xlsx&amp;sheet=A0&amp;row=744&amp;col=22&amp;number=&amp;sourceID=47","")</f>
        <v/>
      </c>
    </row>
    <row r="745" spans="1:22">
      <c r="A745" s="3">
        <v>16</v>
      </c>
      <c r="B745" s="3">
        <v>15</v>
      </c>
      <c r="C745" s="3">
        <v>44</v>
      </c>
      <c r="D745" s="3">
        <v>35</v>
      </c>
      <c r="E745" s="3">
        <f>((1/(INDEX(E0!J$4:J$73,C745,1)-INDEX(E0!J$4:J$73,D745,1))))*100000000</f>
        <v>0</v>
      </c>
      <c r="F745" s="4" t="str">
        <f>HYPERLINK("http://141.218.60.56/~jnz1568/getInfo.php?workbook=16_15.xlsx&amp;sheet=A0&amp;row=745&amp;col=6&amp;number=5.4608&amp;sourceID=54","5.4608")</f>
        <v>5.4608</v>
      </c>
      <c r="G745" s="4" t="str">
        <f>HYPERLINK("http://141.218.60.56/~jnz1568/getInfo.php?workbook=16_15.xlsx&amp;sheet=A0&amp;row=745&amp;col=7&amp;number=&amp;sourceID=54","")</f>
        <v/>
      </c>
      <c r="H745" s="4" t="str">
        <f>HYPERLINK("http://141.218.60.56/~jnz1568/getInfo.php?workbook=16_15.xlsx&amp;sheet=A0&amp;row=745&amp;col=8&amp;number=&amp;sourceID=54","")</f>
        <v/>
      </c>
      <c r="I745" s="4" t="str">
        <f>HYPERLINK("http://141.218.60.56/~jnz1568/getInfo.php?workbook=16_15.xlsx&amp;sheet=A0&amp;row=745&amp;col=9&amp;number=4.0747&amp;sourceID=54","4.0747")</f>
        <v>4.0747</v>
      </c>
      <c r="J745" s="4" t="str">
        <f>HYPERLINK("http://141.218.60.56/~jnz1568/getInfo.php?workbook=16_15.xlsx&amp;sheet=A0&amp;row=745&amp;col=10&amp;number=&amp;sourceID=54","")</f>
        <v/>
      </c>
      <c r="K745" s="4" t="str">
        <f>HYPERLINK("http://141.218.60.56/~jnz1568/getInfo.php?workbook=16_15.xlsx&amp;sheet=A0&amp;row=745&amp;col=11&amp;number=&amp;sourceID=54","")</f>
        <v/>
      </c>
      <c r="L745" s="4" t="str">
        <f>HYPERLINK("http://141.218.60.56/~jnz1568/getInfo.php?workbook=16_15.xlsx&amp;sheet=A0&amp;row=745&amp;col=12&amp;number=4949.47359247&amp;sourceID=53","4949.47359247")</f>
        <v>4949.47359247</v>
      </c>
      <c r="M745" s="4" t="str">
        <f>HYPERLINK("http://141.218.60.56/~jnz1568/getInfo.php?workbook=16_15.xlsx&amp;sheet=A0&amp;row=745&amp;col=13&amp;number=&amp;sourceID=53","")</f>
        <v/>
      </c>
      <c r="N745" s="4" t="str">
        <f>HYPERLINK("http://141.218.60.56/~jnz1568/getInfo.php?workbook=16_15.xlsx&amp;sheet=A0&amp;row=745&amp;col=14&amp;number=&amp;sourceID=53","")</f>
        <v/>
      </c>
      <c r="O745" s="4" t="str">
        <f>HYPERLINK("http://141.218.60.56/~jnz1568/getInfo.php?workbook=16_15.xlsx&amp;sheet=A0&amp;row=745&amp;col=15&amp;number=&amp;sourceID=55","")</f>
        <v/>
      </c>
      <c r="P745" s="4" t="str">
        <f>HYPERLINK("http://141.218.60.56/~jnz1568/getInfo.php?workbook=16_15.xlsx&amp;sheet=A0&amp;row=745&amp;col=16&amp;number=&amp;sourceID=55","")</f>
        <v/>
      </c>
      <c r="Q745" s="4" t="str">
        <f>HYPERLINK("http://141.218.60.56/~jnz1568/getInfo.php?workbook=16_15.xlsx&amp;sheet=A0&amp;row=745&amp;col=17&amp;number=&amp;sourceID=56","")</f>
        <v/>
      </c>
      <c r="R745" s="4" t="str">
        <f>HYPERLINK("http://141.218.60.56/~jnz1568/getInfo.php?workbook=16_15.xlsx&amp;sheet=A0&amp;row=745&amp;col=18&amp;number=&amp;sourceID=56","")</f>
        <v/>
      </c>
      <c r="S745" s="4" t="str">
        <f>HYPERLINK("http://141.218.60.56/~jnz1568/getInfo.php?workbook=16_15.xlsx&amp;sheet=A0&amp;row=745&amp;col=19&amp;number=&amp;sourceID=57","")</f>
        <v/>
      </c>
      <c r="T745" s="4" t="str">
        <f>HYPERLINK("http://141.218.60.56/~jnz1568/getInfo.php?workbook=16_15.xlsx&amp;sheet=A0&amp;row=745&amp;col=20&amp;number=&amp;sourceID=57","")</f>
        <v/>
      </c>
      <c r="U745" s="4" t="str">
        <f>HYPERLINK("http://141.218.60.56/~jnz1568/getInfo.php?workbook=16_15.xlsx&amp;sheet=A0&amp;row=745&amp;col=21&amp;number=&amp;sourceID=47","")</f>
        <v/>
      </c>
      <c r="V745" s="4" t="str">
        <f>HYPERLINK("http://141.218.60.56/~jnz1568/getInfo.php?workbook=16_15.xlsx&amp;sheet=A0&amp;row=745&amp;col=22&amp;number=&amp;sourceID=47","")</f>
        <v/>
      </c>
    </row>
    <row r="746" spans="1:22">
      <c r="A746" s="3">
        <v>16</v>
      </c>
      <c r="B746" s="3">
        <v>15</v>
      </c>
      <c r="C746" s="3">
        <v>44</v>
      </c>
      <c r="D746" s="3">
        <v>38</v>
      </c>
      <c r="E746" s="3">
        <f>((1/(INDEX(E0!J$4:J$73,C746,1)-INDEX(E0!J$4:J$73,D746,1))))*100000000</f>
        <v>0</v>
      </c>
      <c r="F746" s="4" t="str">
        <f>HYPERLINK("http://141.218.60.56/~jnz1568/getInfo.php?workbook=16_15.xlsx&amp;sheet=A0&amp;row=746&amp;col=6&amp;number=7310&amp;sourceID=54","7310")</f>
        <v>7310</v>
      </c>
      <c r="G746" s="4" t="str">
        <f>HYPERLINK("http://141.218.60.56/~jnz1568/getInfo.php?workbook=16_15.xlsx&amp;sheet=A0&amp;row=746&amp;col=7&amp;number=&amp;sourceID=54","")</f>
        <v/>
      </c>
      <c r="H746" s="4" t="str">
        <f>HYPERLINK("http://141.218.60.56/~jnz1568/getInfo.php?workbook=16_15.xlsx&amp;sheet=A0&amp;row=746&amp;col=8&amp;number=&amp;sourceID=54","")</f>
        <v/>
      </c>
      <c r="I746" s="4" t="str">
        <f>HYPERLINK("http://141.218.60.56/~jnz1568/getInfo.php?workbook=16_15.xlsx&amp;sheet=A0&amp;row=746&amp;col=9&amp;number=1145.9&amp;sourceID=54","1145.9")</f>
        <v>1145.9</v>
      </c>
      <c r="J746" s="4" t="str">
        <f>HYPERLINK("http://141.218.60.56/~jnz1568/getInfo.php?workbook=16_15.xlsx&amp;sheet=A0&amp;row=746&amp;col=10&amp;number=&amp;sourceID=54","")</f>
        <v/>
      </c>
      <c r="K746" s="4" t="str">
        <f>HYPERLINK("http://141.218.60.56/~jnz1568/getInfo.php?workbook=16_15.xlsx&amp;sheet=A0&amp;row=746&amp;col=11&amp;number=&amp;sourceID=54","")</f>
        <v/>
      </c>
      <c r="L746" s="4" t="str">
        <f>HYPERLINK("http://141.218.60.56/~jnz1568/getInfo.php?workbook=16_15.xlsx&amp;sheet=A0&amp;row=746&amp;col=12&amp;number=4281.74212129&amp;sourceID=53","4281.74212129")</f>
        <v>4281.74212129</v>
      </c>
      <c r="M746" s="4" t="str">
        <f>HYPERLINK("http://141.218.60.56/~jnz1568/getInfo.php?workbook=16_15.xlsx&amp;sheet=A0&amp;row=746&amp;col=13&amp;number=&amp;sourceID=53","")</f>
        <v/>
      </c>
      <c r="N746" s="4" t="str">
        <f>HYPERLINK("http://141.218.60.56/~jnz1568/getInfo.php?workbook=16_15.xlsx&amp;sheet=A0&amp;row=746&amp;col=14&amp;number=&amp;sourceID=53","")</f>
        <v/>
      </c>
      <c r="O746" s="4" t="str">
        <f>HYPERLINK("http://141.218.60.56/~jnz1568/getInfo.php?workbook=16_15.xlsx&amp;sheet=A0&amp;row=746&amp;col=15&amp;number=&amp;sourceID=55","")</f>
        <v/>
      </c>
      <c r="P746" s="4" t="str">
        <f>HYPERLINK("http://141.218.60.56/~jnz1568/getInfo.php?workbook=16_15.xlsx&amp;sheet=A0&amp;row=746&amp;col=16&amp;number=&amp;sourceID=55","")</f>
        <v/>
      </c>
      <c r="Q746" s="4" t="str">
        <f>HYPERLINK("http://141.218.60.56/~jnz1568/getInfo.php?workbook=16_15.xlsx&amp;sheet=A0&amp;row=746&amp;col=17&amp;number=&amp;sourceID=56","")</f>
        <v/>
      </c>
      <c r="R746" s="4" t="str">
        <f>HYPERLINK("http://141.218.60.56/~jnz1568/getInfo.php?workbook=16_15.xlsx&amp;sheet=A0&amp;row=746&amp;col=18&amp;number=&amp;sourceID=56","")</f>
        <v/>
      </c>
      <c r="S746" s="4" t="str">
        <f>HYPERLINK("http://141.218.60.56/~jnz1568/getInfo.php?workbook=16_15.xlsx&amp;sheet=A0&amp;row=746&amp;col=19&amp;number=&amp;sourceID=57","")</f>
        <v/>
      </c>
      <c r="T746" s="4" t="str">
        <f>HYPERLINK("http://141.218.60.56/~jnz1568/getInfo.php?workbook=16_15.xlsx&amp;sheet=A0&amp;row=746&amp;col=20&amp;number=&amp;sourceID=57","")</f>
        <v/>
      </c>
      <c r="U746" s="4" t="str">
        <f>HYPERLINK("http://141.218.60.56/~jnz1568/getInfo.php?workbook=16_15.xlsx&amp;sheet=A0&amp;row=746&amp;col=21&amp;number=&amp;sourceID=47","")</f>
        <v/>
      </c>
      <c r="V746" s="4" t="str">
        <f>HYPERLINK("http://141.218.60.56/~jnz1568/getInfo.php?workbook=16_15.xlsx&amp;sheet=A0&amp;row=746&amp;col=22&amp;number=&amp;sourceID=47","")</f>
        <v/>
      </c>
    </row>
    <row r="747" spans="1:22">
      <c r="A747" s="3">
        <v>16</v>
      </c>
      <c r="B747" s="3">
        <v>15</v>
      </c>
      <c r="C747" s="3">
        <v>44</v>
      </c>
      <c r="D747" s="3">
        <v>39</v>
      </c>
      <c r="E747" s="3">
        <f>((1/(INDEX(E0!J$4:J$73,C747,1)-INDEX(E0!J$4:J$73,D747,1))))*100000000</f>
        <v>0</v>
      </c>
      <c r="F747" s="4" t="str">
        <f>HYPERLINK("http://141.218.60.56/~jnz1568/getInfo.php?workbook=16_15.xlsx&amp;sheet=A0&amp;row=747&amp;col=6&amp;number=19709&amp;sourceID=54","19709")</f>
        <v>19709</v>
      </c>
      <c r="G747" s="4" t="str">
        <f>HYPERLINK("http://141.218.60.56/~jnz1568/getInfo.php?workbook=16_15.xlsx&amp;sheet=A0&amp;row=747&amp;col=7&amp;number=&amp;sourceID=54","")</f>
        <v/>
      </c>
      <c r="H747" s="4" t="str">
        <f>HYPERLINK("http://141.218.60.56/~jnz1568/getInfo.php?workbook=16_15.xlsx&amp;sheet=A0&amp;row=747&amp;col=8&amp;number=&amp;sourceID=54","")</f>
        <v/>
      </c>
      <c r="I747" s="4" t="str">
        <f>HYPERLINK("http://141.218.60.56/~jnz1568/getInfo.php?workbook=16_15.xlsx&amp;sheet=A0&amp;row=747&amp;col=9&amp;number=2896&amp;sourceID=54","2896")</f>
        <v>2896</v>
      </c>
      <c r="J747" s="4" t="str">
        <f>HYPERLINK("http://141.218.60.56/~jnz1568/getInfo.php?workbook=16_15.xlsx&amp;sheet=A0&amp;row=747&amp;col=10&amp;number=&amp;sourceID=54","")</f>
        <v/>
      </c>
      <c r="K747" s="4" t="str">
        <f>HYPERLINK("http://141.218.60.56/~jnz1568/getInfo.php?workbook=16_15.xlsx&amp;sheet=A0&amp;row=747&amp;col=11&amp;number=&amp;sourceID=54","")</f>
        <v/>
      </c>
      <c r="L747" s="4" t="str">
        <f>HYPERLINK("http://141.218.60.56/~jnz1568/getInfo.php?workbook=16_15.xlsx&amp;sheet=A0&amp;row=747&amp;col=12&amp;number=13146.9271562&amp;sourceID=53","13146.9271562")</f>
        <v>13146.9271562</v>
      </c>
      <c r="M747" s="4" t="str">
        <f>HYPERLINK("http://141.218.60.56/~jnz1568/getInfo.php?workbook=16_15.xlsx&amp;sheet=A0&amp;row=747&amp;col=13&amp;number=&amp;sourceID=53","")</f>
        <v/>
      </c>
      <c r="N747" s="4" t="str">
        <f>HYPERLINK("http://141.218.60.56/~jnz1568/getInfo.php?workbook=16_15.xlsx&amp;sheet=A0&amp;row=747&amp;col=14&amp;number=&amp;sourceID=53","")</f>
        <v/>
      </c>
      <c r="O747" s="4" t="str">
        <f>HYPERLINK("http://141.218.60.56/~jnz1568/getInfo.php?workbook=16_15.xlsx&amp;sheet=A0&amp;row=747&amp;col=15&amp;number=&amp;sourceID=55","")</f>
        <v/>
      </c>
      <c r="P747" s="4" t="str">
        <f>HYPERLINK("http://141.218.60.56/~jnz1568/getInfo.php?workbook=16_15.xlsx&amp;sheet=A0&amp;row=747&amp;col=16&amp;number=&amp;sourceID=55","")</f>
        <v/>
      </c>
      <c r="Q747" s="4" t="str">
        <f>HYPERLINK("http://141.218.60.56/~jnz1568/getInfo.php?workbook=16_15.xlsx&amp;sheet=A0&amp;row=747&amp;col=17&amp;number=&amp;sourceID=56","")</f>
        <v/>
      </c>
      <c r="R747" s="4" t="str">
        <f>HYPERLINK("http://141.218.60.56/~jnz1568/getInfo.php?workbook=16_15.xlsx&amp;sheet=A0&amp;row=747&amp;col=18&amp;number=&amp;sourceID=56","")</f>
        <v/>
      </c>
      <c r="S747" s="4" t="str">
        <f>HYPERLINK("http://141.218.60.56/~jnz1568/getInfo.php?workbook=16_15.xlsx&amp;sheet=A0&amp;row=747&amp;col=19&amp;number=&amp;sourceID=57","")</f>
        <v/>
      </c>
      <c r="T747" s="4" t="str">
        <f>HYPERLINK("http://141.218.60.56/~jnz1568/getInfo.php?workbook=16_15.xlsx&amp;sheet=A0&amp;row=747&amp;col=20&amp;number=&amp;sourceID=57","")</f>
        <v/>
      </c>
      <c r="U747" s="4" t="str">
        <f>HYPERLINK("http://141.218.60.56/~jnz1568/getInfo.php?workbook=16_15.xlsx&amp;sheet=A0&amp;row=747&amp;col=21&amp;number=&amp;sourceID=47","")</f>
        <v/>
      </c>
      <c r="V747" s="4" t="str">
        <f>HYPERLINK("http://141.218.60.56/~jnz1568/getInfo.php?workbook=16_15.xlsx&amp;sheet=A0&amp;row=747&amp;col=22&amp;number=&amp;sourceID=47","")</f>
        <v/>
      </c>
    </row>
    <row r="748" spans="1:22">
      <c r="A748" s="3">
        <v>16</v>
      </c>
      <c r="B748" s="3">
        <v>15</v>
      </c>
      <c r="C748" s="3">
        <v>44</v>
      </c>
      <c r="D748" s="3">
        <v>41</v>
      </c>
      <c r="E748" s="3">
        <f>((1/(INDEX(E0!J$4:J$73,C748,1)-INDEX(E0!J$4:J$73,D748,1))))*100000000</f>
        <v>0</v>
      </c>
      <c r="F748" s="4" t="str">
        <f>HYPERLINK("http://141.218.60.56/~jnz1568/getInfo.php?workbook=16_15.xlsx&amp;sheet=A0&amp;row=748&amp;col=6&amp;number=&amp;sourceID=54","")</f>
        <v/>
      </c>
      <c r="G748" s="4" t="str">
        <f>HYPERLINK("http://141.218.60.56/~jnz1568/getInfo.php?workbook=16_15.xlsx&amp;sheet=A0&amp;row=748&amp;col=7&amp;number=4.2112e-09&amp;sourceID=54","4.2112e-09")</f>
        <v>4.2112e-09</v>
      </c>
      <c r="H748" s="4" t="str">
        <f>HYPERLINK("http://141.218.60.56/~jnz1568/getInfo.php?workbook=16_15.xlsx&amp;sheet=A0&amp;row=748&amp;col=8&amp;number=&amp;sourceID=54","")</f>
        <v/>
      </c>
      <c r="I748" s="4" t="str">
        <f>HYPERLINK("http://141.218.60.56/~jnz1568/getInfo.php?workbook=16_15.xlsx&amp;sheet=A0&amp;row=748&amp;col=9&amp;number=&amp;sourceID=54","")</f>
        <v/>
      </c>
      <c r="J748" s="4" t="str">
        <f>HYPERLINK("http://141.218.60.56/~jnz1568/getInfo.php?workbook=16_15.xlsx&amp;sheet=A0&amp;row=748&amp;col=10&amp;number=4.2392e-09&amp;sourceID=54","4.2392e-09")</f>
        <v>4.2392e-09</v>
      </c>
      <c r="K748" s="4" t="str">
        <f>HYPERLINK("http://141.218.60.56/~jnz1568/getInfo.php?workbook=16_15.xlsx&amp;sheet=A0&amp;row=748&amp;col=11&amp;number=&amp;sourceID=54","")</f>
        <v/>
      </c>
      <c r="L748" s="4" t="str">
        <f>HYPERLINK("http://141.218.60.56/~jnz1568/getInfo.php?workbook=16_15.xlsx&amp;sheet=A0&amp;row=748&amp;col=12&amp;number=&amp;sourceID=53","")</f>
        <v/>
      </c>
      <c r="M748" s="4" t="str">
        <f>HYPERLINK("http://141.218.60.56/~jnz1568/getInfo.php?workbook=16_15.xlsx&amp;sheet=A0&amp;row=748&amp;col=13&amp;number=&amp;sourceID=53","")</f>
        <v/>
      </c>
      <c r="N748" s="4" t="str">
        <f>HYPERLINK("http://141.218.60.56/~jnz1568/getInfo.php?workbook=16_15.xlsx&amp;sheet=A0&amp;row=748&amp;col=14&amp;number=&amp;sourceID=53","")</f>
        <v/>
      </c>
      <c r="O748" s="4" t="str">
        <f>HYPERLINK("http://141.218.60.56/~jnz1568/getInfo.php?workbook=16_15.xlsx&amp;sheet=A0&amp;row=748&amp;col=15&amp;number=&amp;sourceID=55","")</f>
        <v/>
      </c>
      <c r="P748" s="4" t="str">
        <f>HYPERLINK("http://141.218.60.56/~jnz1568/getInfo.php?workbook=16_15.xlsx&amp;sheet=A0&amp;row=748&amp;col=16&amp;number=&amp;sourceID=55","")</f>
        <v/>
      </c>
      <c r="Q748" s="4" t="str">
        <f>HYPERLINK("http://141.218.60.56/~jnz1568/getInfo.php?workbook=16_15.xlsx&amp;sheet=A0&amp;row=748&amp;col=17&amp;number=&amp;sourceID=56","")</f>
        <v/>
      </c>
      <c r="R748" s="4" t="str">
        <f>HYPERLINK("http://141.218.60.56/~jnz1568/getInfo.php?workbook=16_15.xlsx&amp;sheet=A0&amp;row=748&amp;col=18&amp;number=&amp;sourceID=56","")</f>
        <v/>
      </c>
      <c r="S748" s="4" t="str">
        <f>HYPERLINK("http://141.218.60.56/~jnz1568/getInfo.php?workbook=16_15.xlsx&amp;sheet=A0&amp;row=748&amp;col=19&amp;number=&amp;sourceID=57","")</f>
        <v/>
      </c>
      <c r="T748" s="4" t="str">
        <f>HYPERLINK("http://141.218.60.56/~jnz1568/getInfo.php?workbook=16_15.xlsx&amp;sheet=A0&amp;row=748&amp;col=20&amp;number=&amp;sourceID=57","")</f>
        <v/>
      </c>
      <c r="U748" s="4" t="str">
        <f>HYPERLINK("http://141.218.60.56/~jnz1568/getInfo.php?workbook=16_15.xlsx&amp;sheet=A0&amp;row=748&amp;col=21&amp;number=&amp;sourceID=47","")</f>
        <v/>
      </c>
      <c r="V748" s="4" t="str">
        <f>HYPERLINK("http://141.218.60.56/~jnz1568/getInfo.php?workbook=16_15.xlsx&amp;sheet=A0&amp;row=748&amp;col=22&amp;number=&amp;sourceID=47","")</f>
        <v/>
      </c>
    </row>
    <row r="749" spans="1:22">
      <c r="A749" s="3">
        <v>16</v>
      </c>
      <c r="B749" s="3">
        <v>15</v>
      </c>
      <c r="C749" s="3">
        <v>44</v>
      </c>
      <c r="D749" s="3">
        <v>42</v>
      </c>
      <c r="E749" s="3">
        <f>((1/(INDEX(E0!J$4:J$73,C749,1)-INDEX(E0!J$4:J$73,D749,1))))*100000000</f>
        <v>0</v>
      </c>
      <c r="F749" s="4" t="str">
        <f>HYPERLINK("http://141.218.60.56/~jnz1568/getInfo.php?workbook=16_15.xlsx&amp;sheet=A0&amp;row=749&amp;col=6&amp;number=1.9325&amp;sourceID=54","1.9325")</f>
        <v>1.9325</v>
      </c>
      <c r="G749" s="4" t="str">
        <f>HYPERLINK("http://141.218.60.56/~jnz1568/getInfo.php?workbook=16_15.xlsx&amp;sheet=A0&amp;row=749&amp;col=7&amp;number=&amp;sourceID=54","")</f>
        <v/>
      </c>
      <c r="H749" s="4" t="str">
        <f>HYPERLINK("http://141.218.60.56/~jnz1568/getInfo.php?workbook=16_15.xlsx&amp;sheet=A0&amp;row=749&amp;col=8&amp;number=&amp;sourceID=54","")</f>
        <v/>
      </c>
      <c r="I749" s="4" t="str">
        <f>HYPERLINK("http://141.218.60.56/~jnz1568/getInfo.php?workbook=16_15.xlsx&amp;sheet=A0&amp;row=749&amp;col=9&amp;number=0.051477&amp;sourceID=54","0.051477")</f>
        <v>0.051477</v>
      </c>
      <c r="J749" s="4" t="str">
        <f>HYPERLINK("http://141.218.60.56/~jnz1568/getInfo.php?workbook=16_15.xlsx&amp;sheet=A0&amp;row=749&amp;col=10&amp;number=&amp;sourceID=54","")</f>
        <v/>
      </c>
      <c r="K749" s="4" t="str">
        <f>HYPERLINK("http://141.218.60.56/~jnz1568/getInfo.php?workbook=16_15.xlsx&amp;sheet=A0&amp;row=749&amp;col=11&amp;number=&amp;sourceID=54","")</f>
        <v/>
      </c>
      <c r="L749" s="4" t="str">
        <f>HYPERLINK("http://141.218.60.56/~jnz1568/getInfo.php?workbook=16_15.xlsx&amp;sheet=A0&amp;row=749&amp;col=12&amp;number=2.293143301&amp;sourceID=53","2.293143301")</f>
        <v>2.293143301</v>
      </c>
      <c r="M749" s="4" t="str">
        <f>HYPERLINK("http://141.218.60.56/~jnz1568/getInfo.php?workbook=16_15.xlsx&amp;sheet=A0&amp;row=749&amp;col=13&amp;number=&amp;sourceID=53","")</f>
        <v/>
      </c>
      <c r="N749" s="4" t="str">
        <f>HYPERLINK("http://141.218.60.56/~jnz1568/getInfo.php?workbook=16_15.xlsx&amp;sheet=A0&amp;row=749&amp;col=14&amp;number=&amp;sourceID=53","")</f>
        <v/>
      </c>
      <c r="O749" s="4" t="str">
        <f>HYPERLINK("http://141.218.60.56/~jnz1568/getInfo.php?workbook=16_15.xlsx&amp;sheet=A0&amp;row=749&amp;col=15&amp;number=&amp;sourceID=55","")</f>
        <v/>
      </c>
      <c r="P749" s="4" t="str">
        <f>HYPERLINK("http://141.218.60.56/~jnz1568/getInfo.php?workbook=16_15.xlsx&amp;sheet=A0&amp;row=749&amp;col=16&amp;number=&amp;sourceID=55","")</f>
        <v/>
      </c>
      <c r="Q749" s="4" t="str">
        <f>HYPERLINK("http://141.218.60.56/~jnz1568/getInfo.php?workbook=16_15.xlsx&amp;sheet=A0&amp;row=749&amp;col=17&amp;number=&amp;sourceID=56","")</f>
        <v/>
      </c>
      <c r="R749" s="4" t="str">
        <f>HYPERLINK("http://141.218.60.56/~jnz1568/getInfo.php?workbook=16_15.xlsx&amp;sheet=A0&amp;row=749&amp;col=18&amp;number=&amp;sourceID=56","")</f>
        <v/>
      </c>
      <c r="S749" s="4" t="str">
        <f>HYPERLINK("http://141.218.60.56/~jnz1568/getInfo.php?workbook=16_15.xlsx&amp;sheet=A0&amp;row=749&amp;col=19&amp;number=&amp;sourceID=57","")</f>
        <v/>
      </c>
      <c r="T749" s="4" t="str">
        <f>HYPERLINK("http://141.218.60.56/~jnz1568/getInfo.php?workbook=16_15.xlsx&amp;sheet=A0&amp;row=749&amp;col=20&amp;number=&amp;sourceID=57","")</f>
        <v/>
      </c>
      <c r="U749" s="4" t="str">
        <f>HYPERLINK("http://141.218.60.56/~jnz1568/getInfo.php?workbook=16_15.xlsx&amp;sheet=A0&amp;row=749&amp;col=21&amp;number=&amp;sourceID=47","")</f>
        <v/>
      </c>
      <c r="V749" s="4" t="str">
        <f>HYPERLINK("http://141.218.60.56/~jnz1568/getInfo.php?workbook=16_15.xlsx&amp;sheet=A0&amp;row=749&amp;col=22&amp;number=&amp;sourceID=47","")</f>
        <v/>
      </c>
    </row>
    <row r="750" spans="1:22">
      <c r="A750" s="3">
        <v>16</v>
      </c>
      <c r="B750" s="3">
        <v>15</v>
      </c>
      <c r="C750" s="3">
        <v>44</v>
      </c>
      <c r="D750" s="3">
        <v>43</v>
      </c>
      <c r="E750" s="3">
        <f>((1/(INDEX(E0!J$4:J$73,C750,1)-INDEX(E0!J$4:J$73,D750,1))))*100000000</f>
        <v>0</v>
      </c>
      <c r="F750" s="4" t="str">
        <f>HYPERLINK("http://141.218.60.56/~jnz1568/getInfo.php?workbook=16_15.xlsx&amp;sheet=A0&amp;row=750&amp;col=6&amp;number=&amp;sourceID=54","")</f>
        <v/>
      </c>
      <c r="G750" s="4" t="str">
        <f>HYPERLINK("http://141.218.60.56/~jnz1568/getInfo.php?workbook=16_15.xlsx&amp;sheet=A0&amp;row=750&amp;col=7&amp;number=3.529e-12&amp;sourceID=54","3.529e-12")</f>
        <v>3.529e-12</v>
      </c>
      <c r="H750" s="4" t="str">
        <f>HYPERLINK("http://141.218.60.56/~jnz1568/getInfo.php?workbook=16_15.xlsx&amp;sheet=A0&amp;row=750&amp;col=8&amp;number=6.6897e-05&amp;sourceID=54","6.6897e-05")</f>
        <v>6.6897e-05</v>
      </c>
      <c r="I750" s="4" t="str">
        <f>HYPERLINK("http://141.218.60.56/~jnz1568/getInfo.php?workbook=16_15.xlsx&amp;sheet=A0&amp;row=750&amp;col=9&amp;number=&amp;sourceID=54","")</f>
        <v/>
      </c>
      <c r="J750" s="4" t="str">
        <f>HYPERLINK("http://141.218.60.56/~jnz1568/getInfo.php?workbook=16_15.xlsx&amp;sheet=A0&amp;row=750&amp;col=10&amp;number=3.497e-12&amp;sourceID=54","3.497e-12")</f>
        <v>3.497e-12</v>
      </c>
      <c r="K750" s="4" t="str">
        <f>HYPERLINK("http://141.218.60.56/~jnz1568/getInfo.php?workbook=16_15.xlsx&amp;sheet=A0&amp;row=750&amp;col=11&amp;number=6.6412e-05&amp;sourceID=54","6.6412e-05")</f>
        <v>6.6412e-05</v>
      </c>
      <c r="L750" s="4" t="str">
        <f>HYPERLINK("http://141.218.60.56/~jnz1568/getInfo.php?workbook=16_15.xlsx&amp;sheet=A0&amp;row=750&amp;col=12&amp;number=&amp;sourceID=53","")</f>
        <v/>
      </c>
      <c r="M750" s="4" t="str">
        <f>HYPERLINK("http://141.218.60.56/~jnz1568/getInfo.php?workbook=16_15.xlsx&amp;sheet=A0&amp;row=750&amp;col=13&amp;number=&amp;sourceID=53","")</f>
        <v/>
      </c>
      <c r="N750" s="4" t="str">
        <f>HYPERLINK("http://141.218.60.56/~jnz1568/getInfo.php?workbook=16_15.xlsx&amp;sheet=A0&amp;row=750&amp;col=14&amp;number=&amp;sourceID=53","")</f>
        <v/>
      </c>
      <c r="O750" s="4" t="str">
        <f>HYPERLINK("http://141.218.60.56/~jnz1568/getInfo.php?workbook=16_15.xlsx&amp;sheet=A0&amp;row=750&amp;col=15&amp;number=&amp;sourceID=55","")</f>
        <v/>
      </c>
      <c r="P750" s="4" t="str">
        <f>HYPERLINK("http://141.218.60.56/~jnz1568/getInfo.php?workbook=16_15.xlsx&amp;sheet=A0&amp;row=750&amp;col=16&amp;number=&amp;sourceID=55","")</f>
        <v/>
      </c>
      <c r="Q750" s="4" t="str">
        <f>HYPERLINK("http://141.218.60.56/~jnz1568/getInfo.php?workbook=16_15.xlsx&amp;sheet=A0&amp;row=750&amp;col=17&amp;number=&amp;sourceID=56","")</f>
        <v/>
      </c>
      <c r="R750" s="4" t="str">
        <f>HYPERLINK("http://141.218.60.56/~jnz1568/getInfo.php?workbook=16_15.xlsx&amp;sheet=A0&amp;row=750&amp;col=18&amp;number=&amp;sourceID=56","")</f>
        <v/>
      </c>
      <c r="S750" s="4" t="str">
        <f>HYPERLINK("http://141.218.60.56/~jnz1568/getInfo.php?workbook=16_15.xlsx&amp;sheet=A0&amp;row=750&amp;col=19&amp;number=&amp;sourceID=57","")</f>
        <v/>
      </c>
      <c r="T750" s="4" t="str">
        <f>HYPERLINK("http://141.218.60.56/~jnz1568/getInfo.php?workbook=16_15.xlsx&amp;sheet=A0&amp;row=750&amp;col=20&amp;number=&amp;sourceID=57","")</f>
        <v/>
      </c>
      <c r="U750" s="4" t="str">
        <f>HYPERLINK("http://141.218.60.56/~jnz1568/getInfo.php?workbook=16_15.xlsx&amp;sheet=A0&amp;row=750&amp;col=21&amp;number=&amp;sourceID=47","")</f>
        <v/>
      </c>
      <c r="V750" s="4" t="str">
        <f>HYPERLINK("http://141.218.60.56/~jnz1568/getInfo.php?workbook=16_15.xlsx&amp;sheet=A0&amp;row=750&amp;col=22&amp;number=&amp;sourceID=47","")</f>
        <v/>
      </c>
    </row>
    <row r="751" spans="1:22">
      <c r="A751" s="3">
        <v>16</v>
      </c>
      <c r="B751" s="3">
        <v>15</v>
      </c>
      <c r="C751" s="3">
        <v>45</v>
      </c>
      <c r="D751" s="3">
        <v>1</v>
      </c>
      <c r="E751" s="3">
        <f>((1/(INDEX(E0!J$4:J$73,C751,1)-INDEX(E0!J$4:J$73,D751,1))))*100000000</f>
        <v>0</v>
      </c>
      <c r="F751" s="4" t="str">
        <f>HYPERLINK("http://141.218.60.56/~jnz1568/getInfo.php?workbook=16_15.xlsx&amp;sheet=A0&amp;row=751&amp;col=6&amp;number=&amp;sourceID=54","")</f>
        <v/>
      </c>
      <c r="G751" s="4" t="str">
        <f>HYPERLINK("http://141.218.60.56/~jnz1568/getInfo.php?workbook=16_15.xlsx&amp;sheet=A0&amp;row=751&amp;col=7&amp;number=0.88155&amp;sourceID=54","0.88155")</f>
        <v>0.88155</v>
      </c>
      <c r="H751" s="4" t="str">
        <f>HYPERLINK("http://141.218.60.56/~jnz1568/getInfo.php?workbook=16_15.xlsx&amp;sheet=A0&amp;row=751&amp;col=8&amp;number=2.1052&amp;sourceID=54","2.1052")</f>
        <v>2.1052</v>
      </c>
      <c r="I751" s="4" t="str">
        <f>HYPERLINK("http://141.218.60.56/~jnz1568/getInfo.php?workbook=16_15.xlsx&amp;sheet=A0&amp;row=751&amp;col=9&amp;number=&amp;sourceID=54","")</f>
        <v/>
      </c>
      <c r="J751" s="4" t="str">
        <f>HYPERLINK("http://141.218.60.56/~jnz1568/getInfo.php?workbook=16_15.xlsx&amp;sheet=A0&amp;row=751&amp;col=10&amp;number=0.78722&amp;sourceID=54","0.78722")</f>
        <v>0.78722</v>
      </c>
      <c r="K751" s="4" t="str">
        <f>HYPERLINK("http://141.218.60.56/~jnz1568/getInfo.php?workbook=16_15.xlsx&amp;sheet=A0&amp;row=751&amp;col=11&amp;number=2.1021&amp;sourceID=54","2.1021")</f>
        <v>2.1021</v>
      </c>
      <c r="L751" s="4" t="str">
        <f>HYPERLINK("http://141.218.60.56/~jnz1568/getInfo.php?workbook=16_15.xlsx&amp;sheet=A0&amp;row=751&amp;col=12&amp;number=&amp;sourceID=53","")</f>
        <v/>
      </c>
      <c r="M751" s="4" t="str">
        <f>HYPERLINK("http://141.218.60.56/~jnz1568/getInfo.php?workbook=16_15.xlsx&amp;sheet=A0&amp;row=751&amp;col=13&amp;number=&amp;sourceID=53","")</f>
        <v/>
      </c>
      <c r="N751" s="4" t="str">
        <f>HYPERLINK("http://141.218.60.56/~jnz1568/getInfo.php?workbook=16_15.xlsx&amp;sheet=A0&amp;row=751&amp;col=14&amp;number=&amp;sourceID=53","")</f>
        <v/>
      </c>
      <c r="O751" s="4" t="str">
        <f>HYPERLINK("http://141.218.60.56/~jnz1568/getInfo.php?workbook=16_15.xlsx&amp;sheet=A0&amp;row=751&amp;col=15&amp;number=&amp;sourceID=55","")</f>
        <v/>
      </c>
      <c r="P751" s="4" t="str">
        <f>HYPERLINK("http://141.218.60.56/~jnz1568/getInfo.php?workbook=16_15.xlsx&amp;sheet=A0&amp;row=751&amp;col=16&amp;number=&amp;sourceID=55","")</f>
        <v/>
      </c>
      <c r="Q751" s="4" t="str">
        <f>HYPERLINK("http://141.218.60.56/~jnz1568/getInfo.php?workbook=16_15.xlsx&amp;sheet=A0&amp;row=751&amp;col=17&amp;number=&amp;sourceID=56","")</f>
        <v/>
      </c>
      <c r="R751" s="4" t="str">
        <f>HYPERLINK("http://141.218.60.56/~jnz1568/getInfo.php?workbook=16_15.xlsx&amp;sheet=A0&amp;row=751&amp;col=18&amp;number=&amp;sourceID=56","")</f>
        <v/>
      </c>
      <c r="S751" s="4" t="str">
        <f>HYPERLINK("http://141.218.60.56/~jnz1568/getInfo.php?workbook=16_15.xlsx&amp;sheet=A0&amp;row=751&amp;col=19&amp;number=&amp;sourceID=57","")</f>
        <v/>
      </c>
      <c r="T751" s="4" t="str">
        <f>HYPERLINK("http://141.218.60.56/~jnz1568/getInfo.php?workbook=16_15.xlsx&amp;sheet=A0&amp;row=751&amp;col=20&amp;number=&amp;sourceID=57","")</f>
        <v/>
      </c>
      <c r="U751" s="4" t="str">
        <f>HYPERLINK("http://141.218.60.56/~jnz1568/getInfo.php?workbook=16_15.xlsx&amp;sheet=A0&amp;row=751&amp;col=21&amp;number=&amp;sourceID=47","")</f>
        <v/>
      </c>
      <c r="V751" s="4" t="str">
        <f>HYPERLINK("http://141.218.60.56/~jnz1568/getInfo.php?workbook=16_15.xlsx&amp;sheet=A0&amp;row=751&amp;col=22&amp;number=&amp;sourceID=47","")</f>
        <v/>
      </c>
    </row>
    <row r="752" spans="1:22">
      <c r="A752" s="3">
        <v>16</v>
      </c>
      <c r="B752" s="3">
        <v>15</v>
      </c>
      <c r="C752" s="3">
        <v>45</v>
      </c>
      <c r="D752" s="3">
        <v>2</v>
      </c>
      <c r="E752" s="3">
        <f>((1/(INDEX(E0!J$4:J$73,C752,1)-INDEX(E0!J$4:J$73,D752,1))))*100000000</f>
        <v>0</v>
      </c>
      <c r="F752" s="4" t="str">
        <f>HYPERLINK("http://141.218.60.56/~jnz1568/getInfo.php?workbook=16_15.xlsx&amp;sheet=A0&amp;row=752&amp;col=6&amp;number=&amp;sourceID=54","")</f>
        <v/>
      </c>
      <c r="G752" s="4" t="str">
        <f>HYPERLINK("http://141.218.60.56/~jnz1568/getInfo.php?workbook=16_15.xlsx&amp;sheet=A0&amp;row=752&amp;col=7&amp;number=49.385&amp;sourceID=54","49.385")</f>
        <v>49.385</v>
      </c>
      <c r="H752" s="4" t="str">
        <f>HYPERLINK("http://141.218.60.56/~jnz1568/getInfo.php?workbook=16_15.xlsx&amp;sheet=A0&amp;row=752&amp;col=8&amp;number=0.0063237&amp;sourceID=54","0.0063237")</f>
        <v>0.0063237</v>
      </c>
      <c r="I752" s="4" t="str">
        <f>HYPERLINK("http://141.218.60.56/~jnz1568/getInfo.php?workbook=16_15.xlsx&amp;sheet=A0&amp;row=752&amp;col=9&amp;number=&amp;sourceID=54","")</f>
        <v/>
      </c>
      <c r="J752" s="4" t="str">
        <f>HYPERLINK("http://141.218.60.56/~jnz1568/getInfo.php?workbook=16_15.xlsx&amp;sheet=A0&amp;row=752&amp;col=10&amp;number=17.271&amp;sourceID=54","17.271")</f>
        <v>17.271</v>
      </c>
      <c r="K752" s="4" t="str">
        <f>HYPERLINK("http://141.218.60.56/~jnz1568/getInfo.php?workbook=16_15.xlsx&amp;sheet=A0&amp;row=752&amp;col=11&amp;number=0.0030158&amp;sourceID=54","0.0030158")</f>
        <v>0.0030158</v>
      </c>
      <c r="L752" s="4" t="str">
        <f>HYPERLINK("http://141.218.60.56/~jnz1568/getInfo.php?workbook=16_15.xlsx&amp;sheet=A0&amp;row=752&amp;col=12&amp;number=&amp;sourceID=53","")</f>
        <v/>
      </c>
      <c r="M752" s="4" t="str">
        <f>HYPERLINK("http://141.218.60.56/~jnz1568/getInfo.php?workbook=16_15.xlsx&amp;sheet=A0&amp;row=752&amp;col=13&amp;number=&amp;sourceID=53","")</f>
        <v/>
      </c>
      <c r="N752" s="4" t="str">
        <f>HYPERLINK("http://141.218.60.56/~jnz1568/getInfo.php?workbook=16_15.xlsx&amp;sheet=A0&amp;row=752&amp;col=14&amp;number=&amp;sourceID=53","")</f>
        <v/>
      </c>
      <c r="O752" s="4" t="str">
        <f>HYPERLINK("http://141.218.60.56/~jnz1568/getInfo.php?workbook=16_15.xlsx&amp;sheet=A0&amp;row=752&amp;col=15&amp;number=&amp;sourceID=55","")</f>
        <v/>
      </c>
      <c r="P752" s="4" t="str">
        <f>HYPERLINK("http://141.218.60.56/~jnz1568/getInfo.php?workbook=16_15.xlsx&amp;sheet=A0&amp;row=752&amp;col=16&amp;number=&amp;sourceID=55","")</f>
        <v/>
      </c>
      <c r="Q752" s="4" t="str">
        <f>HYPERLINK("http://141.218.60.56/~jnz1568/getInfo.php?workbook=16_15.xlsx&amp;sheet=A0&amp;row=752&amp;col=17&amp;number=&amp;sourceID=56","")</f>
        <v/>
      </c>
      <c r="R752" s="4" t="str">
        <f>HYPERLINK("http://141.218.60.56/~jnz1568/getInfo.php?workbook=16_15.xlsx&amp;sheet=A0&amp;row=752&amp;col=18&amp;number=&amp;sourceID=56","")</f>
        <v/>
      </c>
      <c r="S752" s="4" t="str">
        <f>HYPERLINK("http://141.218.60.56/~jnz1568/getInfo.php?workbook=16_15.xlsx&amp;sheet=A0&amp;row=752&amp;col=19&amp;number=&amp;sourceID=57","")</f>
        <v/>
      </c>
      <c r="T752" s="4" t="str">
        <f>HYPERLINK("http://141.218.60.56/~jnz1568/getInfo.php?workbook=16_15.xlsx&amp;sheet=A0&amp;row=752&amp;col=20&amp;number=&amp;sourceID=57","")</f>
        <v/>
      </c>
      <c r="U752" s="4" t="str">
        <f>HYPERLINK("http://141.218.60.56/~jnz1568/getInfo.php?workbook=16_15.xlsx&amp;sheet=A0&amp;row=752&amp;col=21&amp;number=&amp;sourceID=47","")</f>
        <v/>
      </c>
      <c r="V752" s="4" t="str">
        <f>HYPERLINK("http://141.218.60.56/~jnz1568/getInfo.php?workbook=16_15.xlsx&amp;sheet=A0&amp;row=752&amp;col=22&amp;number=&amp;sourceID=47","")</f>
        <v/>
      </c>
    </row>
    <row r="753" spans="1:22">
      <c r="A753" s="3">
        <v>16</v>
      </c>
      <c r="B753" s="3">
        <v>15</v>
      </c>
      <c r="C753" s="3">
        <v>45</v>
      </c>
      <c r="D753" s="3">
        <v>3</v>
      </c>
      <c r="E753" s="3">
        <f>((1/(INDEX(E0!J$4:J$73,C753,1)-INDEX(E0!J$4:J$73,D753,1))))*100000000</f>
        <v>0</v>
      </c>
      <c r="F753" s="4" t="str">
        <f>HYPERLINK("http://141.218.60.56/~jnz1568/getInfo.php?workbook=16_15.xlsx&amp;sheet=A0&amp;row=753&amp;col=6&amp;number=&amp;sourceID=54","")</f>
        <v/>
      </c>
      <c r="G753" s="4" t="str">
        <f>HYPERLINK("http://141.218.60.56/~jnz1568/getInfo.php?workbook=16_15.xlsx&amp;sheet=A0&amp;row=753&amp;col=7&amp;number=3.1111&amp;sourceID=54","3.1111")</f>
        <v>3.1111</v>
      </c>
      <c r="H753" s="4" t="str">
        <f>HYPERLINK("http://141.218.60.56/~jnz1568/getInfo.php?workbook=16_15.xlsx&amp;sheet=A0&amp;row=753&amp;col=8&amp;number=0.0018451&amp;sourceID=54","0.0018451")</f>
        <v>0.0018451</v>
      </c>
      <c r="I753" s="4" t="str">
        <f>HYPERLINK("http://141.218.60.56/~jnz1568/getInfo.php?workbook=16_15.xlsx&amp;sheet=A0&amp;row=753&amp;col=9&amp;number=&amp;sourceID=54","")</f>
        <v/>
      </c>
      <c r="J753" s="4" t="str">
        <f>HYPERLINK("http://141.218.60.56/~jnz1568/getInfo.php?workbook=16_15.xlsx&amp;sheet=A0&amp;row=753&amp;col=10&amp;number=0.026855&amp;sourceID=54","0.026855")</f>
        <v>0.026855</v>
      </c>
      <c r="K753" s="4" t="str">
        <f>HYPERLINK("http://141.218.60.56/~jnz1568/getInfo.php?workbook=16_15.xlsx&amp;sheet=A0&amp;row=753&amp;col=11&amp;number=0.00061997&amp;sourceID=54","0.00061997")</f>
        <v>0.00061997</v>
      </c>
      <c r="L753" s="4" t="str">
        <f>HYPERLINK("http://141.218.60.56/~jnz1568/getInfo.php?workbook=16_15.xlsx&amp;sheet=A0&amp;row=753&amp;col=12&amp;number=&amp;sourceID=53","")</f>
        <v/>
      </c>
      <c r="M753" s="4" t="str">
        <f>HYPERLINK("http://141.218.60.56/~jnz1568/getInfo.php?workbook=16_15.xlsx&amp;sheet=A0&amp;row=753&amp;col=13&amp;number=&amp;sourceID=53","")</f>
        <v/>
      </c>
      <c r="N753" s="4" t="str">
        <f>HYPERLINK("http://141.218.60.56/~jnz1568/getInfo.php?workbook=16_15.xlsx&amp;sheet=A0&amp;row=753&amp;col=14&amp;number=&amp;sourceID=53","")</f>
        <v/>
      </c>
      <c r="O753" s="4" t="str">
        <f>HYPERLINK("http://141.218.60.56/~jnz1568/getInfo.php?workbook=16_15.xlsx&amp;sheet=A0&amp;row=753&amp;col=15&amp;number=&amp;sourceID=55","")</f>
        <v/>
      </c>
      <c r="P753" s="4" t="str">
        <f>HYPERLINK("http://141.218.60.56/~jnz1568/getInfo.php?workbook=16_15.xlsx&amp;sheet=A0&amp;row=753&amp;col=16&amp;number=&amp;sourceID=55","")</f>
        <v/>
      </c>
      <c r="Q753" s="4" t="str">
        <f>HYPERLINK("http://141.218.60.56/~jnz1568/getInfo.php?workbook=16_15.xlsx&amp;sheet=A0&amp;row=753&amp;col=17&amp;number=&amp;sourceID=56","")</f>
        <v/>
      </c>
      <c r="R753" s="4" t="str">
        <f>HYPERLINK("http://141.218.60.56/~jnz1568/getInfo.php?workbook=16_15.xlsx&amp;sheet=A0&amp;row=753&amp;col=18&amp;number=&amp;sourceID=56","")</f>
        <v/>
      </c>
      <c r="S753" s="4" t="str">
        <f>HYPERLINK("http://141.218.60.56/~jnz1568/getInfo.php?workbook=16_15.xlsx&amp;sheet=A0&amp;row=753&amp;col=19&amp;number=&amp;sourceID=57","")</f>
        <v/>
      </c>
      <c r="T753" s="4" t="str">
        <f>HYPERLINK("http://141.218.60.56/~jnz1568/getInfo.php?workbook=16_15.xlsx&amp;sheet=A0&amp;row=753&amp;col=20&amp;number=&amp;sourceID=57","")</f>
        <v/>
      </c>
      <c r="U753" s="4" t="str">
        <f>HYPERLINK("http://141.218.60.56/~jnz1568/getInfo.php?workbook=16_15.xlsx&amp;sheet=A0&amp;row=753&amp;col=21&amp;number=&amp;sourceID=47","")</f>
        <v/>
      </c>
      <c r="V753" s="4" t="str">
        <f>HYPERLINK("http://141.218.60.56/~jnz1568/getInfo.php?workbook=16_15.xlsx&amp;sheet=A0&amp;row=753&amp;col=22&amp;number=&amp;sourceID=47","")</f>
        <v/>
      </c>
    </row>
    <row r="754" spans="1:22">
      <c r="A754" s="3">
        <v>16</v>
      </c>
      <c r="B754" s="3">
        <v>15</v>
      </c>
      <c r="C754" s="3">
        <v>45</v>
      </c>
      <c r="D754" s="3">
        <v>4</v>
      </c>
      <c r="E754" s="3">
        <f>((1/(INDEX(E0!J$4:J$73,C754,1)-INDEX(E0!J$4:J$73,D754,1))))*100000000</f>
        <v>0</v>
      </c>
      <c r="F754" s="4" t="str">
        <f>HYPERLINK("http://141.218.60.56/~jnz1568/getInfo.php?workbook=16_15.xlsx&amp;sheet=A0&amp;row=754&amp;col=6&amp;number=&amp;sourceID=54","")</f>
        <v/>
      </c>
      <c r="G754" s="4" t="str">
        <f>HYPERLINK("http://141.218.60.56/~jnz1568/getInfo.php?workbook=16_15.xlsx&amp;sheet=A0&amp;row=754&amp;col=7&amp;number=9.6366&amp;sourceID=54","9.6366")</f>
        <v>9.6366</v>
      </c>
      <c r="H754" s="4" t="str">
        <f>HYPERLINK("http://141.218.60.56/~jnz1568/getInfo.php?workbook=16_15.xlsx&amp;sheet=A0&amp;row=754&amp;col=8&amp;number=0.0041395&amp;sourceID=54","0.0041395")</f>
        <v>0.0041395</v>
      </c>
      <c r="I754" s="4" t="str">
        <f>HYPERLINK("http://141.218.60.56/~jnz1568/getInfo.php?workbook=16_15.xlsx&amp;sheet=A0&amp;row=754&amp;col=9&amp;number=&amp;sourceID=54","")</f>
        <v/>
      </c>
      <c r="J754" s="4" t="str">
        <f>HYPERLINK("http://141.218.60.56/~jnz1568/getInfo.php?workbook=16_15.xlsx&amp;sheet=A0&amp;row=754&amp;col=10&amp;number=2.9235&amp;sourceID=54","2.9235")</f>
        <v>2.9235</v>
      </c>
      <c r="K754" s="4" t="str">
        <f>HYPERLINK("http://141.218.60.56/~jnz1568/getInfo.php?workbook=16_15.xlsx&amp;sheet=A0&amp;row=754&amp;col=11&amp;number=0.0041468&amp;sourceID=54","0.0041468")</f>
        <v>0.0041468</v>
      </c>
      <c r="L754" s="4" t="str">
        <f>HYPERLINK("http://141.218.60.56/~jnz1568/getInfo.php?workbook=16_15.xlsx&amp;sheet=A0&amp;row=754&amp;col=12&amp;number=&amp;sourceID=53","")</f>
        <v/>
      </c>
      <c r="M754" s="4" t="str">
        <f>HYPERLINK("http://141.218.60.56/~jnz1568/getInfo.php?workbook=16_15.xlsx&amp;sheet=A0&amp;row=754&amp;col=13&amp;number=&amp;sourceID=53","")</f>
        <v/>
      </c>
      <c r="N754" s="4" t="str">
        <f>HYPERLINK("http://141.218.60.56/~jnz1568/getInfo.php?workbook=16_15.xlsx&amp;sheet=A0&amp;row=754&amp;col=14&amp;number=&amp;sourceID=53","")</f>
        <v/>
      </c>
      <c r="O754" s="4" t="str">
        <f>HYPERLINK("http://141.218.60.56/~jnz1568/getInfo.php?workbook=16_15.xlsx&amp;sheet=A0&amp;row=754&amp;col=15&amp;number=&amp;sourceID=55","")</f>
        <v/>
      </c>
      <c r="P754" s="4" t="str">
        <f>HYPERLINK("http://141.218.60.56/~jnz1568/getInfo.php?workbook=16_15.xlsx&amp;sheet=A0&amp;row=754&amp;col=16&amp;number=&amp;sourceID=55","")</f>
        <v/>
      </c>
      <c r="Q754" s="4" t="str">
        <f>HYPERLINK("http://141.218.60.56/~jnz1568/getInfo.php?workbook=16_15.xlsx&amp;sheet=A0&amp;row=754&amp;col=17&amp;number=&amp;sourceID=56","")</f>
        <v/>
      </c>
      <c r="R754" s="4" t="str">
        <f>HYPERLINK("http://141.218.60.56/~jnz1568/getInfo.php?workbook=16_15.xlsx&amp;sheet=A0&amp;row=754&amp;col=18&amp;number=&amp;sourceID=56","")</f>
        <v/>
      </c>
      <c r="S754" s="4" t="str">
        <f>HYPERLINK("http://141.218.60.56/~jnz1568/getInfo.php?workbook=16_15.xlsx&amp;sheet=A0&amp;row=754&amp;col=19&amp;number=&amp;sourceID=57","")</f>
        <v/>
      </c>
      <c r="T754" s="4" t="str">
        <f>HYPERLINK("http://141.218.60.56/~jnz1568/getInfo.php?workbook=16_15.xlsx&amp;sheet=A0&amp;row=754&amp;col=20&amp;number=&amp;sourceID=57","")</f>
        <v/>
      </c>
      <c r="U754" s="4" t="str">
        <f>HYPERLINK("http://141.218.60.56/~jnz1568/getInfo.php?workbook=16_15.xlsx&amp;sheet=A0&amp;row=754&amp;col=21&amp;number=&amp;sourceID=47","")</f>
        <v/>
      </c>
      <c r="V754" s="4" t="str">
        <f>HYPERLINK("http://141.218.60.56/~jnz1568/getInfo.php?workbook=16_15.xlsx&amp;sheet=A0&amp;row=754&amp;col=22&amp;number=&amp;sourceID=47","")</f>
        <v/>
      </c>
    </row>
    <row r="755" spans="1:22">
      <c r="A755" s="3">
        <v>16</v>
      </c>
      <c r="B755" s="3">
        <v>15</v>
      </c>
      <c r="C755" s="3">
        <v>45</v>
      </c>
      <c r="D755" s="3">
        <v>5</v>
      </c>
      <c r="E755" s="3">
        <f>((1/(INDEX(E0!J$4:J$73,C755,1)-INDEX(E0!J$4:J$73,D755,1))))*100000000</f>
        <v>0</v>
      </c>
      <c r="F755" s="4" t="str">
        <f>HYPERLINK("http://141.218.60.56/~jnz1568/getInfo.php?workbook=16_15.xlsx&amp;sheet=A0&amp;row=755&amp;col=6&amp;number=&amp;sourceID=54","")</f>
        <v/>
      </c>
      <c r="G755" s="4" t="str">
        <f>HYPERLINK("http://141.218.60.56/~jnz1568/getInfo.php?workbook=16_15.xlsx&amp;sheet=A0&amp;row=755&amp;col=7&amp;number=6.1945&amp;sourceID=54","6.1945")</f>
        <v>6.1945</v>
      </c>
      <c r="H755" s="4" t="str">
        <f>HYPERLINK("http://141.218.60.56/~jnz1568/getInfo.php?workbook=16_15.xlsx&amp;sheet=A0&amp;row=755&amp;col=8&amp;number=0.0035359&amp;sourceID=54","0.0035359")</f>
        <v>0.0035359</v>
      </c>
      <c r="I755" s="4" t="str">
        <f>HYPERLINK("http://141.218.60.56/~jnz1568/getInfo.php?workbook=16_15.xlsx&amp;sheet=A0&amp;row=755&amp;col=9&amp;number=&amp;sourceID=54","")</f>
        <v/>
      </c>
      <c r="J755" s="4" t="str">
        <f>HYPERLINK("http://141.218.60.56/~jnz1568/getInfo.php?workbook=16_15.xlsx&amp;sheet=A0&amp;row=755&amp;col=10&amp;number=1.3247&amp;sourceID=54","1.3247")</f>
        <v>1.3247</v>
      </c>
      <c r="K755" s="4" t="str">
        <f>HYPERLINK("http://141.218.60.56/~jnz1568/getInfo.php?workbook=16_15.xlsx&amp;sheet=A0&amp;row=755&amp;col=11&amp;number=0.0044645&amp;sourceID=54","0.0044645")</f>
        <v>0.0044645</v>
      </c>
      <c r="L755" s="4" t="str">
        <f>HYPERLINK("http://141.218.60.56/~jnz1568/getInfo.php?workbook=16_15.xlsx&amp;sheet=A0&amp;row=755&amp;col=12&amp;number=&amp;sourceID=53","")</f>
        <v/>
      </c>
      <c r="M755" s="4" t="str">
        <f>HYPERLINK("http://141.218.60.56/~jnz1568/getInfo.php?workbook=16_15.xlsx&amp;sheet=A0&amp;row=755&amp;col=13&amp;number=&amp;sourceID=53","")</f>
        <v/>
      </c>
      <c r="N755" s="4" t="str">
        <f>HYPERLINK("http://141.218.60.56/~jnz1568/getInfo.php?workbook=16_15.xlsx&amp;sheet=A0&amp;row=755&amp;col=14&amp;number=&amp;sourceID=53","")</f>
        <v/>
      </c>
      <c r="O755" s="4" t="str">
        <f>HYPERLINK("http://141.218.60.56/~jnz1568/getInfo.php?workbook=16_15.xlsx&amp;sheet=A0&amp;row=755&amp;col=15&amp;number=&amp;sourceID=55","")</f>
        <v/>
      </c>
      <c r="P755" s="4" t="str">
        <f>HYPERLINK("http://141.218.60.56/~jnz1568/getInfo.php?workbook=16_15.xlsx&amp;sheet=A0&amp;row=755&amp;col=16&amp;number=&amp;sourceID=55","")</f>
        <v/>
      </c>
      <c r="Q755" s="4" t="str">
        <f>HYPERLINK("http://141.218.60.56/~jnz1568/getInfo.php?workbook=16_15.xlsx&amp;sheet=A0&amp;row=755&amp;col=17&amp;number=&amp;sourceID=56","")</f>
        <v/>
      </c>
      <c r="R755" s="4" t="str">
        <f>HYPERLINK("http://141.218.60.56/~jnz1568/getInfo.php?workbook=16_15.xlsx&amp;sheet=A0&amp;row=755&amp;col=18&amp;number=&amp;sourceID=56","")</f>
        <v/>
      </c>
      <c r="S755" s="4" t="str">
        <f>HYPERLINK("http://141.218.60.56/~jnz1568/getInfo.php?workbook=16_15.xlsx&amp;sheet=A0&amp;row=755&amp;col=19&amp;number=&amp;sourceID=57","")</f>
        <v/>
      </c>
      <c r="T755" s="4" t="str">
        <f>HYPERLINK("http://141.218.60.56/~jnz1568/getInfo.php?workbook=16_15.xlsx&amp;sheet=A0&amp;row=755&amp;col=20&amp;number=&amp;sourceID=57","")</f>
        <v/>
      </c>
      <c r="U755" s="4" t="str">
        <f>HYPERLINK("http://141.218.60.56/~jnz1568/getInfo.php?workbook=16_15.xlsx&amp;sheet=A0&amp;row=755&amp;col=21&amp;number=&amp;sourceID=47","")</f>
        <v/>
      </c>
      <c r="V755" s="4" t="str">
        <f>HYPERLINK("http://141.218.60.56/~jnz1568/getInfo.php?workbook=16_15.xlsx&amp;sheet=A0&amp;row=755&amp;col=22&amp;number=&amp;sourceID=47","")</f>
        <v/>
      </c>
    </row>
    <row r="756" spans="1:22">
      <c r="A756" s="3">
        <v>16</v>
      </c>
      <c r="B756" s="3">
        <v>15</v>
      </c>
      <c r="C756" s="3">
        <v>45</v>
      </c>
      <c r="D756" s="3">
        <v>6</v>
      </c>
      <c r="E756" s="3">
        <f>((1/(INDEX(E0!J$4:J$73,C756,1)-INDEX(E0!J$4:J$73,D756,1))))*100000000</f>
        <v>0</v>
      </c>
      <c r="F756" s="4" t="str">
        <f>HYPERLINK("http://141.218.60.56/~jnz1568/getInfo.php?workbook=16_15.xlsx&amp;sheet=A0&amp;row=756&amp;col=6&amp;number=25425000&amp;sourceID=54","25425000")</f>
        <v>25425000</v>
      </c>
      <c r="G756" s="4" t="str">
        <f>HYPERLINK("http://141.218.60.56/~jnz1568/getInfo.php?workbook=16_15.xlsx&amp;sheet=A0&amp;row=756&amp;col=7&amp;number=&amp;sourceID=54","")</f>
        <v/>
      </c>
      <c r="H756" s="4" t="str">
        <f>HYPERLINK("http://141.218.60.56/~jnz1568/getInfo.php?workbook=16_15.xlsx&amp;sheet=A0&amp;row=756&amp;col=8&amp;number=&amp;sourceID=54","")</f>
        <v/>
      </c>
      <c r="I756" s="4" t="str">
        <f>HYPERLINK("http://141.218.60.56/~jnz1568/getInfo.php?workbook=16_15.xlsx&amp;sheet=A0&amp;row=756&amp;col=9&amp;number=25549000&amp;sourceID=54","25549000")</f>
        <v>25549000</v>
      </c>
      <c r="J756" s="4" t="str">
        <f>HYPERLINK("http://141.218.60.56/~jnz1568/getInfo.php?workbook=16_15.xlsx&amp;sheet=A0&amp;row=756&amp;col=10&amp;number=&amp;sourceID=54","")</f>
        <v/>
      </c>
      <c r="K756" s="4" t="str">
        <f>HYPERLINK("http://141.218.60.56/~jnz1568/getInfo.php?workbook=16_15.xlsx&amp;sheet=A0&amp;row=756&amp;col=11&amp;number=&amp;sourceID=54","")</f>
        <v/>
      </c>
      <c r="L756" s="4" t="str">
        <f>HYPERLINK("http://141.218.60.56/~jnz1568/getInfo.php?workbook=16_15.xlsx&amp;sheet=A0&amp;row=756&amp;col=12&amp;number=15130736.5781&amp;sourceID=53","15130736.5781")</f>
        <v>15130736.5781</v>
      </c>
      <c r="M756" s="4" t="str">
        <f>HYPERLINK("http://141.218.60.56/~jnz1568/getInfo.php?workbook=16_15.xlsx&amp;sheet=A0&amp;row=756&amp;col=13&amp;number=&amp;sourceID=53","")</f>
        <v/>
      </c>
      <c r="N756" s="4" t="str">
        <f>HYPERLINK("http://141.218.60.56/~jnz1568/getInfo.php?workbook=16_15.xlsx&amp;sheet=A0&amp;row=756&amp;col=14&amp;number=&amp;sourceID=53","")</f>
        <v/>
      </c>
      <c r="O756" s="4" t="str">
        <f>HYPERLINK("http://141.218.60.56/~jnz1568/getInfo.php?workbook=16_15.xlsx&amp;sheet=A0&amp;row=756&amp;col=15&amp;number=&amp;sourceID=55","")</f>
        <v/>
      </c>
      <c r="P756" s="4" t="str">
        <f>HYPERLINK("http://141.218.60.56/~jnz1568/getInfo.php?workbook=16_15.xlsx&amp;sheet=A0&amp;row=756&amp;col=16&amp;number=&amp;sourceID=55","")</f>
        <v/>
      </c>
      <c r="Q756" s="4" t="str">
        <f>HYPERLINK("http://141.218.60.56/~jnz1568/getInfo.php?workbook=16_15.xlsx&amp;sheet=A0&amp;row=756&amp;col=17&amp;number=&amp;sourceID=56","")</f>
        <v/>
      </c>
      <c r="R756" s="4" t="str">
        <f>HYPERLINK("http://141.218.60.56/~jnz1568/getInfo.php?workbook=16_15.xlsx&amp;sheet=A0&amp;row=756&amp;col=18&amp;number=&amp;sourceID=56","")</f>
        <v/>
      </c>
      <c r="S756" s="4" t="str">
        <f>HYPERLINK("http://141.218.60.56/~jnz1568/getInfo.php?workbook=16_15.xlsx&amp;sheet=A0&amp;row=756&amp;col=19&amp;number=&amp;sourceID=57","")</f>
        <v/>
      </c>
      <c r="T756" s="4" t="str">
        <f>HYPERLINK("http://141.218.60.56/~jnz1568/getInfo.php?workbook=16_15.xlsx&amp;sheet=A0&amp;row=756&amp;col=20&amp;number=&amp;sourceID=57","")</f>
        <v/>
      </c>
      <c r="U756" s="4" t="str">
        <f>HYPERLINK("http://141.218.60.56/~jnz1568/getInfo.php?workbook=16_15.xlsx&amp;sheet=A0&amp;row=756&amp;col=21&amp;number=&amp;sourceID=47","")</f>
        <v/>
      </c>
      <c r="V756" s="4" t="str">
        <f>HYPERLINK("http://141.218.60.56/~jnz1568/getInfo.php?workbook=16_15.xlsx&amp;sheet=A0&amp;row=756&amp;col=22&amp;number=&amp;sourceID=47","")</f>
        <v/>
      </c>
    </row>
    <row r="757" spans="1:22">
      <c r="A757" s="3">
        <v>16</v>
      </c>
      <c r="B757" s="3">
        <v>15</v>
      </c>
      <c r="C757" s="3">
        <v>45</v>
      </c>
      <c r="D757" s="3">
        <v>7</v>
      </c>
      <c r="E757" s="3">
        <f>((1/(INDEX(E0!J$4:J$73,C757,1)-INDEX(E0!J$4:J$73,D757,1))))*100000000</f>
        <v>0</v>
      </c>
      <c r="F757" s="4" t="str">
        <f>HYPERLINK("http://141.218.60.56/~jnz1568/getInfo.php?workbook=16_15.xlsx&amp;sheet=A0&amp;row=757&amp;col=6&amp;number=26311000&amp;sourceID=54","26311000")</f>
        <v>26311000</v>
      </c>
      <c r="G757" s="4" t="str">
        <f>HYPERLINK("http://141.218.60.56/~jnz1568/getInfo.php?workbook=16_15.xlsx&amp;sheet=A0&amp;row=757&amp;col=7&amp;number=&amp;sourceID=54","")</f>
        <v/>
      </c>
      <c r="H757" s="4" t="str">
        <f>HYPERLINK("http://141.218.60.56/~jnz1568/getInfo.php?workbook=16_15.xlsx&amp;sheet=A0&amp;row=757&amp;col=8&amp;number=&amp;sourceID=54","")</f>
        <v/>
      </c>
      <c r="I757" s="4" t="str">
        <f>HYPERLINK("http://141.218.60.56/~jnz1568/getInfo.php?workbook=16_15.xlsx&amp;sheet=A0&amp;row=757&amp;col=9&amp;number=25647000&amp;sourceID=54","25647000")</f>
        <v>25647000</v>
      </c>
      <c r="J757" s="4" t="str">
        <f>HYPERLINK("http://141.218.60.56/~jnz1568/getInfo.php?workbook=16_15.xlsx&amp;sheet=A0&amp;row=757&amp;col=10&amp;number=&amp;sourceID=54","")</f>
        <v/>
      </c>
      <c r="K757" s="4" t="str">
        <f>HYPERLINK("http://141.218.60.56/~jnz1568/getInfo.php?workbook=16_15.xlsx&amp;sheet=A0&amp;row=757&amp;col=11&amp;number=&amp;sourceID=54","")</f>
        <v/>
      </c>
      <c r="L757" s="4" t="str">
        <f>HYPERLINK("http://141.218.60.56/~jnz1568/getInfo.php?workbook=16_15.xlsx&amp;sheet=A0&amp;row=757&amp;col=12&amp;number=17136481.5074&amp;sourceID=53","17136481.5074")</f>
        <v>17136481.5074</v>
      </c>
      <c r="M757" s="4" t="str">
        <f>HYPERLINK("http://141.218.60.56/~jnz1568/getInfo.php?workbook=16_15.xlsx&amp;sheet=A0&amp;row=757&amp;col=13&amp;number=&amp;sourceID=53","")</f>
        <v/>
      </c>
      <c r="N757" s="4" t="str">
        <f>HYPERLINK("http://141.218.60.56/~jnz1568/getInfo.php?workbook=16_15.xlsx&amp;sheet=A0&amp;row=757&amp;col=14&amp;number=&amp;sourceID=53","")</f>
        <v/>
      </c>
      <c r="O757" s="4" t="str">
        <f>HYPERLINK("http://141.218.60.56/~jnz1568/getInfo.php?workbook=16_15.xlsx&amp;sheet=A0&amp;row=757&amp;col=15&amp;number=&amp;sourceID=55","")</f>
        <v/>
      </c>
      <c r="P757" s="4" t="str">
        <f>HYPERLINK("http://141.218.60.56/~jnz1568/getInfo.php?workbook=16_15.xlsx&amp;sheet=A0&amp;row=757&amp;col=16&amp;number=&amp;sourceID=55","")</f>
        <v/>
      </c>
      <c r="Q757" s="4" t="str">
        <f>HYPERLINK("http://141.218.60.56/~jnz1568/getInfo.php?workbook=16_15.xlsx&amp;sheet=A0&amp;row=757&amp;col=17&amp;number=&amp;sourceID=56","")</f>
        <v/>
      </c>
      <c r="R757" s="4" t="str">
        <f>HYPERLINK("http://141.218.60.56/~jnz1568/getInfo.php?workbook=16_15.xlsx&amp;sheet=A0&amp;row=757&amp;col=18&amp;number=&amp;sourceID=56","")</f>
        <v/>
      </c>
      <c r="S757" s="4" t="str">
        <f>HYPERLINK("http://141.218.60.56/~jnz1568/getInfo.php?workbook=16_15.xlsx&amp;sheet=A0&amp;row=757&amp;col=19&amp;number=&amp;sourceID=57","")</f>
        <v/>
      </c>
      <c r="T757" s="4" t="str">
        <f>HYPERLINK("http://141.218.60.56/~jnz1568/getInfo.php?workbook=16_15.xlsx&amp;sheet=A0&amp;row=757&amp;col=20&amp;number=&amp;sourceID=57","")</f>
        <v/>
      </c>
      <c r="U757" s="4" t="str">
        <f>HYPERLINK("http://141.218.60.56/~jnz1568/getInfo.php?workbook=16_15.xlsx&amp;sheet=A0&amp;row=757&amp;col=21&amp;number=&amp;sourceID=47","")</f>
        <v/>
      </c>
      <c r="V757" s="4" t="str">
        <f>HYPERLINK("http://141.218.60.56/~jnz1568/getInfo.php?workbook=16_15.xlsx&amp;sheet=A0&amp;row=757&amp;col=22&amp;number=&amp;sourceID=47","")</f>
        <v/>
      </c>
    </row>
    <row r="758" spans="1:22">
      <c r="A758" s="3">
        <v>16</v>
      </c>
      <c r="B758" s="3">
        <v>15</v>
      </c>
      <c r="C758" s="3">
        <v>45</v>
      </c>
      <c r="D758" s="3">
        <v>8</v>
      </c>
      <c r="E758" s="3">
        <f>((1/(INDEX(E0!J$4:J$73,C758,1)-INDEX(E0!J$4:J$73,D758,1))))*100000000</f>
        <v>0</v>
      </c>
      <c r="F758" s="4" t="str">
        <f>HYPERLINK("http://141.218.60.56/~jnz1568/getInfo.php?workbook=16_15.xlsx&amp;sheet=A0&amp;row=758&amp;col=6&amp;number=16458000&amp;sourceID=54","16458000")</f>
        <v>16458000</v>
      </c>
      <c r="G758" s="4" t="str">
        <f>HYPERLINK("http://141.218.60.56/~jnz1568/getInfo.php?workbook=16_15.xlsx&amp;sheet=A0&amp;row=758&amp;col=7&amp;number=&amp;sourceID=54","")</f>
        <v/>
      </c>
      <c r="H758" s="4" t="str">
        <f>HYPERLINK("http://141.218.60.56/~jnz1568/getInfo.php?workbook=16_15.xlsx&amp;sheet=A0&amp;row=758&amp;col=8&amp;number=&amp;sourceID=54","")</f>
        <v/>
      </c>
      <c r="I758" s="4" t="str">
        <f>HYPERLINK("http://141.218.60.56/~jnz1568/getInfo.php?workbook=16_15.xlsx&amp;sheet=A0&amp;row=758&amp;col=9&amp;number=15830000&amp;sourceID=54","15830000")</f>
        <v>15830000</v>
      </c>
      <c r="J758" s="4" t="str">
        <f>HYPERLINK("http://141.218.60.56/~jnz1568/getInfo.php?workbook=16_15.xlsx&amp;sheet=A0&amp;row=758&amp;col=10&amp;number=&amp;sourceID=54","")</f>
        <v/>
      </c>
      <c r="K758" s="4" t="str">
        <f>HYPERLINK("http://141.218.60.56/~jnz1568/getInfo.php?workbook=16_15.xlsx&amp;sheet=A0&amp;row=758&amp;col=11&amp;number=&amp;sourceID=54","")</f>
        <v/>
      </c>
      <c r="L758" s="4" t="str">
        <f>HYPERLINK("http://141.218.60.56/~jnz1568/getInfo.php?workbook=16_15.xlsx&amp;sheet=A0&amp;row=758&amp;col=12&amp;number=11129925.0916&amp;sourceID=53","11129925.0916")</f>
        <v>11129925.0916</v>
      </c>
      <c r="M758" s="4" t="str">
        <f>HYPERLINK("http://141.218.60.56/~jnz1568/getInfo.php?workbook=16_15.xlsx&amp;sheet=A0&amp;row=758&amp;col=13&amp;number=&amp;sourceID=53","")</f>
        <v/>
      </c>
      <c r="N758" s="4" t="str">
        <f>HYPERLINK("http://141.218.60.56/~jnz1568/getInfo.php?workbook=16_15.xlsx&amp;sheet=A0&amp;row=758&amp;col=14&amp;number=&amp;sourceID=53","")</f>
        <v/>
      </c>
      <c r="O758" s="4" t="str">
        <f>HYPERLINK("http://141.218.60.56/~jnz1568/getInfo.php?workbook=16_15.xlsx&amp;sheet=A0&amp;row=758&amp;col=15&amp;number=&amp;sourceID=55","")</f>
        <v/>
      </c>
      <c r="P758" s="4" t="str">
        <f>HYPERLINK("http://141.218.60.56/~jnz1568/getInfo.php?workbook=16_15.xlsx&amp;sheet=A0&amp;row=758&amp;col=16&amp;number=&amp;sourceID=55","")</f>
        <v/>
      </c>
      <c r="Q758" s="4" t="str">
        <f>HYPERLINK("http://141.218.60.56/~jnz1568/getInfo.php?workbook=16_15.xlsx&amp;sheet=A0&amp;row=758&amp;col=17&amp;number=&amp;sourceID=56","")</f>
        <v/>
      </c>
      <c r="R758" s="4" t="str">
        <f>HYPERLINK("http://141.218.60.56/~jnz1568/getInfo.php?workbook=16_15.xlsx&amp;sheet=A0&amp;row=758&amp;col=18&amp;number=&amp;sourceID=56","")</f>
        <v/>
      </c>
      <c r="S758" s="4" t="str">
        <f>HYPERLINK("http://141.218.60.56/~jnz1568/getInfo.php?workbook=16_15.xlsx&amp;sheet=A0&amp;row=758&amp;col=19&amp;number=&amp;sourceID=57","")</f>
        <v/>
      </c>
      <c r="T758" s="4" t="str">
        <f>HYPERLINK("http://141.218.60.56/~jnz1568/getInfo.php?workbook=16_15.xlsx&amp;sheet=A0&amp;row=758&amp;col=20&amp;number=&amp;sourceID=57","")</f>
        <v/>
      </c>
      <c r="U758" s="4" t="str">
        <f>HYPERLINK("http://141.218.60.56/~jnz1568/getInfo.php?workbook=16_15.xlsx&amp;sheet=A0&amp;row=758&amp;col=21&amp;number=&amp;sourceID=47","")</f>
        <v/>
      </c>
      <c r="V758" s="4" t="str">
        <f>HYPERLINK("http://141.218.60.56/~jnz1568/getInfo.php?workbook=16_15.xlsx&amp;sheet=A0&amp;row=758&amp;col=22&amp;number=&amp;sourceID=47","")</f>
        <v/>
      </c>
    </row>
    <row r="759" spans="1:22">
      <c r="A759" s="3">
        <v>16</v>
      </c>
      <c r="B759" s="3">
        <v>15</v>
      </c>
      <c r="C759" s="3">
        <v>45</v>
      </c>
      <c r="D759" s="3">
        <v>9</v>
      </c>
      <c r="E759" s="3">
        <f>((1/(INDEX(E0!J$4:J$73,C759,1)-INDEX(E0!J$4:J$73,D759,1))))*100000000</f>
        <v>0</v>
      </c>
      <c r="F759" s="4" t="str">
        <f>HYPERLINK("http://141.218.60.56/~jnz1568/getInfo.php?workbook=16_15.xlsx&amp;sheet=A0&amp;row=759&amp;col=6&amp;number=256.33&amp;sourceID=54","256.33")</f>
        <v>256.33</v>
      </c>
      <c r="G759" s="4" t="str">
        <f>HYPERLINK("http://141.218.60.56/~jnz1568/getInfo.php?workbook=16_15.xlsx&amp;sheet=A0&amp;row=759&amp;col=7&amp;number=&amp;sourceID=54","")</f>
        <v/>
      </c>
      <c r="H759" s="4" t="str">
        <f>HYPERLINK("http://141.218.60.56/~jnz1568/getInfo.php?workbook=16_15.xlsx&amp;sheet=A0&amp;row=759&amp;col=8&amp;number=&amp;sourceID=54","")</f>
        <v/>
      </c>
      <c r="I759" s="4" t="str">
        <f>HYPERLINK("http://141.218.60.56/~jnz1568/getInfo.php?workbook=16_15.xlsx&amp;sheet=A0&amp;row=759&amp;col=9&amp;number=16.391&amp;sourceID=54","16.391")</f>
        <v>16.391</v>
      </c>
      <c r="J759" s="4" t="str">
        <f>HYPERLINK("http://141.218.60.56/~jnz1568/getInfo.php?workbook=16_15.xlsx&amp;sheet=A0&amp;row=759&amp;col=10&amp;number=&amp;sourceID=54","")</f>
        <v/>
      </c>
      <c r="K759" s="4" t="str">
        <f>HYPERLINK("http://141.218.60.56/~jnz1568/getInfo.php?workbook=16_15.xlsx&amp;sheet=A0&amp;row=759&amp;col=11&amp;number=&amp;sourceID=54","")</f>
        <v/>
      </c>
      <c r="L759" s="4" t="str">
        <f>HYPERLINK("http://141.218.60.56/~jnz1568/getInfo.php?workbook=16_15.xlsx&amp;sheet=A0&amp;row=759&amp;col=12&amp;number=27.6491074287&amp;sourceID=53","27.6491074287")</f>
        <v>27.6491074287</v>
      </c>
      <c r="M759" s="4" t="str">
        <f>HYPERLINK("http://141.218.60.56/~jnz1568/getInfo.php?workbook=16_15.xlsx&amp;sheet=A0&amp;row=759&amp;col=13&amp;number=&amp;sourceID=53","")</f>
        <v/>
      </c>
      <c r="N759" s="4" t="str">
        <f>HYPERLINK("http://141.218.60.56/~jnz1568/getInfo.php?workbook=16_15.xlsx&amp;sheet=A0&amp;row=759&amp;col=14&amp;number=&amp;sourceID=53","")</f>
        <v/>
      </c>
      <c r="O759" s="4" t="str">
        <f>HYPERLINK("http://141.218.60.56/~jnz1568/getInfo.php?workbook=16_15.xlsx&amp;sheet=A0&amp;row=759&amp;col=15&amp;number=&amp;sourceID=55","")</f>
        <v/>
      </c>
      <c r="P759" s="4" t="str">
        <f>HYPERLINK("http://141.218.60.56/~jnz1568/getInfo.php?workbook=16_15.xlsx&amp;sheet=A0&amp;row=759&amp;col=16&amp;number=&amp;sourceID=55","")</f>
        <v/>
      </c>
      <c r="Q759" s="4" t="str">
        <f>HYPERLINK("http://141.218.60.56/~jnz1568/getInfo.php?workbook=16_15.xlsx&amp;sheet=A0&amp;row=759&amp;col=17&amp;number=&amp;sourceID=56","")</f>
        <v/>
      </c>
      <c r="R759" s="4" t="str">
        <f>HYPERLINK("http://141.218.60.56/~jnz1568/getInfo.php?workbook=16_15.xlsx&amp;sheet=A0&amp;row=759&amp;col=18&amp;number=&amp;sourceID=56","")</f>
        <v/>
      </c>
      <c r="S759" s="4" t="str">
        <f>HYPERLINK("http://141.218.60.56/~jnz1568/getInfo.php?workbook=16_15.xlsx&amp;sheet=A0&amp;row=759&amp;col=19&amp;number=&amp;sourceID=57","")</f>
        <v/>
      </c>
      <c r="T759" s="4" t="str">
        <f>HYPERLINK("http://141.218.60.56/~jnz1568/getInfo.php?workbook=16_15.xlsx&amp;sheet=A0&amp;row=759&amp;col=20&amp;number=&amp;sourceID=57","")</f>
        <v/>
      </c>
      <c r="U759" s="4" t="str">
        <f>HYPERLINK("http://141.218.60.56/~jnz1568/getInfo.php?workbook=16_15.xlsx&amp;sheet=A0&amp;row=759&amp;col=21&amp;number=&amp;sourceID=47","")</f>
        <v/>
      </c>
      <c r="V759" s="4" t="str">
        <f>HYPERLINK("http://141.218.60.56/~jnz1568/getInfo.php?workbook=16_15.xlsx&amp;sheet=A0&amp;row=759&amp;col=22&amp;number=&amp;sourceID=47","")</f>
        <v/>
      </c>
    </row>
    <row r="760" spans="1:22">
      <c r="A760" s="3">
        <v>16</v>
      </c>
      <c r="B760" s="3">
        <v>15</v>
      </c>
      <c r="C760" s="3">
        <v>45</v>
      </c>
      <c r="D760" s="3">
        <v>10</v>
      </c>
      <c r="E760" s="3">
        <f>((1/(INDEX(E0!J$4:J$73,C760,1)-INDEX(E0!J$4:J$73,D760,1))))*100000000</f>
        <v>0</v>
      </c>
      <c r="F760" s="4" t="str">
        <f>HYPERLINK("http://141.218.60.56/~jnz1568/getInfo.php?workbook=16_15.xlsx&amp;sheet=A0&amp;row=760&amp;col=6&amp;number=4057.3&amp;sourceID=54","4057.3")</f>
        <v>4057.3</v>
      </c>
      <c r="G760" s="4" t="str">
        <f>HYPERLINK("http://141.218.60.56/~jnz1568/getInfo.php?workbook=16_15.xlsx&amp;sheet=A0&amp;row=760&amp;col=7&amp;number=&amp;sourceID=54","")</f>
        <v/>
      </c>
      <c r="H760" s="4" t="str">
        <f>HYPERLINK("http://141.218.60.56/~jnz1568/getInfo.php?workbook=16_15.xlsx&amp;sheet=A0&amp;row=760&amp;col=8&amp;number=&amp;sourceID=54","")</f>
        <v/>
      </c>
      <c r="I760" s="4" t="str">
        <f>HYPERLINK("http://141.218.60.56/~jnz1568/getInfo.php?workbook=16_15.xlsx&amp;sheet=A0&amp;row=760&amp;col=9&amp;number=2913&amp;sourceID=54","2913")</f>
        <v>2913</v>
      </c>
      <c r="J760" s="4" t="str">
        <f>HYPERLINK("http://141.218.60.56/~jnz1568/getInfo.php?workbook=16_15.xlsx&amp;sheet=A0&amp;row=760&amp;col=10&amp;number=&amp;sourceID=54","")</f>
        <v/>
      </c>
      <c r="K760" s="4" t="str">
        <f>HYPERLINK("http://141.218.60.56/~jnz1568/getInfo.php?workbook=16_15.xlsx&amp;sheet=A0&amp;row=760&amp;col=11&amp;number=&amp;sourceID=54","")</f>
        <v/>
      </c>
      <c r="L760" s="4" t="str">
        <f>HYPERLINK("http://141.218.60.56/~jnz1568/getInfo.php?workbook=16_15.xlsx&amp;sheet=A0&amp;row=760&amp;col=12&amp;number=10718.9527053&amp;sourceID=53","10718.9527053")</f>
        <v>10718.9527053</v>
      </c>
      <c r="M760" s="4" t="str">
        <f>HYPERLINK("http://141.218.60.56/~jnz1568/getInfo.php?workbook=16_15.xlsx&amp;sheet=A0&amp;row=760&amp;col=13&amp;number=&amp;sourceID=53","")</f>
        <v/>
      </c>
      <c r="N760" s="4" t="str">
        <f>HYPERLINK("http://141.218.60.56/~jnz1568/getInfo.php?workbook=16_15.xlsx&amp;sheet=A0&amp;row=760&amp;col=14&amp;number=&amp;sourceID=53","")</f>
        <v/>
      </c>
      <c r="O760" s="4" t="str">
        <f>HYPERLINK("http://141.218.60.56/~jnz1568/getInfo.php?workbook=16_15.xlsx&amp;sheet=A0&amp;row=760&amp;col=15&amp;number=&amp;sourceID=55","")</f>
        <v/>
      </c>
      <c r="P760" s="4" t="str">
        <f>HYPERLINK("http://141.218.60.56/~jnz1568/getInfo.php?workbook=16_15.xlsx&amp;sheet=A0&amp;row=760&amp;col=16&amp;number=&amp;sourceID=55","")</f>
        <v/>
      </c>
      <c r="Q760" s="4" t="str">
        <f>HYPERLINK("http://141.218.60.56/~jnz1568/getInfo.php?workbook=16_15.xlsx&amp;sheet=A0&amp;row=760&amp;col=17&amp;number=&amp;sourceID=56","")</f>
        <v/>
      </c>
      <c r="R760" s="4" t="str">
        <f>HYPERLINK("http://141.218.60.56/~jnz1568/getInfo.php?workbook=16_15.xlsx&amp;sheet=A0&amp;row=760&amp;col=18&amp;number=&amp;sourceID=56","")</f>
        <v/>
      </c>
      <c r="S760" s="4" t="str">
        <f>HYPERLINK("http://141.218.60.56/~jnz1568/getInfo.php?workbook=16_15.xlsx&amp;sheet=A0&amp;row=760&amp;col=19&amp;number=&amp;sourceID=57","")</f>
        <v/>
      </c>
      <c r="T760" s="4" t="str">
        <f>HYPERLINK("http://141.218.60.56/~jnz1568/getInfo.php?workbook=16_15.xlsx&amp;sheet=A0&amp;row=760&amp;col=20&amp;number=&amp;sourceID=57","")</f>
        <v/>
      </c>
      <c r="U760" s="4" t="str">
        <f>HYPERLINK("http://141.218.60.56/~jnz1568/getInfo.php?workbook=16_15.xlsx&amp;sheet=A0&amp;row=760&amp;col=21&amp;number=&amp;sourceID=47","")</f>
        <v/>
      </c>
      <c r="V760" s="4" t="str">
        <f>HYPERLINK("http://141.218.60.56/~jnz1568/getInfo.php?workbook=16_15.xlsx&amp;sheet=A0&amp;row=760&amp;col=22&amp;number=&amp;sourceID=47","")</f>
        <v/>
      </c>
    </row>
    <row r="761" spans="1:22">
      <c r="A761" s="3">
        <v>16</v>
      </c>
      <c r="B761" s="3">
        <v>15</v>
      </c>
      <c r="C761" s="3">
        <v>45</v>
      </c>
      <c r="D761" s="3">
        <v>11</v>
      </c>
      <c r="E761" s="3">
        <f>((1/(INDEX(E0!J$4:J$73,C761,1)-INDEX(E0!J$4:J$73,D761,1))))*100000000</f>
        <v>0</v>
      </c>
      <c r="F761" s="4" t="str">
        <f>HYPERLINK("http://141.218.60.56/~jnz1568/getInfo.php?workbook=16_15.xlsx&amp;sheet=A0&amp;row=761&amp;col=6&amp;number=1099.5&amp;sourceID=54","1099.5")</f>
        <v>1099.5</v>
      </c>
      <c r="G761" s="4" t="str">
        <f>HYPERLINK("http://141.218.60.56/~jnz1568/getInfo.php?workbook=16_15.xlsx&amp;sheet=A0&amp;row=761&amp;col=7&amp;number=&amp;sourceID=54","")</f>
        <v/>
      </c>
      <c r="H761" s="4" t="str">
        <f>HYPERLINK("http://141.218.60.56/~jnz1568/getInfo.php?workbook=16_15.xlsx&amp;sheet=A0&amp;row=761&amp;col=8&amp;number=&amp;sourceID=54","")</f>
        <v/>
      </c>
      <c r="I761" s="4" t="str">
        <f>HYPERLINK("http://141.218.60.56/~jnz1568/getInfo.php?workbook=16_15.xlsx&amp;sheet=A0&amp;row=761&amp;col=9&amp;number=434.85&amp;sourceID=54","434.85")</f>
        <v>434.85</v>
      </c>
      <c r="J761" s="4" t="str">
        <f>HYPERLINK("http://141.218.60.56/~jnz1568/getInfo.php?workbook=16_15.xlsx&amp;sheet=A0&amp;row=761&amp;col=10&amp;number=&amp;sourceID=54","")</f>
        <v/>
      </c>
      <c r="K761" s="4" t="str">
        <f>HYPERLINK("http://141.218.60.56/~jnz1568/getInfo.php?workbook=16_15.xlsx&amp;sheet=A0&amp;row=761&amp;col=11&amp;number=&amp;sourceID=54","")</f>
        <v/>
      </c>
      <c r="L761" s="4" t="str">
        <f>HYPERLINK("http://141.218.60.56/~jnz1568/getInfo.php?workbook=16_15.xlsx&amp;sheet=A0&amp;row=761&amp;col=12&amp;number=29.4875190554&amp;sourceID=53","29.4875190554")</f>
        <v>29.4875190554</v>
      </c>
      <c r="M761" s="4" t="str">
        <f>HYPERLINK("http://141.218.60.56/~jnz1568/getInfo.php?workbook=16_15.xlsx&amp;sheet=A0&amp;row=761&amp;col=13&amp;number=&amp;sourceID=53","")</f>
        <v/>
      </c>
      <c r="N761" s="4" t="str">
        <f>HYPERLINK("http://141.218.60.56/~jnz1568/getInfo.php?workbook=16_15.xlsx&amp;sheet=A0&amp;row=761&amp;col=14&amp;number=&amp;sourceID=53","")</f>
        <v/>
      </c>
      <c r="O761" s="4" t="str">
        <f>HYPERLINK("http://141.218.60.56/~jnz1568/getInfo.php?workbook=16_15.xlsx&amp;sheet=A0&amp;row=761&amp;col=15&amp;number=&amp;sourceID=55","")</f>
        <v/>
      </c>
      <c r="P761" s="4" t="str">
        <f>HYPERLINK("http://141.218.60.56/~jnz1568/getInfo.php?workbook=16_15.xlsx&amp;sheet=A0&amp;row=761&amp;col=16&amp;number=&amp;sourceID=55","")</f>
        <v/>
      </c>
      <c r="Q761" s="4" t="str">
        <f>HYPERLINK("http://141.218.60.56/~jnz1568/getInfo.php?workbook=16_15.xlsx&amp;sheet=A0&amp;row=761&amp;col=17&amp;number=&amp;sourceID=56","")</f>
        <v/>
      </c>
      <c r="R761" s="4" t="str">
        <f>HYPERLINK("http://141.218.60.56/~jnz1568/getInfo.php?workbook=16_15.xlsx&amp;sheet=A0&amp;row=761&amp;col=18&amp;number=&amp;sourceID=56","")</f>
        <v/>
      </c>
      <c r="S761" s="4" t="str">
        <f>HYPERLINK("http://141.218.60.56/~jnz1568/getInfo.php?workbook=16_15.xlsx&amp;sheet=A0&amp;row=761&amp;col=19&amp;number=&amp;sourceID=57","")</f>
        <v/>
      </c>
      <c r="T761" s="4" t="str">
        <f>HYPERLINK("http://141.218.60.56/~jnz1568/getInfo.php?workbook=16_15.xlsx&amp;sheet=A0&amp;row=761&amp;col=20&amp;number=&amp;sourceID=57","")</f>
        <v/>
      </c>
      <c r="U761" s="4" t="str">
        <f>HYPERLINK("http://141.218.60.56/~jnz1568/getInfo.php?workbook=16_15.xlsx&amp;sheet=A0&amp;row=761&amp;col=21&amp;number=&amp;sourceID=47","")</f>
        <v/>
      </c>
      <c r="V761" s="4" t="str">
        <f>HYPERLINK("http://141.218.60.56/~jnz1568/getInfo.php?workbook=16_15.xlsx&amp;sheet=A0&amp;row=761&amp;col=22&amp;number=&amp;sourceID=47","")</f>
        <v/>
      </c>
    </row>
    <row r="762" spans="1:22">
      <c r="A762" s="3">
        <v>16</v>
      </c>
      <c r="B762" s="3">
        <v>15</v>
      </c>
      <c r="C762" s="3">
        <v>45</v>
      </c>
      <c r="D762" s="3">
        <v>12</v>
      </c>
      <c r="E762" s="3">
        <f>((1/(INDEX(E0!J$4:J$73,C762,1)-INDEX(E0!J$4:J$73,D762,1))))*100000000</f>
        <v>0</v>
      </c>
      <c r="F762" s="4" t="str">
        <f>HYPERLINK("http://141.218.60.56/~jnz1568/getInfo.php?workbook=16_15.xlsx&amp;sheet=A0&amp;row=762&amp;col=6&amp;number=6178.6&amp;sourceID=54","6178.6")</f>
        <v>6178.6</v>
      </c>
      <c r="G762" s="4" t="str">
        <f>HYPERLINK("http://141.218.60.56/~jnz1568/getInfo.php?workbook=16_15.xlsx&amp;sheet=A0&amp;row=762&amp;col=7&amp;number=&amp;sourceID=54","")</f>
        <v/>
      </c>
      <c r="H762" s="4" t="str">
        <f>HYPERLINK("http://141.218.60.56/~jnz1568/getInfo.php?workbook=16_15.xlsx&amp;sheet=A0&amp;row=762&amp;col=8&amp;number=&amp;sourceID=54","")</f>
        <v/>
      </c>
      <c r="I762" s="4" t="str">
        <f>HYPERLINK("http://141.218.60.56/~jnz1568/getInfo.php?workbook=16_15.xlsx&amp;sheet=A0&amp;row=762&amp;col=9&amp;number=1717.5&amp;sourceID=54","1717.5")</f>
        <v>1717.5</v>
      </c>
      <c r="J762" s="4" t="str">
        <f>HYPERLINK("http://141.218.60.56/~jnz1568/getInfo.php?workbook=16_15.xlsx&amp;sheet=A0&amp;row=762&amp;col=10&amp;number=&amp;sourceID=54","")</f>
        <v/>
      </c>
      <c r="K762" s="4" t="str">
        <f>HYPERLINK("http://141.218.60.56/~jnz1568/getInfo.php?workbook=16_15.xlsx&amp;sheet=A0&amp;row=762&amp;col=11&amp;number=&amp;sourceID=54","")</f>
        <v/>
      </c>
      <c r="L762" s="4" t="str">
        <f>HYPERLINK("http://141.218.60.56/~jnz1568/getInfo.php?workbook=16_15.xlsx&amp;sheet=A0&amp;row=762&amp;col=12&amp;number=36.2607732227&amp;sourceID=53","36.2607732227")</f>
        <v>36.2607732227</v>
      </c>
      <c r="M762" s="4" t="str">
        <f>HYPERLINK("http://141.218.60.56/~jnz1568/getInfo.php?workbook=16_15.xlsx&amp;sheet=A0&amp;row=762&amp;col=13&amp;number=&amp;sourceID=53","")</f>
        <v/>
      </c>
      <c r="N762" s="4" t="str">
        <f>HYPERLINK("http://141.218.60.56/~jnz1568/getInfo.php?workbook=16_15.xlsx&amp;sheet=A0&amp;row=762&amp;col=14&amp;number=&amp;sourceID=53","")</f>
        <v/>
      </c>
      <c r="O762" s="4" t="str">
        <f>HYPERLINK("http://141.218.60.56/~jnz1568/getInfo.php?workbook=16_15.xlsx&amp;sheet=A0&amp;row=762&amp;col=15&amp;number=&amp;sourceID=55","")</f>
        <v/>
      </c>
      <c r="P762" s="4" t="str">
        <f>HYPERLINK("http://141.218.60.56/~jnz1568/getInfo.php?workbook=16_15.xlsx&amp;sheet=A0&amp;row=762&amp;col=16&amp;number=&amp;sourceID=55","")</f>
        <v/>
      </c>
      <c r="Q762" s="4" t="str">
        <f>HYPERLINK("http://141.218.60.56/~jnz1568/getInfo.php?workbook=16_15.xlsx&amp;sheet=A0&amp;row=762&amp;col=17&amp;number=&amp;sourceID=56","")</f>
        <v/>
      </c>
      <c r="R762" s="4" t="str">
        <f>HYPERLINK("http://141.218.60.56/~jnz1568/getInfo.php?workbook=16_15.xlsx&amp;sheet=A0&amp;row=762&amp;col=18&amp;number=&amp;sourceID=56","")</f>
        <v/>
      </c>
      <c r="S762" s="4" t="str">
        <f>HYPERLINK("http://141.218.60.56/~jnz1568/getInfo.php?workbook=16_15.xlsx&amp;sheet=A0&amp;row=762&amp;col=19&amp;number=&amp;sourceID=57","")</f>
        <v/>
      </c>
      <c r="T762" s="4" t="str">
        <f>HYPERLINK("http://141.218.60.56/~jnz1568/getInfo.php?workbook=16_15.xlsx&amp;sheet=A0&amp;row=762&amp;col=20&amp;number=&amp;sourceID=57","")</f>
        <v/>
      </c>
      <c r="U762" s="4" t="str">
        <f>HYPERLINK("http://141.218.60.56/~jnz1568/getInfo.php?workbook=16_15.xlsx&amp;sheet=A0&amp;row=762&amp;col=21&amp;number=&amp;sourceID=47","")</f>
        <v/>
      </c>
      <c r="V762" s="4" t="str">
        <f>HYPERLINK("http://141.218.60.56/~jnz1568/getInfo.php?workbook=16_15.xlsx&amp;sheet=A0&amp;row=762&amp;col=22&amp;number=&amp;sourceID=47","")</f>
        <v/>
      </c>
    </row>
    <row r="763" spans="1:22">
      <c r="A763" s="3">
        <v>16</v>
      </c>
      <c r="B763" s="3">
        <v>15</v>
      </c>
      <c r="C763" s="3">
        <v>45</v>
      </c>
      <c r="D763" s="3">
        <v>13</v>
      </c>
      <c r="E763" s="3">
        <f>((1/(INDEX(E0!J$4:J$73,C763,1)-INDEX(E0!J$4:J$73,D763,1))))*100000000</f>
        <v>0</v>
      </c>
      <c r="F763" s="4" t="str">
        <f>HYPERLINK("http://141.218.60.56/~jnz1568/getInfo.php?workbook=16_15.xlsx&amp;sheet=A0&amp;row=763&amp;col=6&amp;number=10961000&amp;sourceID=54","10961000")</f>
        <v>10961000</v>
      </c>
      <c r="G763" s="4" t="str">
        <f>HYPERLINK("http://141.218.60.56/~jnz1568/getInfo.php?workbook=16_15.xlsx&amp;sheet=A0&amp;row=763&amp;col=7&amp;number=&amp;sourceID=54","")</f>
        <v/>
      </c>
      <c r="H763" s="4" t="str">
        <f>HYPERLINK("http://141.218.60.56/~jnz1568/getInfo.php?workbook=16_15.xlsx&amp;sheet=A0&amp;row=763&amp;col=8&amp;number=&amp;sourceID=54","")</f>
        <v/>
      </c>
      <c r="I763" s="4" t="str">
        <f>HYPERLINK("http://141.218.60.56/~jnz1568/getInfo.php?workbook=16_15.xlsx&amp;sheet=A0&amp;row=763&amp;col=9&amp;number=11326000&amp;sourceID=54","11326000")</f>
        <v>11326000</v>
      </c>
      <c r="J763" s="4" t="str">
        <f>HYPERLINK("http://141.218.60.56/~jnz1568/getInfo.php?workbook=16_15.xlsx&amp;sheet=A0&amp;row=763&amp;col=10&amp;number=&amp;sourceID=54","")</f>
        <v/>
      </c>
      <c r="K763" s="4" t="str">
        <f>HYPERLINK("http://141.218.60.56/~jnz1568/getInfo.php?workbook=16_15.xlsx&amp;sheet=A0&amp;row=763&amp;col=11&amp;number=&amp;sourceID=54","")</f>
        <v/>
      </c>
      <c r="L763" s="4" t="str">
        <f>HYPERLINK("http://141.218.60.56/~jnz1568/getInfo.php?workbook=16_15.xlsx&amp;sheet=A0&amp;row=763&amp;col=12&amp;number=13180954.7718&amp;sourceID=53","13180954.7718")</f>
        <v>13180954.7718</v>
      </c>
      <c r="M763" s="4" t="str">
        <f>HYPERLINK("http://141.218.60.56/~jnz1568/getInfo.php?workbook=16_15.xlsx&amp;sheet=A0&amp;row=763&amp;col=13&amp;number=&amp;sourceID=53","")</f>
        <v/>
      </c>
      <c r="N763" s="4" t="str">
        <f>HYPERLINK("http://141.218.60.56/~jnz1568/getInfo.php?workbook=16_15.xlsx&amp;sheet=A0&amp;row=763&amp;col=14&amp;number=&amp;sourceID=53","")</f>
        <v/>
      </c>
      <c r="O763" s="4" t="str">
        <f>HYPERLINK("http://141.218.60.56/~jnz1568/getInfo.php?workbook=16_15.xlsx&amp;sheet=A0&amp;row=763&amp;col=15&amp;number=&amp;sourceID=55","")</f>
        <v/>
      </c>
      <c r="P763" s="4" t="str">
        <f>HYPERLINK("http://141.218.60.56/~jnz1568/getInfo.php?workbook=16_15.xlsx&amp;sheet=A0&amp;row=763&amp;col=16&amp;number=&amp;sourceID=55","")</f>
        <v/>
      </c>
      <c r="Q763" s="4" t="str">
        <f>HYPERLINK("http://141.218.60.56/~jnz1568/getInfo.php?workbook=16_15.xlsx&amp;sheet=A0&amp;row=763&amp;col=17&amp;number=&amp;sourceID=56","")</f>
        <v/>
      </c>
      <c r="R763" s="4" t="str">
        <f>HYPERLINK("http://141.218.60.56/~jnz1568/getInfo.php?workbook=16_15.xlsx&amp;sheet=A0&amp;row=763&amp;col=18&amp;number=&amp;sourceID=56","")</f>
        <v/>
      </c>
      <c r="S763" s="4" t="str">
        <f>HYPERLINK("http://141.218.60.56/~jnz1568/getInfo.php?workbook=16_15.xlsx&amp;sheet=A0&amp;row=763&amp;col=19&amp;number=&amp;sourceID=57","")</f>
        <v/>
      </c>
      <c r="T763" s="4" t="str">
        <f>HYPERLINK("http://141.218.60.56/~jnz1568/getInfo.php?workbook=16_15.xlsx&amp;sheet=A0&amp;row=763&amp;col=20&amp;number=&amp;sourceID=57","")</f>
        <v/>
      </c>
      <c r="U763" s="4" t="str">
        <f>HYPERLINK("http://141.218.60.56/~jnz1568/getInfo.php?workbook=16_15.xlsx&amp;sheet=A0&amp;row=763&amp;col=21&amp;number=&amp;sourceID=47","")</f>
        <v/>
      </c>
      <c r="V763" s="4" t="str">
        <f>HYPERLINK("http://141.218.60.56/~jnz1568/getInfo.php?workbook=16_15.xlsx&amp;sheet=A0&amp;row=763&amp;col=22&amp;number=&amp;sourceID=47","")</f>
        <v/>
      </c>
    </row>
    <row r="764" spans="1:22">
      <c r="A764" s="3">
        <v>16</v>
      </c>
      <c r="B764" s="3">
        <v>15</v>
      </c>
      <c r="C764" s="3">
        <v>45</v>
      </c>
      <c r="D764" s="3">
        <v>14</v>
      </c>
      <c r="E764" s="3">
        <f>((1/(INDEX(E0!J$4:J$73,C764,1)-INDEX(E0!J$4:J$73,D764,1))))*100000000</f>
        <v>0</v>
      </c>
      <c r="F764" s="4" t="str">
        <f>HYPERLINK("http://141.218.60.56/~jnz1568/getInfo.php?workbook=16_15.xlsx&amp;sheet=A0&amp;row=764&amp;col=6&amp;number=32001000&amp;sourceID=54","32001000")</f>
        <v>32001000</v>
      </c>
      <c r="G764" s="4" t="str">
        <f>HYPERLINK("http://141.218.60.56/~jnz1568/getInfo.php?workbook=16_15.xlsx&amp;sheet=A0&amp;row=764&amp;col=7&amp;number=&amp;sourceID=54","")</f>
        <v/>
      </c>
      <c r="H764" s="4" t="str">
        <f>HYPERLINK("http://141.218.60.56/~jnz1568/getInfo.php?workbook=16_15.xlsx&amp;sheet=A0&amp;row=764&amp;col=8&amp;number=&amp;sourceID=54","")</f>
        <v/>
      </c>
      <c r="I764" s="4" t="str">
        <f>HYPERLINK("http://141.218.60.56/~jnz1568/getInfo.php?workbook=16_15.xlsx&amp;sheet=A0&amp;row=764&amp;col=9&amp;number=32094000&amp;sourceID=54","32094000")</f>
        <v>32094000</v>
      </c>
      <c r="J764" s="4" t="str">
        <f>HYPERLINK("http://141.218.60.56/~jnz1568/getInfo.php?workbook=16_15.xlsx&amp;sheet=A0&amp;row=764&amp;col=10&amp;number=&amp;sourceID=54","")</f>
        <v/>
      </c>
      <c r="K764" s="4" t="str">
        <f>HYPERLINK("http://141.218.60.56/~jnz1568/getInfo.php?workbook=16_15.xlsx&amp;sheet=A0&amp;row=764&amp;col=11&amp;number=&amp;sourceID=54","")</f>
        <v/>
      </c>
      <c r="L764" s="4" t="str">
        <f>HYPERLINK("http://141.218.60.56/~jnz1568/getInfo.php?workbook=16_15.xlsx&amp;sheet=A0&amp;row=764&amp;col=12&amp;number=36134965.9037&amp;sourceID=53","36134965.9037")</f>
        <v>36134965.9037</v>
      </c>
      <c r="M764" s="4" t="str">
        <f>HYPERLINK("http://141.218.60.56/~jnz1568/getInfo.php?workbook=16_15.xlsx&amp;sheet=A0&amp;row=764&amp;col=13&amp;number=&amp;sourceID=53","")</f>
        <v/>
      </c>
      <c r="N764" s="4" t="str">
        <f>HYPERLINK("http://141.218.60.56/~jnz1568/getInfo.php?workbook=16_15.xlsx&amp;sheet=A0&amp;row=764&amp;col=14&amp;number=&amp;sourceID=53","")</f>
        <v/>
      </c>
      <c r="O764" s="4" t="str">
        <f>HYPERLINK("http://141.218.60.56/~jnz1568/getInfo.php?workbook=16_15.xlsx&amp;sheet=A0&amp;row=764&amp;col=15&amp;number=&amp;sourceID=55","")</f>
        <v/>
      </c>
      <c r="P764" s="4" t="str">
        <f>HYPERLINK("http://141.218.60.56/~jnz1568/getInfo.php?workbook=16_15.xlsx&amp;sheet=A0&amp;row=764&amp;col=16&amp;number=&amp;sourceID=55","")</f>
        <v/>
      </c>
      <c r="Q764" s="4" t="str">
        <f>HYPERLINK("http://141.218.60.56/~jnz1568/getInfo.php?workbook=16_15.xlsx&amp;sheet=A0&amp;row=764&amp;col=17&amp;number=&amp;sourceID=56","")</f>
        <v/>
      </c>
      <c r="R764" s="4" t="str">
        <f>HYPERLINK("http://141.218.60.56/~jnz1568/getInfo.php?workbook=16_15.xlsx&amp;sheet=A0&amp;row=764&amp;col=18&amp;number=&amp;sourceID=56","")</f>
        <v/>
      </c>
      <c r="S764" s="4" t="str">
        <f>HYPERLINK("http://141.218.60.56/~jnz1568/getInfo.php?workbook=16_15.xlsx&amp;sheet=A0&amp;row=764&amp;col=19&amp;number=&amp;sourceID=57","")</f>
        <v/>
      </c>
      <c r="T764" s="4" t="str">
        <f>HYPERLINK("http://141.218.60.56/~jnz1568/getInfo.php?workbook=16_15.xlsx&amp;sheet=A0&amp;row=764&amp;col=20&amp;number=&amp;sourceID=57","")</f>
        <v/>
      </c>
      <c r="U764" s="4" t="str">
        <f>HYPERLINK("http://141.218.60.56/~jnz1568/getInfo.php?workbook=16_15.xlsx&amp;sheet=A0&amp;row=764&amp;col=21&amp;number=&amp;sourceID=47","")</f>
        <v/>
      </c>
      <c r="V764" s="4" t="str">
        <f>HYPERLINK("http://141.218.60.56/~jnz1568/getInfo.php?workbook=16_15.xlsx&amp;sheet=A0&amp;row=764&amp;col=22&amp;number=&amp;sourceID=47","")</f>
        <v/>
      </c>
    </row>
    <row r="765" spans="1:22">
      <c r="A765" s="3">
        <v>16</v>
      </c>
      <c r="B765" s="3">
        <v>15</v>
      </c>
      <c r="C765" s="3">
        <v>45</v>
      </c>
      <c r="D765" s="3">
        <v>15</v>
      </c>
      <c r="E765" s="3">
        <f>((1/(INDEX(E0!J$4:J$73,C765,1)-INDEX(E0!J$4:J$73,D765,1))))*100000000</f>
        <v>0</v>
      </c>
      <c r="F765" s="4" t="str">
        <f>HYPERLINK("http://141.218.60.56/~jnz1568/getInfo.php?workbook=16_15.xlsx&amp;sheet=A0&amp;row=765&amp;col=6&amp;number=1.6694&amp;sourceID=54","1.6694")</f>
        <v>1.6694</v>
      </c>
      <c r="G765" s="4" t="str">
        <f>HYPERLINK("http://141.218.60.56/~jnz1568/getInfo.php?workbook=16_15.xlsx&amp;sheet=A0&amp;row=765&amp;col=7&amp;number=&amp;sourceID=54","")</f>
        <v/>
      </c>
      <c r="H765" s="4" t="str">
        <f>HYPERLINK("http://141.218.60.56/~jnz1568/getInfo.php?workbook=16_15.xlsx&amp;sheet=A0&amp;row=765&amp;col=8&amp;number=&amp;sourceID=54","")</f>
        <v/>
      </c>
      <c r="I765" s="4" t="str">
        <f>HYPERLINK("http://141.218.60.56/~jnz1568/getInfo.php?workbook=16_15.xlsx&amp;sheet=A0&amp;row=765&amp;col=9&amp;number=38.791&amp;sourceID=54","38.791")</f>
        <v>38.791</v>
      </c>
      <c r="J765" s="4" t="str">
        <f>HYPERLINK("http://141.218.60.56/~jnz1568/getInfo.php?workbook=16_15.xlsx&amp;sheet=A0&amp;row=765&amp;col=10&amp;number=&amp;sourceID=54","")</f>
        <v/>
      </c>
      <c r="K765" s="4" t="str">
        <f>HYPERLINK("http://141.218.60.56/~jnz1568/getInfo.php?workbook=16_15.xlsx&amp;sheet=A0&amp;row=765&amp;col=11&amp;number=&amp;sourceID=54","")</f>
        <v/>
      </c>
      <c r="L765" s="4" t="str">
        <f>HYPERLINK("http://141.218.60.56/~jnz1568/getInfo.php?workbook=16_15.xlsx&amp;sheet=A0&amp;row=765&amp;col=12&amp;number=66.130479241&amp;sourceID=53","66.130479241")</f>
        <v>66.130479241</v>
      </c>
      <c r="M765" s="4" t="str">
        <f>HYPERLINK("http://141.218.60.56/~jnz1568/getInfo.php?workbook=16_15.xlsx&amp;sheet=A0&amp;row=765&amp;col=13&amp;number=&amp;sourceID=53","")</f>
        <v/>
      </c>
      <c r="N765" s="4" t="str">
        <f>HYPERLINK("http://141.218.60.56/~jnz1568/getInfo.php?workbook=16_15.xlsx&amp;sheet=A0&amp;row=765&amp;col=14&amp;number=&amp;sourceID=53","")</f>
        <v/>
      </c>
      <c r="O765" s="4" t="str">
        <f>HYPERLINK("http://141.218.60.56/~jnz1568/getInfo.php?workbook=16_15.xlsx&amp;sheet=A0&amp;row=765&amp;col=15&amp;number=&amp;sourceID=55","")</f>
        <v/>
      </c>
      <c r="P765" s="4" t="str">
        <f>HYPERLINK("http://141.218.60.56/~jnz1568/getInfo.php?workbook=16_15.xlsx&amp;sheet=A0&amp;row=765&amp;col=16&amp;number=&amp;sourceID=55","")</f>
        <v/>
      </c>
      <c r="Q765" s="4" t="str">
        <f>HYPERLINK("http://141.218.60.56/~jnz1568/getInfo.php?workbook=16_15.xlsx&amp;sheet=A0&amp;row=765&amp;col=17&amp;number=&amp;sourceID=56","")</f>
        <v/>
      </c>
      <c r="R765" s="4" t="str">
        <f>HYPERLINK("http://141.218.60.56/~jnz1568/getInfo.php?workbook=16_15.xlsx&amp;sheet=A0&amp;row=765&amp;col=18&amp;number=&amp;sourceID=56","")</f>
        <v/>
      </c>
      <c r="S765" s="4" t="str">
        <f>HYPERLINK("http://141.218.60.56/~jnz1568/getInfo.php?workbook=16_15.xlsx&amp;sheet=A0&amp;row=765&amp;col=19&amp;number=&amp;sourceID=57","")</f>
        <v/>
      </c>
      <c r="T765" s="4" t="str">
        <f>HYPERLINK("http://141.218.60.56/~jnz1568/getInfo.php?workbook=16_15.xlsx&amp;sheet=A0&amp;row=765&amp;col=20&amp;number=&amp;sourceID=57","")</f>
        <v/>
      </c>
      <c r="U765" s="4" t="str">
        <f>HYPERLINK("http://141.218.60.56/~jnz1568/getInfo.php?workbook=16_15.xlsx&amp;sheet=A0&amp;row=765&amp;col=21&amp;number=&amp;sourceID=47","")</f>
        <v/>
      </c>
      <c r="V765" s="4" t="str">
        <f>HYPERLINK("http://141.218.60.56/~jnz1568/getInfo.php?workbook=16_15.xlsx&amp;sheet=A0&amp;row=765&amp;col=22&amp;number=&amp;sourceID=47","")</f>
        <v/>
      </c>
    </row>
    <row r="766" spans="1:22">
      <c r="A766" s="3">
        <v>16</v>
      </c>
      <c r="B766" s="3">
        <v>15</v>
      </c>
      <c r="C766" s="3">
        <v>45</v>
      </c>
      <c r="D766" s="3">
        <v>16</v>
      </c>
      <c r="E766" s="3">
        <f>((1/(INDEX(E0!J$4:J$73,C766,1)-INDEX(E0!J$4:J$73,D766,1))))*100000000</f>
        <v>0</v>
      </c>
      <c r="F766" s="4" t="str">
        <f>HYPERLINK("http://141.218.60.56/~jnz1568/getInfo.php?workbook=16_15.xlsx&amp;sheet=A0&amp;row=766&amp;col=6&amp;number=87474000&amp;sourceID=54","87474000")</f>
        <v>87474000</v>
      </c>
      <c r="G766" s="4" t="str">
        <f>HYPERLINK("http://141.218.60.56/~jnz1568/getInfo.php?workbook=16_15.xlsx&amp;sheet=A0&amp;row=766&amp;col=7&amp;number=&amp;sourceID=54","")</f>
        <v/>
      </c>
      <c r="H766" s="4" t="str">
        <f>HYPERLINK("http://141.218.60.56/~jnz1568/getInfo.php?workbook=16_15.xlsx&amp;sheet=A0&amp;row=766&amp;col=8&amp;number=&amp;sourceID=54","")</f>
        <v/>
      </c>
      <c r="I766" s="4" t="str">
        <f>HYPERLINK("http://141.218.60.56/~jnz1568/getInfo.php?workbook=16_15.xlsx&amp;sheet=A0&amp;row=766&amp;col=9&amp;number=83990000&amp;sourceID=54","83990000")</f>
        <v>83990000</v>
      </c>
      <c r="J766" s="4" t="str">
        <f>HYPERLINK("http://141.218.60.56/~jnz1568/getInfo.php?workbook=16_15.xlsx&amp;sheet=A0&amp;row=766&amp;col=10&amp;number=&amp;sourceID=54","")</f>
        <v/>
      </c>
      <c r="K766" s="4" t="str">
        <f>HYPERLINK("http://141.218.60.56/~jnz1568/getInfo.php?workbook=16_15.xlsx&amp;sheet=A0&amp;row=766&amp;col=11&amp;number=&amp;sourceID=54","")</f>
        <v/>
      </c>
      <c r="L766" s="4" t="str">
        <f>HYPERLINK("http://141.218.60.56/~jnz1568/getInfo.php?workbook=16_15.xlsx&amp;sheet=A0&amp;row=766&amp;col=12&amp;number=89736593.3991&amp;sourceID=53","89736593.3991")</f>
        <v>89736593.3991</v>
      </c>
      <c r="M766" s="4" t="str">
        <f>HYPERLINK("http://141.218.60.56/~jnz1568/getInfo.php?workbook=16_15.xlsx&amp;sheet=A0&amp;row=766&amp;col=13&amp;number=&amp;sourceID=53","")</f>
        <v/>
      </c>
      <c r="N766" s="4" t="str">
        <f>HYPERLINK("http://141.218.60.56/~jnz1568/getInfo.php?workbook=16_15.xlsx&amp;sheet=A0&amp;row=766&amp;col=14&amp;number=&amp;sourceID=53","")</f>
        <v/>
      </c>
      <c r="O766" s="4" t="str">
        <f>HYPERLINK("http://141.218.60.56/~jnz1568/getInfo.php?workbook=16_15.xlsx&amp;sheet=A0&amp;row=766&amp;col=15&amp;number=&amp;sourceID=55","")</f>
        <v/>
      </c>
      <c r="P766" s="4" t="str">
        <f>HYPERLINK("http://141.218.60.56/~jnz1568/getInfo.php?workbook=16_15.xlsx&amp;sheet=A0&amp;row=766&amp;col=16&amp;number=&amp;sourceID=55","")</f>
        <v/>
      </c>
      <c r="Q766" s="4" t="str">
        <f>HYPERLINK("http://141.218.60.56/~jnz1568/getInfo.php?workbook=16_15.xlsx&amp;sheet=A0&amp;row=766&amp;col=17&amp;number=&amp;sourceID=56","")</f>
        <v/>
      </c>
      <c r="R766" s="4" t="str">
        <f>HYPERLINK("http://141.218.60.56/~jnz1568/getInfo.php?workbook=16_15.xlsx&amp;sheet=A0&amp;row=766&amp;col=18&amp;number=&amp;sourceID=56","")</f>
        <v/>
      </c>
      <c r="S766" s="4" t="str">
        <f>HYPERLINK("http://141.218.60.56/~jnz1568/getInfo.php?workbook=16_15.xlsx&amp;sheet=A0&amp;row=766&amp;col=19&amp;number=&amp;sourceID=57","")</f>
        <v/>
      </c>
      <c r="T766" s="4" t="str">
        <f>HYPERLINK("http://141.218.60.56/~jnz1568/getInfo.php?workbook=16_15.xlsx&amp;sheet=A0&amp;row=766&amp;col=20&amp;number=&amp;sourceID=57","")</f>
        <v/>
      </c>
      <c r="U766" s="4" t="str">
        <f>HYPERLINK("http://141.218.60.56/~jnz1568/getInfo.php?workbook=16_15.xlsx&amp;sheet=A0&amp;row=766&amp;col=21&amp;number=&amp;sourceID=47","")</f>
        <v/>
      </c>
      <c r="V766" s="4" t="str">
        <f>HYPERLINK("http://141.218.60.56/~jnz1568/getInfo.php?workbook=16_15.xlsx&amp;sheet=A0&amp;row=766&amp;col=22&amp;number=&amp;sourceID=47","")</f>
        <v/>
      </c>
    </row>
    <row r="767" spans="1:22">
      <c r="A767" s="3">
        <v>16</v>
      </c>
      <c r="B767" s="3">
        <v>15</v>
      </c>
      <c r="C767" s="3">
        <v>45</v>
      </c>
      <c r="D767" s="3">
        <v>17</v>
      </c>
      <c r="E767" s="3">
        <f>((1/(INDEX(E0!J$4:J$73,C767,1)-INDEX(E0!J$4:J$73,D767,1))))*100000000</f>
        <v>0</v>
      </c>
      <c r="F767" s="4" t="str">
        <f>HYPERLINK("http://141.218.60.56/~jnz1568/getInfo.php?workbook=16_15.xlsx&amp;sheet=A0&amp;row=767&amp;col=6&amp;number=135.27&amp;sourceID=54","135.27")</f>
        <v>135.27</v>
      </c>
      <c r="G767" s="4" t="str">
        <f>HYPERLINK("http://141.218.60.56/~jnz1568/getInfo.php?workbook=16_15.xlsx&amp;sheet=A0&amp;row=767&amp;col=7&amp;number=&amp;sourceID=54","")</f>
        <v/>
      </c>
      <c r="H767" s="4" t="str">
        <f>HYPERLINK("http://141.218.60.56/~jnz1568/getInfo.php?workbook=16_15.xlsx&amp;sheet=A0&amp;row=767&amp;col=8&amp;number=&amp;sourceID=54","")</f>
        <v/>
      </c>
      <c r="I767" s="4" t="str">
        <f>HYPERLINK("http://141.218.60.56/~jnz1568/getInfo.php?workbook=16_15.xlsx&amp;sheet=A0&amp;row=767&amp;col=9&amp;number=9332.9&amp;sourceID=54","9332.9")</f>
        <v>9332.9</v>
      </c>
      <c r="J767" s="4" t="str">
        <f>HYPERLINK("http://141.218.60.56/~jnz1568/getInfo.php?workbook=16_15.xlsx&amp;sheet=A0&amp;row=767&amp;col=10&amp;number=&amp;sourceID=54","")</f>
        <v/>
      </c>
      <c r="K767" s="4" t="str">
        <f>HYPERLINK("http://141.218.60.56/~jnz1568/getInfo.php?workbook=16_15.xlsx&amp;sheet=A0&amp;row=767&amp;col=11&amp;number=&amp;sourceID=54","")</f>
        <v/>
      </c>
      <c r="L767" s="4" t="str">
        <f>HYPERLINK("http://141.218.60.56/~jnz1568/getInfo.php?workbook=16_15.xlsx&amp;sheet=A0&amp;row=767&amp;col=12&amp;number=17336.0637899&amp;sourceID=53","17336.0637899")</f>
        <v>17336.0637899</v>
      </c>
      <c r="M767" s="4" t="str">
        <f>HYPERLINK("http://141.218.60.56/~jnz1568/getInfo.php?workbook=16_15.xlsx&amp;sheet=A0&amp;row=767&amp;col=13&amp;number=&amp;sourceID=53","")</f>
        <v/>
      </c>
      <c r="N767" s="4" t="str">
        <f>HYPERLINK("http://141.218.60.56/~jnz1568/getInfo.php?workbook=16_15.xlsx&amp;sheet=A0&amp;row=767&amp;col=14&amp;number=&amp;sourceID=53","")</f>
        <v/>
      </c>
      <c r="O767" s="4" t="str">
        <f>HYPERLINK("http://141.218.60.56/~jnz1568/getInfo.php?workbook=16_15.xlsx&amp;sheet=A0&amp;row=767&amp;col=15&amp;number=&amp;sourceID=55","")</f>
        <v/>
      </c>
      <c r="P767" s="4" t="str">
        <f>HYPERLINK("http://141.218.60.56/~jnz1568/getInfo.php?workbook=16_15.xlsx&amp;sheet=A0&amp;row=767&amp;col=16&amp;number=&amp;sourceID=55","")</f>
        <v/>
      </c>
      <c r="Q767" s="4" t="str">
        <f>HYPERLINK("http://141.218.60.56/~jnz1568/getInfo.php?workbook=16_15.xlsx&amp;sheet=A0&amp;row=767&amp;col=17&amp;number=&amp;sourceID=56","")</f>
        <v/>
      </c>
      <c r="R767" s="4" t="str">
        <f>HYPERLINK("http://141.218.60.56/~jnz1568/getInfo.php?workbook=16_15.xlsx&amp;sheet=A0&amp;row=767&amp;col=18&amp;number=&amp;sourceID=56","")</f>
        <v/>
      </c>
      <c r="S767" s="4" t="str">
        <f>HYPERLINK("http://141.218.60.56/~jnz1568/getInfo.php?workbook=16_15.xlsx&amp;sheet=A0&amp;row=767&amp;col=19&amp;number=&amp;sourceID=57","")</f>
        <v/>
      </c>
      <c r="T767" s="4" t="str">
        <f>HYPERLINK("http://141.218.60.56/~jnz1568/getInfo.php?workbook=16_15.xlsx&amp;sheet=A0&amp;row=767&amp;col=20&amp;number=&amp;sourceID=57","")</f>
        <v/>
      </c>
      <c r="U767" s="4" t="str">
        <f>HYPERLINK("http://141.218.60.56/~jnz1568/getInfo.php?workbook=16_15.xlsx&amp;sheet=A0&amp;row=767&amp;col=21&amp;number=&amp;sourceID=47","")</f>
        <v/>
      </c>
      <c r="V767" s="4" t="str">
        <f>HYPERLINK("http://141.218.60.56/~jnz1568/getInfo.php?workbook=16_15.xlsx&amp;sheet=A0&amp;row=767&amp;col=22&amp;number=&amp;sourceID=47","")</f>
        <v/>
      </c>
    </row>
    <row r="768" spans="1:22">
      <c r="A768" s="3">
        <v>16</v>
      </c>
      <c r="B768" s="3">
        <v>15</v>
      </c>
      <c r="C768" s="3">
        <v>45</v>
      </c>
      <c r="D768" s="3">
        <v>20</v>
      </c>
      <c r="E768" s="3">
        <f>((1/(INDEX(E0!J$4:J$73,C768,1)-INDEX(E0!J$4:J$73,D768,1))))*100000000</f>
        <v>0</v>
      </c>
      <c r="F768" s="4" t="str">
        <f>HYPERLINK("http://141.218.60.56/~jnz1568/getInfo.php?workbook=16_15.xlsx&amp;sheet=A0&amp;row=768&amp;col=6&amp;number=302580&amp;sourceID=54","302580")</f>
        <v>302580</v>
      </c>
      <c r="G768" s="4" t="str">
        <f>HYPERLINK("http://141.218.60.56/~jnz1568/getInfo.php?workbook=16_15.xlsx&amp;sheet=A0&amp;row=768&amp;col=7&amp;number=&amp;sourceID=54","")</f>
        <v/>
      </c>
      <c r="H768" s="4" t="str">
        <f>HYPERLINK("http://141.218.60.56/~jnz1568/getInfo.php?workbook=16_15.xlsx&amp;sheet=A0&amp;row=768&amp;col=8&amp;number=&amp;sourceID=54","")</f>
        <v/>
      </c>
      <c r="I768" s="4" t="str">
        <f>HYPERLINK("http://141.218.60.56/~jnz1568/getInfo.php?workbook=16_15.xlsx&amp;sheet=A0&amp;row=768&amp;col=9&amp;number=78054&amp;sourceID=54","78054")</f>
        <v>78054</v>
      </c>
      <c r="J768" s="4" t="str">
        <f>HYPERLINK("http://141.218.60.56/~jnz1568/getInfo.php?workbook=16_15.xlsx&amp;sheet=A0&amp;row=768&amp;col=10&amp;number=&amp;sourceID=54","")</f>
        <v/>
      </c>
      <c r="K768" s="4" t="str">
        <f>HYPERLINK("http://141.218.60.56/~jnz1568/getInfo.php?workbook=16_15.xlsx&amp;sheet=A0&amp;row=768&amp;col=11&amp;number=&amp;sourceID=54","")</f>
        <v/>
      </c>
      <c r="L768" s="4" t="str">
        <f>HYPERLINK("http://141.218.60.56/~jnz1568/getInfo.php?workbook=16_15.xlsx&amp;sheet=A0&amp;row=768&amp;col=12&amp;number=31492.2605667&amp;sourceID=53","31492.2605667")</f>
        <v>31492.2605667</v>
      </c>
      <c r="M768" s="4" t="str">
        <f>HYPERLINK("http://141.218.60.56/~jnz1568/getInfo.php?workbook=16_15.xlsx&amp;sheet=A0&amp;row=768&amp;col=13&amp;number=&amp;sourceID=53","")</f>
        <v/>
      </c>
      <c r="N768" s="4" t="str">
        <f>HYPERLINK("http://141.218.60.56/~jnz1568/getInfo.php?workbook=16_15.xlsx&amp;sheet=A0&amp;row=768&amp;col=14&amp;number=&amp;sourceID=53","")</f>
        <v/>
      </c>
      <c r="O768" s="4" t="str">
        <f>HYPERLINK("http://141.218.60.56/~jnz1568/getInfo.php?workbook=16_15.xlsx&amp;sheet=A0&amp;row=768&amp;col=15&amp;number=&amp;sourceID=55","")</f>
        <v/>
      </c>
      <c r="P768" s="4" t="str">
        <f>HYPERLINK("http://141.218.60.56/~jnz1568/getInfo.php?workbook=16_15.xlsx&amp;sheet=A0&amp;row=768&amp;col=16&amp;number=&amp;sourceID=55","")</f>
        <v/>
      </c>
      <c r="Q768" s="4" t="str">
        <f>HYPERLINK("http://141.218.60.56/~jnz1568/getInfo.php?workbook=16_15.xlsx&amp;sheet=A0&amp;row=768&amp;col=17&amp;number=&amp;sourceID=56","")</f>
        <v/>
      </c>
      <c r="R768" s="4" t="str">
        <f>HYPERLINK("http://141.218.60.56/~jnz1568/getInfo.php?workbook=16_15.xlsx&amp;sheet=A0&amp;row=768&amp;col=18&amp;number=&amp;sourceID=56","")</f>
        <v/>
      </c>
      <c r="S768" s="4" t="str">
        <f>HYPERLINK("http://141.218.60.56/~jnz1568/getInfo.php?workbook=16_15.xlsx&amp;sheet=A0&amp;row=768&amp;col=19&amp;number=&amp;sourceID=57","")</f>
        <v/>
      </c>
      <c r="T768" s="4" t="str">
        <f>HYPERLINK("http://141.218.60.56/~jnz1568/getInfo.php?workbook=16_15.xlsx&amp;sheet=A0&amp;row=768&amp;col=20&amp;number=&amp;sourceID=57","")</f>
        <v/>
      </c>
      <c r="U768" s="4" t="str">
        <f>HYPERLINK("http://141.218.60.56/~jnz1568/getInfo.php?workbook=16_15.xlsx&amp;sheet=A0&amp;row=768&amp;col=21&amp;number=&amp;sourceID=47","")</f>
        <v/>
      </c>
      <c r="V768" s="4" t="str">
        <f>HYPERLINK("http://141.218.60.56/~jnz1568/getInfo.php?workbook=16_15.xlsx&amp;sheet=A0&amp;row=768&amp;col=22&amp;number=&amp;sourceID=47","")</f>
        <v/>
      </c>
    </row>
    <row r="769" spans="1:22">
      <c r="A769" s="3">
        <v>16</v>
      </c>
      <c r="B769" s="3">
        <v>15</v>
      </c>
      <c r="C769" s="3">
        <v>45</v>
      </c>
      <c r="D769" s="3">
        <v>21</v>
      </c>
      <c r="E769" s="3">
        <f>((1/(INDEX(E0!J$4:J$73,C769,1)-INDEX(E0!J$4:J$73,D769,1))))*100000000</f>
        <v>0</v>
      </c>
      <c r="F769" s="4" t="str">
        <f>HYPERLINK("http://141.218.60.56/~jnz1568/getInfo.php?workbook=16_15.xlsx&amp;sheet=A0&amp;row=769&amp;col=6&amp;number=106500&amp;sourceID=54","106500")</f>
        <v>106500</v>
      </c>
      <c r="G769" s="4" t="str">
        <f>HYPERLINK("http://141.218.60.56/~jnz1568/getInfo.php?workbook=16_15.xlsx&amp;sheet=A0&amp;row=769&amp;col=7&amp;number=&amp;sourceID=54","")</f>
        <v/>
      </c>
      <c r="H769" s="4" t="str">
        <f>HYPERLINK("http://141.218.60.56/~jnz1568/getInfo.php?workbook=16_15.xlsx&amp;sheet=A0&amp;row=769&amp;col=8&amp;number=&amp;sourceID=54","")</f>
        <v/>
      </c>
      <c r="I769" s="4" t="str">
        <f>HYPERLINK("http://141.218.60.56/~jnz1568/getInfo.php?workbook=16_15.xlsx&amp;sheet=A0&amp;row=769&amp;col=9&amp;number=24580&amp;sourceID=54","24580")</f>
        <v>24580</v>
      </c>
      <c r="J769" s="4" t="str">
        <f>HYPERLINK("http://141.218.60.56/~jnz1568/getInfo.php?workbook=16_15.xlsx&amp;sheet=A0&amp;row=769&amp;col=10&amp;number=&amp;sourceID=54","")</f>
        <v/>
      </c>
      <c r="K769" s="4" t="str">
        <f>HYPERLINK("http://141.218.60.56/~jnz1568/getInfo.php?workbook=16_15.xlsx&amp;sheet=A0&amp;row=769&amp;col=11&amp;number=&amp;sourceID=54","")</f>
        <v/>
      </c>
      <c r="L769" s="4" t="str">
        <f>HYPERLINK("http://141.218.60.56/~jnz1568/getInfo.php?workbook=16_15.xlsx&amp;sheet=A0&amp;row=769&amp;col=12&amp;number=32679.0488763&amp;sourceID=53","32679.0488763")</f>
        <v>32679.0488763</v>
      </c>
      <c r="M769" s="4" t="str">
        <f>HYPERLINK("http://141.218.60.56/~jnz1568/getInfo.php?workbook=16_15.xlsx&amp;sheet=A0&amp;row=769&amp;col=13&amp;number=&amp;sourceID=53","")</f>
        <v/>
      </c>
      <c r="N769" s="4" t="str">
        <f>HYPERLINK("http://141.218.60.56/~jnz1568/getInfo.php?workbook=16_15.xlsx&amp;sheet=A0&amp;row=769&amp;col=14&amp;number=&amp;sourceID=53","")</f>
        <v/>
      </c>
      <c r="O769" s="4" t="str">
        <f>HYPERLINK("http://141.218.60.56/~jnz1568/getInfo.php?workbook=16_15.xlsx&amp;sheet=A0&amp;row=769&amp;col=15&amp;number=&amp;sourceID=55","")</f>
        <v/>
      </c>
      <c r="P769" s="4" t="str">
        <f>HYPERLINK("http://141.218.60.56/~jnz1568/getInfo.php?workbook=16_15.xlsx&amp;sheet=A0&amp;row=769&amp;col=16&amp;number=&amp;sourceID=55","")</f>
        <v/>
      </c>
      <c r="Q769" s="4" t="str">
        <f>HYPERLINK("http://141.218.60.56/~jnz1568/getInfo.php?workbook=16_15.xlsx&amp;sheet=A0&amp;row=769&amp;col=17&amp;number=&amp;sourceID=56","")</f>
        <v/>
      </c>
      <c r="R769" s="4" t="str">
        <f>HYPERLINK("http://141.218.60.56/~jnz1568/getInfo.php?workbook=16_15.xlsx&amp;sheet=A0&amp;row=769&amp;col=18&amp;number=&amp;sourceID=56","")</f>
        <v/>
      </c>
      <c r="S769" s="4" t="str">
        <f>HYPERLINK("http://141.218.60.56/~jnz1568/getInfo.php?workbook=16_15.xlsx&amp;sheet=A0&amp;row=769&amp;col=19&amp;number=&amp;sourceID=57","")</f>
        <v/>
      </c>
      <c r="T769" s="4" t="str">
        <f>HYPERLINK("http://141.218.60.56/~jnz1568/getInfo.php?workbook=16_15.xlsx&amp;sheet=A0&amp;row=769&amp;col=20&amp;number=&amp;sourceID=57","")</f>
        <v/>
      </c>
      <c r="U769" s="4" t="str">
        <f>HYPERLINK("http://141.218.60.56/~jnz1568/getInfo.php?workbook=16_15.xlsx&amp;sheet=A0&amp;row=769&amp;col=21&amp;number=&amp;sourceID=47","")</f>
        <v/>
      </c>
      <c r="V769" s="4" t="str">
        <f>HYPERLINK("http://141.218.60.56/~jnz1568/getInfo.php?workbook=16_15.xlsx&amp;sheet=A0&amp;row=769&amp;col=22&amp;number=&amp;sourceID=47","")</f>
        <v/>
      </c>
    </row>
    <row r="770" spans="1:22">
      <c r="A770" s="3">
        <v>16</v>
      </c>
      <c r="B770" s="3">
        <v>15</v>
      </c>
      <c r="C770" s="3">
        <v>45</v>
      </c>
      <c r="D770" s="3">
        <v>22</v>
      </c>
      <c r="E770" s="3">
        <f>((1/(INDEX(E0!J$4:J$73,C770,1)-INDEX(E0!J$4:J$73,D770,1))))*100000000</f>
        <v>0</v>
      </c>
      <c r="F770" s="4" t="str">
        <f>HYPERLINK("http://141.218.60.56/~jnz1568/getInfo.php?workbook=16_15.xlsx&amp;sheet=A0&amp;row=770&amp;col=6&amp;number=67983&amp;sourceID=54","67983")</f>
        <v>67983</v>
      </c>
      <c r="G770" s="4" t="str">
        <f>HYPERLINK("http://141.218.60.56/~jnz1568/getInfo.php?workbook=16_15.xlsx&amp;sheet=A0&amp;row=770&amp;col=7&amp;number=&amp;sourceID=54","")</f>
        <v/>
      </c>
      <c r="H770" s="4" t="str">
        <f>HYPERLINK("http://141.218.60.56/~jnz1568/getInfo.php?workbook=16_15.xlsx&amp;sheet=A0&amp;row=770&amp;col=8&amp;number=&amp;sourceID=54","")</f>
        <v/>
      </c>
      <c r="I770" s="4" t="str">
        <f>HYPERLINK("http://141.218.60.56/~jnz1568/getInfo.php?workbook=16_15.xlsx&amp;sheet=A0&amp;row=770&amp;col=9&amp;number=63814&amp;sourceID=54","63814")</f>
        <v>63814</v>
      </c>
      <c r="J770" s="4" t="str">
        <f>HYPERLINK("http://141.218.60.56/~jnz1568/getInfo.php?workbook=16_15.xlsx&amp;sheet=A0&amp;row=770&amp;col=10&amp;number=&amp;sourceID=54","")</f>
        <v/>
      </c>
      <c r="K770" s="4" t="str">
        <f>HYPERLINK("http://141.218.60.56/~jnz1568/getInfo.php?workbook=16_15.xlsx&amp;sheet=A0&amp;row=770&amp;col=11&amp;number=&amp;sourceID=54","")</f>
        <v/>
      </c>
      <c r="L770" s="4" t="str">
        <f>HYPERLINK("http://141.218.60.56/~jnz1568/getInfo.php?workbook=16_15.xlsx&amp;sheet=A0&amp;row=770&amp;col=12&amp;number=51525.3898507&amp;sourceID=53","51525.3898507")</f>
        <v>51525.3898507</v>
      </c>
      <c r="M770" s="4" t="str">
        <f>HYPERLINK("http://141.218.60.56/~jnz1568/getInfo.php?workbook=16_15.xlsx&amp;sheet=A0&amp;row=770&amp;col=13&amp;number=&amp;sourceID=53","")</f>
        <v/>
      </c>
      <c r="N770" s="4" t="str">
        <f>HYPERLINK("http://141.218.60.56/~jnz1568/getInfo.php?workbook=16_15.xlsx&amp;sheet=A0&amp;row=770&amp;col=14&amp;number=&amp;sourceID=53","")</f>
        <v/>
      </c>
      <c r="O770" s="4" t="str">
        <f>HYPERLINK("http://141.218.60.56/~jnz1568/getInfo.php?workbook=16_15.xlsx&amp;sheet=A0&amp;row=770&amp;col=15&amp;number=&amp;sourceID=55","")</f>
        <v/>
      </c>
      <c r="P770" s="4" t="str">
        <f>HYPERLINK("http://141.218.60.56/~jnz1568/getInfo.php?workbook=16_15.xlsx&amp;sheet=A0&amp;row=770&amp;col=16&amp;number=&amp;sourceID=55","")</f>
        <v/>
      </c>
      <c r="Q770" s="4" t="str">
        <f>HYPERLINK("http://141.218.60.56/~jnz1568/getInfo.php?workbook=16_15.xlsx&amp;sheet=A0&amp;row=770&amp;col=17&amp;number=&amp;sourceID=56","")</f>
        <v/>
      </c>
      <c r="R770" s="4" t="str">
        <f>HYPERLINK("http://141.218.60.56/~jnz1568/getInfo.php?workbook=16_15.xlsx&amp;sheet=A0&amp;row=770&amp;col=18&amp;number=&amp;sourceID=56","")</f>
        <v/>
      </c>
      <c r="S770" s="4" t="str">
        <f>HYPERLINK("http://141.218.60.56/~jnz1568/getInfo.php?workbook=16_15.xlsx&amp;sheet=A0&amp;row=770&amp;col=19&amp;number=&amp;sourceID=57","")</f>
        <v/>
      </c>
      <c r="T770" s="4" t="str">
        <f>HYPERLINK("http://141.218.60.56/~jnz1568/getInfo.php?workbook=16_15.xlsx&amp;sheet=A0&amp;row=770&amp;col=20&amp;number=&amp;sourceID=57","")</f>
        <v/>
      </c>
      <c r="U770" s="4" t="str">
        <f>HYPERLINK("http://141.218.60.56/~jnz1568/getInfo.php?workbook=16_15.xlsx&amp;sheet=A0&amp;row=770&amp;col=21&amp;number=&amp;sourceID=47","")</f>
        <v/>
      </c>
      <c r="V770" s="4" t="str">
        <f>HYPERLINK("http://141.218.60.56/~jnz1568/getInfo.php?workbook=16_15.xlsx&amp;sheet=A0&amp;row=770&amp;col=22&amp;number=&amp;sourceID=47","")</f>
        <v/>
      </c>
    </row>
    <row r="771" spans="1:22">
      <c r="A771" s="3">
        <v>16</v>
      </c>
      <c r="B771" s="3">
        <v>15</v>
      </c>
      <c r="C771" s="3">
        <v>45</v>
      </c>
      <c r="D771" s="3">
        <v>23</v>
      </c>
      <c r="E771" s="3">
        <f>((1/(INDEX(E0!J$4:J$73,C771,1)-INDEX(E0!J$4:J$73,D771,1))))*100000000</f>
        <v>0</v>
      </c>
      <c r="F771" s="4" t="str">
        <f>HYPERLINK("http://141.218.60.56/~jnz1568/getInfo.php?workbook=16_15.xlsx&amp;sheet=A0&amp;row=771&amp;col=6&amp;number=426350&amp;sourceID=54","426350")</f>
        <v>426350</v>
      </c>
      <c r="G771" s="4" t="str">
        <f>HYPERLINK("http://141.218.60.56/~jnz1568/getInfo.php?workbook=16_15.xlsx&amp;sheet=A0&amp;row=771&amp;col=7&amp;number=&amp;sourceID=54","")</f>
        <v/>
      </c>
      <c r="H771" s="4" t="str">
        <f>HYPERLINK("http://141.218.60.56/~jnz1568/getInfo.php?workbook=16_15.xlsx&amp;sheet=A0&amp;row=771&amp;col=8&amp;number=&amp;sourceID=54","")</f>
        <v/>
      </c>
      <c r="I771" s="4" t="str">
        <f>HYPERLINK("http://141.218.60.56/~jnz1568/getInfo.php?workbook=16_15.xlsx&amp;sheet=A0&amp;row=771&amp;col=9&amp;number=399920&amp;sourceID=54","399920")</f>
        <v>399920</v>
      </c>
      <c r="J771" s="4" t="str">
        <f>HYPERLINK("http://141.218.60.56/~jnz1568/getInfo.php?workbook=16_15.xlsx&amp;sheet=A0&amp;row=771&amp;col=10&amp;number=&amp;sourceID=54","")</f>
        <v/>
      </c>
      <c r="K771" s="4" t="str">
        <f>HYPERLINK("http://141.218.60.56/~jnz1568/getInfo.php?workbook=16_15.xlsx&amp;sheet=A0&amp;row=771&amp;col=11&amp;number=&amp;sourceID=54","")</f>
        <v/>
      </c>
      <c r="L771" s="4" t="str">
        <f>HYPERLINK("http://141.218.60.56/~jnz1568/getInfo.php?workbook=16_15.xlsx&amp;sheet=A0&amp;row=771&amp;col=12&amp;number=323469.21954&amp;sourceID=53","323469.21954")</f>
        <v>323469.21954</v>
      </c>
      <c r="M771" s="4" t="str">
        <f>HYPERLINK("http://141.218.60.56/~jnz1568/getInfo.php?workbook=16_15.xlsx&amp;sheet=A0&amp;row=771&amp;col=13&amp;number=&amp;sourceID=53","")</f>
        <v/>
      </c>
      <c r="N771" s="4" t="str">
        <f>HYPERLINK("http://141.218.60.56/~jnz1568/getInfo.php?workbook=16_15.xlsx&amp;sheet=A0&amp;row=771&amp;col=14&amp;number=&amp;sourceID=53","")</f>
        <v/>
      </c>
      <c r="O771" s="4" t="str">
        <f>HYPERLINK("http://141.218.60.56/~jnz1568/getInfo.php?workbook=16_15.xlsx&amp;sheet=A0&amp;row=771&amp;col=15&amp;number=&amp;sourceID=55","")</f>
        <v/>
      </c>
      <c r="P771" s="4" t="str">
        <f>HYPERLINK("http://141.218.60.56/~jnz1568/getInfo.php?workbook=16_15.xlsx&amp;sheet=A0&amp;row=771&amp;col=16&amp;number=&amp;sourceID=55","")</f>
        <v/>
      </c>
      <c r="Q771" s="4" t="str">
        <f>HYPERLINK("http://141.218.60.56/~jnz1568/getInfo.php?workbook=16_15.xlsx&amp;sheet=A0&amp;row=771&amp;col=17&amp;number=&amp;sourceID=56","")</f>
        <v/>
      </c>
      <c r="R771" s="4" t="str">
        <f>HYPERLINK("http://141.218.60.56/~jnz1568/getInfo.php?workbook=16_15.xlsx&amp;sheet=A0&amp;row=771&amp;col=18&amp;number=&amp;sourceID=56","")</f>
        <v/>
      </c>
      <c r="S771" s="4" t="str">
        <f>HYPERLINK("http://141.218.60.56/~jnz1568/getInfo.php?workbook=16_15.xlsx&amp;sheet=A0&amp;row=771&amp;col=19&amp;number=&amp;sourceID=57","")</f>
        <v/>
      </c>
      <c r="T771" s="4" t="str">
        <f>HYPERLINK("http://141.218.60.56/~jnz1568/getInfo.php?workbook=16_15.xlsx&amp;sheet=A0&amp;row=771&amp;col=20&amp;number=&amp;sourceID=57","")</f>
        <v/>
      </c>
      <c r="U771" s="4" t="str">
        <f>HYPERLINK("http://141.218.60.56/~jnz1568/getInfo.php?workbook=16_15.xlsx&amp;sheet=A0&amp;row=771&amp;col=21&amp;number=&amp;sourceID=47","")</f>
        <v/>
      </c>
      <c r="V771" s="4" t="str">
        <f>HYPERLINK("http://141.218.60.56/~jnz1568/getInfo.php?workbook=16_15.xlsx&amp;sheet=A0&amp;row=771&amp;col=22&amp;number=&amp;sourceID=47","")</f>
        <v/>
      </c>
    </row>
    <row r="772" spans="1:22">
      <c r="A772" s="3">
        <v>16</v>
      </c>
      <c r="B772" s="3">
        <v>15</v>
      </c>
      <c r="C772" s="3">
        <v>45</v>
      </c>
      <c r="D772" s="3">
        <v>24</v>
      </c>
      <c r="E772" s="3">
        <f>((1/(INDEX(E0!J$4:J$73,C772,1)-INDEX(E0!J$4:J$73,D772,1))))*100000000</f>
        <v>0</v>
      </c>
      <c r="F772" s="4" t="str">
        <f>HYPERLINK("http://141.218.60.56/~jnz1568/getInfo.php?workbook=16_15.xlsx&amp;sheet=A0&amp;row=772&amp;col=6&amp;number=719050&amp;sourceID=54","719050")</f>
        <v>719050</v>
      </c>
      <c r="G772" s="4" t="str">
        <f>HYPERLINK("http://141.218.60.56/~jnz1568/getInfo.php?workbook=16_15.xlsx&amp;sheet=A0&amp;row=772&amp;col=7&amp;number=&amp;sourceID=54","")</f>
        <v/>
      </c>
      <c r="H772" s="4" t="str">
        <f>HYPERLINK("http://141.218.60.56/~jnz1568/getInfo.php?workbook=16_15.xlsx&amp;sheet=A0&amp;row=772&amp;col=8&amp;number=&amp;sourceID=54","")</f>
        <v/>
      </c>
      <c r="I772" s="4" t="str">
        <f>HYPERLINK("http://141.218.60.56/~jnz1568/getInfo.php?workbook=16_15.xlsx&amp;sheet=A0&amp;row=772&amp;col=9&amp;number=671400&amp;sourceID=54","671400")</f>
        <v>671400</v>
      </c>
      <c r="J772" s="4" t="str">
        <f>HYPERLINK("http://141.218.60.56/~jnz1568/getInfo.php?workbook=16_15.xlsx&amp;sheet=A0&amp;row=772&amp;col=10&amp;number=&amp;sourceID=54","")</f>
        <v/>
      </c>
      <c r="K772" s="4" t="str">
        <f>HYPERLINK("http://141.218.60.56/~jnz1568/getInfo.php?workbook=16_15.xlsx&amp;sheet=A0&amp;row=772&amp;col=11&amp;number=&amp;sourceID=54","")</f>
        <v/>
      </c>
      <c r="L772" s="4" t="str">
        <f>HYPERLINK("http://141.218.60.56/~jnz1568/getInfo.php?workbook=16_15.xlsx&amp;sheet=A0&amp;row=772&amp;col=12&amp;number=549794.166449&amp;sourceID=53","549794.166449")</f>
        <v>549794.166449</v>
      </c>
      <c r="M772" s="4" t="str">
        <f>HYPERLINK("http://141.218.60.56/~jnz1568/getInfo.php?workbook=16_15.xlsx&amp;sheet=A0&amp;row=772&amp;col=13&amp;number=&amp;sourceID=53","")</f>
        <v/>
      </c>
      <c r="N772" s="4" t="str">
        <f>HYPERLINK("http://141.218.60.56/~jnz1568/getInfo.php?workbook=16_15.xlsx&amp;sheet=A0&amp;row=772&amp;col=14&amp;number=&amp;sourceID=53","")</f>
        <v/>
      </c>
      <c r="O772" s="4" t="str">
        <f>HYPERLINK("http://141.218.60.56/~jnz1568/getInfo.php?workbook=16_15.xlsx&amp;sheet=A0&amp;row=772&amp;col=15&amp;number=&amp;sourceID=55","")</f>
        <v/>
      </c>
      <c r="P772" s="4" t="str">
        <f>HYPERLINK("http://141.218.60.56/~jnz1568/getInfo.php?workbook=16_15.xlsx&amp;sheet=A0&amp;row=772&amp;col=16&amp;number=&amp;sourceID=55","")</f>
        <v/>
      </c>
      <c r="Q772" s="4" t="str">
        <f>HYPERLINK("http://141.218.60.56/~jnz1568/getInfo.php?workbook=16_15.xlsx&amp;sheet=A0&amp;row=772&amp;col=17&amp;number=&amp;sourceID=56","")</f>
        <v/>
      </c>
      <c r="R772" s="4" t="str">
        <f>HYPERLINK("http://141.218.60.56/~jnz1568/getInfo.php?workbook=16_15.xlsx&amp;sheet=A0&amp;row=772&amp;col=18&amp;number=&amp;sourceID=56","")</f>
        <v/>
      </c>
      <c r="S772" s="4" t="str">
        <f>HYPERLINK("http://141.218.60.56/~jnz1568/getInfo.php?workbook=16_15.xlsx&amp;sheet=A0&amp;row=772&amp;col=19&amp;number=&amp;sourceID=57","")</f>
        <v/>
      </c>
      <c r="T772" s="4" t="str">
        <f>HYPERLINK("http://141.218.60.56/~jnz1568/getInfo.php?workbook=16_15.xlsx&amp;sheet=A0&amp;row=772&amp;col=20&amp;number=&amp;sourceID=57","")</f>
        <v/>
      </c>
      <c r="U772" s="4" t="str">
        <f>HYPERLINK("http://141.218.60.56/~jnz1568/getInfo.php?workbook=16_15.xlsx&amp;sheet=A0&amp;row=772&amp;col=21&amp;number=&amp;sourceID=47","")</f>
        <v/>
      </c>
      <c r="V772" s="4" t="str">
        <f>HYPERLINK("http://141.218.60.56/~jnz1568/getInfo.php?workbook=16_15.xlsx&amp;sheet=A0&amp;row=772&amp;col=22&amp;number=&amp;sourceID=47","")</f>
        <v/>
      </c>
    </row>
    <row r="773" spans="1:22">
      <c r="A773" s="3">
        <v>16</v>
      </c>
      <c r="B773" s="3">
        <v>15</v>
      </c>
      <c r="C773" s="3">
        <v>45</v>
      </c>
      <c r="D773" s="3">
        <v>26</v>
      </c>
      <c r="E773" s="3">
        <f>((1/(INDEX(E0!J$4:J$73,C773,1)-INDEX(E0!J$4:J$73,D773,1))))*100000000</f>
        <v>0</v>
      </c>
      <c r="F773" s="4" t="str">
        <f>HYPERLINK("http://141.218.60.56/~jnz1568/getInfo.php?workbook=16_15.xlsx&amp;sheet=A0&amp;row=773&amp;col=6&amp;number=190740&amp;sourceID=54","190740")</f>
        <v>190740</v>
      </c>
      <c r="G773" s="4" t="str">
        <f>HYPERLINK("http://141.218.60.56/~jnz1568/getInfo.php?workbook=16_15.xlsx&amp;sheet=A0&amp;row=773&amp;col=7&amp;number=&amp;sourceID=54","")</f>
        <v/>
      </c>
      <c r="H773" s="4" t="str">
        <f>HYPERLINK("http://141.218.60.56/~jnz1568/getInfo.php?workbook=16_15.xlsx&amp;sheet=A0&amp;row=773&amp;col=8&amp;number=&amp;sourceID=54","")</f>
        <v/>
      </c>
      <c r="I773" s="4" t="str">
        <f>HYPERLINK("http://141.218.60.56/~jnz1568/getInfo.php?workbook=16_15.xlsx&amp;sheet=A0&amp;row=773&amp;col=9&amp;number=115220&amp;sourceID=54","115220")</f>
        <v>115220</v>
      </c>
      <c r="J773" s="4" t="str">
        <f>HYPERLINK("http://141.218.60.56/~jnz1568/getInfo.php?workbook=16_15.xlsx&amp;sheet=A0&amp;row=773&amp;col=10&amp;number=&amp;sourceID=54","")</f>
        <v/>
      </c>
      <c r="K773" s="4" t="str">
        <f>HYPERLINK("http://141.218.60.56/~jnz1568/getInfo.php?workbook=16_15.xlsx&amp;sheet=A0&amp;row=773&amp;col=11&amp;number=&amp;sourceID=54","")</f>
        <v/>
      </c>
      <c r="L773" s="4" t="str">
        <f>HYPERLINK("http://141.218.60.56/~jnz1568/getInfo.php?workbook=16_15.xlsx&amp;sheet=A0&amp;row=773&amp;col=12&amp;number=85883.4569535&amp;sourceID=53","85883.4569535")</f>
        <v>85883.4569535</v>
      </c>
      <c r="M773" s="4" t="str">
        <f>HYPERLINK("http://141.218.60.56/~jnz1568/getInfo.php?workbook=16_15.xlsx&amp;sheet=A0&amp;row=773&amp;col=13&amp;number=&amp;sourceID=53","")</f>
        <v/>
      </c>
      <c r="N773" s="4" t="str">
        <f>HYPERLINK("http://141.218.60.56/~jnz1568/getInfo.php?workbook=16_15.xlsx&amp;sheet=A0&amp;row=773&amp;col=14&amp;number=&amp;sourceID=53","")</f>
        <v/>
      </c>
      <c r="O773" s="4" t="str">
        <f>HYPERLINK("http://141.218.60.56/~jnz1568/getInfo.php?workbook=16_15.xlsx&amp;sheet=A0&amp;row=773&amp;col=15&amp;number=&amp;sourceID=55","")</f>
        <v/>
      </c>
      <c r="P773" s="4" t="str">
        <f>HYPERLINK("http://141.218.60.56/~jnz1568/getInfo.php?workbook=16_15.xlsx&amp;sheet=A0&amp;row=773&amp;col=16&amp;number=&amp;sourceID=55","")</f>
        <v/>
      </c>
      <c r="Q773" s="4" t="str">
        <f>HYPERLINK("http://141.218.60.56/~jnz1568/getInfo.php?workbook=16_15.xlsx&amp;sheet=A0&amp;row=773&amp;col=17&amp;number=&amp;sourceID=56","")</f>
        <v/>
      </c>
      <c r="R773" s="4" t="str">
        <f>HYPERLINK("http://141.218.60.56/~jnz1568/getInfo.php?workbook=16_15.xlsx&amp;sheet=A0&amp;row=773&amp;col=18&amp;number=&amp;sourceID=56","")</f>
        <v/>
      </c>
      <c r="S773" s="4" t="str">
        <f>HYPERLINK("http://141.218.60.56/~jnz1568/getInfo.php?workbook=16_15.xlsx&amp;sheet=A0&amp;row=773&amp;col=19&amp;number=&amp;sourceID=57","")</f>
        <v/>
      </c>
      <c r="T773" s="4" t="str">
        <f>HYPERLINK("http://141.218.60.56/~jnz1568/getInfo.php?workbook=16_15.xlsx&amp;sheet=A0&amp;row=773&amp;col=20&amp;number=&amp;sourceID=57","")</f>
        <v/>
      </c>
      <c r="U773" s="4" t="str">
        <f>HYPERLINK("http://141.218.60.56/~jnz1568/getInfo.php?workbook=16_15.xlsx&amp;sheet=A0&amp;row=773&amp;col=21&amp;number=&amp;sourceID=47","")</f>
        <v/>
      </c>
      <c r="V773" s="4" t="str">
        <f>HYPERLINK("http://141.218.60.56/~jnz1568/getInfo.php?workbook=16_15.xlsx&amp;sheet=A0&amp;row=773&amp;col=22&amp;number=&amp;sourceID=47","")</f>
        <v/>
      </c>
    </row>
    <row r="774" spans="1:22">
      <c r="A774" s="3">
        <v>16</v>
      </c>
      <c r="B774" s="3">
        <v>15</v>
      </c>
      <c r="C774" s="3">
        <v>45</v>
      </c>
      <c r="D774" s="3">
        <v>28</v>
      </c>
      <c r="E774" s="3">
        <f>((1/(INDEX(E0!J$4:J$73,C774,1)-INDEX(E0!J$4:J$73,D774,1))))*100000000</f>
        <v>0</v>
      </c>
      <c r="F774" s="4" t="str">
        <f>HYPERLINK("http://141.218.60.56/~jnz1568/getInfo.php?workbook=16_15.xlsx&amp;sheet=A0&amp;row=774&amp;col=6&amp;number=250.28&amp;sourceID=54","250.28")</f>
        <v>250.28</v>
      </c>
      <c r="G774" s="4" t="str">
        <f>HYPERLINK("http://141.218.60.56/~jnz1568/getInfo.php?workbook=16_15.xlsx&amp;sheet=A0&amp;row=774&amp;col=7&amp;number=&amp;sourceID=54","")</f>
        <v/>
      </c>
      <c r="H774" s="4" t="str">
        <f>HYPERLINK("http://141.218.60.56/~jnz1568/getInfo.php?workbook=16_15.xlsx&amp;sheet=A0&amp;row=774&amp;col=8&amp;number=&amp;sourceID=54","")</f>
        <v/>
      </c>
      <c r="I774" s="4" t="str">
        <f>HYPERLINK("http://141.218.60.56/~jnz1568/getInfo.php?workbook=16_15.xlsx&amp;sheet=A0&amp;row=774&amp;col=9&amp;number=280.73&amp;sourceID=54","280.73")</f>
        <v>280.73</v>
      </c>
      <c r="J774" s="4" t="str">
        <f>HYPERLINK("http://141.218.60.56/~jnz1568/getInfo.php?workbook=16_15.xlsx&amp;sheet=A0&amp;row=774&amp;col=10&amp;number=&amp;sourceID=54","")</f>
        <v/>
      </c>
      <c r="K774" s="4" t="str">
        <f>HYPERLINK("http://141.218.60.56/~jnz1568/getInfo.php?workbook=16_15.xlsx&amp;sheet=A0&amp;row=774&amp;col=11&amp;number=&amp;sourceID=54","")</f>
        <v/>
      </c>
      <c r="L774" s="4" t="str">
        <f>HYPERLINK("http://141.218.60.56/~jnz1568/getInfo.php?workbook=16_15.xlsx&amp;sheet=A0&amp;row=774&amp;col=12&amp;number=340.686904527&amp;sourceID=53","340.686904527")</f>
        <v>340.686904527</v>
      </c>
      <c r="M774" s="4" t="str">
        <f>HYPERLINK("http://141.218.60.56/~jnz1568/getInfo.php?workbook=16_15.xlsx&amp;sheet=A0&amp;row=774&amp;col=13&amp;number=&amp;sourceID=53","")</f>
        <v/>
      </c>
      <c r="N774" s="4" t="str">
        <f>HYPERLINK("http://141.218.60.56/~jnz1568/getInfo.php?workbook=16_15.xlsx&amp;sheet=A0&amp;row=774&amp;col=14&amp;number=&amp;sourceID=53","")</f>
        <v/>
      </c>
      <c r="O774" s="4" t="str">
        <f>HYPERLINK("http://141.218.60.56/~jnz1568/getInfo.php?workbook=16_15.xlsx&amp;sheet=A0&amp;row=774&amp;col=15&amp;number=&amp;sourceID=55","")</f>
        <v/>
      </c>
      <c r="P774" s="4" t="str">
        <f>HYPERLINK("http://141.218.60.56/~jnz1568/getInfo.php?workbook=16_15.xlsx&amp;sheet=A0&amp;row=774&amp;col=16&amp;number=&amp;sourceID=55","")</f>
        <v/>
      </c>
      <c r="Q774" s="4" t="str">
        <f>HYPERLINK("http://141.218.60.56/~jnz1568/getInfo.php?workbook=16_15.xlsx&amp;sheet=A0&amp;row=774&amp;col=17&amp;number=&amp;sourceID=56","")</f>
        <v/>
      </c>
      <c r="R774" s="4" t="str">
        <f>HYPERLINK("http://141.218.60.56/~jnz1568/getInfo.php?workbook=16_15.xlsx&amp;sheet=A0&amp;row=774&amp;col=18&amp;number=&amp;sourceID=56","")</f>
        <v/>
      </c>
      <c r="S774" s="4" t="str">
        <f>HYPERLINK("http://141.218.60.56/~jnz1568/getInfo.php?workbook=16_15.xlsx&amp;sheet=A0&amp;row=774&amp;col=19&amp;number=&amp;sourceID=57","")</f>
        <v/>
      </c>
      <c r="T774" s="4" t="str">
        <f>HYPERLINK("http://141.218.60.56/~jnz1568/getInfo.php?workbook=16_15.xlsx&amp;sheet=A0&amp;row=774&amp;col=20&amp;number=&amp;sourceID=57","")</f>
        <v/>
      </c>
      <c r="U774" s="4" t="str">
        <f>HYPERLINK("http://141.218.60.56/~jnz1568/getInfo.php?workbook=16_15.xlsx&amp;sheet=A0&amp;row=774&amp;col=21&amp;number=&amp;sourceID=47","")</f>
        <v/>
      </c>
      <c r="V774" s="4" t="str">
        <f>HYPERLINK("http://141.218.60.56/~jnz1568/getInfo.php?workbook=16_15.xlsx&amp;sheet=A0&amp;row=774&amp;col=22&amp;number=&amp;sourceID=47","")</f>
        <v/>
      </c>
    </row>
    <row r="775" spans="1:22">
      <c r="A775" s="3">
        <v>16</v>
      </c>
      <c r="B775" s="3">
        <v>15</v>
      </c>
      <c r="C775" s="3">
        <v>45</v>
      </c>
      <c r="D775" s="3">
        <v>29</v>
      </c>
      <c r="E775" s="3">
        <f>((1/(INDEX(E0!J$4:J$73,C775,1)-INDEX(E0!J$4:J$73,D775,1))))*100000000</f>
        <v>0</v>
      </c>
      <c r="F775" s="4" t="str">
        <f>HYPERLINK("http://141.218.60.56/~jnz1568/getInfo.php?workbook=16_15.xlsx&amp;sheet=A0&amp;row=775&amp;col=6&amp;number=4307.5&amp;sourceID=54","4307.5")</f>
        <v>4307.5</v>
      </c>
      <c r="G775" s="4" t="str">
        <f>HYPERLINK("http://141.218.60.56/~jnz1568/getInfo.php?workbook=16_15.xlsx&amp;sheet=A0&amp;row=775&amp;col=7&amp;number=&amp;sourceID=54","")</f>
        <v/>
      </c>
      <c r="H775" s="4" t="str">
        <f>HYPERLINK("http://141.218.60.56/~jnz1568/getInfo.php?workbook=16_15.xlsx&amp;sheet=A0&amp;row=775&amp;col=8&amp;number=&amp;sourceID=54","")</f>
        <v/>
      </c>
      <c r="I775" s="4" t="str">
        <f>HYPERLINK("http://141.218.60.56/~jnz1568/getInfo.php?workbook=16_15.xlsx&amp;sheet=A0&amp;row=775&amp;col=9&amp;number=758.72&amp;sourceID=54","758.72")</f>
        <v>758.72</v>
      </c>
      <c r="J775" s="4" t="str">
        <f>HYPERLINK("http://141.218.60.56/~jnz1568/getInfo.php?workbook=16_15.xlsx&amp;sheet=A0&amp;row=775&amp;col=10&amp;number=&amp;sourceID=54","")</f>
        <v/>
      </c>
      <c r="K775" s="4" t="str">
        <f>HYPERLINK("http://141.218.60.56/~jnz1568/getInfo.php?workbook=16_15.xlsx&amp;sheet=A0&amp;row=775&amp;col=11&amp;number=&amp;sourceID=54","")</f>
        <v/>
      </c>
      <c r="L775" s="4" t="str">
        <f>HYPERLINK("http://141.218.60.56/~jnz1568/getInfo.php?workbook=16_15.xlsx&amp;sheet=A0&amp;row=775&amp;col=12&amp;number=625.399871927&amp;sourceID=53","625.399871927")</f>
        <v>625.399871927</v>
      </c>
      <c r="M775" s="4" t="str">
        <f>HYPERLINK("http://141.218.60.56/~jnz1568/getInfo.php?workbook=16_15.xlsx&amp;sheet=A0&amp;row=775&amp;col=13&amp;number=&amp;sourceID=53","")</f>
        <v/>
      </c>
      <c r="N775" s="4" t="str">
        <f>HYPERLINK("http://141.218.60.56/~jnz1568/getInfo.php?workbook=16_15.xlsx&amp;sheet=A0&amp;row=775&amp;col=14&amp;number=&amp;sourceID=53","")</f>
        <v/>
      </c>
      <c r="O775" s="4" t="str">
        <f>HYPERLINK("http://141.218.60.56/~jnz1568/getInfo.php?workbook=16_15.xlsx&amp;sheet=A0&amp;row=775&amp;col=15&amp;number=&amp;sourceID=55","")</f>
        <v/>
      </c>
      <c r="P775" s="4" t="str">
        <f>HYPERLINK("http://141.218.60.56/~jnz1568/getInfo.php?workbook=16_15.xlsx&amp;sheet=A0&amp;row=775&amp;col=16&amp;number=&amp;sourceID=55","")</f>
        <v/>
      </c>
      <c r="Q775" s="4" t="str">
        <f>HYPERLINK("http://141.218.60.56/~jnz1568/getInfo.php?workbook=16_15.xlsx&amp;sheet=A0&amp;row=775&amp;col=17&amp;number=&amp;sourceID=56","")</f>
        <v/>
      </c>
      <c r="R775" s="4" t="str">
        <f>HYPERLINK("http://141.218.60.56/~jnz1568/getInfo.php?workbook=16_15.xlsx&amp;sheet=A0&amp;row=775&amp;col=18&amp;number=&amp;sourceID=56","")</f>
        <v/>
      </c>
      <c r="S775" s="4" t="str">
        <f>HYPERLINK("http://141.218.60.56/~jnz1568/getInfo.php?workbook=16_15.xlsx&amp;sheet=A0&amp;row=775&amp;col=19&amp;number=&amp;sourceID=57","")</f>
        <v/>
      </c>
      <c r="T775" s="4" t="str">
        <f>HYPERLINK("http://141.218.60.56/~jnz1568/getInfo.php?workbook=16_15.xlsx&amp;sheet=A0&amp;row=775&amp;col=20&amp;number=&amp;sourceID=57","")</f>
        <v/>
      </c>
      <c r="U775" s="4" t="str">
        <f>HYPERLINK("http://141.218.60.56/~jnz1568/getInfo.php?workbook=16_15.xlsx&amp;sheet=A0&amp;row=775&amp;col=21&amp;number=&amp;sourceID=47","")</f>
        <v/>
      </c>
      <c r="V775" s="4" t="str">
        <f>HYPERLINK("http://141.218.60.56/~jnz1568/getInfo.php?workbook=16_15.xlsx&amp;sheet=A0&amp;row=775&amp;col=22&amp;number=&amp;sourceID=47","")</f>
        <v/>
      </c>
    </row>
    <row r="776" spans="1:22">
      <c r="A776" s="3">
        <v>16</v>
      </c>
      <c r="B776" s="3">
        <v>15</v>
      </c>
      <c r="C776" s="3">
        <v>45</v>
      </c>
      <c r="D776" s="3">
        <v>30</v>
      </c>
      <c r="E776" s="3">
        <f>((1/(INDEX(E0!J$4:J$73,C776,1)-INDEX(E0!J$4:J$73,D776,1))))*100000000</f>
        <v>0</v>
      </c>
      <c r="F776" s="4" t="str">
        <f>HYPERLINK("http://141.218.60.56/~jnz1568/getInfo.php?workbook=16_15.xlsx&amp;sheet=A0&amp;row=776&amp;col=6&amp;number=2881.2&amp;sourceID=54","2881.2")</f>
        <v>2881.2</v>
      </c>
      <c r="G776" s="4" t="str">
        <f>HYPERLINK("http://141.218.60.56/~jnz1568/getInfo.php?workbook=16_15.xlsx&amp;sheet=A0&amp;row=776&amp;col=7&amp;number=&amp;sourceID=54","")</f>
        <v/>
      </c>
      <c r="H776" s="4" t="str">
        <f>HYPERLINK("http://141.218.60.56/~jnz1568/getInfo.php?workbook=16_15.xlsx&amp;sheet=A0&amp;row=776&amp;col=8&amp;number=&amp;sourceID=54","")</f>
        <v/>
      </c>
      <c r="I776" s="4" t="str">
        <f>HYPERLINK("http://141.218.60.56/~jnz1568/getInfo.php?workbook=16_15.xlsx&amp;sheet=A0&amp;row=776&amp;col=9&amp;number=2025.9&amp;sourceID=54","2025.9")</f>
        <v>2025.9</v>
      </c>
      <c r="J776" s="4" t="str">
        <f>HYPERLINK("http://141.218.60.56/~jnz1568/getInfo.php?workbook=16_15.xlsx&amp;sheet=A0&amp;row=776&amp;col=10&amp;number=&amp;sourceID=54","")</f>
        <v/>
      </c>
      <c r="K776" s="4" t="str">
        <f>HYPERLINK("http://141.218.60.56/~jnz1568/getInfo.php?workbook=16_15.xlsx&amp;sheet=A0&amp;row=776&amp;col=11&amp;number=&amp;sourceID=54","")</f>
        <v/>
      </c>
      <c r="L776" s="4" t="str">
        <f>HYPERLINK("http://141.218.60.56/~jnz1568/getInfo.php?workbook=16_15.xlsx&amp;sheet=A0&amp;row=776&amp;col=12&amp;number=1350.13559085&amp;sourceID=53","1350.13559085")</f>
        <v>1350.13559085</v>
      </c>
      <c r="M776" s="4" t="str">
        <f>HYPERLINK("http://141.218.60.56/~jnz1568/getInfo.php?workbook=16_15.xlsx&amp;sheet=A0&amp;row=776&amp;col=13&amp;number=&amp;sourceID=53","")</f>
        <v/>
      </c>
      <c r="N776" s="4" t="str">
        <f>HYPERLINK("http://141.218.60.56/~jnz1568/getInfo.php?workbook=16_15.xlsx&amp;sheet=A0&amp;row=776&amp;col=14&amp;number=&amp;sourceID=53","")</f>
        <v/>
      </c>
      <c r="O776" s="4" t="str">
        <f>HYPERLINK("http://141.218.60.56/~jnz1568/getInfo.php?workbook=16_15.xlsx&amp;sheet=A0&amp;row=776&amp;col=15&amp;number=&amp;sourceID=55","")</f>
        <v/>
      </c>
      <c r="P776" s="4" t="str">
        <f>HYPERLINK("http://141.218.60.56/~jnz1568/getInfo.php?workbook=16_15.xlsx&amp;sheet=A0&amp;row=776&amp;col=16&amp;number=&amp;sourceID=55","")</f>
        <v/>
      </c>
      <c r="Q776" s="4" t="str">
        <f>HYPERLINK("http://141.218.60.56/~jnz1568/getInfo.php?workbook=16_15.xlsx&amp;sheet=A0&amp;row=776&amp;col=17&amp;number=&amp;sourceID=56","")</f>
        <v/>
      </c>
      <c r="R776" s="4" t="str">
        <f>HYPERLINK("http://141.218.60.56/~jnz1568/getInfo.php?workbook=16_15.xlsx&amp;sheet=A0&amp;row=776&amp;col=18&amp;number=&amp;sourceID=56","")</f>
        <v/>
      </c>
      <c r="S776" s="4" t="str">
        <f>HYPERLINK("http://141.218.60.56/~jnz1568/getInfo.php?workbook=16_15.xlsx&amp;sheet=A0&amp;row=776&amp;col=19&amp;number=&amp;sourceID=57","")</f>
        <v/>
      </c>
      <c r="T776" s="4" t="str">
        <f>HYPERLINK("http://141.218.60.56/~jnz1568/getInfo.php?workbook=16_15.xlsx&amp;sheet=A0&amp;row=776&amp;col=20&amp;number=&amp;sourceID=57","")</f>
        <v/>
      </c>
      <c r="U776" s="4" t="str">
        <f>HYPERLINK("http://141.218.60.56/~jnz1568/getInfo.php?workbook=16_15.xlsx&amp;sheet=A0&amp;row=776&amp;col=21&amp;number=&amp;sourceID=47","")</f>
        <v/>
      </c>
      <c r="V776" s="4" t="str">
        <f>HYPERLINK("http://141.218.60.56/~jnz1568/getInfo.php?workbook=16_15.xlsx&amp;sheet=A0&amp;row=776&amp;col=22&amp;number=&amp;sourceID=47","")</f>
        <v/>
      </c>
    </row>
    <row r="777" spans="1:22">
      <c r="A777" s="3">
        <v>16</v>
      </c>
      <c r="B777" s="3">
        <v>15</v>
      </c>
      <c r="C777" s="3">
        <v>45</v>
      </c>
      <c r="D777" s="3">
        <v>31</v>
      </c>
      <c r="E777" s="3">
        <f>((1/(INDEX(E0!J$4:J$73,C777,1)-INDEX(E0!J$4:J$73,D777,1))))*100000000</f>
        <v>0</v>
      </c>
      <c r="F777" s="4" t="str">
        <f>HYPERLINK("http://141.218.60.56/~jnz1568/getInfo.php?workbook=16_15.xlsx&amp;sheet=A0&amp;row=777&amp;col=6&amp;number=&amp;sourceID=54","")</f>
        <v/>
      </c>
      <c r="G777" s="4" t="str">
        <f>HYPERLINK("http://141.218.60.56/~jnz1568/getInfo.php?workbook=16_15.xlsx&amp;sheet=A0&amp;row=777&amp;col=7&amp;number=0.00022385&amp;sourceID=54","0.00022385")</f>
        <v>0.00022385</v>
      </c>
      <c r="H777" s="4" t="str">
        <f>HYPERLINK("http://141.218.60.56/~jnz1568/getInfo.php?workbook=16_15.xlsx&amp;sheet=A0&amp;row=777&amp;col=8&amp;number=0.00038095&amp;sourceID=54","0.00038095")</f>
        <v>0.00038095</v>
      </c>
      <c r="I777" s="4" t="str">
        <f>HYPERLINK("http://141.218.60.56/~jnz1568/getInfo.php?workbook=16_15.xlsx&amp;sheet=A0&amp;row=777&amp;col=9&amp;number=&amp;sourceID=54","")</f>
        <v/>
      </c>
      <c r="J777" s="4" t="str">
        <f>HYPERLINK("http://141.218.60.56/~jnz1568/getInfo.php?workbook=16_15.xlsx&amp;sheet=A0&amp;row=777&amp;col=10&amp;number=6.3481e-05&amp;sourceID=54","6.3481e-05")</f>
        <v>6.3481e-05</v>
      </c>
      <c r="K777" s="4" t="str">
        <f>HYPERLINK("http://141.218.60.56/~jnz1568/getInfo.php?workbook=16_15.xlsx&amp;sheet=A0&amp;row=777&amp;col=11&amp;number=0.00034768&amp;sourceID=54","0.00034768")</f>
        <v>0.00034768</v>
      </c>
      <c r="L777" s="4" t="str">
        <f>HYPERLINK("http://141.218.60.56/~jnz1568/getInfo.php?workbook=16_15.xlsx&amp;sheet=A0&amp;row=777&amp;col=12&amp;number=&amp;sourceID=53","")</f>
        <v/>
      </c>
      <c r="M777" s="4" t="str">
        <f>HYPERLINK("http://141.218.60.56/~jnz1568/getInfo.php?workbook=16_15.xlsx&amp;sheet=A0&amp;row=777&amp;col=13&amp;number=&amp;sourceID=53","")</f>
        <v/>
      </c>
      <c r="N777" s="4" t="str">
        <f>HYPERLINK("http://141.218.60.56/~jnz1568/getInfo.php?workbook=16_15.xlsx&amp;sheet=A0&amp;row=777&amp;col=14&amp;number=&amp;sourceID=53","")</f>
        <v/>
      </c>
      <c r="O777" s="4" t="str">
        <f>HYPERLINK("http://141.218.60.56/~jnz1568/getInfo.php?workbook=16_15.xlsx&amp;sheet=A0&amp;row=777&amp;col=15&amp;number=&amp;sourceID=55","")</f>
        <v/>
      </c>
      <c r="P777" s="4" t="str">
        <f>HYPERLINK("http://141.218.60.56/~jnz1568/getInfo.php?workbook=16_15.xlsx&amp;sheet=A0&amp;row=777&amp;col=16&amp;number=&amp;sourceID=55","")</f>
        <v/>
      </c>
      <c r="Q777" s="4" t="str">
        <f>HYPERLINK("http://141.218.60.56/~jnz1568/getInfo.php?workbook=16_15.xlsx&amp;sheet=A0&amp;row=777&amp;col=17&amp;number=&amp;sourceID=56","")</f>
        <v/>
      </c>
      <c r="R777" s="4" t="str">
        <f>HYPERLINK("http://141.218.60.56/~jnz1568/getInfo.php?workbook=16_15.xlsx&amp;sheet=A0&amp;row=777&amp;col=18&amp;number=&amp;sourceID=56","")</f>
        <v/>
      </c>
      <c r="S777" s="4" t="str">
        <f>HYPERLINK("http://141.218.60.56/~jnz1568/getInfo.php?workbook=16_15.xlsx&amp;sheet=A0&amp;row=777&amp;col=19&amp;number=&amp;sourceID=57","")</f>
        <v/>
      </c>
      <c r="T777" s="4" t="str">
        <f>HYPERLINK("http://141.218.60.56/~jnz1568/getInfo.php?workbook=16_15.xlsx&amp;sheet=A0&amp;row=777&amp;col=20&amp;number=&amp;sourceID=57","")</f>
        <v/>
      </c>
      <c r="U777" s="4" t="str">
        <f>HYPERLINK("http://141.218.60.56/~jnz1568/getInfo.php?workbook=16_15.xlsx&amp;sheet=A0&amp;row=777&amp;col=21&amp;number=&amp;sourceID=47","")</f>
        <v/>
      </c>
      <c r="V777" s="4" t="str">
        <f>HYPERLINK("http://141.218.60.56/~jnz1568/getInfo.php?workbook=16_15.xlsx&amp;sheet=A0&amp;row=777&amp;col=22&amp;number=&amp;sourceID=47","")</f>
        <v/>
      </c>
    </row>
    <row r="778" spans="1:22">
      <c r="A778" s="3">
        <v>16</v>
      </c>
      <c r="B778" s="3">
        <v>15</v>
      </c>
      <c r="C778" s="3">
        <v>45</v>
      </c>
      <c r="D778" s="3">
        <v>34</v>
      </c>
      <c r="E778" s="3">
        <f>((1/(INDEX(E0!J$4:J$73,C778,1)-INDEX(E0!J$4:J$73,D778,1))))*100000000</f>
        <v>0</v>
      </c>
      <c r="F778" s="4" t="str">
        <f>HYPERLINK("http://141.218.60.56/~jnz1568/getInfo.php?workbook=16_15.xlsx&amp;sheet=A0&amp;row=778&amp;col=6&amp;number=&amp;sourceID=54","")</f>
        <v/>
      </c>
      <c r="G778" s="4" t="str">
        <f>HYPERLINK("http://141.218.60.56/~jnz1568/getInfo.php?workbook=16_15.xlsx&amp;sheet=A0&amp;row=778&amp;col=7&amp;number=0.00038459&amp;sourceID=54","0.00038459")</f>
        <v>0.00038459</v>
      </c>
      <c r="H778" s="4" t="str">
        <f>HYPERLINK("http://141.218.60.56/~jnz1568/getInfo.php?workbook=16_15.xlsx&amp;sheet=A0&amp;row=778&amp;col=8&amp;number=3.391e-06&amp;sourceID=54","3.391e-06")</f>
        <v>3.391e-06</v>
      </c>
      <c r="I778" s="4" t="str">
        <f>HYPERLINK("http://141.218.60.56/~jnz1568/getInfo.php?workbook=16_15.xlsx&amp;sheet=A0&amp;row=778&amp;col=9&amp;number=&amp;sourceID=54","")</f>
        <v/>
      </c>
      <c r="J778" s="4" t="str">
        <f>HYPERLINK("http://141.218.60.56/~jnz1568/getInfo.php?workbook=16_15.xlsx&amp;sheet=A0&amp;row=778&amp;col=10&amp;number=0.00048712&amp;sourceID=54","0.00048712")</f>
        <v>0.00048712</v>
      </c>
      <c r="K778" s="4" t="str">
        <f>HYPERLINK("http://141.218.60.56/~jnz1568/getInfo.php?workbook=16_15.xlsx&amp;sheet=A0&amp;row=778&amp;col=11&amp;number=5.0108e-06&amp;sourceID=54","5.0108e-06")</f>
        <v>5.0108e-06</v>
      </c>
      <c r="L778" s="4" t="str">
        <f>HYPERLINK("http://141.218.60.56/~jnz1568/getInfo.php?workbook=16_15.xlsx&amp;sheet=A0&amp;row=778&amp;col=12&amp;number=&amp;sourceID=53","")</f>
        <v/>
      </c>
      <c r="M778" s="4" t="str">
        <f>HYPERLINK("http://141.218.60.56/~jnz1568/getInfo.php?workbook=16_15.xlsx&amp;sheet=A0&amp;row=778&amp;col=13&amp;number=&amp;sourceID=53","")</f>
        <v/>
      </c>
      <c r="N778" s="4" t="str">
        <f>HYPERLINK("http://141.218.60.56/~jnz1568/getInfo.php?workbook=16_15.xlsx&amp;sheet=A0&amp;row=778&amp;col=14&amp;number=&amp;sourceID=53","")</f>
        <v/>
      </c>
      <c r="O778" s="4" t="str">
        <f>HYPERLINK("http://141.218.60.56/~jnz1568/getInfo.php?workbook=16_15.xlsx&amp;sheet=A0&amp;row=778&amp;col=15&amp;number=&amp;sourceID=55","")</f>
        <v/>
      </c>
      <c r="P778" s="4" t="str">
        <f>HYPERLINK("http://141.218.60.56/~jnz1568/getInfo.php?workbook=16_15.xlsx&amp;sheet=A0&amp;row=778&amp;col=16&amp;number=&amp;sourceID=55","")</f>
        <v/>
      </c>
      <c r="Q778" s="4" t="str">
        <f>HYPERLINK("http://141.218.60.56/~jnz1568/getInfo.php?workbook=16_15.xlsx&amp;sheet=A0&amp;row=778&amp;col=17&amp;number=&amp;sourceID=56","")</f>
        <v/>
      </c>
      <c r="R778" s="4" t="str">
        <f>HYPERLINK("http://141.218.60.56/~jnz1568/getInfo.php?workbook=16_15.xlsx&amp;sheet=A0&amp;row=778&amp;col=18&amp;number=&amp;sourceID=56","")</f>
        <v/>
      </c>
      <c r="S778" s="4" t="str">
        <f>HYPERLINK("http://141.218.60.56/~jnz1568/getInfo.php?workbook=16_15.xlsx&amp;sheet=A0&amp;row=778&amp;col=19&amp;number=&amp;sourceID=57","")</f>
        <v/>
      </c>
      <c r="T778" s="4" t="str">
        <f>HYPERLINK("http://141.218.60.56/~jnz1568/getInfo.php?workbook=16_15.xlsx&amp;sheet=A0&amp;row=778&amp;col=20&amp;number=&amp;sourceID=57","")</f>
        <v/>
      </c>
      <c r="U778" s="4" t="str">
        <f>HYPERLINK("http://141.218.60.56/~jnz1568/getInfo.php?workbook=16_15.xlsx&amp;sheet=A0&amp;row=778&amp;col=21&amp;number=&amp;sourceID=47","")</f>
        <v/>
      </c>
      <c r="V778" s="4" t="str">
        <f>HYPERLINK("http://141.218.60.56/~jnz1568/getInfo.php?workbook=16_15.xlsx&amp;sheet=A0&amp;row=778&amp;col=22&amp;number=&amp;sourceID=47","")</f>
        <v/>
      </c>
    </row>
    <row r="779" spans="1:22">
      <c r="A779" s="3">
        <v>16</v>
      </c>
      <c r="B779" s="3">
        <v>15</v>
      </c>
      <c r="C779" s="3">
        <v>45</v>
      </c>
      <c r="D779" s="3">
        <v>35</v>
      </c>
      <c r="E779" s="3">
        <f>((1/(INDEX(E0!J$4:J$73,C779,1)-INDEX(E0!J$4:J$73,D779,1))))*100000000</f>
        <v>0</v>
      </c>
      <c r="F779" s="4" t="str">
        <f>HYPERLINK("http://141.218.60.56/~jnz1568/getInfo.php?workbook=16_15.xlsx&amp;sheet=A0&amp;row=779&amp;col=6&amp;number=&amp;sourceID=54","")</f>
        <v/>
      </c>
      <c r="G779" s="4" t="str">
        <f>HYPERLINK("http://141.218.60.56/~jnz1568/getInfo.php?workbook=16_15.xlsx&amp;sheet=A0&amp;row=779&amp;col=7&amp;number=0.00082104&amp;sourceID=54","0.00082104")</f>
        <v>0.00082104</v>
      </c>
      <c r="H779" s="4" t="str">
        <f>HYPERLINK("http://141.218.60.56/~jnz1568/getInfo.php?workbook=16_15.xlsx&amp;sheet=A0&amp;row=779&amp;col=8&amp;number=4.3301e-05&amp;sourceID=54","4.3301e-05")</f>
        <v>4.3301e-05</v>
      </c>
      <c r="I779" s="4" t="str">
        <f>HYPERLINK("http://141.218.60.56/~jnz1568/getInfo.php?workbook=16_15.xlsx&amp;sheet=A0&amp;row=779&amp;col=9&amp;number=&amp;sourceID=54","")</f>
        <v/>
      </c>
      <c r="J779" s="4" t="str">
        <f>HYPERLINK("http://141.218.60.56/~jnz1568/getInfo.php?workbook=16_15.xlsx&amp;sheet=A0&amp;row=779&amp;col=10&amp;number=0.0010239&amp;sourceID=54","0.0010239")</f>
        <v>0.0010239</v>
      </c>
      <c r="K779" s="4" t="str">
        <f>HYPERLINK("http://141.218.60.56/~jnz1568/getInfo.php?workbook=16_15.xlsx&amp;sheet=A0&amp;row=779&amp;col=11&amp;number=3.1778e-05&amp;sourceID=54","3.1778e-05")</f>
        <v>3.1778e-05</v>
      </c>
      <c r="L779" s="4" t="str">
        <f>HYPERLINK("http://141.218.60.56/~jnz1568/getInfo.php?workbook=16_15.xlsx&amp;sheet=A0&amp;row=779&amp;col=12&amp;number=&amp;sourceID=53","")</f>
        <v/>
      </c>
      <c r="M779" s="4" t="str">
        <f>HYPERLINK("http://141.218.60.56/~jnz1568/getInfo.php?workbook=16_15.xlsx&amp;sheet=A0&amp;row=779&amp;col=13&amp;number=&amp;sourceID=53","")</f>
        <v/>
      </c>
      <c r="N779" s="4" t="str">
        <f>HYPERLINK("http://141.218.60.56/~jnz1568/getInfo.php?workbook=16_15.xlsx&amp;sheet=A0&amp;row=779&amp;col=14&amp;number=&amp;sourceID=53","")</f>
        <v/>
      </c>
      <c r="O779" s="4" t="str">
        <f>HYPERLINK("http://141.218.60.56/~jnz1568/getInfo.php?workbook=16_15.xlsx&amp;sheet=A0&amp;row=779&amp;col=15&amp;number=&amp;sourceID=55","")</f>
        <v/>
      </c>
      <c r="P779" s="4" t="str">
        <f>HYPERLINK("http://141.218.60.56/~jnz1568/getInfo.php?workbook=16_15.xlsx&amp;sheet=A0&amp;row=779&amp;col=16&amp;number=&amp;sourceID=55","")</f>
        <v/>
      </c>
      <c r="Q779" s="4" t="str">
        <f>HYPERLINK("http://141.218.60.56/~jnz1568/getInfo.php?workbook=16_15.xlsx&amp;sheet=A0&amp;row=779&amp;col=17&amp;number=&amp;sourceID=56","")</f>
        <v/>
      </c>
      <c r="R779" s="4" t="str">
        <f>HYPERLINK("http://141.218.60.56/~jnz1568/getInfo.php?workbook=16_15.xlsx&amp;sheet=A0&amp;row=779&amp;col=18&amp;number=&amp;sourceID=56","")</f>
        <v/>
      </c>
      <c r="S779" s="4" t="str">
        <f>HYPERLINK("http://141.218.60.56/~jnz1568/getInfo.php?workbook=16_15.xlsx&amp;sheet=A0&amp;row=779&amp;col=19&amp;number=&amp;sourceID=57","")</f>
        <v/>
      </c>
      <c r="T779" s="4" t="str">
        <f>HYPERLINK("http://141.218.60.56/~jnz1568/getInfo.php?workbook=16_15.xlsx&amp;sheet=A0&amp;row=779&amp;col=20&amp;number=&amp;sourceID=57","")</f>
        <v/>
      </c>
      <c r="U779" s="4" t="str">
        <f>HYPERLINK("http://141.218.60.56/~jnz1568/getInfo.php?workbook=16_15.xlsx&amp;sheet=A0&amp;row=779&amp;col=21&amp;number=&amp;sourceID=47","")</f>
        <v/>
      </c>
      <c r="V779" s="4" t="str">
        <f>HYPERLINK("http://141.218.60.56/~jnz1568/getInfo.php?workbook=16_15.xlsx&amp;sheet=A0&amp;row=779&amp;col=22&amp;number=&amp;sourceID=47","")</f>
        <v/>
      </c>
    </row>
    <row r="780" spans="1:22">
      <c r="A780" s="3">
        <v>16</v>
      </c>
      <c r="B780" s="3">
        <v>15</v>
      </c>
      <c r="C780" s="3">
        <v>45</v>
      </c>
      <c r="D780" s="3">
        <v>36</v>
      </c>
      <c r="E780" s="3">
        <f>((1/(INDEX(E0!J$4:J$73,C780,1)-INDEX(E0!J$4:J$73,D780,1))))*100000000</f>
        <v>0</v>
      </c>
      <c r="F780" s="4" t="str">
        <f>HYPERLINK("http://141.218.60.56/~jnz1568/getInfo.php?workbook=16_15.xlsx&amp;sheet=A0&amp;row=780&amp;col=6&amp;number=&amp;sourceID=54","")</f>
        <v/>
      </c>
      <c r="G780" s="4" t="str">
        <f>HYPERLINK("http://141.218.60.56/~jnz1568/getInfo.php?workbook=16_15.xlsx&amp;sheet=A0&amp;row=780&amp;col=7&amp;number=0.0012939&amp;sourceID=54","0.0012939")</f>
        <v>0.0012939</v>
      </c>
      <c r="H780" s="4" t="str">
        <f>HYPERLINK("http://141.218.60.56/~jnz1568/getInfo.php?workbook=16_15.xlsx&amp;sheet=A0&amp;row=780&amp;col=8&amp;number=7.6699e-06&amp;sourceID=54","7.6699e-06")</f>
        <v>7.6699e-06</v>
      </c>
      <c r="I780" s="4" t="str">
        <f>HYPERLINK("http://141.218.60.56/~jnz1568/getInfo.php?workbook=16_15.xlsx&amp;sheet=A0&amp;row=780&amp;col=9&amp;number=&amp;sourceID=54","")</f>
        <v/>
      </c>
      <c r="J780" s="4" t="str">
        <f>HYPERLINK("http://141.218.60.56/~jnz1568/getInfo.php?workbook=16_15.xlsx&amp;sheet=A0&amp;row=780&amp;col=10&amp;number=0.0015779&amp;sourceID=54","0.0015779")</f>
        <v>0.0015779</v>
      </c>
      <c r="K780" s="4" t="str">
        <f>HYPERLINK("http://141.218.60.56/~jnz1568/getInfo.php?workbook=16_15.xlsx&amp;sheet=A0&amp;row=780&amp;col=11&amp;number=7.0594e-06&amp;sourceID=54","7.0594e-06")</f>
        <v>7.0594e-06</v>
      </c>
      <c r="L780" s="4" t="str">
        <f>HYPERLINK("http://141.218.60.56/~jnz1568/getInfo.php?workbook=16_15.xlsx&amp;sheet=A0&amp;row=780&amp;col=12&amp;number=&amp;sourceID=53","")</f>
        <v/>
      </c>
      <c r="M780" s="4" t="str">
        <f>HYPERLINK("http://141.218.60.56/~jnz1568/getInfo.php?workbook=16_15.xlsx&amp;sheet=A0&amp;row=780&amp;col=13&amp;number=&amp;sourceID=53","")</f>
        <v/>
      </c>
      <c r="N780" s="4" t="str">
        <f>HYPERLINK("http://141.218.60.56/~jnz1568/getInfo.php?workbook=16_15.xlsx&amp;sheet=A0&amp;row=780&amp;col=14&amp;number=&amp;sourceID=53","")</f>
        <v/>
      </c>
      <c r="O780" s="4" t="str">
        <f>HYPERLINK("http://141.218.60.56/~jnz1568/getInfo.php?workbook=16_15.xlsx&amp;sheet=A0&amp;row=780&amp;col=15&amp;number=&amp;sourceID=55","")</f>
        <v/>
      </c>
      <c r="P780" s="4" t="str">
        <f>HYPERLINK("http://141.218.60.56/~jnz1568/getInfo.php?workbook=16_15.xlsx&amp;sheet=A0&amp;row=780&amp;col=16&amp;number=&amp;sourceID=55","")</f>
        <v/>
      </c>
      <c r="Q780" s="4" t="str">
        <f>HYPERLINK("http://141.218.60.56/~jnz1568/getInfo.php?workbook=16_15.xlsx&amp;sheet=A0&amp;row=780&amp;col=17&amp;number=&amp;sourceID=56","")</f>
        <v/>
      </c>
      <c r="R780" s="4" t="str">
        <f>HYPERLINK("http://141.218.60.56/~jnz1568/getInfo.php?workbook=16_15.xlsx&amp;sheet=A0&amp;row=780&amp;col=18&amp;number=&amp;sourceID=56","")</f>
        <v/>
      </c>
      <c r="S780" s="4" t="str">
        <f>HYPERLINK("http://141.218.60.56/~jnz1568/getInfo.php?workbook=16_15.xlsx&amp;sheet=A0&amp;row=780&amp;col=19&amp;number=&amp;sourceID=57","")</f>
        <v/>
      </c>
      <c r="T780" s="4" t="str">
        <f>HYPERLINK("http://141.218.60.56/~jnz1568/getInfo.php?workbook=16_15.xlsx&amp;sheet=A0&amp;row=780&amp;col=20&amp;number=&amp;sourceID=57","")</f>
        <v/>
      </c>
      <c r="U780" s="4" t="str">
        <f>HYPERLINK("http://141.218.60.56/~jnz1568/getInfo.php?workbook=16_15.xlsx&amp;sheet=A0&amp;row=780&amp;col=21&amp;number=&amp;sourceID=47","")</f>
        <v/>
      </c>
      <c r="V780" s="4" t="str">
        <f>HYPERLINK("http://141.218.60.56/~jnz1568/getInfo.php?workbook=16_15.xlsx&amp;sheet=A0&amp;row=780&amp;col=22&amp;number=&amp;sourceID=47","")</f>
        <v/>
      </c>
    </row>
    <row r="781" spans="1:22">
      <c r="A781" s="3">
        <v>16</v>
      </c>
      <c r="B781" s="3">
        <v>15</v>
      </c>
      <c r="C781" s="3">
        <v>45</v>
      </c>
      <c r="D781" s="3">
        <v>37</v>
      </c>
      <c r="E781" s="3">
        <f>((1/(INDEX(E0!J$4:J$73,C781,1)-INDEX(E0!J$4:J$73,D781,1))))*100000000</f>
        <v>0</v>
      </c>
      <c r="F781" s="4" t="str">
        <f>HYPERLINK("http://141.218.60.56/~jnz1568/getInfo.php?workbook=16_15.xlsx&amp;sheet=A0&amp;row=781&amp;col=6&amp;number=&amp;sourceID=54","")</f>
        <v/>
      </c>
      <c r="G781" s="4" t="str">
        <f>HYPERLINK("http://141.218.60.56/~jnz1568/getInfo.php?workbook=16_15.xlsx&amp;sheet=A0&amp;row=781&amp;col=7&amp;number=0.0016065&amp;sourceID=54","0.0016065")</f>
        <v>0.0016065</v>
      </c>
      <c r="H781" s="4" t="str">
        <f>HYPERLINK("http://141.218.60.56/~jnz1568/getInfo.php?workbook=16_15.xlsx&amp;sheet=A0&amp;row=781&amp;col=8&amp;number=&amp;sourceID=54","")</f>
        <v/>
      </c>
      <c r="I781" s="4" t="str">
        <f>HYPERLINK("http://141.218.60.56/~jnz1568/getInfo.php?workbook=16_15.xlsx&amp;sheet=A0&amp;row=781&amp;col=9&amp;number=&amp;sourceID=54","")</f>
        <v/>
      </c>
      <c r="J781" s="4" t="str">
        <f>HYPERLINK("http://141.218.60.56/~jnz1568/getInfo.php?workbook=16_15.xlsx&amp;sheet=A0&amp;row=781&amp;col=10&amp;number=0.0019379&amp;sourceID=54","0.0019379")</f>
        <v>0.0019379</v>
      </c>
      <c r="K781" s="4" t="str">
        <f>HYPERLINK("http://141.218.60.56/~jnz1568/getInfo.php?workbook=16_15.xlsx&amp;sheet=A0&amp;row=781&amp;col=11&amp;number=&amp;sourceID=54","")</f>
        <v/>
      </c>
      <c r="L781" s="4" t="str">
        <f>HYPERLINK("http://141.218.60.56/~jnz1568/getInfo.php?workbook=16_15.xlsx&amp;sheet=A0&amp;row=781&amp;col=12&amp;number=&amp;sourceID=53","")</f>
        <v/>
      </c>
      <c r="M781" s="4" t="str">
        <f>HYPERLINK("http://141.218.60.56/~jnz1568/getInfo.php?workbook=16_15.xlsx&amp;sheet=A0&amp;row=781&amp;col=13&amp;number=&amp;sourceID=53","")</f>
        <v/>
      </c>
      <c r="N781" s="4" t="str">
        <f>HYPERLINK("http://141.218.60.56/~jnz1568/getInfo.php?workbook=16_15.xlsx&amp;sheet=A0&amp;row=781&amp;col=14&amp;number=&amp;sourceID=53","")</f>
        <v/>
      </c>
      <c r="O781" s="4" t="str">
        <f>HYPERLINK("http://141.218.60.56/~jnz1568/getInfo.php?workbook=16_15.xlsx&amp;sheet=A0&amp;row=781&amp;col=15&amp;number=&amp;sourceID=55","")</f>
        <v/>
      </c>
      <c r="P781" s="4" t="str">
        <f>HYPERLINK("http://141.218.60.56/~jnz1568/getInfo.php?workbook=16_15.xlsx&amp;sheet=A0&amp;row=781&amp;col=16&amp;number=&amp;sourceID=55","")</f>
        <v/>
      </c>
      <c r="Q781" s="4" t="str">
        <f>HYPERLINK("http://141.218.60.56/~jnz1568/getInfo.php?workbook=16_15.xlsx&amp;sheet=A0&amp;row=781&amp;col=17&amp;number=&amp;sourceID=56","")</f>
        <v/>
      </c>
      <c r="R781" s="4" t="str">
        <f>HYPERLINK("http://141.218.60.56/~jnz1568/getInfo.php?workbook=16_15.xlsx&amp;sheet=A0&amp;row=781&amp;col=18&amp;number=&amp;sourceID=56","")</f>
        <v/>
      </c>
      <c r="S781" s="4" t="str">
        <f>HYPERLINK("http://141.218.60.56/~jnz1568/getInfo.php?workbook=16_15.xlsx&amp;sheet=A0&amp;row=781&amp;col=19&amp;number=&amp;sourceID=57","")</f>
        <v/>
      </c>
      <c r="T781" s="4" t="str">
        <f>HYPERLINK("http://141.218.60.56/~jnz1568/getInfo.php?workbook=16_15.xlsx&amp;sheet=A0&amp;row=781&amp;col=20&amp;number=&amp;sourceID=57","")</f>
        <v/>
      </c>
      <c r="U781" s="4" t="str">
        <f>HYPERLINK("http://141.218.60.56/~jnz1568/getInfo.php?workbook=16_15.xlsx&amp;sheet=A0&amp;row=781&amp;col=21&amp;number=&amp;sourceID=47","")</f>
        <v/>
      </c>
      <c r="V781" s="4" t="str">
        <f>HYPERLINK("http://141.218.60.56/~jnz1568/getInfo.php?workbook=16_15.xlsx&amp;sheet=A0&amp;row=781&amp;col=22&amp;number=&amp;sourceID=47","")</f>
        <v/>
      </c>
    </row>
    <row r="782" spans="1:22">
      <c r="A782" s="3">
        <v>16</v>
      </c>
      <c r="B782" s="3">
        <v>15</v>
      </c>
      <c r="C782" s="3">
        <v>45</v>
      </c>
      <c r="D782" s="3">
        <v>38</v>
      </c>
      <c r="E782" s="3">
        <f>((1/(INDEX(E0!J$4:J$73,C782,1)-INDEX(E0!J$4:J$73,D782,1))))*100000000</f>
        <v>0</v>
      </c>
      <c r="F782" s="4" t="str">
        <f>HYPERLINK("http://141.218.60.56/~jnz1568/getInfo.php?workbook=16_15.xlsx&amp;sheet=A0&amp;row=782&amp;col=6&amp;number=&amp;sourceID=54","")</f>
        <v/>
      </c>
      <c r="G782" s="4" t="str">
        <f>HYPERLINK("http://141.218.60.56/~jnz1568/getInfo.php?workbook=16_15.xlsx&amp;sheet=A0&amp;row=782&amp;col=7&amp;number=7.5596e-08&amp;sourceID=54","7.5596e-08")</f>
        <v>7.5596e-08</v>
      </c>
      <c r="H782" s="4" t="str">
        <f>HYPERLINK("http://141.218.60.56/~jnz1568/getInfo.php?workbook=16_15.xlsx&amp;sheet=A0&amp;row=782&amp;col=8&amp;number=0.0016231&amp;sourceID=54","0.0016231")</f>
        <v>0.0016231</v>
      </c>
      <c r="I782" s="4" t="str">
        <f>HYPERLINK("http://141.218.60.56/~jnz1568/getInfo.php?workbook=16_15.xlsx&amp;sheet=A0&amp;row=782&amp;col=9&amp;number=&amp;sourceID=54","")</f>
        <v/>
      </c>
      <c r="J782" s="4" t="str">
        <f>HYPERLINK("http://141.218.60.56/~jnz1568/getInfo.php?workbook=16_15.xlsx&amp;sheet=A0&amp;row=782&amp;col=10&amp;number=8.2036e-08&amp;sourceID=54","8.2036e-08")</f>
        <v>8.2036e-08</v>
      </c>
      <c r="K782" s="4" t="str">
        <f>HYPERLINK("http://141.218.60.56/~jnz1568/getInfo.php?workbook=16_15.xlsx&amp;sheet=A0&amp;row=782&amp;col=11&amp;number=0.0016502&amp;sourceID=54","0.0016502")</f>
        <v>0.0016502</v>
      </c>
      <c r="L782" s="4" t="str">
        <f>HYPERLINK("http://141.218.60.56/~jnz1568/getInfo.php?workbook=16_15.xlsx&amp;sheet=A0&amp;row=782&amp;col=12&amp;number=&amp;sourceID=53","")</f>
        <v/>
      </c>
      <c r="M782" s="4" t="str">
        <f>HYPERLINK("http://141.218.60.56/~jnz1568/getInfo.php?workbook=16_15.xlsx&amp;sheet=A0&amp;row=782&amp;col=13&amp;number=&amp;sourceID=53","")</f>
        <v/>
      </c>
      <c r="N782" s="4" t="str">
        <f>HYPERLINK("http://141.218.60.56/~jnz1568/getInfo.php?workbook=16_15.xlsx&amp;sheet=A0&amp;row=782&amp;col=14&amp;number=&amp;sourceID=53","")</f>
        <v/>
      </c>
      <c r="O782" s="4" t="str">
        <f>HYPERLINK("http://141.218.60.56/~jnz1568/getInfo.php?workbook=16_15.xlsx&amp;sheet=A0&amp;row=782&amp;col=15&amp;number=&amp;sourceID=55","")</f>
        <v/>
      </c>
      <c r="P782" s="4" t="str">
        <f>HYPERLINK("http://141.218.60.56/~jnz1568/getInfo.php?workbook=16_15.xlsx&amp;sheet=A0&amp;row=782&amp;col=16&amp;number=&amp;sourceID=55","")</f>
        <v/>
      </c>
      <c r="Q782" s="4" t="str">
        <f>HYPERLINK("http://141.218.60.56/~jnz1568/getInfo.php?workbook=16_15.xlsx&amp;sheet=A0&amp;row=782&amp;col=17&amp;number=&amp;sourceID=56","")</f>
        <v/>
      </c>
      <c r="R782" s="4" t="str">
        <f>HYPERLINK("http://141.218.60.56/~jnz1568/getInfo.php?workbook=16_15.xlsx&amp;sheet=A0&amp;row=782&amp;col=18&amp;number=&amp;sourceID=56","")</f>
        <v/>
      </c>
      <c r="S782" s="4" t="str">
        <f>HYPERLINK("http://141.218.60.56/~jnz1568/getInfo.php?workbook=16_15.xlsx&amp;sheet=A0&amp;row=782&amp;col=19&amp;number=&amp;sourceID=57","")</f>
        <v/>
      </c>
      <c r="T782" s="4" t="str">
        <f>HYPERLINK("http://141.218.60.56/~jnz1568/getInfo.php?workbook=16_15.xlsx&amp;sheet=A0&amp;row=782&amp;col=20&amp;number=&amp;sourceID=57","")</f>
        <v/>
      </c>
      <c r="U782" s="4" t="str">
        <f>HYPERLINK("http://141.218.60.56/~jnz1568/getInfo.php?workbook=16_15.xlsx&amp;sheet=A0&amp;row=782&amp;col=21&amp;number=&amp;sourceID=47","")</f>
        <v/>
      </c>
      <c r="V782" s="4" t="str">
        <f>HYPERLINK("http://141.218.60.56/~jnz1568/getInfo.php?workbook=16_15.xlsx&amp;sheet=A0&amp;row=782&amp;col=22&amp;number=&amp;sourceID=47","")</f>
        <v/>
      </c>
    </row>
    <row r="783" spans="1:22">
      <c r="A783" s="3">
        <v>16</v>
      </c>
      <c r="B783" s="3">
        <v>15</v>
      </c>
      <c r="C783" s="3">
        <v>45</v>
      </c>
      <c r="D783" s="3">
        <v>39</v>
      </c>
      <c r="E783" s="3">
        <f>((1/(INDEX(E0!J$4:J$73,C783,1)-INDEX(E0!J$4:J$73,D783,1))))*100000000</f>
        <v>0</v>
      </c>
      <c r="F783" s="4" t="str">
        <f>HYPERLINK("http://141.218.60.56/~jnz1568/getInfo.php?workbook=16_15.xlsx&amp;sheet=A0&amp;row=783&amp;col=6&amp;number=&amp;sourceID=54","")</f>
        <v/>
      </c>
      <c r="G783" s="4" t="str">
        <f>HYPERLINK("http://141.218.60.56/~jnz1568/getInfo.php?workbook=16_15.xlsx&amp;sheet=A0&amp;row=783&amp;col=7&amp;number=3.1848e-07&amp;sourceID=54","3.1848e-07")</f>
        <v>3.1848e-07</v>
      </c>
      <c r="H783" s="4" t="str">
        <f>HYPERLINK("http://141.218.60.56/~jnz1568/getInfo.php?workbook=16_15.xlsx&amp;sheet=A0&amp;row=783&amp;col=8&amp;number=0.00029519&amp;sourceID=54","0.00029519")</f>
        <v>0.00029519</v>
      </c>
      <c r="I783" s="4" t="str">
        <f>HYPERLINK("http://141.218.60.56/~jnz1568/getInfo.php?workbook=16_15.xlsx&amp;sheet=A0&amp;row=783&amp;col=9&amp;number=&amp;sourceID=54","")</f>
        <v/>
      </c>
      <c r="J783" s="4" t="str">
        <f>HYPERLINK("http://141.218.60.56/~jnz1568/getInfo.php?workbook=16_15.xlsx&amp;sheet=A0&amp;row=783&amp;col=10&amp;number=3.9288e-07&amp;sourceID=54","3.9288e-07")</f>
        <v>3.9288e-07</v>
      </c>
      <c r="K783" s="4" t="str">
        <f>HYPERLINK("http://141.218.60.56/~jnz1568/getInfo.php?workbook=16_15.xlsx&amp;sheet=A0&amp;row=783&amp;col=11&amp;number=0.00034834&amp;sourceID=54","0.00034834")</f>
        <v>0.00034834</v>
      </c>
      <c r="L783" s="4" t="str">
        <f>HYPERLINK("http://141.218.60.56/~jnz1568/getInfo.php?workbook=16_15.xlsx&amp;sheet=A0&amp;row=783&amp;col=12&amp;number=&amp;sourceID=53","")</f>
        <v/>
      </c>
      <c r="M783" s="4" t="str">
        <f>HYPERLINK("http://141.218.60.56/~jnz1568/getInfo.php?workbook=16_15.xlsx&amp;sheet=A0&amp;row=783&amp;col=13&amp;number=&amp;sourceID=53","")</f>
        <v/>
      </c>
      <c r="N783" s="4" t="str">
        <f>HYPERLINK("http://141.218.60.56/~jnz1568/getInfo.php?workbook=16_15.xlsx&amp;sheet=A0&amp;row=783&amp;col=14&amp;number=&amp;sourceID=53","")</f>
        <v/>
      </c>
      <c r="O783" s="4" t="str">
        <f>HYPERLINK("http://141.218.60.56/~jnz1568/getInfo.php?workbook=16_15.xlsx&amp;sheet=A0&amp;row=783&amp;col=15&amp;number=&amp;sourceID=55","")</f>
        <v/>
      </c>
      <c r="P783" s="4" t="str">
        <f>HYPERLINK("http://141.218.60.56/~jnz1568/getInfo.php?workbook=16_15.xlsx&amp;sheet=A0&amp;row=783&amp;col=16&amp;number=&amp;sourceID=55","")</f>
        <v/>
      </c>
      <c r="Q783" s="4" t="str">
        <f>HYPERLINK("http://141.218.60.56/~jnz1568/getInfo.php?workbook=16_15.xlsx&amp;sheet=A0&amp;row=783&amp;col=17&amp;number=&amp;sourceID=56","")</f>
        <v/>
      </c>
      <c r="R783" s="4" t="str">
        <f>HYPERLINK("http://141.218.60.56/~jnz1568/getInfo.php?workbook=16_15.xlsx&amp;sheet=A0&amp;row=783&amp;col=18&amp;number=&amp;sourceID=56","")</f>
        <v/>
      </c>
      <c r="S783" s="4" t="str">
        <f>HYPERLINK("http://141.218.60.56/~jnz1568/getInfo.php?workbook=16_15.xlsx&amp;sheet=A0&amp;row=783&amp;col=19&amp;number=&amp;sourceID=57","")</f>
        <v/>
      </c>
      <c r="T783" s="4" t="str">
        <f>HYPERLINK("http://141.218.60.56/~jnz1568/getInfo.php?workbook=16_15.xlsx&amp;sheet=A0&amp;row=783&amp;col=20&amp;number=&amp;sourceID=57","")</f>
        <v/>
      </c>
      <c r="U783" s="4" t="str">
        <f>HYPERLINK("http://141.218.60.56/~jnz1568/getInfo.php?workbook=16_15.xlsx&amp;sheet=A0&amp;row=783&amp;col=21&amp;number=&amp;sourceID=47","")</f>
        <v/>
      </c>
      <c r="V783" s="4" t="str">
        <f>HYPERLINK("http://141.218.60.56/~jnz1568/getInfo.php?workbook=16_15.xlsx&amp;sheet=A0&amp;row=783&amp;col=22&amp;number=&amp;sourceID=47","")</f>
        <v/>
      </c>
    </row>
    <row r="784" spans="1:22">
      <c r="A784" s="3">
        <v>16</v>
      </c>
      <c r="B784" s="3">
        <v>15</v>
      </c>
      <c r="C784" s="3">
        <v>45</v>
      </c>
      <c r="D784" s="3">
        <v>40</v>
      </c>
      <c r="E784" s="3">
        <f>((1/(INDEX(E0!J$4:J$73,C784,1)-INDEX(E0!J$4:J$73,D784,1))))*100000000</f>
        <v>0</v>
      </c>
      <c r="F784" s="4" t="str">
        <f>HYPERLINK("http://141.218.60.56/~jnz1568/getInfo.php?workbook=16_15.xlsx&amp;sheet=A0&amp;row=784&amp;col=6&amp;number=&amp;sourceID=54","")</f>
        <v/>
      </c>
      <c r="G784" s="4" t="str">
        <f>HYPERLINK("http://141.218.60.56/~jnz1568/getInfo.php?workbook=16_15.xlsx&amp;sheet=A0&amp;row=784&amp;col=7&amp;number=2.7799e-07&amp;sourceID=54","2.7799e-07")</f>
        <v>2.7799e-07</v>
      </c>
      <c r="H784" s="4" t="str">
        <f>HYPERLINK("http://141.218.60.56/~jnz1568/getInfo.php?workbook=16_15.xlsx&amp;sheet=A0&amp;row=784&amp;col=8&amp;number=0.00057769&amp;sourceID=54","0.00057769")</f>
        <v>0.00057769</v>
      </c>
      <c r="I784" s="4" t="str">
        <f>HYPERLINK("http://141.218.60.56/~jnz1568/getInfo.php?workbook=16_15.xlsx&amp;sheet=A0&amp;row=784&amp;col=9&amp;number=&amp;sourceID=54","")</f>
        <v/>
      </c>
      <c r="J784" s="4" t="str">
        <f>HYPERLINK("http://141.218.60.56/~jnz1568/getInfo.php?workbook=16_15.xlsx&amp;sheet=A0&amp;row=784&amp;col=10&amp;number=3.4898e-07&amp;sourceID=54","3.4898e-07")</f>
        <v>3.4898e-07</v>
      </c>
      <c r="K784" s="4" t="str">
        <f>HYPERLINK("http://141.218.60.56/~jnz1568/getInfo.php?workbook=16_15.xlsx&amp;sheet=A0&amp;row=784&amp;col=11&amp;number=0.00065252&amp;sourceID=54","0.00065252")</f>
        <v>0.00065252</v>
      </c>
      <c r="L784" s="4" t="str">
        <f>HYPERLINK("http://141.218.60.56/~jnz1568/getInfo.php?workbook=16_15.xlsx&amp;sheet=A0&amp;row=784&amp;col=12&amp;number=&amp;sourceID=53","")</f>
        <v/>
      </c>
      <c r="M784" s="4" t="str">
        <f>HYPERLINK("http://141.218.60.56/~jnz1568/getInfo.php?workbook=16_15.xlsx&amp;sheet=A0&amp;row=784&amp;col=13&amp;number=&amp;sourceID=53","")</f>
        <v/>
      </c>
      <c r="N784" s="4" t="str">
        <f>HYPERLINK("http://141.218.60.56/~jnz1568/getInfo.php?workbook=16_15.xlsx&amp;sheet=A0&amp;row=784&amp;col=14&amp;number=&amp;sourceID=53","")</f>
        <v/>
      </c>
      <c r="O784" s="4" t="str">
        <f>HYPERLINK("http://141.218.60.56/~jnz1568/getInfo.php?workbook=16_15.xlsx&amp;sheet=A0&amp;row=784&amp;col=15&amp;number=&amp;sourceID=55","")</f>
        <v/>
      </c>
      <c r="P784" s="4" t="str">
        <f>HYPERLINK("http://141.218.60.56/~jnz1568/getInfo.php?workbook=16_15.xlsx&amp;sheet=A0&amp;row=784&amp;col=16&amp;number=&amp;sourceID=55","")</f>
        <v/>
      </c>
      <c r="Q784" s="4" t="str">
        <f>HYPERLINK("http://141.218.60.56/~jnz1568/getInfo.php?workbook=16_15.xlsx&amp;sheet=A0&amp;row=784&amp;col=17&amp;number=&amp;sourceID=56","")</f>
        <v/>
      </c>
      <c r="R784" s="4" t="str">
        <f>HYPERLINK("http://141.218.60.56/~jnz1568/getInfo.php?workbook=16_15.xlsx&amp;sheet=A0&amp;row=784&amp;col=18&amp;number=&amp;sourceID=56","")</f>
        <v/>
      </c>
      <c r="S784" s="4" t="str">
        <f>HYPERLINK("http://141.218.60.56/~jnz1568/getInfo.php?workbook=16_15.xlsx&amp;sheet=A0&amp;row=784&amp;col=19&amp;number=&amp;sourceID=57","")</f>
        <v/>
      </c>
      <c r="T784" s="4" t="str">
        <f>HYPERLINK("http://141.218.60.56/~jnz1568/getInfo.php?workbook=16_15.xlsx&amp;sheet=A0&amp;row=784&amp;col=20&amp;number=&amp;sourceID=57","")</f>
        <v/>
      </c>
      <c r="U784" s="4" t="str">
        <f>HYPERLINK("http://141.218.60.56/~jnz1568/getInfo.php?workbook=16_15.xlsx&amp;sheet=A0&amp;row=784&amp;col=21&amp;number=&amp;sourceID=47","")</f>
        <v/>
      </c>
      <c r="V784" s="4" t="str">
        <f>HYPERLINK("http://141.218.60.56/~jnz1568/getInfo.php?workbook=16_15.xlsx&amp;sheet=A0&amp;row=784&amp;col=22&amp;number=&amp;sourceID=47","")</f>
        <v/>
      </c>
    </row>
    <row r="785" spans="1:22">
      <c r="A785" s="3">
        <v>16</v>
      </c>
      <c r="B785" s="3">
        <v>15</v>
      </c>
      <c r="C785" s="3">
        <v>45</v>
      </c>
      <c r="D785" s="3">
        <v>41</v>
      </c>
      <c r="E785" s="3">
        <f>((1/(INDEX(E0!J$4:J$73,C785,1)-INDEX(E0!J$4:J$73,D785,1))))*100000000</f>
        <v>0</v>
      </c>
      <c r="F785" s="4" t="str">
        <f>HYPERLINK("http://141.218.60.56/~jnz1568/getInfo.php?workbook=16_15.xlsx&amp;sheet=A0&amp;row=785&amp;col=6&amp;number=&amp;sourceID=54","")</f>
        <v/>
      </c>
      <c r="G785" s="4" t="str">
        <f>HYPERLINK("http://141.218.60.56/~jnz1568/getInfo.php?workbook=16_15.xlsx&amp;sheet=A0&amp;row=785&amp;col=7&amp;number=&amp;sourceID=54","")</f>
        <v/>
      </c>
      <c r="H785" s="4" t="str">
        <f>HYPERLINK("http://141.218.60.56/~jnz1568/getInfo.php?workbook=16_15.xlsx&amp;sheet=A0&amp;row=785&amp;col=8&amp;number=&amp;sourceID=54","")</f>
        <v/>
      </c>
      <c r="I785" s="4" t="str">
        <f>HYPERLINK("http://141.218.60.56/~jnz1568/getInfo.php?workbook=16_15.xlsx&amp;sheet=A0&amp;row=785&amp;col=9&amp;number=367.68&amp;sourceID=54","367.68")</f>
        <v>367.68</v>
      </c>
      <c r="J785" s="4" t="str">
        <f>HYPERLINK("http://141.218.60.56/~jnz1568/getInfo.php?workbook=16_15.xlsx&amp;sheet=A0&amp;row=785&amp;col=10&amp;number=&amp;sourceID=54","")</f>
        <v/>
      </c>
      <c r="K785" s="4" t="str">
        <f>HYPERLINK("http://141.218.60.56/~jnz1568/getInfo.php?workbook=16_15.xlsx&amp;sheet=A0&amp;row=785&amp;col=11&amp;number=&amp;sourceID=54","")</f>
        <v/>
      </c>
      <c r="L785" s="4" t="str">
        <f>HYPERLINK("http://141.218.60.56/~jnz1568/getInfo.php?workbook=16_15.xlsx&amp;sheet=A0&amp;row=785&amp;col=12&amp;number=87.7195159023&amp;sourceID=53","87.7195159023")</f>
        <v>87.7195159023</v>
      </c>
      <c r="M785" s="4" t="str">
        <f>HYPERLINK("http://141.218.60.56/~jnz1568/getInfo.php?workbook=16_15.xlsx&amp;sheet=A0&amp;row=785&amp;col=13&amp;number=&amp;sourceID=53","")</f>
        <v/>
      </c>
      <c r="N785" s="4" t="str">
        <f>HYPERLINK("http://141.218.60.56/~jnz1568/getInfo.php?workbook=16_15.xlsx&amp;sheet=A0&amp;row=785&amp;col=14&amp;number=&amp;sourceID=53","")</f>
        <v/>
      </c>
      <c r="O785" s="4" t="str">
        <f>HYPERLINK("http://141.218.60.56/~jnz1568/getInfo.php?workbook=16_15.xlsx&amp;sheet=A0&amp;row=785&amp;col=15&amp;number=&amp;sourceID=55","")</f>
        <v/>
      </c>
      <c r="P785" s="4" t="str">
        <f>HYPERLINK("http://141.218.60.56/~jnz1568/getInfo.php?workbook=16_15.xlsx&amp;sheet=A0&amp;row=785&amp;col=16&amp;number=&amp;sourceID=55","")</f>
        <v/>
      </c>
      <c r="Q785" s="4" t="str">
        <f>HYPERLINK("http://141.218.60.56/~jnz1568/getInfo.php?workbook=16_15.xlsx&amp;sheet=A0&amp;row=785&amp;col=17&amp;number=&amp;sourceID=56","")</f>
        <v/>
      </c>
      <c r="R785" s="4" t="str">
        <f>HYPERLINK("http://141.218.60.56/~jnz1568/getInfo.php?workbook=16_15.xlsx&amp;sheet=A0&amp;row=785&amp;col=18&amp;number=&amp;sourceID=56","")</f>
        <v/>
      </c>
      <c r="S785" s="4" t="str">
        <f>HYPERLINK("http://141.218.60.56/~jnz1568/getInfo.php?workbook=16_15.xlsx&amp;sheet=A0&amp;row=785&amp;col=19&amp;number=&amp;sourceID=57","")</f>
        <v/>
      </c>
      <c r="T785" s="4" t="str">
        <f>HYPERLINK("http://141.218.60.56/~jnz1568/getInfo.php?workbook=16_15.xlsx&amp;sheet=A0&amp;row=785&amp;col=20&amp;number=&amp;sourceID=57","")</f>
        <v/>
      </c>
      <c r="U785" s="4" t="str">
        <f>HYPERLINK("http://141.218.60.56/~jnz1568/getInfo.php?workbook=16_15.xlsx&amp;sheet=A0&amp;row=785&amp;col=21&amp;number=&amp;sourceID=47","")</f>
        <v/>
      </c>
      <c r="V785" s="4" t="str">
        <f>HYPERLINK("http://141.218.60.56/~jnz1568/getInfo.php?workbook=16_15.xlsx&amp;sheet=A0&amp;row=785&amp;col=22&amp;number=&amp;sourceID=47","")</f>
        <v/>
      </c>
    </row>
    <row r="786" spans="1:22">
      <c r="A786" s="3">
        <v>16</v>
      </c>
      <c r="B786" s="3">
        <v>15</v>
      </c>
      <c r="C786" s="3">
        <v>45</v>
      </c>
      <c r="D786" s="3">
        <v>42</v>
      </c>
      <c r="E786" s="3">
        <f>((1/(INDEX(E0!J$4:J$73,C786,1)-INDEX(E0!J$4:J$73,D786,1))))*100000000</f>
        <v>0</v>
      </c>
      <c r="F786" s="4" t="str">
        <f>HYPERLINK("http://141.218.60.56/~jnz1568/getInfo.php?workbook=16_15.xlsx&amp;sheet=A0&amp;row=786&amp;col=6&amp;number=&amp;sourceID=54","")</f>
        <v/>
      </c>
      <c r="G786" s="4" t="str">
        <f>HYPERLINK("http://141.218.60.56/~jnz1568/getInfo.php?workbook=16_15.xlsx&amp;sheet=A0&amp;row=786&amp;col=7&amp;number=1.0449e-11&amp;sourceID=54","1.0449e-11")</f>
        <v>1.0449e-11</v>
      </c>
      <c r="H786" s="4" t="str">
        <f>HYPERLINK("http://141.218.60.56/~jnz1568/getInfo.php?workbook=16_15.xlsx&amp;sheet=A0&amp;row=786&amp;col=8&amp;number=4.8436e-06&amp;sourceID=54","4.8436e-06")</f>
        <v>4.8436e-06</v>
      </c>
      <c r="I786" s="4" t="str">
        <f>HYPERLINK("http://141.218.60.56/~jnz1568/getInfo.php?workbook=16_15.xlsx&amp;sheet=A0&amp;row=786&amp;col=9&amp;number=&amp;sourceID=54","")</f>
        <v/>
      </c>
      <c r="J786" s="4" t="str">
        <f>HYPERLINK("http://141.218.60.56/~jnz1568/getInfo.php?workbook=16_15.xlsx&amp;sheet=A0&amp;row=786&amp;col=10&amp;number=9.3472e-11&amp;sourceID=54","9.3472e-11")</f>
        <v>9.3472e-11</v>
      </c>
      <c r="K786" s="4" t="str">
        <f>HYPERLINK("http://141.218.60.56/~jnz1568/getInfo.php?workbook=16_15.xlsx&amp;sheet=A0&amp;row=786&amp;col=11&amp;number=8.6948e-06&amp;sourceID=54","8.6948e-06")</f>
        <v>8.6948e-06</v>
      </c>
      <c r="L786" s="4" t="str">
        <f>HYPERLINK("http://141.218.60.56/~jnz1568/getInfo.php?workbook=16_15.xlsx&amp;sheet=A0&amp;row=786&amp;col=12&amp;number=&amp;sourceID=53","")</f>
        <v/>
      </c>
      <c r="M786" s="4" t="str">
        <f>HYPERLINK("http://141.218.60.56/~jnz1568/getInfo.php?workbook=16_15.xlsx&amp;sheet=A0&amp;row=786&amp;col=13&amp;number=&amp;sourceID=53","")</f>
        <v/>
      </c>
      <c r="N786" s="4" t="str">
        <f>HYPERLINK("http://141.218.60.56/~jnz1568/getInfo.php?workbook=16_15.xlsx&amp;sheet=A0&amp;row=786&amp;col=14&amp;number=&amp;sourceID=53","")</f>
        <v/>
      </c>
      <c r="O786" s="4" t="str">
        <f>HYPERLINK("http://141.218.60.56/~jnz1568/getInfo.php?workbook=16_15.xlsx&amp;sheet=A0&amp;row=786&amp;col=15&amp;number=&amp;sourceID=55","")</f>
        <v/>
      </c>
      <c r="P786" s="4" t="str">
        <f>HYPERLINK("http://141.218.60.56/~jnz1568/getInfo.php?workbook=16_15.xlsx&amp;sheet=A0&amp;row=786&amp;col=16&amp;number=&amp;sourceID=55","")</f>
        <v/>
      </c>
      <c r="Q786" s="4" t="str">
        <f>HYPERLINK("http://141.218.60.56/~jnz1568/getInfo.php?workbook=16_15.xlsx&amp;sheet=A0&amp;row=786&amp;col=17&amp;number=&amp;sourceID=56","")</f>
        <v/>
      </c>
      <c r="R786" s="4" t="str">
        <f>HYPERLINK("http://141.218.60.56/~jnz1568/getInfo.php?workbook=16_15.xlsx&amp;sheet=A0&amp;row=786&amp;col=18&amp;number=&amp;sourceID=56","")</f>
        <v/>
      </c>
      <c r="S786" s="4" t="str">
        <f>HYPERLINK("http://141.218.60.56/~jnz1568/getInfo.php?workbook=16_15.xlsx&amp;sheet=A0&amp;row=786&amp;col=19&amp;number=&amp;sourceID=57","")</f>
        <v/>
      </c>
      <c r="T786" s="4" t="str">
        <f>HYPERLINK("http://141.218.60.56/~jnz1568/getInfo.php?workbook=16_15.xlsx&amp;sheet=A0&amp;row=786&amp;col=20&amp;number=&amp;sourceID=57","")</f>
        <v/>
      </c>
      <c r="U786" s="4" t="str">
        <f>HYPERLINK("http://141.218.60.56/~jnz1568/getInfo.php?workbook=16_15.xlsx&amp;sheet=A0&amp;row=786&amp;col=21&amp;number=&amp;sourceID=47","")</f>
        <v/>
      </c>
      <c r="V786" s="4" t="str">
        <f>HYPERLINK("http://141.218.60.56/~jnz1568/getInfo.php?workbook=16_15.xlsx&amp;sheet=A0&amp;row=786&amp;col=22&amp;number=&amp;sourceID=47","")</f>
        <v/>
      </c>
    </row>
    <row r="787" spans="1:22">
      <c r="A787" s="3">
        <v>16</v>
      </c>
      <c r="B787" s="3">
        <v>15</v>
      </c>
      <c r="C787" s="3">
        <v>45</v>
      </c>
      <c r="D787" s="3">
        <v>43</v>
      </c>
      <c r="E787" s="3">
        <f>((1/(INDEX(E0!J$4:J$73,C787,1)-INDEX(E0!J$4:J$73,D787,1))))*100000000</f>
        <v>0</v>
      </c>
      <c r="F787" s="4" t="str">
        <f>HYPERLINK("http://141.218.60.56/~jnz1568/getInfo.php?workbook=16_15.xlsx&amp;sheet=A0&amp;row=787&amp;col=6&amp;number=&amp;sourceID=54","")</f>
        <v/>
      </c>
      <c r="G787" s="4" t="str">
        <f>HYPERLINK("http://141.218.60.56/~jnz1568/getInfo.php?workbook=16_15.xlsx&amp;sheet=A0&amp;row=787&amp;col=7&amp;number=&amp;sourceID=54","")</f>
        <v/>
      </c>
      <c r="H787" s="4" t="str">
        <f>HYPERLINK("http://141.218.60.56/~jnz1568/getInfo.php?workbook=16_15.xlsx&amp;sheet=A0&amp;row=787&amp;col=8&amp;number=&amp;sourceID=54","")</f>
        <v/>
      </c>
      <c r="I787" s="4" t="str">
        <f>HYPERLINK("http://141.218.60.56/~jnz1568/getInfo.php?workbook=16_15.xlsx&amp;sheet=A0&amp;row=787&amp;col=9&amp;number=62.312&amp;sourceID=54","62.312")</f>
        <v>62.312</v>
      </c>
      <c r="J787" s="4" t="str">
        <f>HYPERLINK("http://141.218.60.56/~jnz1568/getInfo.php?workbook=16_15.xlsx&amp;sheet=A0&amp;row=787&amp;col=10&amp;number=&amp;sourceID=54","")</f>
        <v/>
      </c>
      <c r="K787" s="4" t="str">
        <f>HYPERLINK("http://141.218.60.56/~jnz1568/getInfo.php?workbook=16_15.xlsx&amp;sheet=A0&amp;row=787&amp;col=11&amp;number=&amp;sourceID=54","")</f>
        <v/>
      </c>
      <c r="L787" s="4" t="str">
        <f>HYPERLINK("http://141.218.60.56/~jnz1568/getInfo.php?workbook=16_15.xlsx&amp;sheet=A0&amp;row=787&amp;col=12&amp;number=97.5725983487&amp;sourceID=53","97.5725983487")</f>
        <v>97.5725983487</v>
      </c>
      <c r="M787" s="4" t="str">
        <f>HYPERLINK("http://141.218.60.56/~jnz1568/getInfo.php?workbook=16_15.xlsx&amp;sheet=A0&amp;row=787&amp;col=13&amp;number=&amp;sourceID=53","")</f>
        <v/>
      </c>
      <c r="N787" s="4" t="str">
        <f>HYPERLINK("http://141.218.60.56/~jnz1568/getInfo.php?workbook=16_15.xlsx&amp;sheet=A0&amp;row=787&amp;col=14&amp;number=&amp;sourceID=53","")</f>
        <v/>
      </c>
      <c r="O787" s="4" t="str">
        <f>HYPERLINK("http://141.218.60.56/~jnz1568/getInfo.php?workbook=16_15.xlsx&amp;sheet=A0&amp;row=787&amp;col=15&amp;number=&amp;sourceID=55","")</f>
        <v/>
      </c>
      <c r="P787" s="4" t="str">
        <f>HYPERLINK("http://141.218.60.56/~jnz1568/getInfo.php?workbook=16_15.xlsx&amp;sheet=A0&amp;row=787&amp;col=16&amp;number=&amp;sourceID=55","")</f>
        <v/>
      </c>
      <c r="Q787" s="4" t="str">
        <f>HYPERLINK("http://141.218.60.56/~jnz1568/getInfo.php?workbook=16_15.xlsx&amp;sheet=A0&amp;row=787&amp;col=17&amp;number=&amp;sourceID=56","")</f>
        <v/>
      </c>
      <c r="R787" s="4" t="str">
        <f>HYPERLINK("http://141.218.60.56/~jnz1568/getInfo.php?workbook=16_15.xlsx&amp;sheet=A0&amp;row=787&amp;col=18&amp;number=&amp;sourceID=56","")</f>
        <v/>
      </c>
      <c r="S787" s="4" t="str">
        <f>HYPERLINK("http://141.218.60.56/~jnz1568/getInfo.php?workbook=16_15.xlsx&amp;sheet=A0&amp;row=787&amp;col=19&amp;number=&amp;sourceID=57","")</f>
        <v/>
      </c>
      <c r="T787" s="4" t="str">
        <f>HYPERLINK("http://141.218.60.56/~jnz1568/getInfo.php?workbook=16_15.xlsx&amp;sheet=A0&amp;row=787&amp;col=20&amp;number=&amp;sourceID=57","")</f>
        <v/>
      </c>
      <c r="U787" s="4" t="str">
        <f>HYPERLINK("http://141.218.60.56/~jnz1568/getInfo.php?workbook=16_15.xlsx&amp;sheet=A0&amp;row=787&amp;col=21&amp;number=&amp;sourceID=47","")</f>
        <v/>
      </c>
      <c r="V787" s="4" t="str">
        <f>HYPERLINK("http://141.218.60.56/~jnz1568/getInfo.php?workbook=16_15.xlsx&amp;sheet=A0&amp;row=787&amp;col=22&amp;number=&amp;sourceID=47","")</f>
        <v/>
      </c>
    </row>
    <row r="788" spans="1:22">
      <c r="A788" s="3">
        <v>16</v>
      </c>
      <c r="B788" s="3">
        <v>15</v>
      </c>
      <c r="C788" s="3">
        <v>45</v>
      </c>
      <c r="D788" s="3">
        <v>44</v>
      </c>
      <c r="E788" s="3">
        <f>((1/(INDEX(E0!J$4:J$73,C788,1)-INDEX(E0!J$4:J$73,D788,1))))*100000000</f>
        <v>0</v>
      </c>
      <c r="F788" s="4" t="str">
        <f>HYPERLINK("http://141.218.60.56/~jnz1568/getInfo.php?workbook=16_15.xlsx&amp;sheet=A0&amp;row=788&amp;col=6&amp;number=&amp;sourceID=54","")</f>
        <v/>
      </c>
      <c r="G788" s="4" t="str">
        <f>HYPERLINK("http://141.218.60.56/~jnz1568/getInfo.php?workbook=16_15.xlsx&amp;sheet=A0&amp;row=788&amp;col=7&amp;number=&amp;sourceID=54","")</f>
        <v/>
      </c>
      <c r="H788" s="4" t="str">
        <f>HYPERLINK("http://141.218.60.56/~jnz1568/getInfo.php?workbook=16_15.xlsx&amp;sheet=A0&amp;row=788&amp;col=8&amp;number=&amp;sourceID=54","")</f>
        <v/>
      </c>
      <c r="I788" s="4" t="str">
        <f>HYPERLINK("http://141.218.60.56/~jnz1568/getInfo.php?workbook=16_15.xlsx&amp;sheet=A0&amp;row=788&amp;col=9&amp;number=5.2393&amp;sourceID=54","5.2393")</f>
        <v>5.2393</v>
      </c>
      <c r="J788" s="4" t="str">
        <f>HYPERLINK("http://141.218.60.56/~jnz1568/getInfo.php?workbook=16_15.xlsx&amp;sheet=A0&amp;row=788&amp;col=10&amp;number=&amp;sourceID=54","")</f>
        <v/>
      </c>
      <c r="K788" s="4" t="str">
        <f>HYPERLINK("http://141.218.60.56/~jnz1568/getInfo.php?workbook=16_15.xlsx&amp;sheet=A0&amp;row=788&amp;col=11&amp;number=&amp;sourceID=54","")</f>
        <v/>
      </c>
      <c r="L788" s="4" t="str">
        <f>HYPERLINK("http://141.218.60.56/~jnz1568/getInfo.php?workbook=16_15.xlsx&amp;sheet=A0&amp;row=788&amp;col=12&amp;number=13.5955188812&amp;sourceID=53","13.5955188812")</f>
        <v>13.5955188812</v>
      </c>
      <c r="M788" s="4" t="str">
        <f>HYPERLINK("http://141.218.60.56/~jnz1568/getInfo.php?workbook=16_15.xlsx&amp;sheet=A0&amp;row=788&amp;col=13&amp;number=&amp;sourceID=53","")</f>
        <v/>
      </c>
      <c r="N788" s="4" t="str">
        <f>HYPERLINK("http://141.218.60.56/~jnz1568/getInfo.php?workbook=16_15.xlsx&amp;sheet=A0&amp;row=788&amp;col=14&amp;number=&amp;sourceID=53","")</f>
        <v/>
      </c>
      <c r="O788" s="4" t="str">
        <f>HYPERLINK("http://141.218.60.56/~jnz1568/getInfo.php?workbook=16_15.xlsx&amp;sheet=A0&amp;row=788&amp;col=15&amp;number=&amp;sourceID=55","")</f>
        <v/>
      </c>
      <c r="P788" s="4" t="str">
        <f>HYPERLINK("http://141.218.60.56/~jnz1568/getInfo.php?workbook=16_15.xlsx&amp;sheet=A0&amp;row=788&amp;col=16&amp;number=&amp;sourceID=55","")</f>
        <v/>
      </c>
      <c r="Q788" s="4" t="str">
        <f>HYPERLINK("http://141.218.60.56/~jnz1568/getInfo.php?workbook=16_15.xlsx&amp;sheet=A0&amp;row=788&amp;col=17&amp;number=&amp;sourceID=56","")</f>
        <v/>
      </c>
      <c r="R788" s="4" t="str">
        <f>HYPERLINK("http://141.218.60.56/~jnz1568/getInfo.php?workbook=16_15.xlsx&amp;sheet=A0&amp;row=788&amp;col=18&amp;number=&amp;sourceID=56","")</f>
        <v/>
      </c>
      <c r="S788" s="4" t="str">
        <f>HYPERLINK("http://141.218.60.56/~jnz1568/getInfo.php?workbook=16_15.xlsx&amp;sheet=A0&amp;row=788&amp;col=19&amp;number=&amp;sourceID=57","")</f>
        <v/>
      </c>
      <c r="T788" s="4" t="str">
        <f>HYPERLINK("http://141.218.60.56/~jnz1568/getInfo.php?workbook=16_15.xlsx&amp;sheet=A0&amp;row=788&amp;col=20&amp;number=&amp;sourceID=57","")</f>
        <v/>
      </c>
      <c r="U788" s="4" t="str">
        <f>HYPERLINK("http://141.218.60.56/~jnz1568/getInfo.php?workbook=16_15.xlsx&amp;sheet=A0&amp;row=788&amp;col=21&amp;number=&amp;sourceID=47","")</f>
        <v/>
      </c>
      <c r="V788" s="4" t="str">
        <f>HYPERLINK("http://141.218.60.56/~jnz1568/getInfo.php?workbook=16_15.xlsx&amp;sheet=A0&amp;row=788&amp;col=22&amp;number=&amp;sourceID=47","")</f>
        <v/>
      </c>
    </row>
    <row r="789" spans="1:22">
      <c r="A789" s="3">
        <v>16</v>
      </c>
      <c r="B789" s="3">
        <v>15</v>
      </c>
      <c r="C789" s="3">
        <v>46</v>
      </c>
      <c r="D789" s="3">
        <v>1</v>
      </c>
      <c r="E789" s="3">
        <f>((1/(INDEX(E0!J$4:J$73,C789,1)-INDEX(E0!J$4:J$73,D789,1))))*100000000</f>
        <v>0</v>
      </c>
      <c r="F789" s="4" t="str">
        <f>HYPERLINK("http://141.218.60.56/~jnz1568/getInfo.php?workbook=16_15.xlsx&amp;sheet=A0&amp;row=789&amp;col=6&amp;number=&amp;sourceID=54","")</f>
        <v/>
      </c>
      <c r="G789" s="4" t="str">
        <f>HYPERLINK("http://141.218.60.56/~jnz1568/getInfo.php?workbook=16_15.xlsx&amp;sheet=A0&amp;row=789&amp;col=7&amp;number=0.019508&amp;sourceID=54","0.019508")</f>
        <v>0.019508</v>
      </c>
      <c r="H789" s="4" t="str">
        <f>HYPERLINK("http://141.218.60.56/~jnz1568/getInfo.php?workbook=16_15.xlsx&amp;sheet=A0&amp;row=789&amp;col=8&amp;number=5.4199e-09&amp;sourceID=54","5.4199e-09")</f>
        <v>5.4199e-09</v>
      </c>
      <c r="I789" s="4" t="str">
        <f>HYPERLINK("http://141.218.60.56/~jnz1568/getInfo.php?workbook=16_15.xlsx&amp;sheet=A0&amp;row=789&amp;col=9&amp;number=&amp;sourceID=54","")</f>
        <v/>
      </c>
      <c r="J789" s="4" t="str">
        <f>HYPERLINK("http://141.218.60.56/~jnz1568/getInfo.php?workbook=16_15.xlsx&amp;sheet=A0&amp;row=789&amp;col=10&amp;number=0.055913&amp;sourceID=54","0.055913")</f>
        <v>0.055913</v>
      </c>
      <c r="K789" s="4" t="str">
        <f>HYPERLINK("http://141.218.60.56/~jnz1568/getInfo.php?workbook=16_15.xlsx&amp;sheet=A0&amp;row=789&amp;col=11&amp;number=5.1002e-09&amp;sourceID=54","5.1002e-09")</f>
        <v>5.1002e-09</v>
      </c>
      <c r="L789" s="4" t="str">
        <f>HYPERLINK("http://141.218.60.56/~jnz1568/getInfo.php?workbook=16_15.xlsx&amp;sheet=A0&amp;row=789&amp;col=12&amp;number=&amp;sourceID=53","")</f>
        <v/>
      </c>
      <c r="M789" s="4" t="str">
        <f>HYPERLINK("http://141.218.60.56/~jnz1568/getInfo.php?workbook=16_15.xlsx&amp;sheet=A0&amp;row=789&amp;col=13&amp;number=&amp;sourceID=53","")</f>
        <v/>
      </c>
      <c r="N789" s="4" t="str">
        <f>HYPERLINK("http://141.218.60.56/~jnz1568/getInfo.php?workbook=16_15.xlsx&amp;sheet=A0&amp;row=789&amp;col=14&amp;number=&amp;sourceID=53","")</f>
        <v/>
      </c>
      <c r="O789" s="4" t="str">
        <f>HYPERLINK("http://141.218.60.56/~jnz1568/getInfo.php?workbook=16_15.xlsx&amp;sheet=A0&amp;row=789&amp;col=15&amp;number=&amp;sourceID=55","")</f>
        <v/>
      </c>
      <c r="P789" s="4" t="str">
        <f>HYPERLINK("http://141.218.60.56/~jnz1568/getInfo.php?workbook=16_15.xlsx&amp;sheet=A0&amp;row=789&amp;col=16&amp;number=&amp;sourceID=55","")</f>
        <v/>
      </c>
      <c r="Q789" s="4" t="str">
        <f>HYPERLINK("http://141.218.60.56/~jnz1568/getInfo.php?workbook=16_15.xlsx&amp;sheet=A0&amp;row=789&amp;col=17&amp;number=&amp;sourceID=56","")</f>
        <v/>
      </c>
      <c r="R789" s="4" t="str">
        <f>HYPERLINK("http://141.218.60.56/~jnz1568/getInfo.php?workbook=16_15.xlsx&amp;sheet=A0&amp;row=789&amp;col=18&amp;number=&amp;sourceID=56","")</f>
        <v/>
      </c>
      <c r="S789" s="4" t="str">
        <f>HYPERLINK("http://141.218.60.56/~jnz1568/getInfo.php?workbook=16_15.xlsx&amp;sheet=A0&amp;row=789&amp;col=19&amp;number=&amp;sourceID=57","")</f>
        <v/>
      </c>
      <c r="T789" s="4" t="str">
        <f>HYPERLINK("http://141.218.60.56/~jnz1568/getInfo.php?workbook=16_15.xlsx&amp;sheet=A0&amp;row=789&amp;col=20&amp;number=&amp;sourceID=57","")</f>
        <v/>
      </c>
      <c r="U789" s="4" t="str">
        <f>HYPERLINK("http://141.218.60.56/~jnz1568/getInfo.php?workbook=16_15.xlsx&amp;sheet=A0&amp;row=789&amp;col=21&amp;number=&amp;sourceID=47","")</f>
        <v/>
      </c>
      <c r="V789" s="4" t="str">
        <f>HYPERLINK("http://141.218.60.56/~jnz1568/getInfo.php?workbook=16_15.xlsx&amp;sheet=A0&amp;row=789&amp;col=22&amp;number=&amp;sourceID=47","")</f>
        <v/>
      </c>
    </row>
    <row r="790" spans="1:22">
      <c r="A790" s="3">
        <v>16</v>
      </c>
      <c r="B790" s="3">
        <v>15</v>
      </c>
      <c r="C790" s="3">
        <v>46</v>
      </c>
      <c r="D790" s="3">
        <v>2</v>
      </c>
      <c r="E790" s="3">
        <f>((1/(INDEX(E0!J$4:J$73,C790,1)-INDEX(E0!J$4:J$73,D790,1))))*100000000</f>
        <v>0</v>
      </c>
      <c r="F790" s="4" t="str">
        <f>HYPERLINK("http://141.218.60.56/~jnz1568/getInfo.php?workbook=16_15.xlsx&amp;sheet=A0&amp;row=790&amp;col=6&amp;number=&amp;sourceID=54","")</f>
        <v/>
      </c>
      <c r="G790" s="4" t="str">
        <f>HYPERLINK("http://141.218.60.56/~jnz1568/getInfo.php?workbook=16_15.xlsx&amp;sheet=A0&amp;row=790&amp;col=7&amp;number=1235.5&amp;sourceID=54","1235.5")</f>
        <v>1235.5</v>
      </c>
      <c r="H790" s="4" t="str">
        <f>HYPERLINK("http://141.218.60.56/~jnz1568/getInfo.php?workbook=16_15.xlsx&amp;sheet=A0&amp;row=790&amp;col=8&amp;number=0.019293&amp;sourceID=54","0.019293")</f>
        <v>0.019293</v>
      </c>
      <c r="I790" s="4" t="str">
        <f>HYPERLINK("http://141.218.60.56/~jnz1568/getInfo.php?workbook=16_15.xlsx&amp;sheet=A0&amp;row=790&amp;col=9&amp;number=&amp;sourceID=54","")</f>
        <v/>
      </c>
      <c r="J790" s="4" t="str">
        <f>HYPERLINK("http://141.218.60.56/~jnz1568/getInfo.php?workbook=16_15.xlsx&amp;sheet=A0&amp;row=790&amp;col=10&amp;number=1264.6&amp;sourceID=54","1264.6")</f>
        <v>1264.6</v>
      </c>
      <c r="K790" s="4" t="str">
        <f>HYPERLINK("http://141.218.60.56/~jnz1568/getInfo.php?workbook=16_15.xlsx&amp;sheet=A0&amp;row=790&amp;col=11&amp;number=0.020138&amp;sourceID=54","0.020138")</f>
        <v>0.020138</v>
      </c>
      <c r="L790" s="4" t="str">
        <f>HYPERLINK("http://141.218.60.56/~jnz1568/getInfo.php?workbook=16_15.xlsx&amp;sheet=A0&amp;row=790&amp;col=12&amp;number=&amp;sourceID=53","")</f>
        <v/>
      </c>
      <c r="M790" s="4" t="str">
        <f>HYPERLINK("http://141.218.60.56/~jnz1568/getInfo.php?workbook=16_15.xlsx&amp;sheet=A0&amp;row=790&amp;col=13&amp;number=&amp;sourceID=53","")</f>
        <v/>
      </c>
      <c r="N790" s="4" t="str">
        <f>HYPERLINK("http://141.218.60.56/~jnz1568/getInfo.php?workbook=16_15.xlsx&amp;sheet=A0&amp;row=790&amp;col=14&amp;number=&amp;sourceID=53","")</f>
        <v/>
      </c>
      <c r="O790" s="4" t="str">
        <f>HYPERLINK("http://141.218.60.56/~jnz1568/getInfo.php?workbook=16_15.xlsx&amp;sheet=A0&amp;row=790&amp;col=15&amp;number=&amp;sourceID=55","")</f>
        <v/>
      </c>
      <c r="P790" s="4" t="str">
        <f>HYPERLINK("http://141.218.60.56/~jnz1568/getInfo.php?workbook=16_15.xlsx&amp;sheet=A0&amp;row=790&amp;col=16&amp;number=&amp;sourceID=55","")</f>
        <v/>
      </c>
      <c r="Q790" s="4" t="str">
        <f>HYPERLINK("http://141.218.60.56/~jnz1568/getInfo.php?workbook=16_15.xlsx&amp;sheet=A0&amp;row=790&amp;col=17&amp;number=&amp;sourceID=56","")</f>
        <v/>
      </c>
      <c r="R790" s="4" t="str">
        <f>HYPERLINK("http://141.218.60.56/~jnz1568/getInfo.php?workbook=16_15.xlsx&amp;sheet=A0&amp;row=790&amp;col=18&amp;number=&amp;sourceID=56","")</f>
        <v/>
      </c>
      <c r="S790" s="4" t="str">
        <f>HYPERLINK("http://141.218.60.56/~jnz1568/getInfo.php?workbook=16_15.xlsx&amp;sheet=A0&amp;row=790&amp;col=19&amp;number=&amp;sourceID=57","")</f>
        <v/>
      </c>
      <c r="T790" s="4" t="str">
        <f>HYPERLINK("http://141.218.60.56/~jnz1568/getInfo.php?workbook=16_15.xlsx&amp;sheet=A0&amp;row=790&amp;col=20&amp;number=&amp;sourceID=57","")</f>
        <v/>
      </c>
      <c r="U790" s="4" t="str">
        <f>HYPERLINK("http://141.218.60.56/~jnz1568/getInfo.php?workbook=16_15.xlsx&amp;sheet=A0&amp;row=790&amp;col=21&amp;number=&amp;sourceID=47","")</f>
        <v/>
      </c>
      <c r="V790" s="4" t="str">
        <f>HYPERLINK("http://141.218.60.56/~jnz1568/getInfo.php?workbook=16_15.xlsx&amp;sheet=A0&amp;row=790&amp;col=22&amp;number=&amp;sourceID=47","")</f>
        <v/>
      </c>
    </row>
    <row r="791" spans="1:22">
      <c r="A791" s="3">
        <v>16</v>
      </c>
      <c r="B791" s="3">
        <v>15</v>
      </c>
      <c r="C791" s="3">
        <v>46</v>
      </c>
      <c r="D791" s="3">
        <v>3</v>
      </c>
      <c r="E791" s="3">
        <f>((1/(INDEX(E0!J$4:J$73,C791,1)-INDEX(E0!J$4:J$73,D791,1))))*100000000</f>
        <v>0</v>
      </c>
      <c r="F791" s="4" t="str">
        <f>HYPERLINK("http://141.218.60.56/~jnz1568/getInfo.php?workbook=16_15.xlsx&amp;sheet=A0&amp;row=791&amp;col=6&amp;number=&amp;sourceID=54","")</f>
        <v/>
      </c>
      <c r="G791" s="4" t="str">
        <f>HYPERLINK("http://141.218.60.56/~jnz1568/getInfo.php?workbook=16_15.xlsx&amp;sheet=A0&amp;row=791&amp;col=7&amp;number=6562.2&amp;sourceID=54","6562.2")</f>
        <v>6562.2</v>
      </c>
      <c r="H791" s="4" t="str">
        <f>HYPERLINK("http://141.218.60.56/~jnz1568/getInfo.php?workbook=16_15.xlsx&amp;sheet=A0&amp;row=791&amp;col=8&amp;number=2.0867&amp;sourceID=54","2.0867")</f>
        <v>2.0867</v>
      </c>
      <c r="I791" s="4" t="str">
        <f>HYPERLINK("http://141.218.60.56/~jnz1568/getInfo.php?workbook=16_15.xlsx&amp;sheet=A0&amp;row=791&amp;col=9&amp;number=&amp;sourceID=54","")</f>
        <v/>
      </c>
      <c r="J791" s="4" t="str">
        <f>HYPERLINK("http://141.218.60.56/~jnz1568/getInfo.php?workbook=16_15.xlsx&amp;sheet=A0&amp;row=791&amp;col=10&amp;number=6746.1&amp;sourceID=54","6746.1")</f>
        <v>6746.1</v>
      </c>
      <c r="K791" s="4" t="str">
        <f>HYPERLINK("http://141.218.60.56/~jnz1568/getInfo.php?workbook=16_15.xlsx&amp;sheet=A0&amp;row=791&amp;col=11&amp;number=2.1483&amp;sourceID=54","2.1483")</f>
        <v>2.1483</v>
      </c>
      <c r="L791" s="4" t="str">
        <f>HYPERLINK("http://141.218.60.56/~jnz1568/getInfo.php?workbook=16_15.xlsx&amp;sheet=A0&amp;row=791&amp;col=12&amp;number=&amp;sourceID=53","")</f>
        <v/>
      </c>
      <c r="M791" s="4" t="str">
        <f>HYPERLINK("http://141.218.60.56/~jnz1568/getInfo.php?workbook=16_15.xlsx&amp;sheet=A0&amp;row=791&amp;col=13&amp;number=&amp;sourceID=53","")</f>
        <v/>
      </c>
      <c r="N791" s="4" t="str">
        <f>HYPERLINK("http://141.218.60.56/~jnz1568/getInfo.php?workbook=16_15.xlsx&amp;sheet=A0&amp;row=791&amp;col=14&amp;number=&amp;sourceID=53","")</f>
        <v/>
      </c>
      <c r="O791" s="4" t="str">
        <f>HYPERLINK("http://141.218.60.56/~jnz1568/getInfo.php?workbook=16_15.xlsx&amp;sheet=A0&amp;row=791&amp;col=15&amp;number=&amp;sourceID=55","")</f>
        <v/>
      </c>
      <c r="P791" s="4" t="str">
        <f>HYPERLINK("http://141.218.60.56/~jnz1568/getInfo.php?workbook=16_15.xlsx&amp;sheet=A0&amp;row=791&amp;col=16&amp;number=&amp;sourceID=55","")</f>
        <v/>
      </c>
      <c r="Q791" s="4" t="str">
        <f>HYPERLINK("http://141.218.60.56/~jnz1568/getInfo.php?workbook=16_15.xlsx&amp;sheet=A0&amp;row=791&amp;col=17&amp;number=&amp;sourceID=56","")</f>
        <v/>
      </c>
      <c r="R791" s="4" t="str">
        <f>HYPERLINK("http://141.218.60.56/~jnz1568/getInfo.php?workbook=16_15.xlsx&amp;sheet=A0&amp;row=791&amp;col=18&amp;number=&amp;sourceID=56","")</f>
        <v/>
      </c>
      <c r="S791" s="4" t="str">
        <f>HYPERLINK("http://141.218.60.56/~jnz1568/getInfo.php?workbook=16_15.xlsx&amp;sheet=A0&amp;row=791&amp;col=19&amp;number=&amp;sourceID=57","")</f>
        <v/>
      </c>
      <c r="T791" s="4" t="str">
        <f>HYPERLINK("http://141.218.60.56/~jnz1568/getInfo.php?workbook=16_15.xlsx&amp;sheet=A0&amp;row=791&amp;col=20&amp;number=&amp;sourceID=57","")</f>
        <v/>
      </c>
      <c r="U791" s="4" t="str">
        <f>HYPERLINK("http://141.218.60.56/~jnz1568/getInfo.php?workbook=16_15.xlsx&amp;sheet=A0&amp;row=791&amp;col=21&amp;number=&amp;sourceID=47","")</f>
        <v/>
      </c>
      <c r="V791" s="4" t="str">
        <f>HYPERLINK("http://141.218.60.56/~jnz1568/getInfo.php?workbook=16_15.xlsx&amp;sheet=A0&amp;row=791&amp;col=22&amp;number=&amp;sourceID=47","")</f>
        <v/>
      </c>
    </row>
    <row r="792" spans="1:22">
      <c r="A792" s="3">
        <v>16</v>
      </c>
      <c r="B792" s="3">
        <v>15</v>
      </c>
      <c r="C792" s="3">
        <v>46</v>
      </c>
      <c r="D792" s="3">
        <v>4</v>
      </c>
      <c r="E792" s="3">
        <f>((1/(INDEX(E0!J$4:J$73,C792,1)-INDEX(E0!J$4:J$73,D792,1))))*100000000</f>
        <v>0</v>
      </c>
      <c r="F792" s="4" t="str">
        <f>HYPERLINK("http://141.218.60.56/~jnz1568/getInfo.php?workbook=16_15.xlsx&amp;sheet=A0&amp;row=792&amp;col=6&amp;number=&amp;sourceID=54","")</f>
        <v/>
      </c>
      <c r="G792" s="4" t="str">
        <f>HYPERLINK("http://141.218.60.56/~jnz1568/getInfo.php?workbook=16_15.xlsx&amp;sheet=A0&amp;row=792&amp;col=7&amp;number=709.12&amp;sourceID=54","709.12")</f>
        <v>709.12</v>
      </c>
      <c r="H792" s="4" t="str">
        <f>HYPERLINK("http://141.218.60.56/~jnz1568/getInfo.php?workbook=16_15.xlsx&amp;sheet=A0&amp;row=792&amp;col=8&amp;number=&amp;sourceID=54","")</f>
        <v/>
      </c>
      <c r="I792" s="4" t="str">
        <f>HYPERLINK("http://141.218.60.56/~jnz1568/getInfo.php?workbook=16_15.xlsx&amp;sheet=A0&amp;row=792&amp;col=9&amp;number=&amp;sourceID=54","")</f>
        <v/>
      </c>
      <c r="J792" s="4" t="str">
        <f>HYPERLINK("http://141.218.60.56/~jnz1568/getInfo.php?workbook=16_15.xlsx&amp;sheet=A0&amp;row=792&amp;col=10&amp;number=729.05&amp;sourceID=54","729.05")</f>
        <v>729.05</v>
      </c>
      <c r="K792" s="4" t="str">
        <f>HYPERLINK("http://141.218.60.56/~jnz1568/getInfo.php?workbook=16_15.xlsx&amp;sheet=A0&amp;row=792&amp;col=11&amp;number=&amp;sourceID=54","")</f>
        <v/>
      </c>
      <c r="L792" s="4" t="str">
        <f>HYPERLINK("http://141.218.60.56/~jnz1568/getInfo.php?workbook=16_15.xlsx&amp;sheet=A0&amp;row=792&amp;col=12&amp;number=&amp;sourceID=53","")</f>
        <v/>
      </c>
      <c r="M792" s="4" t="str">
        <f>HYPERLINK("http://141.218.60.56/~jnz1568/getInfo.php?workbook=16_15.xlsx&amp;sheet=A0&amp;row=792&amp;col=13&amp;number=&amp;sourceID=53","")</f>
        <v/>
      </c>
      <c r="N792" s="4" t="str">
        <f>HYPERLINK("http://141.218.60.56/~jnz1568/getInfo.php?workbook=16_15.xlsx&amp;sheet=A0&amp;row=792&amp;col=14&amp;number=&amp;sourceID=53","")</f>
        <v/>
      </c>
      <c r="O792" s="4" t="str">
        <f>HYPERLINK("http://141.218.60.56/~jnz1568/getInfo.php?workbook=16_15.xlsx&amp;sheet=A0&amp;row=792&amp;col=15&amp;number=&amp;sourceID=55","")</f>
        <v/>
      </c>
      <c r="P792" s="4" t="str">
        <f>HYPERLINK("http://141.218.60.56/~jnz1568/getInfo.php?workbook=16_15.xlsx&amp;sheet=A0&amp;row=792&amp;col=16&amp;number=&amp;sourceID=55","")</f>
        <v/>
      </c>
      <c r="Q792" s="4" t="str">
        <f>HYPERLINK("http://141.218.60.56/~jnz1568/getInfo.php?workbook=16_15.xlsx&amp;sheet=A0&amp;row=792&amp;col=17&amp;number=&amp;sourceID=56","")</f>
        <v/>
      </c>
      <c r="R792" s="4" t="str">
        <f>HYPERLINK("http://141.218.60.56/~jnz1568/getInfo.php?workbook=16_15.xlsx&amp;sheet=A0&amp;row=792&amp;col=18&amp;number=&amp;sourceID=56","")</f>
        <v/>
      </c>
      <c r="S792" s="4" t="str">
        <f>HYPERLINK("http://141.218.60.56/~jnz1568/getInfo.php?workbook=16_15.xlsx&amp;sheet=A0&amp;row=792&amp;col=19&amp;number=&amp;sourceID=57","")</f>
        <v/>
      </c>
      <c r="T792" s="4" t="str">
        <f>HYPERLINK("http://141.218.60.56/~jnz1568/getInfo.php?workbook=16_15.xlsx&amp;sheet=A0&amp;row=792&amp;col=20&amp;number=&amp;sourceID=57","")</f>
        <v/>
      </c>
      <c r="U792" s="4" t="str">
        <f>HYPERLINK("http://141.218.60.56/~jnz1568/getInfo.php?workbook=16_15.xlsx&amp;sheet=A0&amp;row=792&amp;col=21&amp;number=&amp;sourceID=47","")</f>
        <v/>
      </c>
      <c r="V792" s="4" t="str">
        <f>HYPERLINK("http://141.218.60.56/~jnz1568/getInfo.php?workbook=16_15.xlsx&amp;sheet=A0&amp;row=792&amp;col=22&amp;number=&amp;sourceID=47","")</f>
        <v/>
      </c>
    </row>
    <row r="793" spans="1:22">
      <c r="A793" s="3">
        <v>16</v>
      </c>
      <c r="B793" s="3">
        <v>15</v>
      </c>
      <c r="C793" s="3">
        <v>46</v>
      </c>
      <c r="D793" s="3">
        <v>5</v>
      </c>
      <c r="E793" s="3">
        <f>((1/(INDEX(E0!J$4:J$73,C793,1)-INDEX(E0!J$4:J$73,D793,1))))*100000000</f>
        <v>0</v>
      </c>
      <c r="F793" s="4" t="str">
        <f>HYPERLINK("http://141.218.60.56/~jnz1568/getInfo.php?workbook=16_15.xlsx&amp;sheet=A0&amp;row=793&amp;col=6&amp;number=&amp;sourceID=54","")</f>
        <v/>
      </c>
      <c r="G793" s="4" t="str">
        <f>HYPERLINK("http://141.218.60.56/~jnz1568/getInfo.php?workbook=16_15.xlsx&amp;sheet=A0&amp;row=793&amp;col=7&amp;number=2333.9&amp;sourceID=54","2333.9")</f>
        <v>2333.9</v>
      </c>
      <c r="H793" s="4" t="str">
        <f>HYPERLINK("http://141.218.60.56/~jnz1568/getInfo.php?workbook=16_15.xlsx&amp;sheet=A0&amp;row=793&amp;col=8&amp;number=0.0004096&amp;sourceID=54","0.0004096")</f>
        <v>0.0004096</v>
      </c>
      <c r="I793" s="4" t="str">
        <f>HYPERLINK("http://141.218.60.56/~jnz1568/getInfo.php?workbook=16_15.xlsx&amp;sheet=A0&amp;row=793&amp;col=9&amp;number=&amp;sourceID=54","")</f>
        <v/>
      </c>
      <c r="J793" s="4" t="str">
        <f>HYPERLINK("http://141.218.60.56/~jnz1568/getInfo.php?workbook=16_15.xlsx&amp;sheet=A0&amp;row=793&amp;col=10&amp;number=2383.2&amp;sourceID=54","2383.2")</f>
        <v>2383.2</v>
      </c>
      <c r="K793" s="4" t="str">
        <f>HYPERLINK("http://141.218.60.56/~jnz1568/getInfo.php?workbook=16_15.xlsx&amp;sheet=A0&amp;row=793&amp;col=11&amp;number=0.00041354&amp;sourceID=54","0.00041354")</f>
        <v>0.00041354</v>
      </c>
      <c r="L793" s="4" t="str">
        <f>HYPERLINK("http://141.218.60.56/~jnz1568/getInfo.php?workbook=16_15.xlsx&amp;sheet=A0&amp;row=793&amp;col=12&amp;number=&amp;sourceID=53","")</f>
        <v/>
      </c>
      <c r="M793" s="4" t="str">
        <f>HYPERLINK("http://141.218.60.56/~jnz1568/getInfo.php?workbook=16_15.xlsx&amp;sheet=A0&amp;row=793&amp;col=13&amp;number=&amp;sourceID=53","")</f>
        <v/>
      </c>
      <c r="N793" s="4" t="str">
        <f>HYPERLINK("http://141.218.60.56/~jnz1568/getInfo.php?workbook=16_15.xlsx&amp;sheet=A0&amp;row=793&amp;col=14&amp;number=&amp;sourceID=53","")</f>
        <v/>
      </c>
      <c r="O793" s="4" t="str">
        <f>HYPERLINK("http://141.218.60.56/~jnz1568/getInfo.php?workbook=16_15.xlsx&amp;sheet=A0&amp;row=793&amp;col=15&amp;number=&amp;sourceID=55","")</f>
        <v/>
      </c>
      <c r="P793" s="4" t="str">
        <f>HYPERLINK("http://141.218.60.56/~jnz1568/getInfo.php?workbook=16_15.xlsx&amp;sheet=A0&amp;row=793&amp;col=16&amp;number=&amp;sourceID=55","")</f>
        <v/>
      </c>
      <c r="Q793" s="4" t="str">
        <f>HYPERLINK("http://141.218.60.56/~jnz1568/getInfo.php?workbook=16_15.xlsx&amp;sheet=A0&amp;row=793&amp;col=17&amp;number=&amp;sourceID=56","")</f>
        <v/>
      </c>
      <c r="R793" s="4" t="str">
        <f>HYPERLINK("http://141.218.60.56/~jnz1568/getInfo.php?workbook=16_15.xlsx&amp;sheet=A0&amp;row=793&amp;col=18&amp;number=&amp;sourceID=56","")</f>
        <v/>
      </c>
      <c r="S793" s="4" t="str">
        <f>HYPERLINK("http://141.218.60.56/~jnz1568/getInfo.php?workbook=16_15.xlsx&amp;sheet=A0&amp;row=793&amp;col=19&amp;number=&amp;sourceID=57","")</f>
        <v/>
      </c>
      <c r="T793" s="4" t="str">
        <f>HYPERLINK("http://141.218.60.56/~jnz1568/getInfo.php?workbook=16_15.xlsx&amp;sheet=A0&amp;row=793&amp;col=20&amp;number=&amp;sourceID=57","")</f>
        <v/>
      </c>
      <c r="U793" s="4" t="str">
        <f>HYPERLINK("http://141.218.60.56/~jnz1568/getInfo.php?workbook=16_15.xlsx&amp;sheet=A0&amp;row=793&amp;col=21&amp;number=&amp;sourceID=47","")</f>
        <v/>
      </c>
      <c r="V793" s="4" t="str">
        <f>HYPERLINK("http://141.218.60.56/~jnz1568/getInfo.php?workbook=16_15.xlsx&amp;sheet=A0&amp;row=793&amp;col=22&amp;number=&amp;sourceID=47","")</f>
        <v/>
      </c>
    </row>
    <row r="794" spans="1:22">
      <c r="A794" s="3">
        <v>16</v>
      </c>
      <c r="B794" s="3">
        <v>15</v>
      </c>
      <c r="C794" s="3">
        <v>46</v>
      </c>
      <c r="D794" s="3">
        <v>6</v>
      </c>
      <c r="E794" s="3">
        <f>((1/(INDEX(E0!J$4:J$73,C794,1)-INDEX(E0!J$4:J$73,D794,1))))*100000000</f>
        <v>0</v>
      </c>
      <c r="F794" s="4" t="str">
        <f>HYPERLINK("http://141.218.60.56/~jnz1568/getInfo.php?workbook=16_15.xlsx&amp;sheet=A0&amp;row=794&amp;col=6&amp;number=609780&amp;sourceID=54","609780")</f>
        <v>609780</v>
      </c>
      <c r="G794" s="4" t="str">
        <f>HYPERLINK("http://141.218.60.56/~jnz1568/getInfo.php?workbook=16_15.xlsx&amp;sheet=A0&amp;row=794&amp;col=7&amp;number=&amp;sourceID=54","")</f>
        <v/>
      </c>
      <c r="H794" s="4" t="str">
        <f>HYPERLINK("http://141.218.60.56/~jnz1568/getInfo.php?workbook=16_15.xlsx&amp;sheet=A0&amp;row=794&amp;col=8&amp;number=&amp;sourceID=54","")</f>
        <v/>
      </c>
      <c r="I794" s="4" t="str">
        <f>HYPERLINK("http://141.218.60.56/~jnz1568/getInfo.php?workbook=16_15.xlsx&amp;sheet=A0&amp;row=794&amp;col=9&amp;number=699520&amp;sourceID=54","699520")</f>
        <v>699520</v>
      </c>
      <c r="J794" s="4" t="str">
        <f>HYPERLINK("http://141.218.60.56/~jnz1568/getInfo.php?workbook=16_15.xlsx&amp;sheet=A0&amp;row=794&amp;col=10&amp;number=&amp;sourceID=54","")</f>
        <v/>
      </c>
      <c r="K794" s="4" t="str">
        <f>HYPERLINK("http://141.218.60.56/~jnz1568/getInfo.php?workbook=16_15.xlsx&amp;sheet=A0&amp;row=794&amp;col=11&amp;number=&amp;sourceID=54","")</f>
        <v/>
      </c>
      <c r="L794" s="4" t="str">
        <f>HYPERLINK("http://141.218.60.56/~jnz1568/getInfo.php?workbook=16_15.xlsx&amp;sheet=A0&amp;row=794&amp;col=12&amp;number=750616.989016&amp;sourceID=53","750616.989016")</f>
        <v>750616.989016</v>
      </c>
      <c r="M794" s="4" t="str">
        <f>HYPERLINK("http://141.218.60.56/~jnz1568/getInfo.php?workbook=16_15.xlsx&amp;sheet=A0&amp;row=794&amp;col=13&amp;number=&amp;sourceID=53","")</f>
        <v/>
      </c>
      <c r="N794" s="4" t="str">
        <f>HYPERLINK("http://141.218.60.56/~jnz1568/getInfo.php?workbook=16_15.xlsx&amp;sheet=A0&amp;row=794&amp;col=14&amp;number=&amp;sourceID=53","")</f>
        <v/>
      </c>
      <c r="O794" s="4" t="str">
        <f>HYPERLINK("http://141.218.60.56/~jnz1568/getInfo.php?workbook=16_15.xlsx&amp;sheet=A0&amp;row=794&amp;col=15&amp;number=&amp;sourceID=55","")</f>
        <v/>
      </c>
      <c r="P794" s="4" t="str">
        <f>HYPERLINK("http://141.218.60.56/~jnz1568/getInfo.php?workbook=16_15.xlsx&amp;sheet=A0&amp;row=794&amp;col=16&amp;number=&amp;sourceID=55","")</f>
        <v/>
      </c>
      <c r="Q794" s="4" t="str">
        <f>HYPERLINK("http://141.218.60.56/~jnz1568/getInfo.php?workbook=16_15.xlsx&amp;sheet=A0&amp;row=794&amp;col=17&amp;number=&amp;sourceID=56","")</f>
        <v/>
      </c>
      <c r="R794" s="4" t="str">
        <f>HYPERLINK("http://141.218.60.56/~jnz1568/getInfo.php?workbook=16_15.xlsx&amp;sheet=A0&amp;row=794&amp;col=18&amp;number=&amp;sourceID=56","")</f>
        <v/>
      </c>
      <c r="S794" s="4" t="str">
        <f>HYPERLINK("http://141.218.60.56/~jnz1568/getInfo.php?workbook=16_15.xlsx&amp;sheet=A0&amp;row=794&amp;col=19&amp;number=&amp;sourceID=57","")</f>
        <v/>
      </c>
      <c r="T794" s="4" t="str">
        <f>HYPERLINK("http://141.218.60.56/~jnz1568/getInfo.php?workbook=16_15.xlsx&amp;sheet=A0&amp;row=794&amp;col=20&amp;number=&amp;sourceID=57","")</f>
        <v/>
      </c>
      <c r="U794" s="4" t="str">
        <f>HYPERLINK("http://141.218.60.56/~jnz1568/getInfo.php?workbook=16_15.xlsx&amp;sheet=A0&amp;row=794&amp;col=21&amp;number=&amp;sourceID=47","")</f>
        <v/>
      </c>
      <c r="V794" s="4" t="str">
        <f>HYPERLINK("http://141.218.60.56/~jnz1568/getInfo.php?workbook=16_15.xlsx&amp;sheet=A0&amp;row=794&amp;col=22&amp;number=&amp;sourceID=47","")</f>
        <v/>
      </c>
    </row>
    <row r="795" spans="1:22">
      <c r="A795" s="3">
        <v>16</v>
      </c>
      <c r="B795" s="3">
        <v>15</v>
      </c>
      <c r="C795" s="3">
        <v>46</v>
      </c>
      <c r="D795" s="3">
        <v>7</v>
      </c>
      <c r="E795" s="3">
        <f>((1/(INDEX(E0!J$4:J$73,C795,1)-INDEX(E0!J$4:J$73,D795,1))))*100000000</f>
        <v>0</v>
      </c>
      <c r="F795" s="4" t="str">
        <f>HYPERLINK("http://141.218.60.56/~jnz1568/getInfo.php?workbook=16_15.xlsx&amp;sheet=A0&amp;row=795&amp;col=6&amp;number=259270&amp;sourceID=54","259270")</f>
        <v>259270</v>
      </c>
      <c r="G795" s="4" t="str">
        <f>HYPERLINK("http://141.218.60.56/~jnz1568/getInfo.php?workbook=16_15.xlsx&amp;sheet=A0&amp;row=795&amp;col=7&amp;number=&amp;sourceID=54","")</f>
        <v/>
      </c>
      <c r="H795" s="4" t="str">
        <f>HYPERLINK("http://141.218.60.56/~jnz1568/getInfo.php?workbook=16_15.xlsx&amp;sheet=A0&amp;row=795&amp;col=8&amp;number=&amp;sourceID=54","")</f>
        <v/>
      </c>
      <c r="I795" s="4" t="str">
        <f>HYPERLINK("http://141.218.60.56/~jnz1568/getInfo.php?workbook=16_15.xlsx&amp;sheet=A0&amp;row=795&amp;col=9&amp;number=297460&amp;sourceID=54","297460")</f>
        <v>297460</v>
      </c>
      <c r="J795" s="4" t="str">
        <f>HYPERLINK("http://141.218.60.56/~jnz1568/getInfo.php?workbook=16_15.xlsx&amp;sheet=A0&amp;row=795&amp;col=10&amp;number=&amp;sourceID=54","")</f>
        <v/>
      </c>
      <c r="K795" s="4" t="str">
        <f>HYPERLINK("http://141.218.60.56/~jnz1568/getInfo.php?workbook=16_15.xlsx&amp;sheet=A0&amp;row=795&amp;col=11&amp;number=&amp;sourceID=54","")</f>
        <v/>
      </c>
      <c r="L795" s="4" t="str">
        <f>HYPERLINK("http://141.218.60.56/~jnz1568/getInfo.php?workbook=16_15.xlsx&amp;sheet=A0&amp;row=795&amp;col=12&amp;number=328458.213803&amp;sourceID=53","328458.213803")</f>
        <v>328458.213803</v>
      </c>
      <c r="M795" s="4" t="str">
        <f>HYPERLINK("http://141.218.60.56/~jnz1568/getInfo.php?workbook=16_15.xlsx&amp;sheet=A0&amp;row=795&amp;col=13&amp;number=&amp;sourceID=53","")</f>
        <v/>
      </c>
      <c r="N795" s="4" t="str">
        <f>HYPERLINK("http://141.218.60.56/~jnz1568/getInfo.php?workbook=16_15.xlsx&amp;sheet=A0&amp;row=795&amp;col=14&amp;number=&amp;sourceID=53","")</f>
        <v/>
      </c>
      <c r="O795" s="4" t="str">
        <f>HYPERLINK("http://141.218.60.56/~jnz1568/getInfo.php?workbook=16_15.xlsx&amp;sheet=A0&amp;row=795&amp;col=15&amp;number=&amp;sourceID=55","")</f>
        <v/>
      </c>
      <c r="P795" s="4" t="str">
        <f>HYPERLINK("http://141.218.60.56/~jnz1568/getInfo.php?workbook=16_15.xlsx&amp;sheet=A0&amp;row=795&amp;col=16&amp;number=&amp;sourceID=55","")</f>
        <v/>
      </c>
      <c r="Q795" s="4" t="str">
        <f>HYPERLINK("http://141.218.60.56/~jnz1568/getInfo.php?workbook=16_15.xlsx&amp;sheet=A0&amp;row=795&amp;col=17&amp;number=&amp;sourceID=56","")</f>
        <v/>
      </c>
      <c r="R795" s="4" t="str">
        <f>HYPERLINK("http://141.218.60.56/~jnz1568/getInfo.php?workbook=16_15.xlsx&amp;sheet=A0&amp;row=795&amp;col=18&amp;number=&amp;sourceID=56","")</f>
        <v/>
      </c>
      <c r="S795" s="4" t="str">
        <f>HYPERLINK("http://141.218.60.56/~jnz1568/getInfo.php?workbook=16_15.xlsx&amp;sheet=A0&amp;row=795&amp;col=19&amp;number=&amp;sourceID=57","")</f>
        <v/>
      </c>
      <c r="T795" s="4" t="str">
        <f>HYPERLINK("http://141.218.60.56/~jnz1568/getInfo.php?workbook=16_15.xlsx&amp;sheet=A0&amp;row=795&amp;col=20&amp;number=&amp;sourceID=57","")</f>
        <v/>
      </c>
      <c r="U795" s="4" t="str">
        <f>HYPERLINK("http://141.218.60.56/~jnz1568/getInfo.php?workbook=16_15.xlsx&amp;sheet=A0&amp;row=795&amp;col=21&amp;number=&amp;sourceID=47","")</f>
        <v/>
      </c>
      <c r="V795" s="4" t="str">
        <f>HYPERLINK("http://141.218.60.56/~jnz1568/getInfo.php?workbook=16_15.xlsx&amp;sheet=A0&amp;row=795&amp;col=22&amp;number=&amp;sourceID=47","")</f>
        <v/>
      </c>
    </row>
    <row r="796" spans="1:22">
      <c r="A796" s="3">
        <v>16</v>
      </c>
      <c r="B796" s="3">
        <v>15</v>
      </c>
      <c r="C796" s="3">
        <v>46</v>
      </c>
      <c r="D796" s="3">
        <v>9</v>
      </c>
      <c r="E796" s="3">
        <f>((1/(INDEX(E0!J$4:J$73,C796,1)-INDEX(E0!J$4:J$73,D796,1))))*100000000</f>
        <v>0</v>
      </c>
      <c r="F796" s="4" t="str">
        <f>HYPERLINK("http://141.218.60.56/~jnz1568/getInfo.php?workbook=16_15.xlsx&amp;sheet=A0&amp;row=796&amp;col=6&amp;number=46787&amp;sourceID=54","46787")</f>
        <v>46787</v>
      </c>
      <c r="G796" s="4" t="str">
        <f>HYPERLINK("http://141.218.60.56/~jnz1568/getInfo.php?workbook=16_15.xlsx&amp;sheet=A0&amp;row=796&amp;col=7&amp;number=&amp;sourceID=54","")</f>
        <v/>
      </c>
      <c r="H796" s="4" t="str">
        <f>HYPERLINK("http://141.218.60.56/~jnz1568/getInfo.php?workbook=16_15.xlsx&amp;sheet=A0&amp;row=796&amp;col=8&amp;number=&amp;sourceID=54","")</f>
        <v/>
      </c>
      <c r="I796" s="4" t="str">
        <f>HYPERLINK("http://141.218.60.56/~jnz1568/getInfo.php?workbook=16_15.xlsx&amp;sheet=A0&amp;row=796&amp;col=9&amp;number=48811&amp;sourceID=54","48811")</f>
        <v>48811</v>
      </c>
      <c r="J796" s="4" t="str">
        <f>HYPERLINK("http://141.218.60.56/~jnz1568/getInfo.php?workbook=16_15.xlsx&amp;sheet=A0&amp;row=796&amp;col=10&amp;number=&amp;sourceID=54","")</f>
        <v/>
      </c>
      <c r="K796" s="4" t="str">
        <f>HYPERLINK("http://141.218.60.56/~jnz1568/getInfo.php?workbook=16_15.xlsx&amp;sheet=A0&amp;row=796&amp;col=11&amp;number=&amp;sourceID=54","")</f>
        <v/>
      </c>
      <c r="L796" s="4" t="str">
        <f>HYPERLINK("http://141.218.60.56/~jnz1568/getInfo.php?workbook=16_15.xlsx&amp;sheet=A0&amp;row=796&amp;col=12&amp;number=97355.439828&amp;sourceID=53","97355.439828")</f>
        <v>97355.439828</v>
      </c>
      <c r="M796" s="4" t="str">
        <f>HYPERLINK("http://141.218.60.56/~jnz1568/getInfo.php?workbook=16_15.xlsx&amp;sheet=A0&amp;row=796&amp;col=13&amp;number=&amp;sourceID=53","")</f>
        <v/>
      </c>
      <c r="N796" s="4" t="str">
        <f>HYPERLINK("http://141.218.60.56/~jnz1568/getInfo.php?workbook=16_15.xlsx&amp;sheet=A0&amp;row=796&amp;col=14&amp;number=&amp;sourceID=53","")</f>
        <v/>
      </c>
      <c r="O796" s="4" t="str">
        <f>HYPERLINK("http://141.218.60.56/~jnz1568/getInfo.php?workbook=16_15.xlsx&amp;sheet=A0&amp;row=796&amp;col=15&amp;number=&amp;sourceID=55","")</f>
        <v/>
      </c>
      <c r="P796" s="4" t="str">
        <f>HYPERLINK("http://141.218.60.56/~jnz1568/getInfo.php?workbook=16_15.xlsx&amp;sheet=A0&amp;row=796&amp;col=16&amp;number=&amp;sourceID=55","")</f>
        <v/>
      </c>
      <c r="Q796" s="4" t="str">
        <f>HYPERLINK("http://141.218.60.56/~jnz1568/getInfo.php?workbook=16_15.xlsx&amp;sheet=A0&amp;row=796&amp;col=17&amp;number=&amp;sourceID=56","")</f>
        <v/>
      </c>
      <c r="R796" s="4" t="str">
        <f>HYPERLINK("http://141.218.60.56/~jnz1568/getInfo.php?workbook=16_15.xlsx&amp;sheet=A0&amp;row=796&amp;col=18&amp;number=&amp;sourceID=56","")</f>
        <v/>
      </c>
      <c r="S796" s="4" t="str">
        <f>HYPERLINK("http://141.218.60.56/~jnz1568/getInfo.php?workbook=16_15.xlsx&amp;sheet=A0&amp;row=796&amp;col=19&amp;number=&amp;sourceID=57","")</f>
        <v/>
      </c>
      <c r="T796" s="4" t="str">
        <f>HYPERLINK("http://141.218.60.56/~jnz1568/getInfo.php?workbook=16_15.xlsx&amp;sheet=A0&amp;row=796&amp;col=20&amp;number=&amp;sourceID=57","")</f>
        <v/>
      </c>
      <c r="U796" s="4" t="str">
        <f>HYPERLINK("http://141.218.60.56/~jnz1568/getInfo.php?workbook=16_15.xlsx&amp;sheet=A0&amp;row=796&amp;col=21&amp;number=&amp;sourceID=47","")</f>
        <v/>
      </c>
      <c r="V796" s="4" t="str">
        <f>HYPERLINK("http://141.218.60.56/~jnz1568/getInfo.php?workbook=16_15.xlsx&amp;sheet=A0&amp;row=796&amp;col=22&amp;number=&amp;sourceID=47","")</f>
        <v/>
      </c>
    </row>
    <row r="797" spans="1:22">
      <c r="A797" s="3">
        <v>16</v>
      </c>
      <c r="B797" s="3">
        <v>15</v>
      </c>
      <c r="C797" s="3">
        <v>46</v>
      </c>
      <c r="D797" s="3">
        <v>10</v>
      </c>
      <c r="E797" s="3">
        <f>((1/(INDEX(E0!J$4:J$73,C797,1)-INDEX(E0!J$4:J$73,D797,1))))*100000000</f>
        <v>0</v>
      </c>
      <c r="F797" s="4" t="str">
        <f>HYPERLINK("http://141.218.60.56/~jnz1568/getInfo.php?workbook=16_15.xlsx&amp;sheet=A0&amp;row=797&amp;col=6&amp;number=274540&amp;sourceID=54","274540")</f>
        <v>274540</v>
      </c>
      <c r="G797" s="4" t="str">
        <f>HYPERLINK("http://141.218.60.56/~jnz1568/getInfo.php?workbook=16_15.xlsx&amp;sheet=A0&amp;row=797&amp;col=7&amp;number=&amp;sourceID=54","")</f>
        <v/>
      </c>
      <c r="H797" s="4" t="str">
        <f>HYPERLINK("http://141.218.60.56/~jnz1568/getInfo.php?workbook=16_15.xlsx&amp;sheet=A0&amp;row=797&amp;col=8&amp;number=&amp;sourceID=54","")</f>
        <v/>
      </c>
      <c r="I797" s="4" t="str">
        <f>HYPERLINK("http://141.218.60.56/~jnz1568/getInfo.php?workbook=16_15.xlsx&amp;sheet=A0&amp;row=797&amp;col=9&amp;number=269500&amp;sourceID=54","269500")</f>
        <v>269500</v>
      </c>
      <c r="J797" s="4" t="str">
        <f>HYPERLINK("http://141.218.60.56/~jnz1568/getInfo.php?workbook=16_15.xlsx&amp;sheet=A0&amp;row=797&amp;col=10&amp;number=&amp;sourceID=54","")</f>
        <v/>
      </c>
      <c r="K797" s="4" t="str">
        <f>HYPERLINK("http://141.218.60.56/~jnz1568/getInfo.php?workbook=16_15.xlsx&amp;sheet=A0&amp;row=797&amp;col=11&amp;number=&amp;sourceID=54","")</f>
        <v/>
      </c>
      <c r="L797" s="4" t="str">
        <f>HYPERLINK("http://141.218.60.56/~jnz1568/getInfo.php?workbook=16_15.xlsx&amp;sheet=A0&amp;row=797&amp;col=12&amp;number=768416.832107&amp;sourceID=53","768416.832107")</f>
        <v>768416.832107</v>
      </c>
      <c r="M797" s="4" t="str">
        <f>HYPERLINK("http://141.218.60.56/~jnz1568/getInfo.php?workbook=16_15.xlsx&amp;sheet=A0&amp;row=797&amp;col=13&amp;number=&amp;sourceID=53","")</f>
        <v/>
      </c>
      <c r="N797" s="4" t="str">
        <f>HYPERLINK("http://141.218.60.56/~jnz1568/getInfo.php?workbook=16_15.xlsx&amp;sheet=A0&amp;row=797&amp;col=14&amp;number=&amp;sourceID=53","")</f>
        <v/>
      </c>
      <c r="O797" s="4" t="str">
        <f>HYPERLINK("http://141.218.60.56/~jnz1568/getInfo.php?workbook=16_15.xlsx&amp;sheet=A0&amp;row=797&amp;col=15&amp;number=&amp;sourceID=55","")</f>
        <v/>
      </c>
      <c r="P797" s="4" t="str">
        <f>HYPERLINK("http://141.218.60.56/~jnz1568/getInfo.php?workbook=16_15.xlsx&amp;sheet=A0&amp;row=797&amp;col=16&amp;number=&amp;sourceID=55","")</f>
        <v/>
      </c>
      <c r="Q797" s="4" t="str">
        <f>HYPERLINK("http://141.218.60.56/~jnz1568/getInfo.php?workbook=16_15.xlsx&amp;sheet=A0&amp;row=797&amp;col=17&amp;number=&amp;sourceID=56","")</f>
        <v/>
      </c>
      <c r="R797" s="4" t="str">
        <f>HYPERLINK("http://141.218.60.56/~jnz1568/getInfo.php?workbook=16_15.xlsx&amp;sheet=A0&amp;row=797&amp;col=18&amp;number=&amp;sourceID=56","")</f>
        <v/>
      </c>
      <c r="S797" s="4" t="str">
        <f>HYPERLINK("http://141.218.60.56/~jnz1568/getInfo.php?workbook=16_15.xlsx&amp;sheet=A0&amp;row=797&amp;col=19&amp;number=&amp;sourceID=57","")</f>
        <v/>
      </c>
      <c r="T797" s="4" t="str">
        <f>HYPERLINK("http://141.218.60.56/~jnz1568/getInfo.php?workbook=16_15.xlsx&amp;sheet=A0&amp;row=797&amp;col=20&amp;number=&amp;sourceID=57","")</f>
        <v/>
      </c>
      <c r="U797" s="4" t="str">
        <f>HYPERLINK("http://141.218.60.56/~jnz1568/getInfo.php?workbook=16_15.xlsx&amp;sheet=A0&amp;row=797&amp;col=21&amp;number=&amp;sourceID=47","")</f>
        <v/>
      </c>
      <c r="V797" s="4" t="str">
        <f>HYPERLINK("http://141.218.60.56/~jnz1568/getInfo.php?workbook=16_15.xlsx&amp;sheet=A0&amp;row=797&amp;col=22&amp;number=&amp;sourceID=47","")</f>
        <v/>
      </c>
    </row>
    <row r="798" spans="1:22">
      <c r="A798" s="3">
        <v>16</v>
      </c>
      <c r="B798" s="3">
        <v>15</v>
      </c>
      <c r="C798" s="3">
        <v>46</v>
      </c>
      <c r="D798" s="3">
        <v>11</v>
      </c>
      <c r="E798" s="3">
        <f>((1/(INDEX(E0!J$4:J$73,C798,1)-INDEX(E0!J$4:J$73,D798,1))))*100000000</f>
        <v>0</v>
      </c>
      <c r="F798" s="4" t="str">
        <f>HYPERLINK("http://141.218.60.56/~jnz1568/getInfo.php?workbook=16_15.xlsx&amp;sheet=A0&amp;row=798&amp;col=6&amp;number=999220&amp;sourceID=54","999220")</f>
        <v>999220</v>
      </c>
      <c r="G798" s="4" t="str">
        <f>HYPERLINK("http://141.218.60.56/~jnz1568/getInfo.php?workbook=16_15.xlsx&amp;sheet=A0&amp;row=798&amp;col=7&amp;number=&amp;sourceID=54","")</f>
        <v/>
      </c>
      <c r="H798" s="4" t="str">
        <f>HYPERLINK("http://141.218.60.56/~jnz1568/getInfo.php?workbook=16_15.xlsx&amp;sheet=A0&amp;row=798&amp;col=8&amp;number=&amp;sourceID=54","")</f>
        <v/>
      </c>
      <c r="I798" s="4" t="str">
        <f>HYPERLINK("http://141.218.60.56/~jnz1568/getInfo.php?workbook=16_15.xlsx&amp;sheet=A0&amp;row=798&amp;col=9&amp;number=1017000&amp;sourceID=54","1017000")</f>
        <v>1017000</v>
      </c>
      <c r="J798" s="4" t="str">
        <f>HYPERLINK("http://141.218.60.56/~jnz1568/getInfo.php?workbook=16_15.xlsx&amp;sheet=A0&amp;row=798&amp;col=10&amp;number=&amp;sourceID=54","")</f>
        <v/>
      </c>
      <c r="K798" s="4" t="str">
        <f>HYPERLINK("http://141.218.60.56/~jnz1568/getInfo.php?workbook=16_15.xlsx&amp;sheet=A0&amp;row=798&amp;col=11&amp;number=&amp;sourceID=54","")</f>
        <v/>
      </c>
      <c r="L798" s="4" t="str">
        <f>HYPERLINK("http://141.218.60.56/~jnz1568/getInfo.php?workbook=16_15.xlsx&amp;sheet=A0&amp;row=798&amp;col=12&amp;number=64496.4615776&amp;sourceID=53","64496.4615776")</f>
        <v>64496.4615776</v>
      </c>
      <c r="M798" s="4" t="str">
        <f>HYPERLINK("http://141.218.60.56/~jnz1568/getInfo.php?workbook=16_15.xlsx&amp;sheet=A0&amp;row=798&amp;col=13&amp;number=&amp;sourceID=53","")</f>
        <v/>
      </c>
      <c r="N798" s="4" t="str">
        <f>HYPERLINK("http://141.218.60.56/~jnz1568/getInfo.php?workbook=16_15.xlsx&amp;sheet=A0&amp;row=798&amp;col=14&amp;number=&amp;sourceID=53","")</f>
        <v/>
      </c>
      <c r="O798" s="4" t="str">
        <f>HYPERLINK("http://141.218.60.56/~jnz1568/getInfo.php?workbook=16_15.xlsx&amp;sheet=A0&amp;row=798&amp;col=15&amp;number=&amp;sourceID=55","")</f>
        <v/>
      </c>
      <c r="P798" s="4" t="str">
        <f>HYPERLINK("http://141.218.60.56/~jnz1568/getInfo.php?workbook=16_15.xlsx&amp;sheet=A0&amp;row=798&amp;col=16&amp;number=&amp;sourceID=55","")</f>
        <v/>
      </c>
      <c r="Q798" s="4" t="str">
        <f>HYPERLINK("http://141.218.60.56/~jnz1568/getInfo.php?workbook=16_15.xlsx&amp;sheet=A0&amp;row=798&amp;col=17&amp;number=&amp;sourceID=56","")</f>
        <v/>
      </c>
      <c r="R798" s="4" t="str">
        <f>HYPERLINK("http://141.218.60.56/~jnz1568/getInfo.php?workbook=16_15.xlsx&amp;sheet=A0&amp;row=798&amp;col=18&amp;number=&amp;sourceID=56","")</f>
        <v/>
      </c>
      <c r="S798" s="4" t="str">
        <f>HYPERLINK("http://141.218.60.56/~jnz1568/getInfo.php?workbook=16_15.xlsx&amp;sheet=A0&amp;row=798&amp;col=19&amp;number=&amp;sourceID=57","")</f>
        <v/>
      </c>
      <c r="T798" s="4" t="str">
        <f>HYPERLINK("http://141.218.60.56/~jnz1568/getInfo.php?workbook=16_15.xlsx&amp;sheet=A0&amp;row=798&amp;col=20&amp;number=&amp;sourceID=57","")</f>
        <v/>
      </c>
      <c r="U798" s="4" t="str">
        <f>HYPERLINK("http://141.218.60.56/~jnz1568/getInfo.php?workbook=16_15.xlsx&amp;sheet=A0&amp;row=798&amp;col=21&amp;number=&amp;sourceID=47","")</f>
        <v/>
      </c>
      <c r="V798" s="4" t="str">
        <f>HYPERLINK("http://141.218.60.56/~jnz1568/getInfo.php?workbook=16_15.xlsx&amp;sheet=A0&amp;row=798&amp;col=22&amp;number=&amp;sourceID=47","")</f>
        <v/>
      </c>
    </row>
    <row r="799" spans="1:22">
      <c r="A799" s="3">
        <v>16</v>
      </c>
      <c r="B799" s="3">
        <v>15</v>
      </c>
      <c r="C799" s="3">
        <v>46</v>
      </c>
      <c r="D799" s="3">
        <v>14</v>
      </c>
      <c r="E799" s="3">
        <f>((1/(INDEX(E0!J$4:J$73,C799,1)-INDEX(E0!J$4:J$73,D799,1))))*100000000</f>
        <v>0</v>
      </c>
      <c r="F799" s="4" t="str">
        <f>HYPERLINK("http://141.218.60.56/~jnz1568/getInfo.php?workbook=16_15.xlsx&amp;sheet=A0&amp;row=799&amp;col=6&amp;number=424160&amp;sourceID=54","424160")</f>
        <v>424160</v>
      </c>
      <c r="G799" s="4" t="str">
        <f>HYPERLINK("http://141.218.60.56/~jnz1568/getInfo.php?workbook=16_15.xlsx&amp;sheet=A0&amp;row=799&amp;col=7&amp;number=&amp;sourceID=54","")</f>
        <v/>
      </c>
      <c r="H799" s="4" t="str">
        <f>HYPERLINK("http://141.218.60.56/~jnz1568/getInfo.php?workbook=16_15.xlsx&amp;sheet=A0&amp;row=799&amp;col=8&amp;number=&amp;sourceID=54","")</f>
        <v/>
      </c>
      <c r="I799" s="4" t="str">
        <f>HYPERLINK("http://141.218.60.56/~jnz1568/getInfo.php?workbook=16_15.xlsx&amp;sheet=A0&amp;row=799&amp;col=9&amp;number=409590&amp;sourceID=54","409590")</f>
        <v>409590</v>
      </c>
      <c r="J799" s="4" t="str">
        <f>HYPERLINK("http://141.218.60.56/~jnz1568/getInfo.php?workbook=16_15.xlsx&amp;sheet=A0&amp;row=799&amp;col=10&amp;number=&amp;sourceID=54","")</f>
        <v/>
      </c>
      <c r="K799" s="4" t="str">
        <f>HYPERLINK("http://141.218.60.56/~jnz1568/getInfo.php?workbook=16_15.xlsx&amp;sheet=A0&amp;row=799&amp;col=11&amp;number=&amp;sourceID=54","")</f>
        <v/>
      </c>
      <c r="L799" s="4" t="str">
        <f>HYPERLINK("http://141.218.60.56/~jnz1568/getInfo.php?workbook=16_15.xlsx&amp;sheet=A0&amp;row=799&amp;col=12&amp;number=522935.168041&amp;sourceID=53","522935.168041")</f>
        <v>522935.168041</v>
      </c>
      <c r="M799" s="4" t="str">
        <f>HYPERLINK("http://141.218.60.56/~jnz1568/getInfo.php?workbook=16_15.xlsx&amp;sheet=A0&amp;row=799&amp;col=13&amp;number=&amp;sourceID=53","")</f>
        <v/>
      </c>
      <c r="N799" s="4" t="str">
        <f>HYPERLINK("http://141.218.60.56/~jnz1568/getInfo.php?workbook=16_15.xlsx&amp;sheet=A0&amp;row=799&amp;col=14&amp;number=&amp;sourceID=53","")</f>
        <v/>
      </c>
      <c r="O799" s="4" t="str">
        <f>HYPERLINK("http://141.218.60.56/~jnz1568/getInfo.php?workbook=16_15.xlsx&amp;sheet=A0&amp;row=799&amp;col=15&amp;number=&amp;sourceID=55","")</f>
        <v/>
      </c>
      <c r="P799" s="4" t="str">
        <f>HYPERLINK("http://141.218.60.56/~jnz1568/getInfo.php?workbook=16_15.xlsx&amp;sheet=A0&amp;row=799&amp;col=16&amp;number=&amp;sourceID=55","")</f>
        <v/>
      </c>
      <c r="Q799" s="4" t="str">
        <f>HYPERLINK("http://141.218.60.56/~jnz1568/getInfo.php?workbook=16_15.xlsx&amp;sheet=A0&amp;row=799&amp;col=17&amp;number=&amp;sourceID=56","")</f>
        <v/>
      </c>
      <c r="R799" s="4" t="str">
        <f>HYPERLINK("http://141.218.60.56/~jnz1568/getInfo.php?workbook=16_15.xlsx&amp;sheet=A0&amp;row=799&amp;col=18&amp;number=&amp;sourceID=56","")</f>
        <v/>
      </c>
      <c r="S799" s="4" t="str">
        <f>HYPERLINK("http://141.218.60.56/~jnz1568/getInfo.php?workbook=16_15.xlsx&amp;sheet=A0&amp;row=799&amp;col=19&amp;number=&amp;sourceID=57","")</f>
        <v/>
      </c>
      <c r="T799" s="4" t="str">
        <f>HYPERLINK("http://141.218.60.56/~jnz1568/getInfo.php?workbook=16_15.xlsx&amp;sheet=A0&amp;row=799&amp;col=20&amp;number=&amp;sourceID=57","")</f>
        <v/>
      </c>
      <c r="U799" s="4" t="str">
        <f>HYPERLINK("http://141.218.60.56/~jnz1568/getInfo.php?workbook=16_15.xlsx&amp;sheet=A0&amp;row=799&amp;col=21&amp;number=&amp;sourceID=47","")</f>
        <v/>
      </c>
      <c r="V799" s="4" t="str">
        <f>HYPERLINK("http://141.218.60.56/~jnz1568/getInfo.php?workbook=16_15.xlsx&amp;sheet=A0&amp;row=799&amp;col=22&amp;number=&amp;sourceID=47","")</f>
        <v/>
      </c>
    </row>
    <row r="800" spans="1:22">
      <c r="A800" s="3">
        <v>16</v>
      </c>
      <c r="B800" s="3">
        <v>15</v>
      </c>
      <c r="C800" s="3">
        <v>46</v>
      </c>
      <c r="D800" s="3">
        <v>15</v>
      </c>
      <c r="E800" s="3">
        <f>((1/(INDEX(E0!J$4:J$73,C800,1)-INDEX(E0!J$4:J$73,D800,1))))*100000000</f>
        <v>0</v>
      </c>
      <c r="F800" s="4" t="str">
        <f>HYPERLINK("http://141.218.60.56/~jnz1568/getInfo.php?workbook=16_15.xlsx&amp;sheet=A0&amp;row=800&amp;col=6&amp;number=20.334&amp;sourceID=54","20.334")</f>
        <v>20.334</v>
      </c>
      <c r="G800" s="4" t="str">
        <f>HYPERLINK("http://141.218.60.56/~jnz1568/getInfo.php?workbook=16_15.xlsx&amp;sheet=A0&amp;row=800&amp;col=7&amp;number=&amp;sourceID=54","")</f>
        <v/>
      </c>
      <c r="H800" s="4" t="str">
        <f>HYPERLINK("http://141.218.60.56/~jnz1568/getInfo.php?workbook=16_15.xlsx&amp;sheet=A0&amp;row=800&amp;col=8&amp;number=&amp;sourceID=54","")</f>
        <v/>
      </c>
      <c r="I800" s="4" t="str">
        <f>HYPERLINK("http://141.218.60.56/~jnz1568/getInfo.php?workbook=16_15.xlsx&amp;sheet=A0&amp;row=800&amp;col=9&amp;number=14.336&amp;sourceID=54","14.336")</f>
        <v>14.336</v>
      </c>
      <c r="J800" s="4" t="str">
        <f>HYPERLINK("http://141.218.60.56/~jnz1568/getInfo.php?workbook=16_15.xlsx&amp;sheet=A0&amp;row=800&amp;col=10&amp;number=&amp;sourceID=54","")</f>
        <v/>
      </c>
      <c r="K800" s="4" t="str">
        <f>HYPERLINK("http://141.218.60.56/~jnz1568/getInfo.php?workbook=16_15.xlsx&amp;sheet=A0&amp;row=800&amp;col=11&amp;number=&amp;sourceID=54","")</f>
        <v/>
      </c>
      <c r="L800" s="4" t="str">
        <f>HYPERLINK("http://141.218.60.56/~jnz1568/getInfo.php?workbook=16_15.xlsx&amp;sheet=A0&amp;row=800&amp;col=12&amp;number=0.232384949151&amp;sourceID=53","0.232384949151")</f>
        <v>0.232384949151</v>
      </c>
      <c r="M800" s="4" t="str">
        <f>HYPERLINK("http://141.218.60.56/~jnz1568/getInfo.php?workbook=16_15.xlsx&amp;sheet=A0&amp;row=800&amp;col=13&amp;number=&amp;sourceID=53","")</f>
        <v/>
      </c>
      <c r="N800" s="4" t="str">
        <f>HYPERLINK("http://141.218.60.56/~jnz1568/getInfo.php?workbook=16_15.xlsx&amp;sheet=A0&amp;row=800&amp;col=14&amp;number=&amp;sourceID=53","")</f>
        <v/>
      </c>
      <c r="O800" s="4" t="str">
        <f>HYPERLINK("http://141.218.60.56/~jnz1568/getInfo.php?workbook=16_15.xlsx&amp;sheet=A0&amp;row=800&amp;col=15&amp;number=&amp;sourceID=55","")</f>
        <v/>
      </c>
      <c r="P800" s="4" t="str">
        <f>HYPERLINK("http://141.218.60.56/~jnz1568/getInfo.php?workbook=16_15.xlsx&amp;sheet=A0&amp;row=800&amp;col=16&amp;number=&amp;sourceID=55","")</f>
        <v/>
      </c>
      <c r="Q800" s="4" t="str">
        <f>HYPERLINK("http://141.218.60.56/~jnz1568/getInfo.php?workbook=16_15.xlsx&amp;sheet=A0&amp;row=800&amp;col=17&amp;number=&amp;sourceID=56","")</f>
        <v/>
      </c>
      <c r="R800" s="4" t="str">
        <f>HYPERLINK("http://141.218.60.56/~jnz1568/getInfo.php?workbook=16_15.xlsx&amp;sheet=A0&amp;row=800&amp;col=18&amp;number=&amp;sourceID=56","")</f>
        <v/>
      </c>
      <c r="S800" s="4" t="str">
        <f>HYPERLINK("http://141.218.60.56/~jnz1568/getInfo.php?workbook=16_15.xlsx&amp;sheet=A0&amp;row=800&amp;col=19&amp;number=&amp;sourceID=57","")</f>
        <v/>
      </c>
      <c r="T800" s="4" t="str">
        <f>HYPERLINK("http://141.218.60.56/~jnz1568/getInfo.php?workbook=16_15.xlsx&amp;sheet=A0&amp;row=800&amp;col=20&amp;number=&amp;sourceID=57","")</f>
        <v/>
      </c>
      <c r="U800" s="4" t="str">
        <f>HYPERLINK("http://141.218.60.56/~jnz1568/getInfo.php?workbook=16_15.xlsx&amp;sheet=A0&amp;row=800&amp;col=21&amp;number=&amp;sourceID=47","")</f>
        <v/>
      </c>
      <c r="V800" s="4" t="str">
        <f>HYPERLINK("http://141.218.60.56/~jnz1568/getInfo.php?workbook=16_15.xlsx&amp;sheet=A0&amp;row=800&amp;col=22&amp;number=&amp;sourceID=47","")</f>
        <v/>
      </c>
    </row>
    <row r="801" spans="1:22">
      <c r="A801" s="3">
        <v>16</v>
      </c>
      <c r="B801" s="3">
        <v>15</v>
      </c>
      <c r="C801" s="3">
        <v>46</v>
      </c>
      <c r="D801" s="3">
        <v>16</v>
      </c>
      <c r="E801" s="3">
        <f>((1/(INDEX(E0!J$4:J$73,C801,1)-INDEX(E0!J$4:J$73,D801,1))))*100000000</f>
        <v>0</v>
      </c>
      <c r="F801" s="4" t="str">
        <f>HYPERLINK("http://141.218.60.56/~jnz1568/getInfo.php?workbook=16_15.xlsx&amp;sheet=A0&amp;row=801&amp;col=6&amp;number=2083900&amp;sourceID=54","2083900")</f>
        <v>2083900</v>
      </c>
      <c r="G801" s="4" t="str">
        <f>HYPERLINK("http://141.218.60.56/~jnz1568/getInfo.php?workbook=16_15.xlsx&amp;sheet=A0&amp;row=801&amp;col=7&amp;number=&amp;sourceID=54","")</f>
        <v/>
      </c>
      <c r="H801" s="4" t="str">
        <f>HYPERLINK("http://141.218.60.56/~jnz1568/getInfo.php?workbook=16_15.xlsx&amp;sheet=A0&amp;row=801&amp;col=8&amp;number=&amp;sourceID=54","")</f>
        <v/>
      </c>
      <c r="I801" s="4" t="str">
        <f>HYPERLINK("http://141.218.60.56/~jnz1568/getInfo.php?workbook=16_15.xlsx&amp;sheet=A0&amp;row=801&amp;col=9&amp;number=2384200&amp;sourceID=54","2384200")</f>
        <v>2384200</v>
      </c>
      <c r="J801" s="4" t="str">
        <f>HYPERLINK("http://141.218.60.56/~jnz1568/getInfo.php?workbook=16_15.xlsx&amp;sheet=A0&amp;row=801&amp;col=10&amp;number=&amp;sourceID=54","")</f>
        <v/>
      </c>
      <c r="K801" s="4" t="str">
        <f>HYPERLINK("http://141.218.60.56/~jnz1568/getInfo.php?workbook=16_15.xlsx&amp;sheet=A0&amp;row=801&amp;col=11&amp;number=&amp;sourceID=54","")</f>
        <v/>
      </c>
      <c r="L801" s="4" t="str">
        <f>HYPERLINK("http://141.218.60.56/~jnz1568/getInfo.php?workbook=16_15.xlsx&amp;sheet=A0&amp;row=801&amp;col=12&amp;number=2327595.94609&amp;sourceID=53","2327595.94609")</f>
        <v>2327595.94609</v>
      </c>
      <c r="M801" s="4" t="str">
        <f>HYPERLINK("http://141.218.60.56/~jnz1568/getInfo.php?workbook=16_15.xlsx&amp;sheet=A0&amp;row=801&amp;col=13&amp;number=&amp;sourceID=53","")</f>
        <v/>
      </c>
      <c r="N801" s="4" t="str">
        <f>HYPERLINK("http://141.218.60.56/~jnz1568/getInfo.php?workbook=16_15.xlsx&amp;sheet=A0&amp;row=801&amp;col=14&amp;number=&amp;sourceID=53","")</f>
        <v/>
      </c>
      <c r="O801" s="4" t="str">
        <f>HYPERLINK("http://141.218.60.56/~jnz1568/getInfo.php?workbook=16_15.xlsx&amp;sheet=A0&amp;row=801&amp;col=15&amp;number=&amp;sourceID=55","")</f>
        <v/>
      </c>
      <c r="P801" s="4" t="str">
        <f>HYPERLINK("http://141.218.60.56/~jnz1568/getInfo.php?workbook=16_15.xlsx&amp;sheet=A0&amp;row=801&amp;col=16&amp;number=&amp;sourceID=55","")</f>
        <v/>
      </c>
      <c r="Q801" s="4" t="str">
        <f>HYPERLINK("http://141.218.60.56/~jnz1568/getInfo.php?workbook=16_15.xlsx&amp;sheet=A0&amp;row=801&amp;col=17&amp;number=&amp;sourceID=56","")</f>
        <v/>
      </c>
      <c r="R801" s="4" t="str">
        <f>HYPERLINK("http://141.218.60.56/~jnz1568/getInfo.php?workbook=16_15.xlsx&amp;sheet=A0&amp;row=801&amp;col=18&amp;number=&amp;sourceID=56","")</f>
        <v/>
      </c>
      <c r="S801" s="4" t="str">
        <f>HYPERLINK("http://141.218.60.56/~jnz1568/getInfo.php?workbook=16_15.xlsx&amp;sheet=A0&amp;row=801&amp;col=19&amp;number=&amp;sourceID=57","")</f>
        <v/>
      </c>
      <c r="T801" s="4" t="str">
        <f>HYPERLINK("http://141.218.60.56/~jnz1568/getInfo.php?workbook=16_15.xlsx&amp;sheet=A0&amp;row=801&amp;col=20&amp;number=&amp;sourceID=57","")</f>
        <v/>
      </c>
      <c r="U801" s="4" t="str">
        <f>HYPERLINK("http://141.218.60.56/~jnz1568/getInfo.php?workbook=16_15.xlsx&amp;sheet=A0&amp;row=801&amp;col=21&amp;number=&amp;sourceID=47","")</f>
        <v/>
      </c>
      <c r="V801" s="4" t="str">
        <f>HYPERLINK("http://141.218.60.56/~jnz1568/getInfo.php?workbook=16_15.xlsx&amp;sheet=A0&amp;row=801&amp;col=22&amp;number=&amp;sourceID=47","")</f>
        <v/>
      </c>
    </row>
    <row r="802" spans="1:22">
      <c r="A802" s="3">
        <v>16</v>
      </c>
      <c r="B802" s="3">
        <v>15</v>
      </c>
      <c r="C802" s="3">
        <v>46</v>
      </c>
      <c r="D802" s="3">
        <v>17</v>
      </c>
      <c r="E802" s="3">
        <f>((1/(INDEX(E0!J$4:J$73,C802,1)-INDEX(E0!J$4:J$73,D802,1))))*100000000</f>
        <v>0</v>
      </c>
      <c r="F802" s="4" t="str">
        <f>HYPERLINK("http://141.218.60.56/~jnz1568/getInfo.php?workbook=16_15.xlsx&amp;sheet=A0&amp;row=802&amp;col=6&amp;number=919.26&amp;sourceID=54","919.26")</f>
        <v>919.26</v>
      </c>
      <c r="G802" s="4" t="str">
        <f>HYPERLINK("http://141.218.60.56/~jnz1568/getInfo.php?workbook=16_15.xlsx&amp;sheet=A0&amp;row=802&amp;col=7&amp;number=&amp;sourceID=54","")</f>
        <v/>
      </c>
      <c r="H802" s="4" t="str">
        <f>HYPERLINK("http://141.218.60.56/~jnz1568/getInfo.php?workbook=16_15.xlsx&amp;sheet=A0&amp;row=802&amp;col=8&amp;number=&amp;sourceID=54","")</f>
        <v/>
      </c>
      <c r="I802" s="4" t="str">
        <f>HYPERLINK("http://141.218.60.56/~jnz1568/getInfo.php?workbook=16_15.xlsx&amp;sheet=A0&amp;row=802&amp;col=9&amp;number=235.48&amp;sourceID=54","235.48")</f>
        <v>235.48</v>
      </c>
      <c r="J802" s="4" t="str">
        <f>HYPERLINK("http://141.218.60.56/~jnz1568/getInfo.php?workbook=16_15.xlsx&amp;sheet=A0&amp;row=802&amp;col=10&amp;number=&amp;sourceID=54","")</f>
        <v/>
      </c>
      <c r="K802" s="4" t="str">
        <f>HYPERLINK("http://141.218.60.56/~jnz1568/getInfo.php?workbook=16_15.xlsx&amp;sheet=A0&amp;row=802&amp;col=11&amp;number=&amp;sourceID=54","")</f>
        <v/>
      </c>
      <c r="L802" s="4" t="str">
        <f>HYPERLINK("http://141.218.60.56/~jnz1568/getInfo.php?workbook=16_15.xlsx&amp;sheet=A0&amp;row=802&amp;col=12&amp;number=32.5555612783&amp;sourceID=53","32.5555612783")</f>
        <v>32.5555612783</v>
      </c>
      <c r="M802" s="4" t="str">
        <f>HYPERLINK("http://141.218.60.56/~jnz1568/getInfo.php?workbook=16_15.xlsx&amp;sheet=A0&amp;row=802&amp;col=13&amp;number=&amp;sourceID=53","")</f>
        <v/>
      </c>
      <c r="N802" s="4" t="str">
        <f>HYPERLINK("http://141.218.60.56/~jnz1568/getInfo.php?workbook=16_15.xlsx&amp;sheet=A0&amp;row=802&amp;col=14&amp;number=&amp;sourceID=53","")</f>
        <v/>
      </c>
      <c r="O802" s="4" t="str">
        <f>HYPERLINK("http://141.218.60.56/~jnz1568/getInfo.php?workbook=16_15.xlsx&amp;sheet=A0&amp;row=802&amp;col=15&amp;number=&amp;sourceID=55","")</f>
        <v/>
      </c>
      <c r="P802" s="4" t="str">
        <f>HYPERLINK("http://141.218.60.56/~jnz1568/getInfo.php?workbook=16_15.xlsx&amp;sheet=A0&amp;row=802&amp;col=16&amp;number=&amp;sourceID=55","")</f>
        <v/>
      </c>
      <c r="Q802" s="4" t="str">
        <f>HYPERLINK("http://141.218.60.56/~jnz1568/getInfo.php?workbook=16_15.xlsx&amp;sheet=A0&amp;row=802&amp;col=17&amp;number=&amp;sourceID=56","")</f>
        <v/>
      </c>
      <c r="R802" s="4" t="str">
        <f>HYPERLINK("http://141.218.60.56/~jnz1568/getInfo.php?workbook=16_15.xlsx&amp;sheet=A0&amp;row=802&amp;col=18&amp;number=&amp;sourceID=56","")</f>
        <v/>
      </c>
      <c r="S802" s="4" t="str">
        <f>HYPERLINK("http://141.218.60.56/~jnz1568/getInfo.php?workbook=16_15.xlsx&amp;sheet=A0&amp;row=802&amp;col=19&amp;number=&amp;sourceID=57","")</f>
        <v/>
      </c>
      <c r="T802" s="4" t="str">
        <f>HYPERLINK("http://141.218.60.56/~jnz1568/getInfo.php?workbook=16_15.xlsx&amp;sheet=A0&amp;row=802&amp;col=20&amp;number=&amp;sourceID=57","")</f>
        <v/>
      </c>
      <c r="U802" s="4" t="str">
        <f>HYPERLINK("http://141.218.60.56/~jnz1568/getInfo.php?workbook=16_15.xlsx&amp;sheet=A0&amp;row=802&amp;col=21&amp;number=&amp;sourceID=47","")</f>
        <v/>
      </c>
      <c r="V802" s="4" t="str">
        <f>HYPERLINK("http://141.218.60.56/~jnz1568/getInfo.php?workbook=16_15.xlsx&amp;sheet=A0&amp;row=802&amp;col=22&amp;number=&amp;sourceID=47","")</f>
        <v/>
      </c>
    </row>
    <row r="803" spans="1:22">
      <c r="A803" s="3">
        <v>16</v>
      </c>
      <c r="B803" s="3">
        <v>15</v>
      </c>
      <c r="C803" s="3">
        <v>46</v>
      </c>
      <c r="D803" s="3">
        <v>18</v>
      </c>
      <c r="E803" s="3">
        <f>((1/(INDEX(E0!J$4:J$73,C803,1)-INDEX(E0!J$4:J$73,D803,1))))*100000000</f>
        <v>0</v>
      </c>
      <c r="F803" s="4" t="str">
        <f>HYPERLINK("http://141.218.60.56/~jnz1568/getInfo.php?workbook=16_15.xlsx&amp;sheet=A0&amp;row=803&amp;col=6&amp;number=11236&amp;sourceID=54","11236")</f>
        <v>11236</v>
      </c>
      <c r="G803" s="4" t="str">
        <f>HYPERLINK("http://141.218.60.56/~jnz1568/getInfo.php?workbook=16_15.xlsx&amp;sheet=A0&amp;row=803&amp;col=7&amp;number=&amp;sourceID=54","")</f>
        <v/>
      </c>
      <c r="H803" s="4" t="str">
        <f>HYPERLINK("http://141.218.60.56/~jnz1568/getInfo.php?workbook=16_15.xlsx&amp;sheet=A0&amp;row=803&amp;col=8&amp;number=&amp;sourceID=54","")</f>
        <v/>
      </c>
      <c r="I803" s="4" t="str">
        <f>HYPERLINK("http://141.218.60.56/~jnz1568/getInfo.php?workbook=16_15.xlsx&amp;sheet=A0&amp;row=803&amp;col=9&amp;number=11460&amp;sourceID=54","11460")</f>
        <v>11460</v>
      </c>
      <c r="J803" s="4" t="str">
        <f>HYPERLINK("http://141.218.60.56/~jnz1568/getInfo.php?workbook=16_15.xlsx&amp;sheet=A0&amp;row=803&amp;col=10&amp;number=&amp;sourceID=54","")</f>
        <v/>
      </c>
      <c r="K803" s="4" t="str">
        <f>HYPERLINK("http://141.218.60.56/~jnz1568/getInfo.php?workbook=16_15.xlsx&amp;sheet=A0&amp;row=803&amp;col=11&amp;number=&amp;sourceID=54","")</f>
        <v/>
      </c>
      <c r="L803" s="4" t="str">
        <f>HYPERLINK("http://141.218.60.56/~jnz1568/getInfo.php?workbook=16_15.xlsx&amp;sheet=A0&amp;row=803&amp;col=12&amp;number=11256.7385411&amp;sourceID=53","11256.7385411")</f>
        <v>11256.7385411</v>
      </c>
      <c r="M803" s="4" t="str">
        <f>HYPERLINK("http://141.218.60.56/~jnz1568/getInfo.php?workbook=16_15.xlsx&amp;sheet=A0&amp;row=803&amp;col=13&amp;number=&amp;sourceID=53","")</f>
        <v/>
      </c>
      <c r="N803" s="4" t="str">
        <f>HYPERLINK("http://141.218.60.56/~jnz1568/getInfo.php?workbook=16_15.xlsx&amp;sheet=A0&amp;row=803&amp;col=14&amp;number=&amp;sourceID=53","")</f>
        <v/>
      </c>
      <c r="O803" s="4" t="str">
        <f>HYPERLINK("http://141.218.60.56/~jnz1568/getInfo.php?workbook=16_15.xlsx&amp;sheet=A0&amp;row=803&amp;col=15&amp;number=&amp;sourceID=55","")</f>
        <v/>
      </c>
      <c r="P803" s="4" t="str">
        <f>HYPERLINK("http://141.218.60.56/~jnz1568/getInfo.php?workbook=16_15.xlsx&amp;sheet=A0&amp;row=803&amp;col=16&amp;number=&amp;sourceID=55","")</f>
        <v/>
      </c>
      <c r="Q803" s="4" t="str">
        <f>HYPERLINK("http://141.218.60.56/~jnz1568/getInfo.php?workbook=16_15.xlsx&amp;sheet=A0&amp;row=803&amp;col=17&amp;number=&amp;sourceID=56","")</f>
        <v/>
      </c>
      <c r="R803" s="4" t="str">
        <f>HYPERLINK("http://141.218.60.56/~jnz1568/getInfo.php?workbook=16_15.xlsx&amp;sheet=A0&amp;row=803&amp;col=18&amp;number=&amp;sourceID=56","")</f>
        <v/>
      </c>
      <c r="S803" s="4" t="str">
        <f>HYPERLINK("http://141.218.60.56/~jnz1568/getInfo.php?workbook=16_15.xlsx&amp;sheet=A0&amp;row=803&amp;col=19&amp;number=&amp;sourceID=57","")</f>
        <v/>
      </c>
      <c r="T803" s="4" t="str">
        <f>HYPERLINK("http://141.218.60.56/~jnz1568/getInfo.php?workbook=16_15.xlsx&amp;sheet=A0&amp;row=803&amp;col=20&amp;number=&amp;sourceID=57","")</f>
        <v/>
      </c>
      <c r="U803" s="4" t="str">
        <f>HYPERLINK("http://141.218.60.56/~jnz1568/getInfo.php?workbook=16_15.xlsx&amp;sheet=A0&amp;row=803&amp;col=21&amp;number=&amp;sourceID=47","")</f>
        <v/>
      </c>
      <c r="V803" s="4" t="str">
        <f>HYPERLINK("http://141.218.60.56/~jnz1568/getInfo.php?workbook=16_15.xlsx&amp;sheet=A0&amp;row=803&amp;col=22&amp;number=&amp;sourceID=47","")</f>
        <v/>
      </c>
    </row>
    <row r="804" spans="1:22">
      <c r="A804" s="3">
        <v>16</v>
      </c>
      <c r="B804" s="3">
        <v>15</v>
      </c>
      <c r="C804" s="3">
        <v>46</v>
      </c>
      <c r="D804" s="3">
        <v>21</v>
      </c>
      <c r="E804" s="3">
        <f>((1/(INDEX(E0!J$4:J$73,C804,1)-INDEX(E0!J$4:J$73,D804,1))))*100000000</f>
        <v>0</v>
      </c>
      <c r="F804" s="4" t="str">
        <f>HYPERLINK("http://141.218.60.56/~jnz1568/getInfo.php?workbook=16_15.xlsx&amp;sheet=A0&amp;row=804&amp;col=6&amp;number=65612000&amp;sourceID=54","65612000")</f>
        <v>65612000</v>
      </c>
      <c r="G804" s="4" t="str">
        <f>HYPERLINK("http://141.218.60.56/~jnz1568/getInfo.php?workbook=16_15.xlsx&amp;sheet=A0&amp;row=804&amp;col=7&amp;number=&amp;sourceID=54","")</f>
        <v/>
      </c>
      <c r="H804" s="4" t="str">
        <f>HYPERLINK("http://141.218.60.56/~jnz1568/getInfo.php?workbook=16_15.xlsx&amp;sheet=A0&amp;row=804&amp;col=8&amp;number=&amp;sourceID=54","")</f>
        <v/>
      </c>
      <c r="I804" s="4" t="str">
        <f>HYPERLINK("http://141.218.60.56/~jnz1568/getInfo.php?workbook=16_15.xlsx&amp;sheet=A0&amp;row=804&amp;col=9&amp;number=63315000&amp;sourceID=54","63315000")</f>
        <v>63315000</v>
      </c>
      <c r="J804" s="4" t="str">
        <f>HYPERLINK("http://141.218.60.56/~jnz1568/getInfo.php?workbook=16_15.xlsx&amp;sheet=A0&amp;row=804&amp;col=10&amp;number=&amp;sourceID=54","")</f>
        <v/>
      </c>
      <c r="K804" s="4" t="str">
        <f>HYPERLINK("http://141.218.60.56/~jnz1568/getInfo.php?workbook=16_15.xlsx&amp;sheet=A0&amp;row=804&amp;col=11&amp;number=&amp;sourceID=54","")</f>
        <v/>
      </c>
      <c r="L804" s="4" t="str">
        <f>HYPERLINK("http://141.218.60.56/~jnz1568/getInfo.php?workbook=16_15.xlsx&amp;sheet=A0&amp;row=804&amp;col=12&amp;number=53412172.3115&amp;sourceID=53","53412172.3115")</f>
        <v>53412172.3115</v>
      </c>
      <c r="M804" s="4" t="str">
        <f>HYPERLINK("http://141.218.60.56/~jnz1568/getInfo.php?workbook=16_15.xlsx&amp;sheet=A0&amp;row=804&amp;col=13&amp;number=&amp;sourceID=53","")</f>
        <v/>
      </c>
      <c r="N804" s="4" t="str">
        <f>HYPERLINK("http://141.218.60.56/~jnz1568/getInfo.php?workbook=16_15.xlsx&amp;sheet=A0&amp;row=804&amp;col=14&amp;number=&amp;sourceID=53","")</f>
        <v/>
      </c>
      <c r="O804" s="4" t="str">
        <f>HYPERLINK("http://141.218.60.56/~jnz1568/getInfo.php?workbook=16_15.xlsx&amp;sheet=A0&amp;row=804&amp;col=15&amp;number=&amp;sourceID=55","")</f>
        <v/>
      </c>
      <c r="P804" s="4" t="str">
        <f>HYPERLINK("http://141.218.60.56/~jnz1568/getInfo.php?workbook=16_15.xlsx&amp;sheet=A0&amp;row=804&amp;col=16&amp;number=&amp;sourceID=55","")</f>
        <v/>
      </c>
      <c r="Q804" s="4" t="str">
        <f>HYPERLINK("http://141.218.60.56/~jnz1568/getInfo.php?workbook=16_15.xlsx&amp;sheet=A0&amp;row=804&amp;col=17&amp;number=&amp;sourceID=56","")</f>
        <v/>
      </c>
      <c r="R804" s="4" t="str">
        <f>HYPERLINK("http://141.218.60.56/~jnz1568/getInfo.php?workbook=16_15.xlsx&amp;sheet=A0&amp;row=804&amp;col=18&amp;number=&amp;sourceID=56","")</f>
        <v/>
      </c>
      <c r="S804" s="4" t="str">
        <f>HYPERLINK("http://141.218.60.56/~jnz1568/getInfo.php?workbook=16_15.xlsx&amp;sheet=A0&amp;row=804&amp;col=19&amp;number=&amp;sourceID=57","")</f>
        <v/>
      </c>
      <c r="T804" s="4" t="str">
        <f>HYPERLINK("http://141.218.60.56/~jnz1568/getInfo.php?workbook=16_15.xlsx&amp;sheet=A0&amp;row=804&amp;col=20&amp;number=&amp;sourceID=57","")</f>
        <v/>
      </c>
      <c r="U804" s="4" t="str">
        <f>HYPERLINK("http://141.218.60.56/~jnz1568/getInfo.php?workbook=16_15.xlsx&amp;sheet=A0&amp;row=804&amp;col=21&amp;number=&amp;sourceID=47","")</f>
        <v/>
      </c>
      <c r="V804" s="4" t="str">
        <f>HYPERLINK("http://141.218.60.56/~jnz1568/getInfo.php?workbook=16_15.xlsx&amp;sheet=A0&amp;row=804&amp;col=22&amp;number=&amp;sourceID=47","")</f>
        <v/>
      </c>
    </row>
    <row r="805" spans="1:22">
      <c r="A805" s="3">
        <v>16</v>
      </c>
      <c r="B805" s="3">
        <v>15</v>
      </c>
      <c r="C805" s="3">
        <v>46</v>
      </c>
      <c r="D805" s="3">
        <v>23</v>
      </c>
      <c r="E805" s="3">
        <f>((1/(INDEX(E0!J$4:J$73,C805,1)-INDEX(E0!J$4:J$73,D805,1))))*100000000</f>
        <v>0</v>
      </c>
      <c r="F805" s="4" t="str">
        <f>HYPERLINK("http://141.218.60.56/~jnz1568/getInfo.php?workbook=16_15.xlsx&amp;sheet=A0&amp;row=805&amp;col=6&amp;number=12657&amp;sourceID=54","12657")</f>
        <v>12657</v>
      </c>
      <c r="G805" s="4" t="str">
        <f>HYPERLINK("http://141.218.60.56/~jnz1568/getInfo.php?workbook=16_15.xlsx&amp;sheet=A0&amp;row=805&amp;col=7&amp;number=&amp;sourceID=54","")</f>
        <v/>
      </c>
      <c r="H805" s="4" t="str">
        <f>HYPERLINK("http://141.218.60.56/~jnz1568/getInfo.php?workbook=16_15.xlsx&amp;sheet=A0&amp;row=805&amp;col=8&amp;number=&amp;sourceID=54","")</f>
        <v/>
      </c>
      <c r="I805" s="4" t="str">
        <f>HYPERLINK("http://141.218.60.56/~jnz1568/getInfo.php?workbook=16_15.xlsx&amp;sheet=A0&amp;row=805&amp;col=9&amp;number=16125&amp;sourceID=54","16125")</f>
        <v>16125</v>
      </c>
      <c r="J805" s="4" t="str">
        <f>HYPERLINK("http://141.218.60.56/~jnz1568/getInfo.php?workbook=16_15.xlsx&amp;sheet=A0&amp;row=805&amp;col=10&amp;number=&amp;sourceID=54","")</f>
        <v/>
      </c>
      <c r="K805" s="4" t="str">
        <f>HYPERLINK("http://141.218.60.56/~jnz1568/getInfo.php?workbook=16_15.xlsx&amp;sheet=A0&amp;row=805&amp;col=11&amp;number=&amp;sourceID=54","")</f>
        <v/>
      </c>
      <c r="L805" s="4" t="str">
        <f>HYPERLINK("http://141.218.60.56/~jnz1568/getInfo.php?workbook=16_15.xlsx&amp;sheet=A0&amp;row=805&amp;col=12&amp;number=8060.60368652&amp;sourceID=53","8060.60368652")</f>
        <v>8060.60368652</v>
      </c>
      <c r="M805" s="4" t="str">
        <f>HYPERLINK("http://141.218.60.56/~jnz1568/getInfo.php?workbook=16_15.xlsx&amp;sheet=A0&amp;row=805&amp;col=13&amp;number=&amp;sourceID=53","")</f>
        <v/>
      </c>
      <c r="N805" s="4" t="str">
        <f>HYPERLINK("http://141.218.60.56/~jnz1568/getInfo.php?workbook=16_15.xlsx&amp;sheet=A0&amp;row=805&amp;col=14&amp;number=&amp;sourceID=53","")</f>
        <v/>
      </c>
      <c r="O805" s="4" t="str">
        <f>HYPERLINK("http://141.218.60.56/~jnz1568/getInfo.php?workbook=16_15.xlsx&amp;sheet=A0&amp;row=805&amp;col=15&amp;number=&amp;sourceID=55","")</f>
        <v/>
      </c>
      <c r="P805" s="4" t="str">
        <f>HYPERLINK("http://141.218.60.56/~jnz1568/getInfo.php?workbook=16_15.xlsx&amp;sheet=A0&amp;row=805&amp;col=16&amp;number=&amp;sourceID=55","")</f>
        <v/>
      </c>
      <c r="Q805" s="4" t="str">
        <f>HYPERLINK("http://141.218.60.56/~jnz1568/getInfo.php?workbook=16_15.xlsx&amp;sheet=A0&amp;row=805&amp;col=17&amp;number=&amp;sourceID=56","")</f>
        <v/>
      </c>
      <c r="R805" s="4" t="str">
        <f>HYPERLINK("http://141.218.60.56/~jnz1568/getInfo.php?workbook=16_15.xlsx&amp;sheet=A0&amp;row=805&amp;col=18&amp;number=&amp;sourceID=56","")</f>
        <v/>
      </c>
      <c r="S805" s="4" t="str">
        <f>HYPERLINK("http://141.218.60.56/~jnz1568/getInfo.php?workbook=16_15.xlsx&amp;sheet=A0&amp;row=805&amp;col=19&amp;number=&amp;sourceID=57","")</f>
        <v/>
      </c>
      <c r="T805" s="4" t="str">
        <f>HYPERLINK("http://141.218.60.56/~jnz1568/getInfo.php?workbook=16_15.xlsx&amp;sheet=A0&amp;row=805&amp;col=20&amp;number=&amp;sourceID=57","")</f>
        <v/>
      </c>
      <c r="U805" s="4" t="str">
        <f>HYPERLINK("http://141.218.60.56/~jnz1568/getInfo.php?workbook=16_15.xlsx&amp;sheet=A0&amp;row=805&amp;col=21&amp;number=&amp;sourceID=47","")</f>
        <v/>
      </c>
      <c r="V805" s="4" t="str">
        <f>HYPERLINK("http://141.218.60.56/~jnz1568/getInfo.php?workbook=16_15.xlsx&amp;sheet=A0&amp;row=805&amp;col=22&amp;number=&amp;sourceID=47","")</f>
        <v/>
      </c>
    </row>
    <row r="806" spans="1:22">
      <c r="A806" s="3">
        <v>16</v>
      </c>
      <c r="B806" s="3">
        <v>15</v>
      </c>
      <c r="C806" s="3">
        <v>46</v>
      </c>
      <c r="D806" s="3">
        <v>24</v>
      </c>
      <c r="E806" s="3">
        <f>((1/(INDEX(E0!J$4:J$73,C806,1)-INDEX(E0!J$4:J$73,D806,1))))*100000000</f>
        <v>0</v>
      </c>
      <c r="F806" s="4" t="str">
        <f>HYPERLINK("http://141.218.60.56/~jnz1568/getInfo.php?workbook=16_15.xlsx&amp;sheet=A0&amp;row=806&amp;col=6&amp;number=53466&amp;sourceID=54","53466")</f>
        <v>53466</v>
      </c>
      <c r="G806" s="4" t="str">
        <f>HYPERLINK("http://141.218.60.56/~jnz1568/getInfo.php?workbook=16_15.xlsx&amp;sheet=A0&amp;row=806&amp;col=7&amp;number=&amp;sourceID=54","")</f>
        <v/>
      </c>
      <c r="H806" s="4" t="str">
        <f>HYPERLINK("http://141.218.60.56/~jnz1568/getInfo.php?workbook=16_15.xlsx&amp;sheet=A0&amp;row=806&amp;col=8&amp;number=&amp;sourceID=54","")</f>
        <v/>
      </c>
      <c r="I806" s="4" t="str">
        <f>HYPERLINK("http://141.218.60.56/~jnz1568/getInfo.php?workbook=16_15.xlsx&amp;sheet=A0&amp;row=806&amp;col=9&amp;number=33304&amp;sourceID=54","33304")</f>
        <v>33304</v>
      </c>
      <c r="J806" s="4" t="str">
        <f>HYPERLINK("http://141.218.60.56/~jnz1568/getInfo.php?workbook=16_15.xlsx&amp;sheet=A0&amp;row=806&amp;col=10&amp;number=&amp;sourceID=54","")</f>
        <v/>
      </c>
      <c r="K806" s="4" t="str">
        <f>HYPERLINK("http://141.218.60.56/~jnz1568/getInfo.php?workbook=16_15.xlsx&amp;sheet=A0&amp;row=806&amp;col=11&amp;number=&amp;sourceID=54","")</f>
        <v/>
      </c>
      <c r="L806" s="4" t="str">
        <f>HYPERLINK("http://141.218.60.56/~jnz1568/getInfo.php?workbook=16_15.xlsx&amp;sheet=A0&amp;row=806&amp;col=12&amp;number=23541.4483773&amp;sourceID=53","23541.4483773")</f>
        <v>23541.4483773</v>
      </c>
      <c r="M806" s="4" t="str">
        <f>HYPERLINK("http://141.218.60.56/~jnz1568/getInfo.php?workbook=16_15.xlsx&amp;sheet=A0&amp;row=806&amp;col=13&amp;number=&amp;sourceID=53","")</f>
        <v/>
      </c>
      <c r="N806" s="4" t="str">
        <f>HYPERLINK("http://141.218.60.56/~jnz1568/getInfo.php?workbook=16_15.xlsx&amp;sheet=A0&amp;row=806&amp;col=14&amp;number=&amp;sourceID=53","")</f>
        <v/>
      </c>
      <c r="O806" s="4" t="str">
        <f>HYPERLINK("http://141.218.60.56/~jnz1568/getInfo.php?workbook=16_15.xlsx&amp;sheet=A0&amp;row=806&amp;col=15&amp;number=&amp;sourceID=55","")</f>
        <v/>
      </c>
      <c r="P806" s="4" t="str">
        <f>HYPERLINK("http://141.218.60.56/~jnz1568/getInfo.php?workbook=16_15.xlsx&amp;sheet=A0&amp;row=806&amp;col=16&amp;number=&amp;sourceID=55","")</f>
        <v/>
      </c>
      <c r="Q806" s="4" t="str">
        <f>HYPERLINK("http://141.218.60.56/~jnz1568/getInfo.php?workbook=16_15.xlsx&amp;sheet=A0&amp;row=806&amp;col=17&amp;number=&amp;sourceID=56","")</f>
        <v/>
      </c>
      <c r="R806" s="4" t="str">
        <f>HYPERLINK("http://141.218.60.56/~jnz1568/getInfo.php?workbook=16_15.xlsx&amp;sheet=A0&amp;row=806&amp;col=18&amp;number=&amp;sourceID=56","")</f>
        <v/>
      </c>
      <c r="S806" s="4" t="str">
        <f>HYPERLINK("http://141.218.60.56/~jnz1568/getInfo.php?workbook=16_15.xlsx&amp;sheet=A0&amp;row=806&amp;col=19&amp;number=&amp;sourceID=57","")</f>
        <v/>
      </c>
      <c r="T806" s="4" t="str">
        <f>HYPERLINK("http://141.218.60.56/~jnz1568/getInfo.php?workbook=16_15.xlsx&amp;sheet=A0&amp;row=806&amp;col=20&amp;number=&amp;sourceID=57","")</f>
        <v/>
      </c>
      <c r="U806" s="4" t="str">
        <f>HYPERLINK("http://141.218.60.56/~jnz1568/getInfo.php?workbook=16_15.xlsx&amp;sheet=A0&amp;row=806&amp;col=21&amp;number=&amp;sourceID=47","")</f>
        <v/>
      </c>
      <c r="V806" s="4" t="str">
        <f>HYPERLINK("http://141.218.60.56/~jnz1568/getInfo.php?workbook=16_15.xlsx&amp;sheet=A0&amp;row=806&amp;col=22&amp;number=&amp;sourceID=47","")</f>
        <v/>
      </c>
    </row>
    <row r="807" spans="1:22">
      <c r="A807" s="3">
        <v>16</v>
      </c>
      <c r="B807" s="3">
        <v>15</v>
      </c>
      <c r="C807" s="3">
        <v>46</v>
      </c>
      <c r="D807" s="3">
        <v>25</v>
      </c>
      <c r="E807" s="3">
        <f>((1/(INDEX(E0!J$4:J$73,C807,1)-INDEX(E0!J$4:J$73,D807,1))))*100000000</f>
        <v>0</v>
      </c>
      <c r="F807" s="4" t="str">
        <f>HYPERLINK("http://141.218.60.56/~jnz1568/getInfo.php?workbook=16_15.xlsx&amp;sheet=A0&amp;row=807&amp;col=6&amp;number=3571.7&amp;sourceID=54","3571.7")</f>
        <v>3571.7</v>
      </c>
      <c r="G807" s="4" t="str">
        <f>HYPERLINK("http://141.218.60.56/~jnz1568/getInfo.php?workbook=16_15.xlsx&amp;sheet=A0&amp;row=807&amp;col=7&amp;number=&amp;sourceID=54","")</f>
        <v/>
      </c>
      <c r="H807" s="4" t="str">
        <f>HYPERLINK("http://141.218.60.56/~jnz1568/getInfo.php?workbook=16_15.xlsx&amp;sheet=A0&amp;row=807&amp;col=8&amp;number=&amp;sourceID=54","")</f>
        <v/>
      </c>
      <c r="I807" s="4" t="str">
        <f>HYPERLINK("http://141.218.60.56/~jnz1568/getInfo.php?workbook=16_15.xlsx&amp;sheet=A0&amp;row=807&amp;col=9&amp;number=102520&amp;sourceID=54","102520")</f>
        <v>102520</v>
      </c>
      <c r="J807" s="4" t="str">
        <f>HYPERLINK("http://141.218.60.56/~jnz1568/getInfo.php?workbook=16_15.xlsx&amp;sheet=A0&amp;row=807&amp;col=10&amp;number=&amp;sourceID=54","")</f>
        <v/>
      </c>
      <c r="K807" s="4" t="str">
        <f>HYPERLINK("http://141.218.60.56/~jnz1568/getInfo.php?workbook=16_15.xlsx&amp;sheet=A0&amp;row=807&amp;col=11&amp;number=&amp;sourceID=54","")</f>
        <v/>
      </c>
      <c r="L807" s="4" t="str">
        <f>HYPERLINK("http://141.218.60.56/~jnz1568/getInfo.php?workbook=16_15.xlsx&amp;sheet=A0&amp;row=807&amp;col=12&amp;number=139065.985028&amp;sourceID=53","139065.985028")</f>
        <v>139065.985028</v>
      </c>
      <c r="M807" s="4" t="str">
        <f>HYPERLINK("http://141.218.60.56/~jnz1568/getInfo.php?workbook=16_15.xlsx&amp;sheet=A0&amp;row=807&amp;col=13&amp;number=&amp;sourceID=53","")</f>
        <v/>
      </c>
      <c r="N807" s="4" t="str">
        <f>HYPERLINK("http://141.218.60.56/~jnz1568/getInfo.php?workbook=16_15.xlsx&amp;sheet=A0&amp;row=807&amp;col=14&amp;number=&amp;sourceID=53","")</f>
        <v/>
      </c>
      <c r="O807" s="4" t="str">
        <f>HYPERLINK("http://141.218.60.56/~jnz1568/getInfo.php?workbook=16_15.xlsx&amp;sheet=A0&amp;row=807&amp;col=15&amp;number=&amp;sourceID=55","")</f>
        <v/>
      </c>
      <c r="P807" s="4" t="str">
        <f>HYPERLINK("http://141.218.60.56/~jnz1568/getInfo.php?workbook=16_15.xlsx&amp;sheet=A0&amp;row=807&amp;col=16&amp;number=&amp;sourceID=55","")</f>
        <v/>
      </c>
      <c r="Q807" s="4" t="str">
        <f>HYPERLINK("http://141.218.60.56/~jnz1568/getInfo.php?workbook=16_15.xlsx&amp;sheet=A0&amp;row=807&amp;col=17&amp;number=&amp;sourceID=56","")</f>
        <v/>
      </c>
      <c r="R807" s="4" t="str">
        <f>HYPERLINK("http://141.218.60.56/~jnz1568/getInfo.php?workbook=16_15.xlsx&amp;sheet=A0&amp;row=807&amp;col=18&amp;number=&amp;sourceID=56","")</f>
        <v/>
      </c>
      <c r="S807" s="4" t="str">
        <f>HYPERLINK("http://141.218.60.56/~jnz1568/getInfo.php?workbook=16_15.xlsx&amp;sheet=A0&amp;row=807&amp;col=19&amp;number=&amp;sourceID=57","")</f>
        <v/>
      </c>
      <c r="T807" s="4" t="str">
        <f>HYPERLINK("http://141.218.60.56/~jnz1568/getInfo.php?workbook=16_15.xlsx&amp;sheet=A0&amp;row=807&amp;col=20&amp;number=&amp;sourceID=57","")</f>
        <v/>
      </c>
      <c r="U807" s="4" t="str">
        <f>HYPERLINK("http://141.218.60.56/~jnz1568/getInfo.php?workbook=16_15.xlsx&amp;sheet=A0&amp;row=807&amp;col=21&amp;number=&amp;sourceID=47","")</f>
        <v/>
      </c>
      <c r="V807" s="4" t="str">
        <f>HYPERLINK("http://141.218.60.56/~jnz1568/getInfo.php?workbook=16_15.xlsx&amp;sheet=A0&amp;row=807&amp;col=22&amp;number=&amp;sourceID=47","")</f>
        <v/>
      </c>
    </row>
    <row r="808" spans="1:22">
      <c r="A808" s="3">
        <v>16</v>
      </c>
      <c r="B808" s="3">
        <v>15</v>
      </c>
      <c r="C808" s="3">
        <v>46</v>
      </c>
      <c r="D808" s="3">
        <v>26</v>
      </c>
      <c r="E808" s="3">
        <f>((1/(INDEX(E0!J$4:J$73,C808,1)-INDEX(E0!J$4:J$73,D808,1))))*100000000</f>
        <v>0</v>
      </c>
      <c r="F808" s="4" t="str">
        <f>HYPERLINK("http://141.218.60.56/~jnz1568/getInfo.php?workbook=16_15.xlsx&amp;sheet=A0&amp;row=808&amp;col=6&amp;number=1154900&amp;sourceID=54","1154900")</f>
        <v>1154900</v>
      </c>
      <c r="G808" s="4" t="str">
        <f>HYPERLINK("http://141.218.60.56/~jnz1568/getInfo.php?workbook=16_15.xlsx&amp;sheet=A0&amp;row=808&amp;col=7&amp;number=&amp;sourceID=54","")</f>
        <v/>
      </c>
      <c r="H808" s="4" t="str">
        <f>HYPERLINK("http://141.218.60.56/~jnz1568/getInfo.php?workbook=16_15.xlsx&amp;sheet=A0&amp;row=808&amp;col=8&amp;number=&amp;sourceID=54","")</f>
        <v/>
      </c>
      <c r="I808" s="4" t="str">
        <f>HYPERLINK("http://141.218.60.56/~jnz1568/getInfo.php?workbook=16_15.xlsx&amp;sheet=A0&amp;row=808&amp;col=9&amp;number=1314300&amp;sourceID=54","1314300")</f>
        <v>1314300</v>
      </c>
      <c r="J808" s="4" t="str">
        <f>HYPERLINK("http://141.218.60.56/~jnz1568/getInfo.php?workbook=16_15.xlsx&amp;sheet=A0&amp;row=808&amp;col=10&amp;number=&amp;sourceID=54","")</f>
        <v/>
      </c>
      <c r="K808" s="4" t="str">
        <f>HYPERLINK("http://141.218.60.56/~jnz1568/getInfo.php?workbook=16_15.xlsx&amp;sheet=A0&amp;row=808&amp;col=11&amp;number=&amp;sourceID=54","")</f>
        <v/>
      </c>
      <c r="L808" s="4" t="str">
        <f>HYPERLINK("http://141.218.60.56/~jnz1568/getInfo.php?workbook=16_15.xlsx&amp;sheet=A0&amp;row=808&amp;col=12&amp;number=1346755.19076&amp;sourceID=53","1346755.19076")</f>
        <v>1346755.19076</v>
      </c>
      <c r="M808" s="4" t="str">
        <f>HYPERLINK("http://141.218.60.56/~jnz1568/getInfo.php?workbook=16_15.xlsx&amp;sheet=A0&amp;row=808&amp;col=13&amp;number=&amp;sourceID=53","")</f>
        <v/>
      </c>
      <c r="N808" s="4" t="str">
        <f>HYPERLINK("http://141.218.60.56/~jnz1568/getInfo.php?workbook=16_15.xlsx&amp;sheet=A0&amp;row=808&amp;col=14&amp;number=&amp;sourceID=53","")</f>
        <v/>
      </c>
      <c r="O808" s="4" t="str">
        <f>HYPERLINK("http://141.218.60.56/~jnz1568/getInfo.php?workbook=16_15.xlsx&amp;sheet=A0&amp;row=808&amp;col=15&amp;number=&amp;sourceID=55","")</f>
        <v/>
      </c>
      <c r="P808" s="4" t="str">
        <f>HYPERLINK("http://141.218.60.56/~jnz1568/getInfo.php?workbook=16_15.xlsx&amp;sheet=A0&amp;row=808&amp;col=16&amp;number=&amp;sourceID=55","")</f>
        <v/>
      </c>
      <c r="Q808" s="4" t="str">
        <f>HYPERLINK("http://141.218.60.56/~jnz1568/getInfo.php?workbook=16_15.xlsx&amp;sheet=A0&amp;row=808&amp;col=17&amp;number=&amp;sourceID=56","")</f>
        <v/>
      </c>
      <c r="R808" s="4" t="str">
        <f>HYPERLINK("http://141.218.60.56/~jnz1568/getInfo.php?workbook=16_15.xlsx&amp;sheet=A0&amp;row=808&amp;col=18&amp;number=&amp;sourceID=56","")</f>
        <v/>
      </c>
      <c r="S808" s="4" t="str">
        <f>HYPERLINK("http://141.218.60.56/~jnz1568/getInfo.php?workbook=16_15.xlsx&amp;sheet=A0&amp;row=808&amp;col=19&amp;number=&amp;sourceID=57","")</f>
        <v/>
      </c>
      <c r="T808" s="4" t="str">
        <f>HYPERLINK("http://141.218.60.56/~jnz1568/getInfo.php?workbook=16_15.xlsx&amp;sheet=A0&amp;row=808&amp;col=20&amp;number=&amp;sourceID=57","")</f>
        <v/>
      </c>
      <c r="U808" s="4" t="str">
        <f>HYPERLINK("http://141.218.60.56/~jnz1568/getInfo.php?workbook=16_15.xlsx&amp;sheet=A0&amp;row=808&amp;col=21&amp;number=&amp;sourceID=47","")</f>
        <v/>
      </c>
      <c r="V808" s="4" t="str">
        <f>HYPERLINK("http://141.218.60.56/~jnz1568/getInfo.php?workbook=16_15.xlsx&amp;sheet=A0&amp;row=808&amp;col=22&amp;number=&amp;sourceID=47","")</f>
        <v/>
      </c>
    </row>
    <row r="809" spans="1:22">
      <c r="A809" s="3">
        <v>16</v>
      </c>
      <c r="B809" s="3">
        <v>15</v>
      </c>
      <c r="C809" s="3">
        <v>46</v>
      </c>
      <c r="D809" s="3">
        <v>27</v>
      </c>
      <c r="E809" s="3">
        <f>((1/(INDEX(E0!J$4:J$73,C809,1)-INDEX(E0!J$4:J$73,D809,1))))*100000000</f>
        <v>0</v>
      </c>
      <c r="F809" s="4" t="str">
        <f>HYPERLINK("http://141.218.60.56/~jnz1568/getInfo.php?workbook=16_15.xlsx&amp;sheet=A0&amp;row=809&amp;col=6&amp;number=17874000&amp;sourceID=54","17874000")</f>
        <v>17874000</v>
      </c>
      <c r="G809" s="4" t="str">
        <f>HYPERLINK("http://141.218.60.56/~jnz1568/getInfo.php?workbook=16_15.xlsx&amp;sheet=A0&amp;row=809&amp;col=7&amp;number=&amp;sourceID=54","")</f>
        <v/>
      </c>
      <c r="H809" s="4" t="str">
        <f>HYPERLINK("http://141.218.60.56/~jnz1568/getInfo.php?workbook=16_15.xlsx&amp;sheet=A0&amp;row=809&amp;col=8&amp;number=&amp;sourceID=54","")</f>
        <v/>
      </c>
      <c r="I809" s="4" t="str">
        <f>HYPERLINK("http://141.218.60.56/~jnz1568/getInfo.php?workbook=16_15.xlsx&amp;sheet=A0&amp;row=809&amp;col=9&amp;number=19568000&amp;sourceID=54","19568000")</f>
        <v>19568000</v>
      </c>
      <c r="J809" s="4" t="str">
        <f>HYPERLINK("http://141.218.60.56/~jnz1568/getInfo.php?workbook=16_15.xlsx&amp;sheet=A0&amp;row=809&amp;col=10&amp;number=&amp;sourceID=54","")</f>
        <v/>
      </c>
      <c r="K809" s="4" t="str">
        <f>HYPERLINK("http://141.218.60.56/~jnz1568/getInfo.php?workbook=16_15.xlsx&amp;sheet=A0&amp;row=809&amp;col=11&amp;number=&amp;sourceID=54","")</f>
        <v/>
      </c>
      <c r="L809" s="4" t="str">
        <f>HYPERLINK("http://141.218.60.56/~jnz1568/getInfo.php?workbook=16_15.xlsx&amp;sheet=A0&amp;row=809&amp;col=12&amp;number=20231239.717&amp;sourceID=53","20231239.717")</f>
        <v>20231239.717</v>
      </c>
      <c r="M809" s="4" t="str">
        <f>HYPERLINK("http://141.218.60.56/~jnz1568/getInfo.php?workbook=16_15.xlsx&amp;sheet=A0&amp;row=809&amp;col=13&amp;number=&amp;sourceID=53","")</f>
        <v/>
      </c>
      <c r="N809" s="4" t="str">
        <f>HYPERLINK("http://141.218.60.56/~jnz1568/getInfo.php?workbook=16_15.xlsx&amp;sheet=A0&amp;row=809&amp;col=14&amp;number=&amp;sourceID=53","")</f>
        <v/>
      </c>
      <c r="O809" s="4" t="str">
        <f>HYPERLINK("http://141.218.60.56/~jnz1568/getInfo.php?workbook=16_15.xlsx&amp;sheet=A0&amp;row=809&amp;col=15&amp;number=&amp;sourceID=55","")</f>
        <v/>
      </c>
      <c r="P809" s="4" t="str">
        <f>HYPERLINK("http://141.218.60.56/~jnz1568/getInfo.php?workbook=16_15.xlsx&amp;sheet=A0&amp;row=809&amp;col=16&amp;number=&amp;sourceID=55","")</f>
        <v/>
      </c>
      <c r="Q809" s="4" t="str">
        <f>HYPERLINK("http://141.218.60.56/~jnz1568/getInfo.php?workbook=16_15.xlsx&amp;sheet=A0&amp;row=809&amp;col=17&amp;number=&amp;sourceID=56","")</f>
        <v/>
      </c>
      <c r="R809" s="4" t="str">
        <f>HYPERLINK("http://141.218.60.56/~jnz1568/getInfo.php?workbook=16_15.xlsx&amp;sheet=A0&amp;row=809&amp;col=18&amp;number=&amp;sourceID=56","")</f>
        <v/>
      </c>
      <c r="S809" s="4" t="str">
        <f>HYPERLINK("http://141.218.60.56/~jnz1568/getInfo.php?workbook=16_15.xlsx&amp;sheet=A0&amp;row=809&amp;col=19&amp;number=&amp;sourceID=57","")</f>
        <v/>
      </c>
      <c r="T809" s="4" t="str">
        <f>HYPERLINK("http://141.218.60.56/~jnz1568/getInfo.php?workbook=16_15.xlsx&amp;sheet=A0&amp;row=809&amp;col=20&amp;number=&amp;sourceID=57","")</f>
        <v/>
      </c>
      <c r="U809" s="4" t="str">
        <f>HYPERLINK("http://141.218.60.56/~jnz1568/getInfo.php?workbook=16_15.xlsx&amp;sheet=A0&amp;row=809&amp;col=21&amp;number=&amp;sourceID=47","")</f>
        <v/>
      </c>
      <c r="V809" s="4" t="str">
        <f>HYPERLINK("http://141.218.60.56/~jnz1568/getInfo.php?workbook=16_15.xlsx&amp;sheet=A0&amp;row=809&amp;col=22&amp;number=&amp;sourceID=47","")</f>
        <v/>
      </c>
    </row>
    <row r="810" spans="1:22">
      <c r="A810" s="3">
        <v>16</v>
      </c>
      <c r="B810" s="3">
        <v>15</v>
      </c>
      <c r="C810" s="3">
        <v>46</v>
      </c>
      <c r="D810" s="3">
        <v>29</v>
      </c>
      <c r="E810" s="3">
        <f>((1/(INDEX(E0!J$4:J$73,C810,1)-INDEX(E0!J$4:J$73,D810,1))))*100000000</f>
        <v>0</v>
      </c>
      <c r="F810" s="4" t="str">
        <f>HYPERLINK("http://141.218.60.56/~jnz1568/getInfo.php?workbook=16_15.xlsx&amp;sheet=A0&amp;row=810&amp;col=6&amp;number=96974&amp;sourceID=54","96974")</f>
        <v>96974</v>
      </c>
      <c r="G810" s="4" t="str">
        <f>HYPERLINK("http://141.218.60.56/~jnz1568/getInfo.php?workbook=16_15.xlsx&amp;sheet=A0&amp;row=810&amp;col=7&amp;number=&amp;sourceID=54","")</f>
        <v/>
      </c>
      <c r="H810" s="4" t="str">
        <f>HYPERLINK("http://141.218.60.56/~jnz1568/getInfo.php?workbook=16_15.xlsx&amp;sheet=A0&amp;row=810&amp;col=8&amp;number=&amp;sourceID=54","")</f>
        <v/>
      </c>
      <c r="I810" s="4" t="str">
        <f>HYPERLINK("http://141.218.60.56/~jnz1568/getInfo.php?workbook=16_15.xlsx&amp;sheet=A0&amp;row=810&amp;col=9&amp;number=96204&amp;sourceID=54","96204")</f>
        <v>96204</v>
      </c>
      <c r="J810" s="4" t="str">
        <f>HYPERLINK("http://141.218.60.56/~jnz1568/getInfo.php?workbook=16_15.xlsx&amp;sheet=A0&amp;row=810&amp;col=10&amp;number=&amp;sourceID=54","")</f>
        <v/>
      </c>
      <c r="K810" s="4" t="str">
        <f>HYPERLINK("http://141.218.60.56/~jnz1568/getInfo.php?workbook=16_15.xlsx&amp;sheet=A0&amp;row=810&amp;col=11&amp;number=&amp;sourceID=54","")</f>
        <v/>
      </c>
      <c r="L810" s="4" t="str">
        <f>HYPERLINK("http://141.218.60.56/~jnz1568/getInfo.php?workbook=16_15.xlsx&amp;sheet=A0&amp;row=810&amp;col=12&amp;number=108923.960593&amp;sourceID=53","108923.960593")</f>
        <v>108923.960593</v>
      </c>
      <c r="M810" s="4" t="str">
        <f>HYPERLINK("http://141.218.60.56/~jnz1568/getInfo.php?workbook=16_15.xlsx&amp;sheet=A0&amp;row=810&amp;col=13&amp;number=&amp;sourceID=53","")</f>
        <v/>
      </c>
      <c r="N810" s="4" t="str">
        <f>HYPERLINK("http://141.218.60.56/~jnz1568/getInfo.php?workbook=16_15.xlsx&amp;sheet=A0&amp;row=810&amp;col=14&amp;number=&amp;sourceID=53","")</f>
        <v/>
      </c>
      <c r="O810" s="4" t="str">
        <f>HYPERLINK("http://141.218.60.56/~jnz1568/getInfo.php?workbook=16_15.xlsx&amp;sheet=A0&amp;row=810&amp;col=15&amp;number=&amp;sourceID=55","")</f>
        <v/>
      </c>
      <c r="P810" s="4" t="str">
        <f>HYPERLINK("http://141.218.60.56/~jnz1568/getInfo.php?workbook=16_15.xlsx&amp;sheet=A0&amp;row=810&amp;col=16&amp;number=&amp;sourceID=55","")</f>
        <v/>
      </c>
      <c r="Q810" s="4" t="str">
        <f>HYPERLINK("http://141.218.60.56/~jnz1568/getInfo.php?workbook=16_15.xlsx&amp;sheet=A0&amp;row=810&amp;col=17&amp;number=&amp;sourceID=56","")</f>
        <v/>
      </c>
      <c r="R810" s="4" t="str">
        <f>HYPERLINK("http://141.218.60.56/~jnz1568/getInfo.php?workbook=16_15.xlsx&amp;sheet=A0&amp;row=810&amp;col=18&amp;number=&amp;sourceID=56","")</f>
        <v/>
      </c>
      <c r="S810" s="4" t="str">
        <f>HYPERLINK("http://141.218.60.56/~jnz1568/getInfo.php?workbook=16_15.xlsx&amp;sheet=A0&amp;row=810&amp;col=19&amp;number=&amp;sourceID=57","")</f>
        <v/>
      </c>
      <c r="T810" s="4" t="str">
        <f>HYPERLINK("http://141.218.60.56/~jnz1568/getInfo.php?workbook=16_15.xlsx&amp;sheet=A0&amp;row=810&amp;col=20&amp;number=&amp;sourceID=57","")</f>
        <v/>
      </c>
      <c r="U810" s="4" t="str">
        <f>HYPERLINK("http://141.218.60.56/~jnz1568/getInfo.php?workbook=16_15.xlsx&amp;sheet=A0&amp;row=810&amp;col=21&amp;number=&amp;sourceID=47","")</f>
        <v/>
      </c>
      <c r="V810" s="4" t="str">
        <f>HYPERLINK("http://141.218.60.56/~jnz1568/getInfo.php?workbook=16_15.xlsx&amp;sheet=A0&amp;row=810&amp;col=22&amp;number=&amp;sourceID=47","")</f>
        <v/>
      </c>
    </row>
    <row r="811" spans="1:22">
      <c r="A811" s="3">
        <v>16</v>
      </c>
      <c r="B811" s="3">
        <v>15</v>
      </c>
      <c r="C811" s="3">
        <v>46</v>
      </c>
      <c r="D811" s="3">
        <v>30</v>
      </c>
      <c r="E811" s="3">
        <f>((1/(INDEX(E0!J$4:J$73,C811,1)-INDEX(E0!J$4:J$73,D811,1))))*100000000</f>
        <v>0</v>
      </c>
      <c r="F811" s="4" t="str">
        <f>HYPERLINK("http://141.218.60.56/~jnz1568/getInfo.php?workbook=16_15.xlsx&amp;sheet=A0&amp;row=811&amp;col=6&amp;number=1230900&amp;sourceID=54","1230900")</f>
        <v>1230900</v>
      </c>
      <c r="G811" s="4" t="str">
        <f>HYPERLINK("http://141.218.60.56/~jnz1568/getInfo.php?workbook=16_15.xlsx&amp;sheet=A0&amp;row=811&amp;col=7&amp;number=&amp;sourceID=54","")</f>
        <v/>
      </c>
      <c r="H811" s="4" t="str">
        <f>HYPERLINK("http://141.218.60.56/~jnz1568/getInfo.php?workbook=16_15.xlsx&amp;sheet=A0&amp;row=811&amp;col=8&amp;number=&amp;sourceID=54","")</f>
        <v/>
      </c>
      <c r="I811" s="4" t="str">
        <f>HYPERLINK("http://141.218.60.56/~jnz1568/getInfo.php?workbook=16_15.xlsx&amp;sheet=A0&amp;row=811&amp;col=9&amp;number=1271000&amp;sourceID=54","1271000")</f>
        <v>1271000</v>
      </c>
      <c r="J811" s="4" t="str">
        <f>HYPERLINK("http://141.218.60.56/~jnz1568/getInfo.php?workbook=16_15.xlsx&amp;sheet=A0&amp;row=811&amp;col=10&amp;number=&amp;sourceID=54","")</f>
        <v/>
      </c>
      <c r="K811" s="4" t="str">
        <f>HYPERLINK("http://141.218.60.56/~jnz1568/getInfo.php?workbook=16_15.xlsx&amp;sheet=A0&amp;row=811&amp;col=11&amp;number=&amp;sourceID=54","")</f>
        <v/>
      </c>
      <c r="L811" s="4" t="str">
        <f>HYPERLINK("http://141.218.60.56/~jnz1568/getInfo.php?workbook=16_15.xlsx&amp;sheet=A0&amp;row=811&amp;col=12&amp;number=1475050.06304&amp;sourceID=53","1475050.06304")</f>
        <v>1475050.06304</v>
      </c>
      <c r="M811" s="4" t="str">
        <f>HYPERLINK("http://141.218.60.56/~jnz1568/getInfo.php?workbook=16_15.xlsx&amp;sheet=A0&amp;row=811&amp;col=13&amp;number=&amp;sourceID=53","")</f>
        <v/>
      </c>
      <c r="N811" s="4" t="str">
        <f>HYPERLINK("http://141.218.60.56/~jnz1568/getInfo.php?workbook=16_15.xlsx&amp;sheet=A0&amp;row=811&amp;col=14&amp;number=&amp;sourceID=53","")</f>
        <v/>
      </c>
      <c r="O811" s="4" t="str">
        <f>HYPERLINK("http://141.218.60.56/~jnz1568/getInfo.php?workbook=16_15.xlsx&amp;sheet=A0&amp;row=811&amp;col=15&amp;number=&amp;sourceID=55","")</f>
        <v/>
      </c>
      <c r="P811" s="4" t="str">
        <f>HYPERLINK("http://141.218.60.56/~jnz1568/getInfo.php?workbook=16_15.xlsx&amp;sheet=A0&amp;row=811&amp;col=16&amp;number=&amp;sourceID=55","")</f>
        <v/>
      </c>
      <c r="Q811" s="4" t="str">
        <f>HYPERLINK("http://141.218.60.56/~jnz1568/getInfo.php?workbook=16_15.xlsx&amp;sheet=A0&amp;row=811&amp;col=17&amp;number=&amp;sourceID=56","")</f>
        <v/>
      </c>
      <c r="R811" s="4" t="str">
        <f>HYPERLINK("http://141.218.60.56/~jnz1568/getInfo.php?workbook=16_15.xlsx&amp;sheet=A0&amp;row=811&amp;col=18&amp;number=&amp;sourceID=56","")</f>
        <v/>
      </c>
      <c r="S811" s="4" t="str">
        <f>HYPERLINK("http://141.218.60.56/~jnz1568/getInfo.php?workbook=16_15.xlsx&amp;sheet=A0&amp;row=811&amp;col=19&amp;number=&amp;sourceID=57","")</f>
        <v/>
      </c>
      <c r="T811" s="4" t="str">
        <f>HYPERLINK("http://141.218.60.56/~jnz1568/getInfo.php?workbook=16_15.xlsx&amp;sheet=A0&amp;row=811&amp;col=20&amp;number=&amp;sourceID=57","")</f>
        <v/>
      </c>
      <c r="U811" s="4" t="str">
        <f>HYPERLINK("http://141.218.60.56/~jnz1568/getInfo.php?workbook=16_15.xlsx&amp;sheet=A0&amp;row=811&amp;col=21&amp;number=&amp;sourceID=47","")</f>
        <v/>
      </c>
      <c r="V811" s="4" t="str">
        <f>HYPERLINK("http://141.218.60.56/~jnz1568/getInfo.php?workbook=16_15.xlsx&amp;sheet=A0&amp;row=811&amp;col=22&amp;number=&amp;sourceID=47","")</f>
        <v/>
      </c>
    </row>
    <row r="812" spans="1:22">
      <c r="A812" s="3">
        <v>16</v>
      </c>
      <c r="B812" s="3">
        <v>15</v>
      </c>
      <c r="C812" s="3">
        <v>46</v>
      </c>
      <c r="D812" s="3">
        <v>31</v>
      </c>
      <c r="E812" s="3">
        <f>((1/(INDEX(E0!J$4:J$73,C812,1)-INDEX(E0!J$4:J$73,D812,1))))*100000000</f>
        <v>0</v>
      </c>
      <c r="F812" s="4" t="str">
        <f>HYPERLINK("http://141.218.60.56/~jnz1568/getInfo.php?workbook=16_15.xlsx&amp;sheet=A0&amp;row=812&amp;col=6&amp;number=&amp;sourceID=54","")</f>
        <v/>
      </c>
      <c r="G812" s="4" t="str">
        <f>HYPERLINK("http://141.218.60.56/~jnz1568/getInfo.php?workbook=16_15.xlsx&amp;sheet=A0&amp;row=812&amp;col=7&amp;number=0.039313&amp;sourceID=54","0.039313")</f>
        <v>0.039313</v>
      </c>
      <c r="H812" s="4" t="str">
        <f>HYPERLINK("http://141.218.60.56/~jnz1568/getInfo.php?workbook=16_15.xlsx&amp;sheet=A0&amp;row=812&amp;col=8&amp;number=&amp;sourceID=54","")</f>
        <v/>
      </c>
      <c r="I812" s="4" t="str">
        <f>HYPERLINK("http://141.218.60.56/~jnz1568/getInfo.php?workbook=16_15.xlsx&amp;sheet=A0&amp;row=812&amp;col=9&amp;number=&amp;sourceID=54","")</f>
        <v/>
      </c>
      <c r="J812" s="4" t="str">
        <f>HYPERLINK("http://141.218.60.56/~jnz1568/getInfo.php?workbook=16_15.xlsx&amp;sheet=A0&amp;row=812&amp;col=10&amp;number=0.036162&amp;sourceID=54","0.036162")</f>
        <v>0.036162</v>
      </c>
      <c r="K812" s="4" t="str">
        <f>HYPERLINK("http://141.218.60.56/~jnz1568/getInfo.php?workbook=16_15.xlsx&amp;sheet=A0&amp;row=812&amp;col=11&amp;number=&amp;sourceID=54","")</f>
        <v/>
      </c>
      <c r="L812" s="4" t="str">
        <f>HYPERLINK("http://141.218.60.56/~jnz1568/getInfo.php?workbook=16_15.xlsx&amp;sheet=A0&amp;row=812&amp;col=12&amp;number=&amp;sourceID=53","")</f>
        <v/>
      </c>
      <c r="M812" s="4" t="str">
        <f>HYPERLINK("http://141.218.60.56/~jnz1568/getInfo.php?workbook=16_15.xlsx&amp;sheet=A0&amp;row=812&amp;col=13&amp;number=&amp;sourceID=53","")</f>
        <v/>
      </c>
      <c r="N812" s="4" t="str">
        <f>HYPERLINK("http://141.218.60.56/~jnz1568/getInfo.php?workbook=16_15.xlsx&amp;sheet=A0&amp;row=812&amp;col=14&amp;number=&amp;sourceID=53","")</f>
        <v/>
      </c>
      <c r="O812" s="4" t="str">
        <f>HYPERLINK("http://141.218.60.56/~jnz1568/getInfo.php?workbook=16_15.xlsx&amp;sheet=A0&amp;row=812&amp;col=15&amp;number=&amp;sourceID=55","")</f>
        <v/>
      </c>
      <c r="P812" s="4" t="str">
        <f>HYPERLINK("http://141.218.60.56/~jnz1568/getInfo.php?workbook=16_15.xlsx&amp;sheet=A0&amp;row=812&amp;col=16&amp;number=&amp;sourceID=55","")</f>
        <v/>
      </c>
      <c r="Q812" s="4" t="str">
        <f>HYPERLINK("http://141.218.60.56/~jnz1568/getInfo.php?workbook=16_15.xlsx&amp;sheet=A0&amp;row=812&amp;col=17&amp;number=&amp;sourceID=56","")</f>
        <v/>
      </c>
      <c r="R812" s="4" t="str">
        <f>HYPERLINK("http://141.218.60.56/~jnz1568/getInfo.php?workbook=16_15.xlsx&amp;sheet=A0&amp;row=812&amp;col=18&amp;number=&amp;sourceID=56","")</f>
        <v/>
      </c>
      <c r="S812" s="4" t="str">
        <f>HYPERLINK("http://141.218.60.56/~jnz1568/getInfo.php?workbook=16_15.xlsx&amp;sheet=A0&amp;row=812&amp;col=19&amp;number=&amp;sourceID=57","")</f>
        <v/>
      </c>
      <c r="T812" s="4" t="str">
        <f>HYPERLINK("http://141.218.60.56/~jnz1568/getInfo.php?workbook=16_15.xlsx&amp;sheet=A0&amp;row=812&amp;col=20&amp;number=&amp;sourceID=57","")</f>
        <v/>
      </c>
      <c r="U812" s="4" t="str">
        <f>HYPERLINK("http://141.218.60.56/~jnz1568/getInfo.php?workbook=16_15.xlsx&amp;sheet=A0&amp;row=812&amp;col=21&amp;number=&amp;sourceID=47","")</f>
        <v/>
      </c>
      <c r="V812" s="4" t="str">
        <f>HYPERLINK("http://141.218.60.56/~jnz1568/getInfo.php?workbook=16_15.xlsx&amp;sheet=A0&amp;row=812&amp;col=22&amp;number=&amp;sourceID=47","")</f>
        <v/>
      </c>
    </row>
    <row r="813" spans="1:22">
      <c r="A813" s="3">
        <v>16</v>
      </c>
      <c r="B813" s="3">
        <v>15</v>
      </c>
      <c r="C813" s="3">
        <v>46</v>
      </c>
      <c r="D813" s="3">
        <v>32</v>
      </c>
      <c r="E813" s="3">
        <f>((1/(INDEX(E0!J$4:J$73,C813,1)-INDEX(E0!J$4:J$73,D813,1))))*100000000</f>
        <v>0</v>
      </c>
      <c r="F813" s="4" t="str">
        <f>HYPERLINK("http://141.218.60.56/~jnz1568/getInfo.php?workbook=16_15.xlsx&amp;sheet=A0&amp;row=813&amp;col=6&amp;number=234.31&amp;sourceID=54","234.31")</f>
        <v>234.31</v>
      </c>
      <c r="G813" s="4" t="str">
        <f>HYPERLINK("http://141.218.60.56/~jnz1568/getInfo.php?workbook=16_15.xlsx&amp;sheet=A0&amp;row=813&amp;col=7&amp;number=&amp;sourceID=54","")</f>
        <v/>
      </c>
      <c r="H813" s="4" t="str">
        <f>HYPERLINK("http://141.218.60.56/~jnz1568/getInfo.php?workbook=16_15.xlsx&amp;sheet=A0&amp;row=813&amp;col=8&amp;number=&amp;sourceID=54","")</f>
        <v/>
      </c>
      <c r="I813" s="4" t="str">
        <f>HYPERLINK("http://141.218.60.56/~jnz1568/getInfo.php?workbook=16_15.xlsx&amp;sheet=A0&amp;row=813&amp;col=9&amp;number=555.39&amp;sourceID=54","555.39")</f>
        <v>555.39</v>
      </c>
      <c r="J813" s="4" t="str">
        <f>HYPERLINK("http://141.218.60.56/~jnz1568/getInfo.php?workbook=16_15.xlsx&amp;sheet=A0&amp;row=813&amp;col=10&amp;number=&amp;sourceID=54","")</f>
        <v/>
      </c>
      <c r="K813" s="4" t="str">
        <f>HYPERLINK("http://141.218.60.56/~jnz1568/getInfo.php?workbook=16_15.xlsx&amp;sheet=A0&amp;row=813&amp;col=11&amp;number=&amp;sourceID=54","")</f>
        <v/>
      </c>
      <c r="L813" s="4" t="str">
        <f>HYPERLINK("http://141.218.60.56/~jnz1568/getInfo.php?workbook=16_15.xlsx&amp;sheet=A0&amp;row=813&amp;col=12&amp;number=250.868049389&amp;sourceID=53","250.868049389")</f>
        <v>250.868049389</v>
      </c>
      <c r="M813" s="4" t="str">
        <f>HYPERLINK("http://141.218.60.56/~jnz1568/getInfo.php?workbook=16_15.xlsx&amp;sheet=A0&amp;row=813&amp;col=13&amp;number=&amp;sourceID=53","")</f>
        <v/>
      </c>
      <c r="N813" s="4" t="str">
        <f>HYPERLINK("http://141.218.60.56/~jnz1568/getInfo.php?workbook=16_15.xlsx&amp;sheet=A0&amp;row=813&amp;col=14&amp;number=&amp;sourceID=53","")</f>
        <v/>
      </c>
      <c r="O813" s="4" t="str">
        <f>HYPERLINK("http://141.218.60.56/~jnz1568/getInfo.php?workbook=16_15.xlsx&amp;sheet=A0&amp;row=813&amp;col=15&amp;number=&amp;sourceID=55","")</f>
        <v/>
      </c>
      <c r="P813" s="4" t="str">
        <f>HYPERLINK("http://141.218.60.56/~jnz1568/getInfo.php?workbook=16_15.xlsx&amp;sheet=A0&amp;row=813&amp;col=16&amp;number=&amp;sourceID=55","")</f>
        <v/>
      </c>
      <c r="Q813" s="4" t="str">
        <f>HYPERLINK("http://141.218.60.56/~jnz1568/getInfo.php?workbook=16_15.xlsx&amp;sheet=A0&amp;row=813&amp;col=17&amp;number=&amp;sourceID=56","")</f>
        <v/>
      </c>
      <c r="R813" s="4" t="str">
        <f>HYPERLINK("http://141.218.60.56/~jnz1568/getInfo.php?workbook=16_15.xlsx&amp;sheet=A0&amp;row=813&amp;col=18&amp;number=&amp;sourceID=56","")</f>
        <v/>
      </c>
      <c r="S813" s="4" t="str">
        <f>HYPERLINK("http://141.218.60.56/~jnz1568/getInfo.php?workbook=16_15.xlsx&amp;sheet=A0&amp;row=813&amp;col=19&amp;number=&amp;sourceID=57","")</f>
        <v/>
      </c>
      <c r="T813" s="4" t="str">
        <f>HYPERLINK("http://141.218.60.56/~jnz1568/getInfo.php?workbook=16_15.xlsx&amp;sheet=A0&amp;row=813&amp;col=20&amp;number=&amp;sourceID=57","")</f>
        <v/>
      </c>
      <c r="U813" s="4" t="str">
        <f>HYPERLINK("http://141.218.60.56/~jnz1568/getInfo.php?workbook=16_15.xlsx&amp;sheet=A0&amp;row=813&amp;col=21&amp;number=&amp;sourceID=47","")</f>
        <v/>
      </c>
      <c r="V813" s="4" t="str">
        <f>HYPERLINK("http://141.218.60.56/~jnz1568/getInfo.php?workbook=16_15.xlsx&amp;sheet=A0&amp;row=813&amp;col=22&amp;number=&amp;sourceID=47","")</f>
        <v/>
      </c>
    </row>
    <row r="814" spans="1:22">
      <c r="A814" s="3">
        <v>16</v>
      </c>
      <c r="B814" s="3">
        <v>15</v>
      </c>
      <c r="C814" s="3">
        <v>46</v>
      </c>
      <c r="D814" s="3">
        <v>34</v>
      </c>
      <c r="E814" s="3">
        <f>((1/(INDEX(E0!J$4:J$73,C814,1)-INDEX(E0!J$4:J$73,D814,1))))*100000000</f>
        <v>0</v>
      </c>
      <c r="F814" s="4" t="str">
        <f>HYPERLINK("http://141.218.60.56/~jnz1568/getInfo.php?workbook=16_15.xlsx&amp;sheet=A0&amp;row=814&amp;col=6&amp;number=&amp;sourceID=54","")</f>
        <v/>
      </c>
      <c r="G814" s="4" t="str">
        <f>HYPERLINK("http://141.218.60.56/~jnz1568/getInfo.php?workbook=16_15.xlsx&amp;sheet=A0&amp;row=814&amp;col=7&amp;number=9.0717e-07&amp;sourceID=54","9.0717e-07")</f>
        <v>9.0717e-07</v>
      </c>
      <c r="H814" s="4" t="str">
        <f>HYPERLINK("http://141.218.60.56/~jnz1568/getInfo.php?workbook=16_15.xlsx&amp;sheet=A0&amp;row=814&amp;col=8&amp;number=&amp;sourceID=54","")</f>
        <v/>
      </c>
      <c r="I814" s="4" t="str">
        <f>HYPERLINK("http://141.218.60.56/~jnz1568/getInfo.php?workbook=16_15.xlsx&amp;sheet=A0&amp;row=814&amp;col=9&amp;number=&amp;sourceID=54","")</f>
        <v/>
      </c>
      <c r="J814" s="4" t="str">
        <f>HYPERLINK("http://141.218.60.56/~jnz1568/getInfo.php?workbook=16_15.xlsx&amp;sheet=A0&amp;row=814&amp;col=10&amp;number=1.2707e-06&amp;sourceID=54","1.2707e-06")</f>
        <v>1.2707e-06</v>
      </c>
      <c r="K814" s="4" t="str">
        <f>HYPERLINK("http://141.218.60.56/~jnz1568/getInfo.php?workbook=16_15.xlsx&amp;sheet=A0&amp;row=814&amp;col=11&amp;number=&amp;sourceID=54","")</f>
        <v/>
      </c>
      <c r="L814" s="4" t="str">
        <f>HYPERLINK("http://141.218.60.56/~jnz1568/getInfo.php?workbook=16_15.xlsx&amp;sheet=A0&amp;row=814&amp;col=12&amp;number=&amp;sourceID=53","")</f>
        <v/>
      </c>
      <c r="M814" s="4" t="str">
        <f>HYPERLINK("http://141.218.60.56/~jnz1568/getInfo.php?workbook=16_15.xlsx&amp;sheet=A0&amp;row=814&amp;col=13&amp;number=&amp;sourceID=53","")</f>
        <v/>
      </c>
      <c r="N814" s="4" t="str">
        <f>HYPERLINK("http://141.218.60.56/~jnz1568/getInfo.php?workbook=16_15.xlsx&amp;sheet=A0&amp;row=814&amp;col=14&amp;number=&amp;sourceID=53","")</f>
        <v/>
      </c>
      <c r="O814" s="4" t="str">
        <f>HYPERLINK("http://141.218.60.56/~jnz1568/getInfo.php?workbook=16_15.xlsx&amp;sheet=A0&amp;row=814&amp;col=15&amp;number=&amp;sourceID=55","")</f>
        <v/>
      </c>
      <c r="P814" s="4" t="str">
        <f>HYPERLINK("http://141.218.60.56/~jnz1568/getInfo.php?workbook=16_15.xlsx&amp;sheet=A0&amp;row=814&amp;col=16&amp;number=&amp;sourceID=55","")</f>
        <v/>
      </c>
      <c r="Q814" s="4" t="str">
        <f>HYPERLINK("http://141.218.60.56/~jnz1568/getInfo.php?workbook=16_15.xlsx&amp;sheet=A0&amp;row=814&amp;col=17&amp;number=&amp;sourceID=56","")</f>
        <v/>
      </c>
      <c r="R814" s="4" t="str">
        <f>HYPERLINK("http://141.218.60.56/~jnz1568/getInfo.php?workbook=16_15.xlsx&amp;sheet=A0&amp;row=814&amp;col=18&amp;number=&amp;sourceID=56","")</f>
        <v/>
      </c>
      <c r="S814" s="4" t="str">
        <f>HYPERLINK("http://141.218.60.56/~jnz1568/getInfo.php?workbook=16_15.xlsx&amp;sheet=A0&amp;row=814&amp;col=19&amp;number=&amp;sourceID=57","")</f>
        <v/>
      </c>
      <c r="T814" s="4" t="str">
        <f>HYPERLINK("http://141.218.60.56/~jnz1568/getInfo.php?workbook=16_15.xlsx&amp;sheet=A0&amp;row=814&amp;col=20&amp;number=&amp;sourceID=57","")</f>
        <v/>
      </c>
      <c r="U814" s="4" t="str">
        <f>HYPERLINK("http://141.218.60.56/~jnz1568/getInfo.php?workbook=16_15.xlsx&amp;sheet=A0&amp;row=814&amp;col=21&amp;number=&amp;sourceID=47","")</f>
        <v/>
      </c>
      <c r="V814" s="4" t="str">
        <f>HYPERLINK("http://141.218.60.56/~jnz1568/getInfo.php?workbook=16_15.xlsx&amp;sheet=A0&amp;row=814&amp;col=22&amp;number=&amp;sourceID=47","")</f>
        <v/>
      </c>
    </row>
    <row r="815" spans="1:22">
      <c r="A815" s="3">
        <v>16</v>
      </c>
      <c r="B815" s="3">
        <v>15</v>
      </c>
      <c r="C815" s="3">
        <v>46</v>
      </c>
      <c r="D815" s="3">
        <v>35</v>
      </c>
      <c r="E815" s="3">
        <f>((1/(INDEX(E0!J$4:J$73,C815,1)-INDEX(E0!J$4:J$73,D815,1))))*100000000</f>
        <v>0</v>
      </c>
      <c r="F815" s="4" t="str">
        <f>HYPERLINK("http://141.218.60.56/~jnz1568/getInfo.php?workbook=16_15.xlsx&amp;sheet=A0&amp;row=815&amp;col=6&amp;number=&amp;sourceID=54","")</f>
        <v/>
      </c>
      <c r="G815" s="4" t="str">
        <f>HYPERLINK("http://141.218.60.56/~jnz1568/getInfo.php?workbook=16_15.xlsx&amp;sheet=A0&amp;row=815&amp;col=7&amp;number=2.5848e-05&amp;sourceID=54","2.5848e-05")</f>
        <v>2.5848e-05</v>
      </c>
      <c r="H815" s="4" t="str">
        <f>HYPERLINK("http://141.218.60.56/~jnz1568/getInfo.php?workbook=16_15.xlsx&amp;sheet=A0&amp;row=815&amp;col=8&amp;number=4.9868e-05&amp;sourceID=54","4.9868e-05")</f>
        <v>4.9868e-05</v>
      </c>
      <c r="I815" s="4" t="str">
        <f>HYPERLINK("http://141.218.60.56/~jnz1568/getInfo.php?workbook=16_15.xlsx&amp;sheet=A0&amp;row=815&amp;col=9&amp;number=&amp;sourceID=54","")</f>
        <v/>
      </c>
      <c r="J815" s="4" t="str">
        <f>HYPERLINK("http://141.218.60.56/~jnz1568/getInfo.php?workbook=16_15.xlsx&amp;sheet=A0&amp;row=815&amp;col=10&amp;number=2.9549e-05&amp;sourceID=54","2.9549e-05")</f>
        <v>2.9549e-05</v>
      </c>
      <c r="K815" s="4" t="str">
        <f>HYPERLINK("http://141.218.60.56/~jnz1568/getInfo.php?workbook=16_15.xlsx&amp;sheet=A0&amp;row=815&amp;col=11&amp;number=4.1511e-05&amp;sourceID=54","4.1511e-05")</f>
        <v>4.1511e-05</v>
      </c>
      <c r="L815" s="4" t="str">
        <f>HYPERLINK("http://141.218.60.56/~jnz1568/getInfo.php?workbook=16_15.xlsx&amp;sheet=A0&amp;row=815&amp;col=12&amp;number=&amp;sourceID=53","")</f>
        <v/>
      </c>
      <c r="M815" s="4" t="str">
        <f>HYPERLINK("http://141.218.60.56/~jnz1568/getInfo.php?workbook=16_15.xlsx&amp;sheet=A0&amp;row=815&amp;col=13&amp;number=&amp;sourceID=53","")</f>
        <v/>
      </c>
      <c r="N815" s="4" t="str">
        <f>HYPERLINK("http://141.218.60.56/~jnz1568/getInfo.php?workbook=16_15.xlsx&amp;sheet=A0&amp;row=815&amp;col=14&amp;number=&amp;sourceID=53","")</f>
        <v/>
      </c>
      <c r="O815" s="4" t="str">
        <f>HYPERLINK("http://141.218.60.56/~jnz1568/getInfo.php?workbook=16_15.xlsx&amp;sheet=A0&amp;row=815&amp;col=15&amp;number=&amp;sourceID=55","")</f>
        <v/>
      </c>
      <c r="P815" s="4" t="str">
        <f>HYPERLINK("http://141.218.60.56/~jnz1568/getInfo.php?workbook=16_15.xlsx&amp;sheet=A0&amp;row=815&amp;col=16&amp;number=&amp;sourceID=55","")</f>
        <v/>
      </c>
      <c r="Q815" s="4" t="str">
        <f>HYPERLINK("http://141.218.60.56/~jnz1568/getInfo.php?workbook=16_15.xlsx&amp;sheet=A0&amp;row=815&amp;col=17&amp;number=&amp;sourceID=56","")</f>
        <v/>
      </c>
      <c r="R815" s="4" t="str">
        <f>HYPERLINK("http://141.218.60.56/~jnz1568/getInfo.php?workbook=16_15.xlsx&amp;sheet=A0&amp;row=815&amp;col=18&amp;number=&amp;sourceID=56","")</f>
        <v/>
      </c>
      <c r="S815" s="4" t="str">
        <f>HYPERLINK("http://141.218.60.56/~jnz1568/getInfo.php?workbook=16_15.xlsx&amp;sheet=A0&amp;row=815&amp;col=19&amp;number=&amp;sourceID=57","")</f>
        <v/>
      </c>
      <c r="T815" s="4" t="str">
        <f>HYPERLINK("http://141.218.60.56/~jnz1568/getInfo.php?workbook=16_15.xlsx&amp;sheet=A0&amp;row=815&amp;col=20&amp;number=&amp;sourceID=57","")</f>
        <v/>
      </c>
      <c r="U815" s="4" t="str">
        <f>HYPERLINK("http://141.218.60.56/~jnz1568/getInfo.php?workbook=16_15.xlsx&amp;sheet=A0&amp;row=815&amp;col=21&amp;number=&amp;sourceID=47","")</f>
        <v/>
      </c>
      <c r="V815" s="4" t="str">
        <f>HYPERLINK("http://141.218.60.56/~jnz1568/getInfo.php?workbook=16_15.xlsx&amp;sheet=A0&amp;row=815&amp;col=22&amp;number=&amp;sourceID=47","")</f>
        <v/>
      </c>
    </row>
    <row r="816" spans="1:22">
      <c r="A816" s="3">
        <v>16</v>
      </c>
      <c r="B816" s="3">
        <v>15</v>
      </c>
      <c r="C816" s="3">
        <v>46</v>
      </c>
      <c r="D816" s="3">
        <v>36</v>
      </c>
      <c r="E816" s="3">
        <f>((1/(INDEX(E0!J$4:J$73,C816,1)-INDEX(E0!J$4:J$73,D816,1))))*100000000</f>
        <v>0</v>
      </c>
      <c r="F816" s="4" t="str">
        <f>HYPERLINK("http://141.218.60.56/~jnz1568/getInfo.php?workbook=16_15.xlsx&amp;sheet=A0&amp;row=816&amp;col=6&amp;number=&amp;sourceID=54","")</f>
        <v/>
      </c>
      <c r="G816" s="4" t="str">
        <f>HYPERLINK("http://141.218.60.56/~jnz1568/getInfo.php?workbook=16_15.xlsx&amp;sheet=A0&amp;row=816&amp;col=7&amp;number=7.6947e-05&amp;sourceID=54","7.6947e-05")</f>
        <v>7.6947e-05</v>
      </c>
      <c r="H816" s="4" t="str">
        <f>HYPERLINK("http://141.218.60.56/~jnz1568/getInfo.php?workbook=16_15.xlsx&amp;sheet=A0&amp;row=816&amp;col=8&amp;number=0.00034961&amp;sourceID=54","0.00034961")</f>
        <v>0.00034961</v>
      </c>
      <c r="I816" s="4" t="str">
        <f>HYPERLINK("http://141.218.60.56/~jnz1568/getInfo.php?workbook=16_15.xlsx&amp;sheet=A0&amp;row=816&amp;col=9&amp;number=&amp;sourceID=54","")</f>
        <v/>
      </c>
      <c r="J816" s="4" t="str">
        <f>HYPERLINK("http://141.218.60.56/~jnz1568/getInfo.php?workbook=16_15.xlsx&amp;sheet=A0&amp;row=816&amp;col=10&amp;number=8.4797e-05&amp;sourceID=54","8.4797e-05")</f>
        <v>8.4797e-05</v>
      </c>
      <c r="K816" s="4" t="str">
        <f>HYPERLINK("http://141.218.60.56/~jnz1568/getInfo.php?workbook=16_15.xlsx&amp;sheet=A0&amp;row=816&amp;col=11&amp;number=0.00035393&amp;sourceID=54","0.00035393")</f>
        <v>0.00035393</v>
      </c>
      <c r="L816" s="4" t="str">
        <f>HYPERLINK("http://141.218.60.56/~jnz1568/getInfo.php?workbook=16_15.xlsx&amp;sheet=A0&amp;row=816&amp;col=12&amp;number=&amp;sourceID=53","")</f>
        <v/>
      </c>
      <c r="M816" s="4" t="str">
        <f>HYPERLINK("http://141.218.60.56/~jnz1568/getInfo.php?workbook=16_15.xlsx&amp;sheet=A0&amp;row=816&amp;col=13&amp;number=&amp;sourceID=53","")</f>
        <v/>
      </c>
      <c r="N816" s="4" t="str">
        <f>HYPERLINK("http://141.218.60.56/~jnz1568/getInfo.php?workbook=16_15.xlsx&amp;sheet=A0&amp;row=816&amp;col=14&amp;number=&amp;sourceID=53","")</f>
        <v/>
      </c>
      <c r="O816" s="4" t="str">
        <f>HYPERLINK("http://141.218.60.56/~jnz1568/getInfo.php?workbook=16_15.xlsx&amp;sheet=A0&amp;row=816&amp;col=15&amp;number=&amp;sourceID=55","")</f>
        <v/>
      </c>
      <c r="P816" s="4" t="str">
        <f>HYPERLINK("http://141.218.60.56/~jnz1568/getInfo.php?workbook=16_15.xlsx&amp;sheet=A0&amp;row=816&amp;col=16&amp;number=&amp;sourceID=55","")</f>
        <v/>
      </c>
      <c r="Q816" s="4" t="str">
        <f>HYPERLINK("http://141.218.60.56/~jnz1568/getInfo.php?workbook=16_15.xlsx&amp;sheet=A0&amp;row=816&amp;col=17&amp;number=&amp;sourceID=56","")</f>
        <v/>
      </c>
      <c r="R816" s="4" t="str">
        <f>HYPERLINK("http://141.218.60.56/~jnz1568/getInfo.php?workbook=16_15.xlsx&amp;sheet=A0&amp;row=816&amp;col=18&amp;number=&amp;sourceID=56","")</f>
        <v/>
      </c>
      <c r="S816" s="4" t="str">
        <f>HYPERLINK("http://141.218.60.56/~jnz1568/getInfo.php?workbook=16_15.xlsx&amp;sheet=A0&amp;row=816&amp;col=19&amp;number=&amp;sourceID=57","")</f>
        <v/>
      </c>
      <c r="T816" s="4" t="str">
        <f>HYPERLINK("http://141.218.60.56/~jnz1568/getInfo.php?workbook=16_15.xlsx&amp;sheet=A0&amp;row=816&amp;col=20&amp;number=&amp;sourceID=57","")</f>
        <v/>
      </c>
      <c r="U816" s="4" t="str">
        <f>HYPERLINK("http://141.218.60.56/~jnz1568/getInfo.php?workbook=16_15.xlsx&amp;sheet=A0&amp;row=816&amp;col=21&amp;number=&amp;sourceID=47","")</f>
        <v/>
      </c>
      <c r="V816" s="4" t="str">
        <f>HYPERLINK("http://141.218.60.56/~jnz1568/getInfo.php?workbook=16_15.xlsx&amp;sheet=A0&amp;row=816&amp;col=22&amp;number=&amp;sourceID=47","")</f>
        <v/>
      </c>
    </row>
    <row r="817" spans="1:22">
      <c r="A817" s="3">
        <v>16</v>
      </c>
      <c r="B817" s="3">
        <v>15</v>
      </c>
      <c r="C817" s="3">
        <v>46</v>
      </c>
      <c r="D817" s="3">
        <v>37</v>
      </c>
      <c r="E817" s="3">
        <f>((1/(INDEX(E0!J$4:J$73,C817,1)-INDEX(E0!J$4:J$73,D817,1))))*100000000</f>
        <v>0</v>
      </c>
      <c r="F817" s="4" t="str">
        <f>HYPERLINK("http://141.218.60.56/~jnz1568/getInfo.php?workbook=16_15.xlsx&amp;sheet=A0&amp;row=817&amp;col=6&amp;number=&amp;sourceID=54","")</f>
        <v/>
      </c>
      <c r="G817" s="4" t="str">
        <f>HYPERLINK("http://141.218.60.56/~jnz1568/getInfo.php?workbook=16_15.xlsx&amp;sheet=A0&amp;row=817&amp;col=7&amp;number=7.1745e-05&amp;sourceID=54","7.1745e-05")</f>
        <v>7.1745e-05</v>
      </c>
      <c r="H817" s="4" t="str">
        <f>HYPERLINK("http://141.218.60.56/~jnz1568/getInfo.php?workbook=16_15.xlsx&amp;sheet=A0&amp;row=817&amp;col=8&amp;number=4.2251e-05&amp;sourceID=54","4.2251e-05")</f>
        <v>4.2251e-05</v>
      </c>
      <c r="I817" s="4" t="str">
        <f>HYPERLINK("http://141.218.60.56/~jnz1568/getInfo.php?workbook=16_15.xlsx&amp;sheet=A0&amp;row=817&amp;col=9&amp;number=&amp;sourceID=54","")</f>
        <v/>
      </c>
      <c r="J817" s="4" t="str">
        <f>HYPERLINK("http://141.218.60.56/~jnz1568/getInfo.php?workbook=16_15.xlsx&amp;sheet=A0&amp;row=817&amp;col=10&amp;number=7.776e-05&amp;sourceID=54","7.776e-05")</f>
        <v>7.776e-05</v>
      </c>
      <c r="K817" s="4" t="str">
        <f>HYPERLINK("http://141.218.60.56/~jnz1568/getInfo.php?workbook=16_15.xlsx&amp;sheet=A0&amp;row=817&amp;col=11&amp;number=3.2904e-05&amp;sourceID=54","3.2904e-05")</f>
        <v>3.2904e-05</v>
      </c>
      <c r="L817" s="4" t="str">
        <f>HYPERLINK("http://141.218.60.56/~jnz1568/getInfo.php?workbook=16_15.xlsx&amp;sheet=A0&amp;row=817&amp;col=12&amp;number=&amp;sourceID=53","")</f>
        <v/>
      </c>
      <c r="M817" s="4" t="str">
        <f>HYPERLINK("http://141.218.60.56/~jnz1568/getInfo.php?workbook=16_15.xlsx&amp;sheet=A0&amp;row=817&amp;col=13&amp;number=&amp;sourceID=53","")</f>
        <v/>
      </c>
      <c r="N817" s="4" t="str">
        <f>HYPERLINK("http://141.218.60.56/~jnz1568/getInfo.php?workbook=16_15.xlsx&amp;sheet=A0&amp;row=817&amp;col=14&amp;number=&amp;sourceID=53","")</f>
        <v/>
      </c>
      <c r="O817" s="4" t="str">
        <f>HYPERLINK("http://141.218.60.56/~jnz1568/getInfo.php?workbook=16_15.xlsx&amp;sheet=A0&amp;row=817&amp;col=15&amp;number=&amp;sourceID=55","")</f>
        <v/>
      </c>
      <c r="P817" s="4" t="str">
        <f>HYPERLINK("http://141.218.60.56/~jnz1568/getInfo.php?workbook=16_15.xlsx&amp;sheet=A0&amp;row=817&amp;col=16&amp;number=&amp;sourceID=55","")</f>
        <v/>
      </c>
      <c r="Q817" s="4" t="str">
        <f>HYPERLINK("http://141.218.60.56/~jnz1568/getInfo.php?workbook=16_15.xlsx&amp;sheet=A0&amp;row=817&amp;col=17&amp;number=&amp;sourceID=56","")</f>
        <v/>
      </c>
      <c r="R817" s="4" t="str">
        <f>HYPERLINK("http://141.218.60.56/~jnz1568/getInfo.php?workbook=16_15.xlsx&amp;sheet=A0&amp;row=817&amp;col=18&amp;number=&amp;sourceID=56","")</f>
        <v/>
      </c>
      <c r="S817" s="4" t="str">
        <f>HYPERLINK("http://141.218.60.56/~jnz1568/getInfo.php?workbook=16_15.xlsx&amp;sheet=A0&amp;row=817&amp;col=19&amp;number=&amp;sourceID=57","")</f>
        <v/>
      </c>
      <c r="T817" s="4" t="str">
        <f>HYPERLINK("http://141.218.60.56/~jnz1568/getInfo.php?workbook=16_15.xlsx&amp;sheet=A0&amp;row=817&amp;col=20&amp;number=&amp;sourceID=57","")</f>
        <v/>
      </c>
      <c r="U817" s="4" t="str">
        <f>HYPERLINK("http://141.218.60.56/~jnz1568/getInfo.php?workbook=16_15.xlsx&amp;sheet=A0&amp;row=817&amp;col=21&amp;number=&amp;sourceID=47","")</f>
        <v/>
      </c>
      <c r="V817" s="4" t="str">
        <f>HYPERLINK("http://141.218.60.56/~jnz1568/getInfo.php?workbook=16_15.xlsx&amp;sheet=A0&amp;row=817&amp;col=22&amp;number=&amp;sourceID=47","")</f>
        <v/>
      </c>
    </row>
    <row r="818" spans="1:22">
      <c r="A818" s="3">
        <v>16</v>
      </c>
      <c r="B818" s="3">
        <v>15</v>
      </c>
      <c r="C818" s="3">
        <v>46</v>
      </c>
      <c r="D818" s="3">
        <v>38</v>
      </c>
      <c r="E818" s="3">
        <f>((1/(INDEX(E0!J$4:J$73,C818,1)-INDEX(E0!J$4:J$73,D818,1))))*100000000</f>
        <v>0</v>
      </c>
      <c r="F818" s="4" t="str">
        <f>HYPERLINK("http://141.218.60.56/~jnz1568/getInfo.php?workbook=16_15.xlsx&amp;sheet=A0&amp;row=818&amp;col=6&amp;number=&amp;sourceID=54","")</f>
        <v/>
      </c>
      <c r="G818" s="4" t="str">
        <f>HYPERLINK("http://141.218.60.56/~jnz1568/getInfo.php?workbook=16_15.xlsx&amp;sheet=A0&amp;row=818&amp;col=7&amp;number=1.0973e-06&amp;sourceID=54","1.0973e-06")</f>
        <v>1.0973e-06</v>
      </c>
      <c r="H818" s="4" t="str">
        <f>HYPERLINK("http://141.218.60.56/~jnz1568/getInfo.php?workbook=16_15.xlsx&amp;sheet=A0&amp;row=818&amp;col=8&amp;number=&amp;sourceID=54","")</f>
        <v/>
      </c>
      <c r="I818" s="4" t="str">
        <f>HYPERLINK("http://141.218.60.56/~jnz1568/getInfo.php?workbook=16_15.xlsx&amp;sheet=A0&amp;row=818&amp;col=9&amp;number=&amp;sourceID=54","")</f>
        <v/>
      </c>
      <c r="J818" s="4" t="str">
        <f>HYPERLINK("http://141.218.60.56/~jnz1568/getInfo.php?workbook=16_15.xlsx&amp;sheet=A0&amp;row=818&amp;col=10&amp;number=8.8045e-07&amp;sourceID=54","8.8045e-07")</f>
        <v>8.8045e-07</v>
      </c>
      <c r="K818" s="4" t="str">
        <f>HYPERLINK("http://141.218.60.56/~jnz1568/getInfo.php?workbook=16_15.xlsx&amp;sheet=A0&amp;row=818&amp;col=11&amp;number=&amp;sourceID=54","")</f>
        <v/>
      </c>
      <c r="L818" s="4" t="str">
        <f>HYPERLINK("http://141.218.60.56/~jnz1568/getInfo.php?workbook=16_15.xlsx&amp;sheet=A0&amp;row=818&amp;col=12&amp;number=&amp;sourceID=53","")</f>
        <v/>
      </c>
      <c r="M818" s="4" t="str">
        <f>HYPERLINK("http://141.218.60.56/~jnz1568/getInfo.php?workbook=16_15.xlsx&amp;sheet=A0&amp;row=818&amp;col=13&amp;number=&amp;sourceID=53","")</f>
        <v/>
      </c>
      <c r="N818" s="4" t="str">
        <f>HYPERLINK("http://141.218.60.56/~jnz1568/getInfo.php?workbook=16_15.xlsx&amp;sheet=A0&amp;row=818&amp;col=14&amp;number=&amp;sourceID=53","")</f>
        <v/>
      </c>
      <c r="O818" s="4" t="str">
        <f>HYPERLINK("http://141.218.60.56/~jnz1568/getInfo.php?workbook=16_15.xlsx&amp;sheet=A0&amp;row=818&amp;col=15&amp;number=&amp;sourceID=55","")</f>
        <v/>
      </c>
      <c r="P818" s="4" t="str">
        <f>HYPERLINK("http://141.218.60.56/~jnz1568/getInfo.php?workbook=16_15.xlsx&amp;sheet=A0&amp;row=818&amp;col=16&amp;number=&amp;sourceID=55","")</f>
        <v/>
      </c>
      <c r="Q818" s="4" t="str">
        <f>HYPERLINK("http://141.218.60.56/~jnz1568/getInfo.php?workbook=16_15.xlsx&amp;sheet=A0&amp;row=818&amp;col=17&amp;number=&amp;sourceID=56","")</f>
        <v/>
      </c>
      <c r="R818" s="4" t="str">
        <f>HYPERLINK("http://141.218.60.56/~jnz1568/getInfo.php?workbook=16_15.xlsx&amp;sheet=A0&amp;row=818&amp;col=18&amp;number=&amp;sourceID=56","")</f>
        <v/>
      </c>
      <c r="S818" s="4" t="str">
        <f>HYPERLINK("http://141.218.60.56/~jnz1568/getInfo.php?workbook=16_15.xlsx&amp;sheet=A0&amp;row=818&amp;col=19&amp;number=&amp;sourceID=57","")</f>
        <v/>
      </c>
      <c r="T818" s="4" t="str">
        <f>HYPERLINK("http://141.218.60.56/~jnz1568/getInfo.php?workbook=16_15.xlsx&amp;sheet=A0&amp;row=818&amp;col=20&amp;number=&amp;sourceID=57","")</f>
        <v/>
      </c>
      <c r="U818" s="4" t="str">
        <f>HYPERLINK("http://141.218.60.56/~jnz1568/getInfo.php?workbook=16_15.xlsx&amp;sheet=A0&amp;row=818&amp;col=21&amp;number=&amp;sourceID=47","")</f>
        <v/>
      </c>
      <c r="V818" s="4" t="str">
        <f>HYPERLINK("http://141.218.60.56/~jnz1568/getInfo.php?workbook=16_15.xlsx&amp;sheet=A0&amp;row=818&amp;col=22&amp;number=&amp;sourceID=47","")</f>
        <v/>
      </c>
    </row>
    <row r="819" spans="1:22">
      <c r="A819" s="3">
        <v>16</v>
      </c>
      <c r="B819" s="3">
        <v>15</v>
      </c>
      <c r="C819" s="3">
        <v>46</v>
      </c>
      <c r="D819" s="3">
        <v>39</v>
      </c>
      <c r="E819" s="3">
        <f>((1/(INDEX(E0!J$4:J$73,C819,1)-INDEX(E0!J$4:J$73,D819,1))))*100000000</f>
        <v>0</v>
      </c>
      <c r="F819" s="4" t="str">
        <f>HYPERLINK("http://141.218.60.56/~jnz1568/getInfo.php?workbook=16_15.xlsx&amp;sheet=A0&amp;row=819&amp;col=6&amp;number=&amp;sourceID=54","")</f>
        <v/>
      </c>
      <c r="G819" s="4" t="str">
        <f>HYPERLINK("http://141.218.60.56/~jnz1568/getInfo.php?workbook=16_15.xlsx&amp;sheet=A0&amp;row=819&amp;col=7&amp;number=7.6381e-07&amp;sourceID=54","7.6381e-07")</f>
        <v>7.6381e-07</v>
      </c>
      <c r="H819" s="4" t="str">
        <f>HYPERLINK("http://141.218.60.56/~jnz1568/getInfo.php?workbook=16_15.xlsx&amp;sheet=A0&amp;row=819&amp;col=8&amp;number=0.0004244&amp;sourceID=54","0.0004244")</f>
        <v>0.0004244</v>
      </c>
      <c r="I819" s="4" t="str">
        <f>HYPERLINK("http://141.218.60.56/~jnz1568/getInfo.php?workbook=16_15.xlsx&amp;sheet=A0&amp;row=819&amp;col=9&amp;number=&amp;sourceID=54","")</f>
        <v/>
      </c>
      <c r="J819" s="4" t="str">
        <f>HYPERLINK("http://141.218.60.56/~jnz1568/getInfo.php?workbook=16_15.xlsx&amp;sheet=A0&amp;row=819&amp;col=10&amp;number=6.6683e-07&amp;sourceID=54","6.6683e-07")</f>
        <v>6.6683e-07</v>
      </c>
      <c r="K819" s="4" t="str">
        <f>HYPERLINK("http://141.218.60.56/~jnz1568/getInfo.php?workbook=16_15.xlsx&amp;sheet=A0&amp;row=819&amp;col=11&amp;number=0.00039239&amp;sourceID=54","0.00039239")</f>
        <v>0.00039239</v>
      </c>
      <c r="L819" s="4" t="str">
        <f>HYPERLINK("http://141.218.60.56/~jnz1568/getInfo.php?workbook=16_15.xlsx&amp;sheet=A0&amp;row=819&amp;col=12&amp;number=&amp;sourceID=53","")</f>
        <v/>
      </c>
      <c r="M819" s="4" t="str">
        <f>HYPERLINK("http://141.218.60.56/~jnz1568/getInfo.php?workbook=16_15.xlsx&amp;sheet=A0&amp;row=819&amp;col=13&amp;number=&amp;sourceID=53","")</f>
        <v/>
      </c>
      <c r="N819" s="4" t="str">
        <f>HYPERLINK("http://141.218.60.56/~jnz1568/getInfo.php?workbook=16_15.xlsx&amp;sheet=A0&amp;row=819&amp;col=14&amp;number=&amp;sourceID=53","")</f>
        <v/>
      </c>
      <c r="O819" s="4" t="str">
        <f>HYPERLINK("http://141.218.60.56/~jnz1568/getInfo.php?workbook=16_15.xlsx&amp;sheet=A0&amp;row=819&amp;col=15&amp;number=&amp;sourceID=55","")</f>
        <v/>
      </c>
      <c r="P819" s="4" t="str">
        <f>HYPERLINK("http://141.218.60.56/~jnz1568/getInfo.php?workbook=16_15.xlsx&amp;sheet=A0&amp;row=819&amp;col=16&amp;number=&amp;sourceID=55","")</f>
        <v/>
      </c>
      <c r="Q819" s="4" t="str">
        <f>HYPERLINK("http://141.218.60.56/~jnz1568/getInfo.php?workbook=16_15.xlsx&amp;sheet=A0&amp;row=819&amp;col=17&amp;number=&amp;sourceID=56","")</f>
        <v/>
      </c>
      <c r="R819" s="4" t="str">
        <f>HYPERLINK("http://141.218.60.56/~jnz1568/getInfo.php?workbook=16_15.xlsx&amp;sheet=A0&amp;row=819&amp;col=18&amp;number=&amp;sourceID=56","")</f>
        <v/>
      </c>
      <c r="S819" s="4" t="str">
        <f>HYPERLINK("http://141.218.60.56/~jnz1568/getInfo.php?workbook=16_15.xlsx&amp;sheet=A0&amp;row=819&amp;col=19&amp;number=&amp;sourceID=57","")</f>
        <v/>
      </c>
      <c r="T819" s="4" t="str">
        <f>HYPERLINK("http://141.218.60.56/~jnz1568/getInfo.php?workbook=16_15.xlsx&amp;sheet=A0&amp;row=819&amp;col=20&amp;number=&amp;sourceID=57","")</f>
        <v/>
      </c>
      <c r="U819" s="4" t="str">
        <f>HYPERLINK("http://141.218.60.56/~jnz1568/getInfo.php?workbook=16_15.xlsx&amp;sheet=A0&amp;row=819&amp;col=21&amp;number=&amp;sourceID=47","")</f>
        <v/>
      </c>
      <c r="V819" s="4" t="str">
        <f>HYPERLINK("http://141.218.60.56/~jnz1568/getInfo.php?workbook=16_15.xlsx&amp;sheet=A0&amp;row=819&amp;col=22&amp;number=&amp;sourceID=47","")</f>
        <v/>
      </c>
    </row>
    <row r="820" spans="1:22">
      <c r="A820" s="3">
        <v>16</v>
      </c>
      <c r="B820" s="3">
        <v>15</v>
      </c>
      <c r="C820" s="3">
        <v>46</v>
      </c>
      <c r="D820" s="3">
        <v>40</v>
      </c>
      <c r="E820" s="3">
        <f>((1/(INDEX(E0!J$4:J$73,C820,1)-INDEX(E0!J$4:J$73,D820,1))))*100000000</f>
        <v>0</v>
      </c>
      <c r="F820" s="4" t="str">
        <f>HYPERLINK("http://141.218.60.56/~jnz1568/getInfo.php?workbook=16_15.xlsx&amp;sheet=A0&amp;row=820&amp;col=6&amp;number=&amp;sourceID=54","")</f>
        <v/>
      </c>
      <c r="G820" s="4" t="str">
        <f>HYPERLINK("http://141.218.60.56/~jnz1568/getInfo.php?workbook=16_15.xlsx&amp;sheet=A0&amp;row=820&amp;col=7&amp;number=1.1224e-06&amp;sourceID=54","1.1224e-06")</f>
        <v>1.1224e-06</v>
      </c>
      <c r="H820" s="4" t="str">
        <f>HYPERLINK("http://141.218.60.56/~jnz1568/getInfo.php?workbook=16_15.xlsx&amp;sheet=A0&amp;row=820&amp;col=8&amp;number=0.0017676&amp;sourceID=54","0.0017676")</f>
        <v>0.0017676</v>
      </c>
      <c r="I820" s="4" t="str">
        <f>HYPERLINK("http://141.218.60.56/~jnz1568/getInfo.php?workbook=16_15.xlsx&amp;sheet=A0&amp;row=820&amp;col=9&amp;number=&amp;sourceID=54","")</f>
        <v/>
      </c>
      <c r="J820" s="4" t="str">
        <f>HYPERLINK("http://141.218.60.56/~jnz1568/getInfo.php?workbook=16_15.xlsx&amp;sheet=A0&amp;row=820&amp;col=10&amp;number=8.9887e-07&amp;sourceID=54","8.9887e-07")</f>
        <v>8.9887e-07</v>
      </c>
      <c r="K820" s="4" t="str">
        <f>HYPERLINK("http://141.218.60.56/~jnz1568/getInfo.php?workbook=16_15.xlsx&amp;sheet=A0&amp;row=820&amp;col=11&amp;number=0.0016315&amp;sourceID=54","0.0016315")</f>
        <v>0.0016315</v>
      </c>
      <c r="L820" s="4" t="str">
        <f>HYPERLINK("http://141.218.60.56/~jnz1568/getInfo.php?workbook=16_15.xlsx&amp;sheet=A0&amp;row=820&amp;col=12&amp;number=&amp;sourceID=53","")</f>
        <v/>
      </c>
      <c r="M820" s="4" t="str">
        <f>HYPERLINK("http://141.218.60.56/~jnz1568/getInfo.php?workbook=16_15.xlsx&amp;sheet=A0&amp;row=820&amp;col=13&amp;number=&amp;sourceID=53","")</f>
        <v/>
      </c>
      <c r="N820" s="4" t="str">
        <f>HYPERLINK("http://141.218.60.56/~jnz1568/getInfo.php?workbook=16_15.xlsx&amp;sheet=A0&amp;row=820&amp;col=14&amp;number=&amp;sourceID=53","")</f>
        <v/>
      </c>
      <c r="O820" s="4" t="str">
        <f>HYPERLINK("http://141.218.60.56/~jnz1568/getInfo.php?workbook=16_15.xlsx&amp;sheet=A0&amp;row=820&amp;col=15&amp;number=&amp;sourceID=55","")</f>
        <v/>
      </c>
      <c r="P820" s="4" t="str">
        <f>HYPERLINK("http://141.218.60.56/~jnz1568/getInfo.php?workbook=16_15.xlsx&amp;sheet=A0&amp;row=820&amp;col=16&amp;number=&amp;sourceID=55","")</f>
        <v/>
      </c>
      <c r="Q820" s="4" t="str">
        <f>HYPERLINK("http://141.218.60.56/~jnz1568/getInfo.php?workbook=16_15.xlsx&amp;sheet=A0&amp;row=820&amp;col=17&amp;number=&amp;sourceID=56","")</f>
        <v/>
      </c>
      <c r="R820" s="4" t="str">
        <f>HYPERLINK("http://141.218.60.56/~jnz1568/getInfo.php?workbook=16_15.xlsx&amp;sheet=A0&amp;row=820&amp;col=18&amp;number=&amp;sourceID=56","")</f>
        <v/>
      </c>
      <c r="S820" s="4" t="str">
        <f>HYPERLINK("http://141.218.60.56/~jnz1568/getInfo.php?workbook=16_15.xlsx&amp;sheet=A0&amp;row=820&amp;col=19&amp;number=&amp;sourceID=57","")</f>
        <v/>
      </c>
      <c r="T820" s="4" t="str">
        <f>HYPERLINK("http://141.218.60.56/~jnz1568/getInfo.php?workbook=16_15.xlsx&amp;sheet=A0&amp;row=820&amp;col=20&amp;number=&amp;sourceID=57","")</f>
        <v/>
      </c>
      <c r="U820" s="4" t="str">
        <f>HYPERLINK("http://141.218.60.56/~jnz1568/getInfo.php?workbook=16_15.xlsx&amp;sheet=A0&amp;row=820&amp;col=21&amp;number=&amp;sourceID=47","")</f>
        <v/>
      </c>
      <c r="V820" s="4" t="str">
        <f>HYPERLINK("http://141.218.60.56/~jnz1568/getInfo.php?workbook=16_15.xlsx&amp;sheet=A0&amp;row=820&amp;col=22&amp;number=&amp;sourceID=47","")</f>
        <v/>
      </c>
    </row>
    <row r="821" spans="1:22">
      <c r="A821" s="3">
        <v>16</v>
      </c>
      <c r="B821" s="3">
        <v>15</v>
      </c>
      <c r="C821" s="3">
        <v>46</v>
      </c>
      <c r="D821" s="3">
        <v>41</v>
      </c>
      <c r="E821" s="3">
        <f>((1/(INDEX(E0!J$4:J$73,C821,1)-INDEX(E0!J$4:J$73,D821,1))))*100000000</f>
        <v>0</v>
      </c>
      <c r="F821" s="4" t="str">
        <f>HYPERLINK("http://141.218.60.56/~jnz1568/getInfo.php?workbook=16_15.xlsx&amp;sheet=A0&amp;row=821&amp;col=6&amp;number=&amp;sourceID=54","")</f>
        <v/>
      </c>
      <c r="G821" s="4" t="str">
        <f>HYPERLINK("http://141.218.60.56/~jnz1568/getInfo.php?workbook=16_15.xlsx&amp;sheet=A0&amp;row=821&amp;col=7&amp;number=&amp;sourceID=54","")</f>
        <v/>
      </c>
      <c r="H821" s="4" t="str">
        <f>HYPERLINK("http://141.218.60.56/~jnz1568/getInfo.php?workbook=16_15.xlsx&amp;sheet=A0&amp;row=821&amp;col=8&amp;number=&amp;sourceID=54","")</f>
        <v/>
      </c>
      <c r="I821" s="4" t="str">
        <f>HYPERLINK("http://141.218.60.56/~jnz1568/getInfo.php?workbook=16_15.xlsx&amp;sheet=A0&amp;row=821&amp;col=9&amp;number=26.187&amp;sourceID=54","26.187")</f>
        <v>26.187</v>
      </c>
      <c r="J821" s="4" t="str">
        <f>HYPERLINK("http://141.218.60.56/~jnz1568/getInfo.php?workbook=16_15.xlsx&amp;sheet=A0&amp;row=821&amp;col=10&amp;number=&amp;sourceID=54","")</f>
        <v/>
      </c>
      <c r="K821" s="4" t="str">
        <f>HYPERLINK("http://141.218.60.56/~jnz1568/getInfo.php?workbook=16_15.xlsx&amp;sheet=A0&amp;row=821&amp;col=11&amp;number=&amp;sourceID=54","")</f>
        <v/>
      </c>
      <c r="L821" s="4" t="str">
        <f>HYPERLINK("http://141.218.60.56/~jnz1568/getInfo.php?workbook=16_15.xlsx&amp;sheet=A0&amp;row=821&amp;col=12&amp;number=70.9786517618&amp;sourceID=53","70.9786517618")</f>
        <v>70.9786517618</v>
      </c>
      <c r="M821" s="4" t="str">
        <f>HYPERLINK("http://141.218.60.56/~jnz1568/getInfo.php?workbook=16_15.xlsx&amp;sheet=A0&amp;row=821&amp;col=13&amp;number=&amp;sourceID=53","")</f>
        <v/>
      </c>
      <c r="N821" s="4" t="str">
        <f>HYPERLINK("http://141.218.60.56/~jnz1568/getInfo.php?workbook=16_15.xlsx&amp;sheet=A0&amp;row=821&amp;col=14&amp;number=&amp;sourceID=53","")</f>
        <v/>
      </c>
      <c r="O821" s="4" t="str">
        <f>HYPERLINK("http://141.218.60.56/~jnz1568/getInfo.php?workbook=16_15.xlsx&amp;sheet=A0&amp;row=821&amp;col=15&amp;number=&amp;sourceID=55","")</f>
        <v/>
      </c>
      <c r="P821" s="4" t="str">
        <f>HYPERLINK("http://141.218.60.56/~jnz1568/getInfo.php?workbook=16_15.xlsx&amp;sheet=A0&amp;row=821&amp;col=16&amp;number=&amp;sourceID=55","")</f>
        <v/>
      </c>
      <c r="Q821" s="4" t="str">
        <f>HYPERLINK("http://141.218.60.56/~jnz1568/getInfo.php?workbook=16_15.xlsx&amp;sheet=A0&amp;row=821&amp;col=17&amp;number=&amp;sourceID=56","")</f>
        <v/>
      </c>
      <c r="R821" s="4" t="str">
        <f>HYPERLINK("http://141.218.60.56/~jnz1568/getInfo.php?workbook=16_15.xlsx&amp;sheet=A0&amp;row=821&amp;col=18&amp;number=&amp;sourceID=56","")</f>
        <v/>
      </c>
      <c r="S821" s="4" t="str">
        <f>HYPERLINK("http://141.218.60.56/~jnz1568/getInfo.php?workbook=16_15.xlsx&amp;sheet=A0&amp;row=821&amp;col=19&amp;number=&amp;sourceID=57","")</f>
        <v/>
      </c>
      <c r="T821" s="4" t="str">
        <f>HYPERLINK("http://141.218.60.56/~jnz1568/getInfo.php?workbook=16_15.xlsx&amp;sheet=A0&amp;row=821&amp;col=20&amp;number=&amp;sourceID=57","")</f>
        <v/>
      </c>
      <c r="U821" s="4" t="str">
        <f>HYPERLINK("http://141.218.60.56/~jnz1568/getInfo.php?workbook=16_15.xlsx&amp;sheet=A0&amp;row=821&amp;col=21&amp;number=&amp;sourceID=47","")</f>
        <v/>
      </c>
      <c r="V821" s="4" t="str">
        <f>HYPERLINK("http://141.218.60.56/~jnz1568/getInfo.php?workbook=16_15.xlsx&amp;sheet=A0&amp;row=821&amp;col=22&amp;number=&amp;sourceID=47","")</f>
        <v/>
      </c>
    </row>
    <row r="822" spans="1:22">
      <c r="A822" s="3">
        <v>16</v>
      </c>
      <c r="B822" s="3">
        <v>15</v>
      </c>
      <c r="C822" s="3">
        <v>46</v>
      </c>
      <c r="D822" s="3">
        <v>42</v>
      </c>
      <c r="E822" s="3">
        <f>((1/(INDEX(E0!J$4:J$73,C822,1)-INDEX(E0!J$4:J$73,D822,1))))*100000000</f>
        <v>0</v>
      </c>
      <c r="F822" s="4" t="str">
        <f>HYPERLINK("http://141.218.60.56/~jnz1568/getInfo.php?workbook=16_15.xlsx&amp;sheet=A0&amp;row=822&amp;col=6&amp;number=&amp;sourceID=54","")</f>
        <v/>
      </c>
      <c r="G822" s="4" t="str">
        <f>HYPERLINK("http://141.218.60.56/~jnz1568/getInfo.php?workbook=16_15.xlsx&amp;sheet=A0&amp;row=822&amp;col=7&amp;number=4.2275e-08&amp;sourceID=54","4.2275e-08")</f>
        <v>4.2275e-08</v>
      </c>
      <c r="H822" s="4" t="str">
        <f>HYPERLINK("http://141.218.60.56/~jnz1568/getInfo.php?workbook=16_15.xlsx&amp;sheet=A0&amp;row=822&amp;col=8&amp;number=0.0011897&amp;sourceID=54","0.0011897")</f>
        <v>0.0011897</v>
      </c>
      <c r="I822" s="4" t="str">
        <f>HYPERLINK("http://141.218.60.56/~jnz1568/getInfo.php?workbook=16_15.xlsx&amp;sheet=A0&amp;row=822&amp;col=9&amp;number=&amp;sourceID=54","")</f>
        <v/>
      </c>
      <c r="J822" s="4" t="str">
        <f>HYPERLINK("http://141.218.60.56/~jnz1568/getInfo.php?workbook=16_15.xlsx&amp;sheet=A0&amp;row=822&amp;col=10&amp;number=4.2104e-08&amp;sourceID=54","4.2104e-08")</f>
        <v>4.2104e-08</v>
      </c>
      <c r="K822" s="4" t="str">
        <f>HYPERLINK("http://141.218.60.56/~jnz1568/getInfo.php?workbook=16_15.xlsx&amp;sheet=A0&amp;row=822&amp;col=11&amp;number=0.0012101&amp;sourceID=54","0.0012101")</f>
        <v>0.0012101</v>
      </c>
      <c r="L822" s="4" t="str">
        <f>HYPERLINK("http://141.218.60.56/~jnz1568/getInfo.php?workbook=16_15.xlsx&amp;sheet=A0&amp;row=822&amp;col=12&amp;number=&amp;sourceID=53","")</f>
        <v/>
      </c>
      <c r="M822" s="4" t="str">
        <f>HYPERLINK("http://141.218.60.56/~jnz1568/getInfo.php?workbook=16_15.xlsx&amp;sheet=A0&amp;row=822&amp;col=13&amp;number=&amp;sourceID=53","")</f>
        <v/>
      </c>
      <c r="N822" s="4" t="str">
        <f>HYPERLINK("http://141.218.60.56/~jnz1568/getInfo.php?workbook=16_15.xlsx&amp;sheet=A0&amp;row=822&amp;col=14&amp;number=&amp;sourceID=53","")</f>
        <v/>
      </c>
      <c r="O822" s="4" t="str">
        <f>HYPERLINK("http://141.218.60.56/~jnz1568/getInfo.php?workbook=16_15.xlsx&amp;sheet=A0&amp;row=822&amp;col=15&amp;number=&amp;sourceID=55","")</f>
        <v/>
      </c>
      <c r="P822" s="4" t="str">
        <f>HYPERLINK("http://141.218.60.56/~jnz1568/getInfo.php?workbook=16_15.xlsx&amp;sheet=A0&amp;row=822&amp;col=16&amp;number=&amp;sourceID=55","")</f>
        <v/>
      </c>
      <c r="Q822" s="4" t="str">
        <f>HYPERLINK("http://141.218.60.56/~jnz1568/getInfo.php?workbook=16_15.xlsx&amp;sheet=A0&amp;row=822&amp;col=17&amp;number=&amp;sourceID=56","")</f>
        <v/>
      </c>
      <c r="R822" s="4" t="str">
        <f>HYPERLINK("http://141.218.60.56/~jnz1568/getInfo.php?workbook=16_15.xlsx&amp;sheet=A0&amp;row=822&amp;col=18&amp;number=&amp;sourceID=56","")</f>
        <v/>
      </c>
      <c r="S822" s="4" t="str">
        <f>HYPERLINK("http://141.218.60.56/~jnz1568/getInfo.php?workbook=16_15.xlsx&amp;sheet=A0&amp;row=822&amp;col=19&amp;number=&amp;sourceID=57","")</f>
        <v/>
      </c>
      <c r="T822" s="4" t="str">
        <f>HYPERLINK("http://141.218.60.56/~jnz1568/getInfo.php?workbook=16_15.xlsx&amp;sheet=A0&amp;row=822&amp;col=20&amp;number=&amp;sourceID=57","")</f>
        <v/>
      </c>
      <c r="U822" s="4" t="str">
        <f>HYPERLINK("http://141.218.60.56/~jnz1568/getInfo.php?workbook=16_15.xlsx&amp;sheet=A0&amp;row=822&amp;col=21&amp;number=&amp;sourceID=47","")</f>
        <v/>
      </c>
      <c r="V822" s="4" t="str">
        <f>HYPERLINK("http://141.218.60.56/~jnz1568/getInfo.php?workbook=16_15.xlsx&amp;sheet=A0&amp;row=822&amp;col=22&amp;number=&amp;sourceID=47","")</f>
        <v/>
      </c>
    </row>
    <row r="823" spans="1:22">
      <c r="A823" s="3">
        <v>16</v>
      </c>
      <c r="B823" s="3">
        <v>15</v>
      </c>
      <c r="C823" s="3">
        <v>46</v>
      </c>
      <c r="D823" s="3">
        <v>43</v>
      </c>
      <c r="E823" s="3">
        <f>((1/(INDEX(E0!J$4:J$73,C823,1)-INDEX(E0!J$4:J$73,D823,1))))*100000000</f>
        <v>0</v>
      </c>
      <c r="F823" s="4" t="str">
        <f>HYPERLINK("http://141.218.60.56/~jnz1568/getInfo.php?workbook=16_15.xlsx&amp;sheet=A0&amp;row=823&amp;col=6&amp;number=&amp;sourceID=54","")</f>
        <v/>
      </c>
      <c r="G823" s="4" t="str">
        <f>HYPERLINK("http://141.218.60.56/~jnz1568/getInfo.php?workbook=16_15.xlsx&amp;sheet=A0&amp;row=823&amp;col=7&amp;number=&amp;sourceID=54","")</f>
        <v/>
      </c>
      <c r="H823" s="4" t="str">
        <f>HYPERLINK("http://141.218.60.56/~jnz1568/getInfo.php?workbook=16_15.xlsx&amp;sheet=A0&amp;row=823&amp;col=8&amp;number=&amp;sourceID=54","")</f>
        <v/>
      </c>
      <c r="I823" s="4" t="str">
        <f>HYPERLINK("http://141.218.60.56/~jnz1568/getInfo.php?workbook=16_15.xlsx&amp;sheet=A0&amp;row=823&amp;col=9&amp;number=3.4474&amp;sourceID=54","3.4474")</f>
        <v>3.4474</v>
      </c>
      <c r="J823" s="4" t="str">
        <f>HYPERLINK("http://141.218.60.56/~jnz1568/getInfo.php?workbook=16_15.xlsx&amp;sheet=A0&amp;row=823&amp;col=10&amp;number=&amp;sourceID=54","")</f>
        <v/>
      </c>
      <c r="K823" s="4" t="str">
        <f>HYPERLINK("http://141.218.60.56/~jnz1568/getInfo.php?workbook=16_15.xlsx&amp;sheet=A0&amp;row=823&amp;col=11&amp;number=&amp;sourceID=54","")</f>
        <v/>
      </c>
      <c r="L823" s="4" t="str">
        <f>HYPERLINK("http://141.218.60.56/~jnz1568/getInfo.php?workbook=16_15.xlsx&amp;sheet=A0&amp;row=823&amp;col=12&amp;number=10.9860869514&amp;sourceID=53","10.9860869514")</f>
        <v>10.9860869514</v>
      </c>
      <c r="M823" s="4" t="str">
        <f>HYPERLINK("http://141.218.60.56/~jnz1568/getInfo.php?workbook=16_15.xlsx&amp;sheet=A0&amp;row=823&amp;col=13&amp;number=&amp;sourceID=53","")</f>
        <v/>
      </c>
      <c r="N823" s="4" t="str">
        <f>HYPERLINK("http://141.218.60.56/~jnz1568/getInfo.php?workbook=16_15.xlsx&amp;sheet=A0&amp;row=823&amp;col=14&amp;number=&amp;sourceID=53","")</f>
        <v/>
      </c>
      <c r="O823" s="4" t="str">
        <f>HYPERLINK("http://141.218.60.56/~jnz1568/getInfo.php?workbook=16_15.xlsx&amp;sheet=A0&amp;row=823&amp;col=15&amp;number=&amp;sourceID=55","")</f>
        <v/>
      </c>
      <c r="P823" s="4" t="str">
        <f>HYPERLINK("http://141.218.60.56/~jnz1568/getInfo.php?workbook=16_15.xlsx&amp;sheet=A0&amp;row=823&amp;col=16&amp;number=&amp;sourceID=55","")</f>
        <v/>
      </c>
      <c r="Q823" s="4" t="str">
        <f>HYPERLINK("http://141.218.60.56/~jnz1568/getInfo.php?workbook=16_15.xlsx&amp;sheet=A0&amp;row=823&amp;col=17&amp;number=&amp;sourceID=56","")</f>
        <v/>
      </c>
      <c r="R823" s="4" t="str">
        <f>HYPERLINK("http://141.218.60.56/~jnz1568/getInfo.php?workbook=16_15.xlsx&amp;sheet=A0&amp;row=823&amp;col=18&amp;number=&amp;sourceID=56","")</f>
        <v/>
      </c>
      <c r="S823" s="4" t="str">
        <f>HYPERLINK("http://141.218.60.56/~jnz1568/getInfo.php?workbook=16_15.xlsx&amp;sheet=A0&amp;row=823&amp;col=19&amp;number=&amp;sourceID=57","")</f>
        <v/>
      </c>
      <c r="T823" s="4" t="str">
        <f>HYPERLINK("http://141.218.60.56/~jnz1568/getInfo.php?workbook=16_15.xlsx&amp;sheet=A0&amp;row=823&amp;col=20&amp;number=&amp;sourceID=57","")</f>
        <v/>
      </c>
      <c r="U823" s="4" t="str">
        <f>HYPERLINK("http://141.218.60.56/~jnz1568/getInfo.php?workbook=16_15.xlsx&amp;sheet=A0&amp;row=823&amp;col=21&amp;number=&amp;sourceID=47","")</f>
        <v/>
      </c>
      <c r="V823" s="4" t="str">
        <f>HYPERLINK("http://141.218.60.56/~jnz1568/getInfo.php?workbook=16_15.xlsx&amp;sheet=A0&amp;row=823&amp;col=22&amp;number=&amp;sourceID=47","")</f>
        <v/>
      </c>
    </row>
    <row r="824" spans="1:22">
      <c r="A824" s="3">
        <v>16</v>
      </c>
      <c r="B824" s="3">
        <v>15</v>
      </c>
      <c r="C824" s="3">
        <v>46</v>
      </c>
      <c r="D824" s="3">
        <v>45</v>
      </c>
      <c r="E824" s="3">
        <f>((1/(INDEX(E0!J$4:J$73,C824,1)-INDEX(E0!J$4:J$73,D824,1))))*100000000</f>
        <v>0</v>
      </c>
      <c r="F824" s="4" t="str">
        <f>HYPERLINK("http://141.218.60.56/~jnz1568/getInfo.php?workbook=16_15.xlsx&amp;sheet=A0&amp;row=824&amp;col=6&amp;number=&amp;sourceID=54","")</f>
        <v/>
      </c>
      <c r="G824" s="4" t="str">
        <f>HYPERLINK("http://141.218.60.56/~jnz1568/getInfo.php?workbook=16_15.xlsx&amp;sheet=A0&amp;row=824&amp;col=7&amp;number=7.14e-13&amp;sourceID=54","7.14e-13")</f>
        <v>7.14e-13</v>
      </c>
      <c r="H824" s="4" t="str">
        <f>HYPERLINK("http://141.218.60.56/~jnz1568/getInfo.php?workbook=16_15.xlsx&amp;sheet=A0&amp;row=824&amp;col=8&amp;number=4.636e-06&amp;sourceID=54","4.636e-06")</f>
        <v>4.636e-06</v>
      </c>
      <c r="I824" s="4" t="str">
        <f>HYPERLINK("http://141.218.60.56/~jnz1568/getInfo.php?workbook=16_15.xlsx&amp;sheet=A0&amp;row=824&amp;col=9&amp;number=&amp;sourceID=54","")</f>
        <v/>
      </c>
      <c r="J824" s="4" t="str">
        <f>HYPERLINK("http://141.218.60.56/~jnz1568/getInfo.php?workbook=16_15.xlsx&amp;sheet=A0&amp;row=824&amp;col=10&amp;number=5.62e-13&amp;sourceID=54","5.62e-13")</f>
        <v>5.62e-13</v>
      </c>
      <c r="K824" s="4" t="str">
        <f>HYPERLINK("http://141.218.60.56/~jnz1568/getInfo.php?workbook=16_15.xlsx&amp;sheet=A0&amp;row=824&amp;col=11&amp;number=3.1349e-07&amp;sourceID=54","3.1349e-07")</f>
        <v>3.1349e-07</v>
      </c>
      <c r="L824" s="4" t="str">
        <f>HYPERLINK("http://141.218.60.56/~jnz1568/getInfo.php?workbook=16_15.xlsx&amp;sheet=A0&amp;row=824&amp;col=12&amp;number=&amp;sourceID=53","")</f>
        <v/>
      </c>
      <c r="M824" s="4" t="str">
        <f>HYPERLINK("http://141.218.60.56/~jnz1568/getInfo.php?workbook=16_15.xlsx&amp;sheet=A0&amp;row=824&amp;col=13&amp;number=&amp;sourceID=53","")</f>
        <v/>
      </c>
      <c r="N824" s="4" t="str">
        <f>HYPERLINK("http://141.218.60.56/~jnz1568/getInfo.php?workbook=16_15.xlsx&amp;sheet=A0&amp;row=824&amp;col=14&amp;number=&amp;sourceID=53","")</f>
        <v/>
      </c>
      <c r="O824" s="4" t="str">
        <f>HYPERLINK("http://141.218.60.56/~jnz1568/getInfo.php?workbook=16_15.xlsx&amp;sheet=A0&amp;row=824&amp;col=15&amp;number=&amp;sourceID=55","")</f>
        <v/>
      </c>
      <c r="P824" s="4" t="str">
        <f>HYPERLINK("http://141.218.60.56/~jnz1568/getInfo.php?workbook=16_15.xlsx&amp;sheet=A0&amp;row=824&amp;col=16&amp;number=&amp;sourceID=55","")</f>
        <v/>
      </c>
      <c r="Q824" s="4" t="str">
        <f>HYPERLINK("http://141.218.60.56/~jnz1568/getInfo.php?workbook=16_15.xlsx&amp;sheet=A0&amp;row=824&amp;col=17&amp;number=&amp;sourceID=56","")</f>
        <v/>
      </c>
      <c r="R824" s="4" t="str">
        <f>HYPERLINK("http://141.218.60.56/~jnz1568/getInfo.php?workbook=16_15.xlsx&amp;sheet=A0&amp;row=824&amp;col=18&amp;number=&amp;sourceID=56","")</f>
        <v/>
      </c>
      <c r="S824" s="4" t="str">
        <f>HYPERLINK("http://141.218.60.56/~jnz1568/getInfo.php?workbook=16_15.xlsx&amp;sheet=A0&amp;row=824&amp;col=19&amp;number=&amp;sourceID=57","")</f>
        <v/>
      </c>
      <c r="T824" s="4" t="str">
        <f>HYPERLINK("http://141.218.60.56/~jnz1568/getInfo.php?workbook=16_15.xlsx&amp;sheet=A0&amp;row=824&amp;col=20&amp;number=&amp;sourceID=57","")</f>
        <v/>
      </c>
      <c r="U824" s="4" t="str">
        <f>HYPERLINK("http://141.218.60.56/~jnz1568/getInfo.php?workbook=16_15.xlsx&amp;sheet=A0&amp;row=824&amp;col=21&amp;number=&amp;sourceID=47","")</f>
        <v/>
      </c>
      <c r="V824" s="4" t="str">
        <f>HYPERLINK("http://141.218.60.56/~jnz1568/getInfo.php?workbook=16_15.xlsx&amp;sheet=A0&amp;row=824&amp;col=22&amp;number=&amp;sourceID=47","")</f>
        <v/>
      </c>
    </row>
    <row r="825" spans="1:22">
      <c r="A825" s="3">
        <v>16</v>
      </c>
      <c r="B825" s="3">
        <v>15</v>
      </c>
      <c r="C825" s="3">
        <v>47</v>
      </c>
      <c r="D825" s="3">
        <v>1</v>
      </c>
      <c r="E825" s="3">
        <f>((1/(INDEX(E0!J$4:J$73,C825,1)-INDEX(E0!J$4:J$73,D825,1))))*100000000</f>
        <v>0</v>
      </c>
      <c r="F825" s="4" t="str">
        <f>HYPERLINK("http://141.218.60.56/~jnz1568/getInfo.php?workbook=16_15.xlsx&amp;sheet=A0&amp;row=825&amp;col=6&amp;number=&amp;sourceID=54","")</f>
        <v/>
      </c>
      <c r="G825" s="4" t="str">
        <f>HYPERLINK("http://141.218.60.56/~jnz1568/getInfo.php?workbook=16_15.xlsx&amp;sheet=A0&amp;row=825&amp;col=7&amp;number=6.5297&amp;sourceID=54","6.5297")</f>
        <v>6.5297</v>
      </c>
      <c r="H825" s="4" t="str">
        <f>HYPERLINK("http://141.218.60.56/~jnz1568/getInfo.php?workbook=16_15.xlsx&amp;sheet=A0&amp;row=825&amp;col=8&amp;number=0.03102&amp;sourceID=54","0.03102")</f>
        <v>0.03102</v>
      </c>
      <c r="I825" s="4" t="str">
        <f>HYPERLINK("http://141.218.60.56/~jnz1568/getInfo.php?workbook=16_15.xlsx&amp;sheet=A0&amp;row=825&amp;col=9&amp;number=&amp;sourceID=54","")</f>
        <v/>
      </c>
      <c r="J825" s="4" t="str">
        <f>HYPERLINK("http://141.218.60.56/~jnz1568/getInfo.php?workbook=16_15.xlsx&amp;sheet=A0&amp;row=825&amp;col=10&amp;number=6.909&amp;sourceID=54","6.909")</f>
        <v>6.909</v>
      </c>
      <c r="K825" s="4" t="str">
        <f>HYPERLINK("http://141.218.60.56/~jnz1568/getInfo.php?workbook=16_15.xlsx&amp;sheet=A0&amp;row=825&amp;col=11&amp;number=0.031406&amp;sourceID=54","0.031406")</f>
        <v>0.031406</v>
      </c>
      <c r="L825" s="4" t="str">
        <f>HYPERLINK("http://141.218.60.56/~jnz1568/getInfo.php?workbook=16_15.xlsx&amp;sheet=A0&amp;row=825&amp;col=12&amp;number=&amp;sourceID=53","")</f>
        <v/>
      </c>
      <c r="M825" s="4" t="str">
        <f>HYPERLINK("http://141.218.60.56/~jnz1568/getInfo.php?workbook=16_15.xlsx&amp;sheet=A0&amp;row=825&amp;col=13&amp;number=&amp;sourceID=53","")</f>
        <v/>
      </c>
      <c r="N825" s="4" t="str">
        <f>HYPERLINK("http://141.218.60.56/~jnz1568/getInfo.php?workbook=16_15.xlsx&amp;sheet=A0&amp;row=825&amp;col=14&amp;number=&amp;sourceID=53","")</f>
        <v/>
      </c>
      <c r="O825" s="4" t="str">
        <f>HYPERLINK("http://141.218.60.56/~jnz1568/getInfo.php?workbook=16_15.xlsx&amp;sheet=A0&amp;row=825&amp;col=15&amp;number=&amp;sourceID=55","")</f>
        <v/>
      </c>
      <c r="P825" s="4" t="str">
        <f>HYPERLINK("http://141.218.60.56/~jnz1568/getInfo.php?workbook=16_15.xlsx&amp;sheet=A0&amp;row=825&amp;col=16&amp;number=&amp;sourceID=55","")</f>
        <v/>
      </c>
      <c r="Q825" s="4" t="str">
        <f>HYPERLINK("http://141.218.60.56/~jnz1568/getInfo.php?workbook=16_15.xlsx&amp;sheet=A0&amp;row=825&amp;col=17&amp;number=&amp;sourceID=56","")</f>
        <v/>
      </c>
      <c r="R825" s="4" t="str">
        <f>HYPERLINK("http://141.218.60.56/~jnz1568/getInfo.php?workbook=16_15.xlsx&amp;sheet=A0&amp;row=825&amp;col=18&amp;number=&amp;sourceID=56","")</f>
        <v/>
      </c>
      <c r="S825" s="4" t="str">
        <f>HYPERLINK("http://141.218.60.56/~jnz1568/getInfo.php?workbook=16_15.xlsx&amp;sheet=A0&amp;row=825&amp;col=19&amp;number=&amp;sourceID=57","")</f>
        <v/>
      </c>
      <c r="T825" s="4" t="str">
        <f>HYPERLINK("http://141.218.60.56/~jnz1568/getInfo.php?workbook=16_15.xlsx&amp;sheet=A0&amp;row=825&amp;col=20&amp;number=&amp;sourceID=57","")</f>
        <v/>
      </c>
      <c r="U825" s="4" t="str">
        <f>HYPERLINK("http://141.218.60.56/~jnz1568/getInfo.php?workbook=16_15.xlsx&amp;sheet=A0&amp;row=825&amp;col=21&amp;number=&amp;sourceID=47","")</f>
        <v/>
      </c>
      <c r="V825" s="4" t="str">
        <f>HYPERLINK("http://141.218.60.56/~jnz1568/getInfo.php?workbook=16_15.xlsx&amp;sheet=A0&amp;row=825&amp;col=22&amp;number=&amp;sourceID=47","")</f>
        <v/>
      </c>
    </row>
    <row r="826" spans="1:22">
      <c r="A826" s="3">
        <v>16</v>
      </c>
      <c r="B826" s="3">
        <v>15</v>
      </c>
      <c r="C826" s="3">
        <v>47</v>
      </c>
      <c r="D826" s="3">
        <v>2</v>
      </c>
      <c r="E826" s="3">
        <f>((1/(INDEX(E0!J$4:J$73,C826,1)-INDEX(E0!J$4:J$73,D826,1))))*100000000</f>
        <v>0</v>
      </c>
      <c r="F826" s="4" t="str">
        <f>HYPERLINK("http://141.218.60.56/~jnz1568/getInfo.php?workbook=16_15.xlsx&amp;sheet=A0&amp;row=826&amp;col=6&amp;number=&amp;sourceID=54","")</f>
        <v/>
      </c>
      <c r="G826" s="4" t="str">
        <f>HYPERLINK("http://141.218.60.56/~jnz1568/getInfo.php?workbook=16_15.xlsx&amp;sheet=A0&amp;row=826&amp;col=7&amp;number=3562.7&amp;sourceID=54","3562.7")</f>
        <v>3562.7</v>
      </c>
      <c r="H826" s="4" t="str">
        <f>HYPERLINK("http://141.218.60.56/~jnz1568/getInfo.php?workbook=16_15.xlsx&amp;sheet=A0&amp;row=826&amp;col=8&amp;number=0.0001522&amp;sourceID=54","0.0001522")</f>
        <v>0.0001522</v>
      </c>
      <c r="I826" s="4" t="str">
        <f>HYPERLINK("http://141.218.60.56/~jnz1568/getInfo.php?workbook=16_15.xlsx&amp;sheet=A0&amp;row=826&amp;col=9&amp;number=&amp;sourceID=54","")</f>
        <v/>
      </c>
      <c r="J826" s="4" t="str">
        <f>HYPERLINK("http://141.218.60.56/~jnz1568/getInfo.php?workbook=16_15.xlsx&amp;sheet=A0&amp;row=826&amp;col=10&amp;number=3658.5&amp;sourceID=54","3658.5")</f>
        <v>3658.5</v>
      </c>
      <c r="K826" s="4" t="str">
        <f>HYPERLINK("http://141.218.60.56/~jnz1568/getInfo.php?workbook=16_15.xlsx&amp;sheet=A0&amp;row=826&amp;col=11&amp;number=0.00013951&amp;sourceID=54","0.00013951")</f>
        <v>0.00013951</v>
      </c>
      <c r="L826" s="4" t="str">
        <f>HYPERLINK("http://141.218.60.56/~jnz1568/getInfo.php?workbook=16_15.xlsx&amp;sheet=A0&amp;row=826&amp;col=12&amp;number=&amp;sourceID=53","")</f>
        <v/>
      </c>
      <c r="M826" s="4" t="str">
        <f>HYPERLINK("http://141.218.60.56/~jnz1568/getInfo.php?workbook=16_15.xlsx&amp;sheet=A0&amp;row=826&amp;col=13&amp;number=&amp;sourceID=53","")</f>
        <v/>
      </c>
      <c r="N826" s="4" t="str">
        <f>HYPERLINK("http://141.218.60.56/~jnz1568/getInfo.php?workbook=16_15.xlsx&amp;sheet=A0&amp;row=826&amp;col=14&amp;number=&amp;sourceID=53","")</f>
        <v/>
      </c>
      <c r="O826" s="4" t="str">
        <f>HYPERLINK("http://141.218.60.56/~jnz1568/getInfo.php?workbook=16_15.xlsx&amp;sheet=A0&amp;row=826&amp;col=15&amp;number=&amp;sourceID=55","")</f>
        <v/>
      </c>
      <c r="P826" s="4" t="str">
        <f>HYPERLINK("http://141.218.60.56/~jnz1568/getInfo.php?workbook=16_15.xlsx&amp;sheet=A0&amp;row=826&amp;col=16&amp;number=&amp;sourceID=55","")</f>
        <v/>
      </c>
      <c r="Q826" s="4" t="str">
        <f>HYPERLINK("http://141.218.60.56/~jnz1568/getInfo.php?workbook=16_15.xlsx&amp;sheet=A0&amp;row=826&amp;col=17&amp;number=&amp;sourceID=56","")</f>
        <v/>
      </c>
      <c r="R826" s="4" t="str">
        <f>HYPERLINK("http://141.218.60.56/~jnz1568/getInfo.php?workbook=16_15.xlsx&amp;sheet=A0&amp;row=826&amp;col=18&amp;number=&amp;sourceID=56","")</f>
        <v/>
      </c>
      <c r="S826" s="4" t="str">
        <f>HYPERLINK("http://141.218.60.56/~jnz1568/getInfo.php?workbook=16_15.xlsx&amp;sheet=A0&amp;row=826&amp;col=19&amp;number=&amp;sourceID=57","")</f>
        <v/>
      </c>
      <c r="T826" s="4" t="str">
        <f>HYPERLINK("http://141.218.60.56/~jnz1568/getInfo.php?workbook=16_15.xlsx&amp;sheet=A0&amp;row=826&amp;col=20&amp;number=&amp;sourceID=57","")</f>
        <v/>
      </c>
      <c r="U826" s="4" t="str">
        <f>HYPERLINK("http://141.218.60.56/~jnz1568/getInfo.php?workbook=16_15.xlsx&amp;sheet=A0&amp;row=826&amp;col=21&amp;number=&amp;sourceID=47","")</f>
        <v/>
      </c>
      <c r="V826" s="4" t="str">
        <f>HYPERLINK("http://141.218.60.56/~jnz1568/getInfo.php?workbook=16_15.xlsx&amp;sheet=A0&amp;row=826&amp;col=22&amp;number=&amp;sourceID=47","")</f>
        <v/>
      </c>
    </row>
    <row r="827" spans="1:22">
      <c r="A827" s="3">
        <v>16</v>
      </c>
      <c r="B827" s="3">
        <v>15</v>
      </c>
      <c r="C827" s="3">
        <v>47</v>
      </c>
      <c r="D827" s="3">
        <v>3</v>
      </c>
      <c r="E827" s="3">
        <f>((1/(INDEX(E0!J$4:J$73,C827,1)-INDEX(E0!J$4:J$73,D827,1))))*100000000</f>
        <v>0</v>
      </c>
      <c r="F827" s="4" t="str">
        <f>HYPERLINK("http://141.218.60.56/~jnz1568/getInfo.php?workbook=16_15.xlsx&amp;sheet=A0&amp;row=827&amp;col=6&amp;number=&amp;sourceID=54","")</f>
        <v/>
      </c>
      <c r="G827" s="4" t="str">
        <f>HYPERLINK("http://141.218.60.56/~jnz1568/getInfo.php?workbook=16_15.xlsx&amp;sheet=A0&amp;row=827&amp;col=7&amp;number=2798&amp;sourceID=54","2798")</f>
        <v>2798</v>
      </c>
      <c r="H827" s="4" t="str">
        <f>HYPERLINK("http://141.218.60.56/~jnz1568/getInfo.php?workbook=16_15.xlsx&amp;sheet=A0&amp;row=827&amp;col=8&amp;number=&amp;sourceID=54","")</f>
        <v/>
      </c>
      <c r="I827" s="4" t="str">
        <f>HYPERLINK("http://141.218.60.56/~jnz1568/getInfo.php?workbook=16_15.xlsx&amp;sheet=A0&amp;row=827&amp;col=9&amp;number=&amp;sourceID=54","")</f>
        <v/>
      </c>
      <c r="J827" s="4" t="str">
        <f>HYPERLINK("http://141.218.60.56/~jnz1568/getInfo.php?workbook=16_15.xlsx&amp;sheet=A0&amp;row=827&amp;col=10&amp;number=2892.9&amp;sourceID=54","2892.9")</f>
        <v>2892.9</v>
      </c>
      <c r="K827" s="4" t="str">
        <f>HYPERLINK("http://141.218.60.56/~jnz1568/getInfo.php?workbook=16_15.xlsx&amp;sheet=A0&amp;row=827&amp;col=11&amp;number=&amp;sourceID=54","")</f>
        <v/>
      </c>
      <c r="L827" s="4" t="str">
        <f>HYPERLINK("http://141.218.60.56/~jnz1568/getInfo.php?workbook=16_15.xlsx&amp;sheet=A0&amp;row=827&amp;col=12&amp;number=&amp;sourceID=53","")</f>
        <v/>
      </c>
      <c r="M827" s="4" t="str">
        <f>HYPERLINK("http://141.218.60.56/~jnz1568/getInfo.php?workbook=16_15.xlsx&amp;sheet=A0&amp;row=827&amp;col=13&amp;number=&amp;sourceID=53","")</f>
        <v/>
      </c>
      <c r="N827" s="4" t="str">
        <f>HYPERLINK("http://141.218.60.56/~jnz1568/getInfo.php?workbook=16_15.xlsx&amp;sheet=A0&amp;row=827&amp;col=14&amp;number=&amp;sourceID=53","")</f>
        <v/>
      </c>
      <c r="O827" s="4" t="str">
        <f>HYPERLINK("http://141.218.60.56/~jnz1568/getInfo.php?workbook=16_15.xlsx&amp;sheet=A0&amp;row=827&amp;col=15&amp;number=&amp;sourceID=55","")</f>
        <v/>
      </c>
      <c r="P827" s="4" t="str">
        <f>HYPERLINK("http://141.218.60.56/~jnz1568/getInfo.php?workbook=16_15.xlsx&amp;sheet=A0&amp;row=827&amp;col=16&amp;number=&amp;sourceID=55","")</f>
        <v/>
      </c>
      <c r="Q827" s="4" t="str">
        <f>HYPERLINK("http://141.218.60.56/~jnz1568/getInfo.php?workbook=16_15.xlsx&amp;sheet=A0&amp;row=827&amp;col=17&amp;number=&amp;sourceID=56","")</f>
        <v/>
      </c>
      <c r="R827" s="4" t="str">
        <f>HYPERLINK("http://141.218.60.56/~jnz1568/getInfo.php?workbook=16_15.xlsx&amp;sheet=A0&amp;row=827&amp;col=18&amp;number=&amp;sourceID=56","")</f>
        <v/>
      </c>
      <c r="S827" s="4" t="str">
        <f>HYPERLINK("http://141.218.60.56/~jnz1568/getInfo.php?workbook=16_15.xlsx&amp;sheet=A0&amp;row=827&amp;col=19&amp;number=&amp;sourceID=57","")</f>
        <v/>
      </c>
      <c r="T827" s="4" t="str">
        <f>HYPERLINK("http://141.218.60.56/~jnz1568/getInfo.php?workbook=16_15.xlsx&amp;sheet=A0&amp;row=827&amp;col=20&amp;number=&amp;sourceID=57","")</f>
        <v/>
      </c>
      <c r="U827" s="4" t="str">
        <f>HYPERLINK("http://141.218.60.56/~jnz1568/getInfo.php?workbook=16_15.xlsx&amp;sheet=A0&amp;row=827&amp;col=21&amp;number=&amp;sourceID=47","")</f>
        <v/>
      </c>
      <c r="V827" s="4" t="str">
        <f>HYPERLINK("http://141.218.60.56/~jnz1568/getInfo.php?workbook=16_15.xlsx&amp;sheet=A0&amp;row=827&amp;col=22&amp;number=&amp;sourceID=47","")</f>
        <v/>
      </c>
    </row>
    <row r="828" spans="1:22">
      <c r="A828" s="3">
        <v>16</v>
      </c>
      <c r="B828" s="3">
        <v>15</v>
      </c>
      <c r="C828" s="3">
        <v>47</v>
      </c>
      <c r="D828" s="3">
        <v>4</v>
      </c>
      <c r="E828" s="3">
        <f>((1/(INDEX(E0!J$4:J$73,C828,1)-INDEX(E0!J$4:J$73,D828,1))))*100000000</f>
        <v>0</v>
      </c>
      <c r="F828" s="4" t="str">
        <f>HYPERLINK("http://141.218.60.56/~jnz1568/getInfo.php?workbook=16_15.xlsx&amp;sheet=A0&amp;row=828&amp;col=6&amp;number=&amp;sourceID=54","")</f>
        <v/>
      </c>
      <c r="G828" s="4" t="str">
        <f>HYPERLINK("http://141.218.60.56/~jnz1568/getInfo.php?workbook=16_15.xlsx&amp;sheet=A0&amp;row=828&amp;col=7&amp;number=&amp;sourceID=54","")</f>
        <v/>
      </c>
      <c r="H828" s="4" t="str">
        <f>HYPERLINK("http://141.218.60.56/~jnz1568/getInfo.php?workbook=16_15.xlsx&amp;sheet=A0&amp;row=828&amp;col=8&amp;number=0.26973&amp;sourceID=54","0.26973")</f>
        <v>0.26973</v>
      </c>
      <c r="I828" s="4" t="str">
        <f>HYPERLINK("http://141.218.60.56/~jnz1568/getInfo.php?workbook=16_15.xlsx&amp;sheet=A0&amp;row=828&amp;col=9&amp;number=&amp;sourceID=54","")</f>
        <v/>
      </c>
      <c r="J828" s="4" t="str">
        <f>HYPERLINK("http://141.218.60.56/~jnz1568/getInfo.php?workbook=16_15.xlsx&amp;sheet=A0&amp;row=828&amp;col=10&amp;number=&amp;sourceID=54","")</f>
        <v/>
      </c>
      <c r="K828" s="4" t="str">
        <f>HYPERLINK("http://141.218.60.56/~jnz1568/getInfo.php?workbook=16_15.xlsx&amp;sheet=A0&amp;row=828&amp;col=11&amp;number=0.27408&amp;sourceID=54","0.27408")</f>
        <v>0.27408</v>
      </c>
      <c r="L828" s="4" t="str">
        <f>HYPERLINK("http://141.218.60.56/~jnz1568/getInfo.php?workbook=16_15.xlsx&amp;sheet=A0&amp;row=828&amp;col=12&amp;number=&amp;sourceID=53","")</f>
        <v/>
      </c>
      <c r="M828" s="4" t="str">
        <f>HYPERLINK("http://141.218.60.56/~jnz1568/getInfo.php?workbook=16_15.xlsx&amp;sheet=A0&amp;row=828&amp;col=13&amp;number=&amp;sourceID=53","")</f>
        <v/>
      </c>
      <c r="N828" s="4" t="str">
        <f>HYPERLINK("http://141.218.60.56/~jnz1568/getInfo.php?workbook=16_15.xlsx&amp;sheet=A0&amp;row=828&amp;col=14&amp;number=&amp;sourceID=53","")</f>
        <v/>
      </c>
      <c r="O828" s="4" t="str">
        <f>HYPERLINK("http://141.218.60.56/~jnz1568/getInfo.php?workbook=16_15.xlsx&amp;sheet=A0&amp;row=828&amp;col=15&amp;number=&amp;sourceID=55","")</f>
        <v/>
      </c>
      <c r="P828" s="4" t="str">
        <f>HYPERLINK("http://141.218.60.56/~jnz1568/getInfo.php?workbook=16_15.xlsx&amp;sheet=A0&amp;row=828&amp;col=16&amp;number=&amp;sourceID=55","")</f>
        <v/>
      </c>
      <c r="Q828" s="4" t="str">
        <f>HYPERLINK("http://141.218.60.56/~jnz1568/getInfo.php?workbook=16_15.xlsx&amp;sheet=A0&amp;row=828&amp;col=17&amp;number=&amp;sourceID=56","")</f>
        <v/>
      </c>
      <c r="R828" s="4" t="str">
        <f>HYPERLINK("http://141.218.60.56/~jnz1568/getInfo.php?workbook=16_15.xlsx&amp;sheet=A0&amp;row=828&amp;col=18&amp;number=&amp;sourceID=56","")</f>
        <v/>
      </c>
      <c r="S828" s="4" t="str">
        <f>HYPERLINK("http://141.218.60.56/~jnz1568/getInfo.php?workbook=16_15.xlsx&amp;sheet=A0&amp;row=828&amp;col=19&amp;number=&amp;sourceID=57","")</f>
        <v/>
      </c>
      <c r="T828" s="4" t="str">
        <f>HYPERLINK("http://141.218.60.56/~jnz1568/getInfo.php?workbook=16_15.xlsx&amp;sheet=A0&amp;row=828&amp;col=20&amp;number=&amp;sourceID=57","")</f>
        <v/>
      </c>
      <c r="U828" s="4" t="str">
        <f>HYPERLINK("http://141.218.60.56/~jnz1568/getInfo.php?workbook=16_15.xlsx&amp;sheet=A0&amp;row=828&amp;col=21&amp;number=&amp;sourceID=47","")</f>
        <v/>
      </c>
      <c r="V828" s="4" t="str">
        <f>HYPERLINK("http://141.218.60.56/~jnz1568/getInfo.php?workbook=16_15.xlsx&amp;sheet=A0&amp;row=828&amp;col=22&amp;number=&amp;sourceID=47","")</f>
        <v/>
      </c>
    </row>
    <row r="829" spans="1:22">
      <c r="A829" s="3">
        <v>16</v>
      </c>
      <c r="B829" s="3">
        <v>15</v>
      </c>
      <c r="C829" s="3">
        <v>47</v>
      </c>
      <c r="D829" s="3">
        <v>5</v>
      </c>
      <c r="E829" s="3">
        <f>((1/(INDEX(E0!J$4:J$73,C829,1)-INDEX(E0!J$4:J$73,D829,1))))*100000000</f>
        <v>0</v>
      </c>
      <c r="F829" s="4" t="str">
        <f>HYPERLINK("http://141.218.60.56/~jnz1568/getInfo.php?workbook=16_15.xlsx&amp;sheet=A0&amp;row=829&amp;col=6&amp;number=&amp;sourceID=54","")</f>
        <v/>
      </c>
      <c r="G829" s="4" t="str">
        <f>HYPERLINK("http://141.218.60.56/~jnz1568/getInfo.php?workbook=16_15.xlsx&amp;sheet=A0&amp;row=829&amp;col=7&amp;number=3114.7&amp;sourceID=54","3114.7")</f>
        <v>3114.7</v>
      </c>
      <c r="H829" s="4" t="str">
        <f>HYPERLINK("http://141.218.60.56/~jnz1568/getInfo.php?workbook=16_15.xlsx&amp;sheet=A0&amp;row=829&amp;col=8&amp;number=0.61431&amp;sourceID=54","0.61431")</f>
        <v>0.61431</v>
      </c>
      <c r="I829" s="4" t="str">
        <f>HYPERLINK("http://141.218.60.56/~jnz1568/getInfo.php?workbook=16_15.xlsx&amp;sheet=A0&amp;row=829&amp;col=9&amp;number=&amp;sourceID=54","")</f>
        <v/>
      </c>
      <c r="J829" s="4" t="str">
        <f>HYPERLINK("http://141.218.60.56/~jnz1568/getInfo.php?workbook=16_15.xlsx&amp;sheet=A0&amp;row=829&amp;col=10&amp;number=3201.9&amp;sourceID=54","3201.9")</f>
        <v>3201.9</v>
      </c>
      <c r="K829" s="4" t="str">
        <f>HYPERLINK("http://141.218.60.56/~jnz1568/getInfo.php?workbook=16_15.xlsx&amp;sheet=A0&amp;row=829&amp;col=11&amp;number=0.62417&amp;sourceID=54","0.62417")</f>
        <v>0.62417</v>
      </c>
      <c r="L829" s="4" t="str">
        <f>HYPERLINK("http://141.218.60.56/~jnz1568/getInfo.php?workbook=16_15.xlsx&amp;sheet=A0&amp;row=829&amp;col=12&amp;number=&amp;sourceID=53","")</f>
        <v/>
      </c>
      <c r="M829" s="4" t="str">
        <f>HYPERLINK("http://141.218.60.56/~jnz1568/getInfo.php?workbook=16_15.xlsx&amp;sheet=A0&amp;row=829&amp;col=13&amp;number=&amp;sourceID=53","")</f>
        <v/>
      </c>
      <c r="N829" s="4" t="str">
        <f>HYPERLINK("http://141.218.60.56/~jnz1568/getInfo.php?workbook=16_15.xlsx&amp;sheet=A0&amp;row=829&amp;col=14&amp;number=&amp;sourceID=53","")</f>
        <v/>
      </c>
      <c r="O829" s="4" t="str">
        <f>HYPERLINK("http://141.218.60.56/~jnz1568/getInfo.php?workbook=16_15.xlsx&amp;sheet=A0&amp;row=829&amp;col=15&amp;number=&amp;sourceID=55","")</f>
        <v/>
      </c>
      <c r="P829" s="4" t="str">
        <f>HYPERLINK("http://141.218.60.56/~jnz1568/getInfo.php?workbook=16_15.xlsx&amp;sheet=A0&amp;row=829&amp;col=16&amp;number=&amp;sourceID=55","")</f>
        <v/>
      </c>
      <c r="Q829" s="4" t="str">
        <f>HYPERLINK("http://141.218.60.56/~jnz1568/getInfo.php?workbook=16_15.xlsx&amp;sheet=A0&amp;row=829&amp;col=17&amp;number=&amp;sourceID=56","")</f>
        <v/>
      </c>
      <c r="R829" s="4" t="str">
        <f>HYPERLINK("http://141.218.60.56/~jnz1568/getInfo.php?workbook=16_15.xlsx&amp;sheet=A0&amp;row=829&amp;col=18&amp;number=&amp;sourceID=56","")</f>
        <v/>
      </c>
      <c r="S829" s="4" t="str">
        <f>HYPERLINK("http://141.218.60.56/~jnz1568/getInfo.php?workbook=16_15.xlsx&amp;sheet=A0&amp;row=829&amp;col=19&amp;number=&amp;sourceID=57","")</f>
        <v/>
      </c>
      <c r="T829" s="4" t="str">
        <f>HYPERLINK("http://141.218.60.56/~jnz1568/getInfo.php?workbook=16_15.xlsx&amp;sheet=A0&amp;row=829&amp;col=20&amp;number=&amp;sourceID=57","")</f>
        <v/>
      </c>
      <c r="U829" s="4" t="str">
        <f>HYPERLINK("http://141.218.60.56/~jnz1568/getInfo.php?workbook=16_15.xlsx&amp;sheet=A0&amp;row=829&amp;col=21&amp;number=&amp;sourceID=47","")</f>
        <v/>
      </c>
      <c r="V829" s="4" t="str">
        <f>HYPERLINK("http://141.218.60.56/~jnz1568/getInfo.php?workbook=16_15.xlsx&amp;sheet=A0&amp;row=829&amp;col=22&amp;number=&amp;sourceID=47","")</f>
        <v/>
      </c>
    </row>
    <row r="830" spans="1:22">
      <c r="A830" s="3">
        <v>16</v>
      </c>
      <c r="B830" s="3">
        <v>15</v>
      </c>
      <c r="C830" s="3">
        <v>47</v>
      </c>
      <c r="D830" s="3">
        <v>7</v>
      </c>
      <c r="E830" s="3">
        <f>((1/(INDEX(E0!J$4:J$73,C830,1)-INDEX(E0!J$4:J$73,D830,1))))*100000000</f>
        <v>0</v>
      </c>
      <c r="F830" s="4" t="str">
        <f>HYPERLINK("http://141.218.60.56/~jnz1568/getInfo.php?workbook=16_15.xlsx&amp;sheet=A0&amp;row=830&amp;col=6&amp;number=12678&amp;sourceID=54","12678")</f>
        <v>12678</v>
      </c>
      <c r="G830" s="4" t="str">
        <f>HYPERLINK("http://141.218.60.56/~jnz1568/getInfo.php?workbook=16_15.xlsx&amp;sheet=A0&amp;row=830&amp;col=7&amp;number=&amp;sourceID=54","")</f>
        <v/>
      </c>
      <c r="H830" s="4" t="str">
        <f>HYPERLINK("http://141.218.60.56/~jnz1568/getInfo.php?workbook=16_15.xlsx&amp;sheet=A0&amp;row=830&amp;col=8&amp;number=&amp;sourceID=54","")</f>
        <v/>
      </c>
      <c r="I830" s="4" t="str">
        <f>HYPERLINK("http://141.218.60.56/~jnz1568/getInfo.php?workbook=16_15.xlsx&amp;sheet=A0&amp;row=830&amp;col=9&amp;number=13419&amp;sourceID=54","13419")</f>
        <v>13419</v>
      </c>
      <c r="J830" s="4" t="str">
        <f>HYPERLINK("http://141.218.60.56/~jnz1568/getInfo.php?workbook=16_15.xlsx&amp;sheet=A0&amp;row=830&amp;col=10&amp;number=&amp;sourceID=54","")</f>
        <v/>
      </c>
      <c r="K830" s="4" t="str">
        <f>HYPERLINK("http://141.218.60.56/~jnz1568/getInfo.php?workbook=16_15.xlsx&amp;sheet=A0&amp;row=830&amp;col=11&amp;number=&amp;sourceID=54","")</f>
        <v/>
      </c>
      <c r="L830" s="4" t="str">
        <f>HYPERLINK("http://141.218.60.56/~jnz1568/getInfo.php?workbook=16_15.xlsx&amp;sheet=A0&amp;row=830&amp;col=12&amp;number=16299.5585617&amp;sourceID=53","16299.5585617")</f>
        <v>16299.5585617</v>
      </c>
      <c r="M830" s="4" t="str">
        <f>HYPERLINK("http://141.218.60.56/~jnz1568/getInfo.php?workbook=16_15.xlsx&amp;sheet=A0&amp;row=830&amp;col=13&amp;number=&amp;sourceID=53","")</f>
        <v/>
      </c>
      <c r="N830" s="4" t="str">
        <f>HYPERLINK("http://141.218.60.56/~jnz1568/getInfo.php?workbook=16_15.xlsx&amp;sheet=A0&amp;row=830&amp;col=14&amp;number=&amp;sourceID=53","")</f>
        <v/>
      </c>
      <c r="O830" s="4" t="str">
        <f>HYPERLINK("http://141.218.60.56/~jnz1568/getInfo.php?workbook=16_15.xlsx&amp;sheet=A0&amp;row=830&amp;col=15&amp;number=&amp;sourceID=55","")</f>
        <v/>
      </c>
      <c r="P830" s="4" t="str">
        <f>HYPERLINK("http://141.218.60.56/~jnz1568/getInfo.php?workbook=16_15.xlsx&amp;sheet=A0&amp;row=830&amp;col=16&amp;number=&amp;sourceID=55","")</f>
        <v/>
      </c>
      <c r="Q830" s="4" t="str">
        <f>HYPERLINK("http://141.218.60.56/~jnz1568/getInfo.php?workbook=16_15.xlsx&amp;sheet=A0&amp;row=830&amp;col=17&amp;number=&amp;sourceID=56","")</f>
        <v/>
      </c>
      <c r="R830" s="4" t="str">
        <f>HYPERLINK("http://141.218.60.56/~jnz1568/getInfo.php?workbook=16_15.xlsx&amp;sheet=A0&amp;row=830&amp;col=18&amp;number=&amp;sourceID=56","")</f>
        <v/>
      </c>
      <c r="S830" s="4" t="str">
        <f>HYPERLINK("http://141.218.60.56/~jnz1568/getInfo.php?workbook=16_15.xlsx&amp;sheet=A0&amp;row=830&amp;col=19&amp;number=&amp;sourceID=57","")</f>
        <v/>
      </c>
      <c r="T830" s="4" t="str">
        <f>HYPERLINK("http://141.218.60.56/~jnz1568/getInfo.php?workbook=16_15.xlsx&amp;sheet=A0&amp;row=830&amp;col=20&amp;number=&amp;sourceID=57","")</f>
        <v/>
      </c>
      <c r="U830" s="4" t="str">
        <f>HYPERLINK("http://141.218.60.56/~jnz1568/getInfo.php?workbook=16_15.xlsx&amp;sheet=A0&amp;row=830&amp;col=21&amp;number=&amp;sourceID=47","")</f>
        <v/>
      </c>
      <c r="V830" s="4" t="str">
        <f>HYPERLINK("http://141.218.60.56/~jnz1568/getInfo.php?workbook=16_15.xlsx&amp;sheet=A0&amp;row=830&amp;col=22&amp;number=&amp;sourceID=47","")</f>
        <v/>
      </c>
    </row>
    <row r="831" spans="1:22">
      <c r="A831" s="3">
        <v>16</v>
      </c>
      <c r="B831" s="3">
        <v>15</v>
      </c>
      <c r="C831" s="3">
        <v>47</v>
      </c>
      <c r="D831" s="3">
        <v>8</v>
      </c>
      <c r="E831" s="3">
        <f>((1/(INDEX(E0!J$4:J$73,C831,1)-INDEX(E0!J$4:J$73,D831,1))))*100000000</f>
        <v>0</v>
      </c>
      <c r="F831" s="4" t="str">
        <f>HYPERLINK("http://141.218.60.56/~jnz1568/getInfo.php?workbook=16_15.xlsx&amp;sheet=A0&amp;row=831&amp;col=6&amp;number=778.26&amp;sourceID=54","778.26")</f>
        <v>778.26</v>
      </c>
      <c r="G831" s="4" t="str">
        <f>HYPERLINK("http://141.218.60.56/~jnz1568/getInfo.php?workbook=16_15.xlsx&amp;sheet=A0&amp;row=831&amp;col=7&amp;number=&amp;sourceID=54","")</f>
        <v/>
      </c>
      <c r="H831" s="4" t="str">
        <f>HYPERLINK("http://141.218.60.56/~jnz1568/getInfo.php?workbook=16_15.xlsx&amp;sheet=A0&amp;row=831&amp;col=8&amp;number=&amp;sourceID=54","")</f>
        <v/>
      </c>
      <c r="I831" s="4" t="str">
        <f>HYPERLINK("http://141.218.60.56/~jnz1568/getInfo.php?workbook=16_15.xlsx&amp;sheet=A0&amp;row=831&amp;col=9&amp;number=786.04&amp;sourceID=54","786.04")</f>
        <v>786.04</v>
      </c>
      <c r="J831" s="4" t="str">
        <f>HYPERLINK("http://141.218.60.56/~jnz1568/getInfo.php?workbook=16_15.xlsx&amp;sheet=A0&amp;row=831&amp;col=10&amp;number=&amp;sourceID=54","")</f>
        <v/>
      </c>
      <c r="K831" s="4" t="str">
        <f>HYPERLINK("http://141.218.60.56/~jnz1568/getInfo.php?workbook=16_15.xlsx&amp;sheet=A0&amp;row=831&amp;col=11&amp;number=&amp;sourceID=54","")</f>
        <v/>
      </c>
      <c r="L831" s="4" t="str">
        <f>HYPERLINK("http://141.218.60.56/~jnz1568/getInfo.php?workbook=16_15.xlsx&amp;sheet=A0&amp;row=831&amp;col=12&amp;number=880.802492734&amp;sourceID=53","880.802492734")</f>
        <v>880.802492734</v>
      </c>
      <c r="M831" s="4" t="str">
        <f>HYPERLINK("http://141.218.60.56/~jnz1568/getInfo.php?workbook=16_15.xlsx&amp;sheet=A0&amp;row=831&amp;col=13&amp;number=&amp;sourceID=53","")</f>
        <v/>
      </c>
      <c r="N831" s="4" t="str">
        <f>HYPERLINK("http://141.218.60.56/~jnz1568/getInfo.php?workbook=16_15.xlsx&amp;sheet=A0&amp;row=831&amp;col=14&amp;number=&amp;sourceID=53","")</f>
        <v/>
      </c>
      <c r="O831" s="4" t="str">
        <f>HYPERLINK("http://141.218.60.56/~jnz1568/getInfo.php?workbook=16_15.xlsx&amp;sheet=A0&amp;row=831&amp;col=15&amp;number=&amp;sourceID=55","")</f>
        <v/>
      </c>
      <c r="P831" s="4" t="str">
        <f>HYPERLINK("http://141.218.60.56/~jnz1568/getInfo.php?workbook=16_15.xlsx&amp;sheet=A0&amp;row=831&amp;col=16&amp;number=&amp;sourceID=55","")</f>
        <v/>
      </c>
      <c r="Q831" s="4" t="str">
        <f>HYPERLINK("http://141.218.60.56/~jnz1568/getInfo.php?workbook=16_15.xlsx&amp;sheet=A0&amp;row=831&amp;col=17&amp;number=&amp;sourceID=56","")</f>
        <v/>
      </c>
      <c r="R831" s="4" t="str">
        <f>HYPERLINK("http://141.218.60.56/~jnz1568/getInfo.php?workbook=16_15.xlsx&amp;sheet=A0&amp;row=831&amp;col=18&amp;number=&amp;sourceID=56","")</f>
        <v/>
      </c>
      <c r="S831" s="4" t="str">
        <f>HYPERLINK("http://141.218.60.56/~jnz1568/getInfo.php?workbook=16_15.xlsx&amp;sheet=A0&amp;row=831&amp;col=19&amp;number=&amp;sourceID=57","")</f>
        <v/>
      </c>
      <c r="T831" s="4" t="str">
        <f>HYPERLINK("http://141.218.60.56/~jnz1568/getInfo.php?workbook=16_15.xlsx&amp;sheet=A0&amp;row=831&amp;col=20&amp;number=&amp;sourceID=57","")</f>
        <v/>
      </c>
      <c r="U831" s="4" t="str">
        <f>HYPERLINK("http://141.218.60.56/~jnz1568/getInfo.php?workbook=16_15.xlsx&amp;sheet=A0&amp;row=831&amp;col=21&amp;number=&amp;sourceID=47","")</f>
        <v/>
      </c>
      <c r="V831" s="4" t="str">
        <f>HYPERLINK("http://141.218.60.56/~jnz1568/getInfo.php?workbook=16_15.xlsx&amp;sheet=A0&amp;row=831&amp;col=22&amp;number=&amp;sourceID=47","")</f>
        <v/>
      </c>
    </row>
    <row r="832" spans="1:22">
      <c r="A832" s="3">
        <v>16</v>
      </c>
      <c r="B832" s="3">
        <v>15</v>
      </c>
      <c r="C832" s="3">
        <v>47</v>
      </c>
      <c r="D832" s="3">
        <v>9</v>
      </c>
      <c r="E832" s="3">
        <f>((1/(INDEX(E0!J$4:J$73,C832,1)-INDEX(E0!J$4:J$73,D832,1))))*100000000</f>
        <v>0</v>
      </c>
      <c r="F832" s="4" t="str">
        <f>HYPERLINK("http://141.218.60.56/~jnz1568/getInfo.php?workbook=16_15.xlsx&amp;sheet=A0&amp;row=832&amp;col=6&amp;number=8017900&amp;sourceID=54","8017900")</f>
        <v>8017900</v>
      </c>
      <c r="G832" s="4" t="str">
        <f>HYPERLINK("http://141.218.60.56/~jnz1568/getInfo.php?workbook=16_15.xlsx&amp;sheet=A0&amp;row=832&amp;col=7&amp;number=&amp;sourceID=54","")</f>
        <v/>
      </c>
      <c r="H832" s="4" t="str">
        <f>HYPERLINK("http://141.218.60.56/~jnz1568/getInfo.php?workbook=16_15.xlsx&amp;sheet=A0&amp;row=832&amp;col=8&amp;number=&amp;sourceID=54","")</f>
        <v/>
      </c>
      <c r="I832" s="4" t="str">
        <f>HYPERLINK("http://141.218.60.56/~jnz1568/getInfo.php?workbook=16_15.xlsx&amp;sheet=A0&amp;row=832&amp;col=9&amp;number=8010200&amp;sourceID=54","8010200")</f>
        <v>8010200</v>
      </c>
      <c r="J832" s="4" t="str">
        <f>HYPERLINK("http://141.218.60.56/~jnz1568/getInfo.php?workbook=16_15.xlsx&amp;sheet=A0&amp;row=832&amp;col=10&amp;number=&amp;sourceID=54","")</f>
        <v/>
      </c>
      <c r="K832" s="4" t="str">
        <f>HYPERLINK("http://141.218.60.56/~jnz1568/getInfo.php?workbook=16_15.xlsx&amp;sheet=A0&amp;row=832&amp;col=11&amp;number=&amp;sourceID=54","")</f>
        <v/>
      </c>
      <c r="L832" s="4" t="str">
        <f>HYPERLINK("http://141.218.60.56/~jnz1568/getInfo.php?workbook=16_15.xlsx&amp;sheet=A0&amp;row=832&amp;col=12&amp;number=9285485.48531&amp;sourceID=53","9285485.48531")</f>
        <v>9285485.48531</v>
      </c>
      <c r="M832" s="4" t="str">
        <f>HYPERLINK("http://141.218.60.56/~jnz1568/getInfo.php?workbook=16_15.xlsx&amp;sheet=A0&amp;row=832&amp;col=13&amp;number=&amp;sourceID=53","")</f>
        <v/>
      </c>
      <c r="N832" s="4" t="str">
        <f>HYPERLINK("http://141.218.60.56/~jnz1568/getInfo.php?workbook=16_15.xlsx&amp;sheet=A0&amp;row=832&amp;col=14&amp;number=&amp;sourceID=53","")</f>
        <v/>
      </c>
      <c r="O832" s="4" t="str">
        <f>HYPERLINK("http://141.218.60.56/~jnz1568/getInfo.php?workbook=16_15.xlsx&amp;sheet=A0&amp;row=832&amp;col=15&amp;number=&amp;sourceID=55","")</f>
        <v/>
      </c>
      <c r="P832" s="4" t="str">
        <f>HYPERLINK("http://141.218.60.56/~jnz1568/getInfo.php?workbook=16_15.xlsx&amp;sheet=A0&amp;row=832&amp;col=16&amp;number=&amp;sourceID=55","")</f>
        <v/>
      </c>
      <c r="Q832" s="4" t="str">
        <f>HYPERLINK("http://141.218.60.56/~jnz1568/getInfo.php?workbook=16_15.xlsx&amp;sheet=A0&amp;row=832&amp;col=17&amp;number=&amp;sourceID=56","")</f>
        <v/>
      </c>
      <c r="R832" s="4" t="str">
        <f>HYPERLINK("http://141.218.60.56/~jnz1568/getInfo.php?workbook=16_15.xlsx&amp;sheet=A0&amp;row=832&amp;col=18&amp;number=&amp;sourceID=56","")</f>
        <v/>
      </c>
      <c r="S832" s="4" t="str">
        <f>HYPERLINK("http://141.218.60.56/~jnz1568/getInfo.php?workbook=16_15.xlsx&amp;sheet=A0&amp;row=832&amp;col=19&amp;number=&amp;sourceID=57","")</f>
        <v/>
      </c>
      <c r="T832" s="4" t="str">
        <f>HYPERLINK("http://141.218.60.56/~jnz1568/getInfo.php?workbook=16_15.xlsx&amp;sheet=A0&amp;row=832&amp;col=20&amp;number=&amp;sourceID=57","")</f>
        <v/>
      </c>
      <c r="U832" s="4" t="str">
        <f>HYPERLINK("http://141.218.60.56/~jnz1568/getInfo.php?workbook=16_15.xlsx&amp;sheet=A0&amp;row=832&amp;col=21&amp;number=&amp;sourceID=47","")</f>
        <v/>
      </c>
      <c r="V832" s="4" t="str">
        <f>HYPERLINK("http://141.218.60.56/~jnz1568/getInfo.php?workbook=16_15.xlsx&amp;sheet=A0&amp;row=832&amp;col=22&amp;number=&amp;sourceID=47","")</f>
        <v/>
      </c>
    </row>
    <row r="833" spans="1:22">
      <c r="A833" s="3">
        <v>16</v>
      </c>
      <c r="B833" s="3">
        <v>15</v>
      </c>
      <c r="C833" s="3">
        <v>47</v>
      </c>
      <c r="D833" s="3">
        <v>11</v>
      </c>
      <c r="E833" s="3">
        <f>((1/(INDEX(E0!J$4:J$73,C833,1)-INDEX(E0!J$4:J$73,D833,1))))*100000000</f>
        <v>0</v>
      </c>
      <c r="F833" s="4" t="str">
        <f>HYPERLINK("http://141.218.60.56/~jnz1568/getInfo.php?workbook=16_15.xlsx&amp;sheet=A0&amp;row=833&amp;col=6&amp;number=7077100&amp;sourceID=54","7077100")</f>
        <v>7077100</v>
      </c>
      <c r="G833" s="4" t="str">
        <f>HYPERLINK("http://141.218.60.56/~jnz1568/getInfo.php?workbook=16_15.xlsx&amp;sheet=A0&amp;row=833&amp;col=7&amp;number=&amp;sourceID=54","")</f>
        <v/>
      </c>
      <c r="H833" s="4" t="str">
        <f>HYPERLINK("http://141.218.60.56/~jnz1568/getInfo.php?workbook=16_15.xlsx&amp;sheet=A0&amp;row=833&amp;col=8&amp;number=&amp;sourceID=54","")</f>
        <v/>
      </c>
      <c r="I833" s="4" t="str">
        <f>HYPERLINK("http://141.218.60.56/~jnz1568/getInfo.php?workbook=16_15.xlsx&amp;sheet=A0&amp;row=833&amp;col=9&amp;number=7146400&amp;sourceID=54","7146400")</f>
        <v>7146400</v>
      </c>
      <c r="J833" s="4" t="str">
        <f>HYPERLINK("http://141.218.60.56/~jnz1568/getInfo.php?workbook=16_15.xlsx&amp;sheet=A0&amp;row=833&amp;col=10&amp;number=&amp;sourceID=54","")</f>
        <v/>
      </c>
      <c r="K833" s="4" t="str">
        <f>HYPERLINK("http://141.218.60.56/~jnz1568/getInfo.php?workbook=16_15.xlsx&amp;sheet=A0&amp;row=833&amp;col=11&amp;number=&amp;sourceID=54","")</f>
        <v/>
      </c>
      <c r="L833" s="4" t="str">
        <f>HYPERLINK("http://141.218.60.56/~jnz1568/getInfo.php?workbook=16_15.xlsx&amp;sheet=A0&amp;row=833&amp;col=12&amp;number=6888921.94017&amp;sourceID=53","6888921.94017")</f>
        <v>6888921.94017</v>
      </c>
      <c r="M833" s="4" t="str">
        <f>HYPERLINK("http://141.218.60.56/~jnz1568/getInfo.php?workbook=16_15.xlsx&amp;sheet=A0&amp;row=833&amp;col=13&amp;number=&amp;sourceID=53","")</f>
        <v/>
      </c>
      <c r="N833" s="4" t="str">
        <f>HYPERLINK("http://141.218.60.56/~jnz1568/getInfo.php?workbook=16_15.xlsx&amp;sheet=A0&amp;row=833&amp;col=14&amp;number=&amp;sourceID=53","")</f>
        <v/>
      </c>
      <c r="O833" s="4" t="str">
        <f>HYPERLINK("http://141.218.60.56/~jnz1568/getInfo.php?workbook=16_15.xlsx&amp;sheet=A0&amp;row=833&amp;col=15&amp;number=&amp;sourceID=55","")</f>
        <v/>
      </c>
      <c r="P833" s="4" t="str">
        <f>HYPERLINK("http://141.218.60.56/~jnz1568/getInfo.php?workbook=16_15.xlsx&amp;sheet=A0&amp;row=833&amp;col=16&amp;number=&amp;sourceID=55","")</f>
        <v/>
      </c>
      <c r="Q833" s="4" t="str">
        <f>HYPERLINK("http://141.218.60.56/~jnz1568/getInfo.php?workbook=16_15.xlsx&amp;sheet=A0&amp;row=833&amp;col=17&amp;number=&amp;sourceID=56","")</f>
        <v/>
      </c>
      <c r="R833" s="4" t="str">
        <f>HYPERLINK("http://141.218.60.56/~jnz1568/getInfo.php?workbook=16_15.xlsx&amp;sheet=A0&amp;row=833&amp;col=18&amp;number=&amp;sourceID=56","")</f>
        <v/>
      </c>
      <c r="S833" s="4" t="str">
        <f>HYPERLINK("http://141.218.60.56/~jnz1568/getInfo.php?workbook=16_15.xlsx&amp;sheet=A0&amp;row=833&amp;col=19&amp;number=&amp;sourceID=57","")</f>
        <v/>
      </c>
      <c r="T833" s="4" t="str">
        <f>HYPERLINK("http://141.218.60.56/~jnz1568/getInfo.php?workbook=16_15.xlsx&amp;sheet=A0&amp;row=833&amp;col=20&amp;number=&amp;sourceID=57","")</f>
        <v/>
      </c>
      <c r="U833" s="4" t="str">
        <f>HYPERLINK("http://141.218.60.56/~jnz1568/getInfo.php?workbook=16_15.xlsx&amp;sheet=A0&amp;row=833&amp;col=21&amp;number=&amp;sourceID=47","")</f>
        <v/>
      </c>
      <c r="V833" s="4" t="str">
        <f>HYPERLINK("http://141.218.60.56/~jnz1568/getInfo.php?workbook=16_15.xlsx&amp;sheet=A0&amp;row=833&amp;col=22&amp;number=&amp;sourceID=47","")</f>
        <v/>
      </c>
    </row>
    <row r="834" spans="1:22">
      <c r="A834" s="3">
        <v>16</v>
      </c>
      <c r="B834" s="3">
        <v>15</v>
      </c>
      <c r="C834" s="3">
        <v>47</v>
      </c>
      <c r="D834" s="3">
        <v>12</v>
      </c>
      <c r="E834" s="3">
        <f>((1/(INDEX(E0!J$4:J$73,C834,1)-INDEX(E0!J$4:J$73,D834,1))))*100000000</f>
        <v>0</v>
      </c>
      <c r="F834" s="4" t="str">
        <f>HYPERLINK("http://141.218.60.56/~jnz1568/getInfo.php?workbook=16_15.xlsx&amp;sheet=A0&amp;row=834&amp;col=6&amp;number=18485000&amp;sourceID=54","18485000")</f>
        <v>18485000</v>
      </c>
      <c r="G834" s="4" t="str">
        <f>HYPERLINK("http://141.218.60.56/~jnz1568/getInfo.php?workbook=16_15.xlsx&amp;sheet=A0&amp;row=834&amp;col=7&amp;number=&amp;sourceID=54","")</f>
        <v/>
      </c>
      <c r="H834" s="4" t="str">
        <f>HYPERLINK("http://141.218.60.56/~jnz1568/getInfo.php?workbook=16_15.xlsx&amp;sheet=A0&amp;row=834&amp;col=8&amp;number=&amp;sourceID=54","")</f>
        <v/>
      </c>
      <c r="I834" s="4" t="str">
        <f>HYPERLINK("http://141.218.60.56/~jnz1568/getInfo.php?workbook=16_15.xlsx&amp;sheet=A0&amp;row=834&amp;col=9&amp;number=18808000&amp;sourceID=54","18808000")</f>
        <v>18808000</v>
      </c>
      <c r="J834" s="4" t="str">
        <f>HYPERLINK("http://141.218.60.56/~jnz1568/getInfo.php?workbook=16_15.xlsx&amp;sheet=A0&amp;row=834&amp;col=10&amp;number=&amp;sourceID=54","")</f>
        <v/>
      </c>
      <c r="K834" s="4" t="str">
        <f>HYPERLINK("http://141.218.60.56/~jnz1568/getInfo.php?workbook=16_15.xlsx&amp;sheet=A0&amp;row=834&amp;col=11&amp;number=&amp;sourceID=54","")</f>
        <v/>
      </c>
      <c r="L834" s="4" t="str">
        <f>HYPERLINK("http://141.218.60.56/~jnz1568/getInfo.php?workbook=16_15.xlsx&amp;sheet=A0&amp;row=834&amp;col=12&amp;number=17968109.58&amp;sourceID=53","17968109.58")</f>
        <v>17968109.58</v>
      </c>
      <c r="M834" s="4" t="str">
        <f>HYPERLINK("http://141.218.60.56/~jnz1568/getInfo.php?workbook=16_15.xlsx&amp;sheet=A0&amp;row=834&amp;col=13&amp;number=&amp;sourceID=53","")</f>
        <v/>
      </c>
      <c r="N834" s="4" t="str">
        <f>HYPERLINK("http://141.218.60.56/~jnz1568/getInfo.php?workbook=16_15.xlsx&amp;sheet=A0&amp;row=834&amp;col=14&amp;number=&amp;sourceID=53","")</f>
        <v/>
      </c>
      <c r="O834" s="4" t="str">
        <f>HYPERLINK("http://141.218.60.56/~jnz1568/getInfo.php?workbook=16_15.xlsx&amp;sheet=A0&amp;row=834&amp;col=15&amp;number=&amp;sourceID=55","")</f>
        <v/>
      </c>
      <c r="P834" s="4" t="str">
        <f>HYPERLINK("http://141.218.60.56/~jnz1568/getInfo.php?workbook=16_15.xlsx&amp;sheet=A0&amp;row=834&amp;col=16&amp;number=&amp;sourceID=55","")</f>
        <v/>
      </c>
      <c r="Q834" s="4" t="str">
        <f>HYPERLINK("http://141.218.60.56/~jnz1568/getInfo.php?workbook=16_15.xlsx&amp;sheet=A0&amp;row=834&amp;col=17&amp;number=&amp;sourceID=56","")</f>
        <v/>
      </c>
      <c r="R834" s="4" t="str">
        <f>HYPERLINK("http://141.218.60.56/~jnz1568/getInfo.php?workbook=16_15.xlsx&amp;sheet=A0&amp;row=834&amp;col=18&amp;number=&amp;sourceID=56","")</f>
        <v/>
      </c>
      <c r="S834" s="4" t="str">
        <f>HYPERLINK("http://141.218.60.56/~jnz1568/getInfo.php?workbook=16_15.xlsx&amp;sheet=A0&amp;row=834&amp;col=19&amp;number=&amp;sourceID=57","")</f>
        <v/>
      </c>
      <c r="T834" s="4" t="str">
        <f>HYPERLINK("http://141.218.60.56/~jnz1568/getInfo.php?workbook=16_15.xlsx&amp;sheet=A0&amp;row=834&amp;col=20&amp;number=&amp;sourceID=57","")</f>
        <v/>
      </c>
      <c r="U834" s="4" t="str">
        <f>HYPERLINK("http://141.218.60.56/~jnz1568/getInfo.php?workbook=16_15.xlsx&amp;sheet=A0&amp;row=834&amp;col=21&amp;number=&amp;sourceID=47","")</f>
        <v/>
      </c>
      <c r="V834" s="4" t="str">
        <f>HYPERLINK("http://141.218.60.56/~jnz1568/getInfo.php?workbook=16_15.xlsx&amp;sheet=A0&amp;row=834&amp;col=22&amp;number=&amp;sourceID=47","")</f>
        <v/>
      </c>
    </row>
    <row r="835" spans="1:22">
      <c r="A835" s="3">
        <v>16</v>
      </c>
      <c r="B835" s="3">
        <v>15</v>
      </c>
      <c r="C835" s="3">
        <v>47</v>
      </c>
      <c r="D835" s="3">
        <v>13</v>
      </c>
      <c r="E835" s="3">
        <f>((1/(INDEX(E0!J$4:J$73,C835,1)-INDEX(E0!J$4:J$73,D835,1))))*100000000</f>
        <v>0</v>
      </c>
      <c r="F835" s="4" t="str">
        <f>HYPERLINK("http://141.218.60.56/~jnz1568/getInfo.php?workbook=16_15.xlsx&amp;sheet=A0&amp;row=835&amp;col=6&amp;number=793.83&amp;sourceID=54","793.83")</f>
        <v>793.83</v>
      </c>
      <c r="G835" s="4" t="str">
        <f>HYPERLINK("http://141.218.60.56/~jnz1568/getInfo.php?workbook=16_15.xlsx&amp;sheet=A0&amp;row=835&amp;col=7&amp;number=&amp;sourceID=54","")</f>
        <v/>
      </c>
      <c r="H835" s="4" t="str">
        <f>HYPERLINK("http://141.218.60.56/~jnz1568/getInfo.php?workbook=16_15.xlsx&amp;sheet=A0&amp;row=835&amp;col=8&amp;number=&amp;sourceID=54","")</f>
        <v/>
      </c>
      <c r="I835" s="4" t="str">
        <f>HYPERLINK("http://141.218.60.56/~jnz1568/getInfo.php?workbook=16_15.xlsx&amp;sheet=A0&amp;row=835&amp;col=9&amp;number=664.32&amp;sourceID=54","664.32")</f>
        <v>664.32</v>
      </c>
      <c r="J835" s="4" t="str">
        <f>HYPERLINK("http://141.218.60.56/~jnz1568/getInfo.php?workbook=16_15.xlsx&amp;sheet=A0&amp;row=835&amp;col=10&amp;number=&amp;sourceID=54","")</f>
        <v/>
      </c>
      <c r="K835" s="4" t="str">
        <f>HYPERLINK("http://141.218.60.56/~jnz1568/getInfo.php?workbook=16_15.xlsx&amp;sheet=A0&amp;row=835&amp;col=11&amp;number=&amp;sourceID=54","")</f>
        <v/>
      </c>
      <c r="L835" s="4" t="str">
        <f>HYPERLINK("http://141.218.60.56/~jnz1568/getInfo.php?workbook=16_15.xlsx&amp;sheet=A0&amp;row=835&amp;col=12&amp;number=96.2521375146&amp;sourceID=53","96.2521375146")</f>
        <v>96.2521375146</v>
      </c>
      <c r="M835" s="4" t="str">
        <f>HYPERLINK("http://141.218.60.56/~jnz1568/getInfo.php?workbook=16_15.xlsx&amp;sheet=A0&amp;row=835&amp;col=13&amp;number=&amp;sourceID=53","")</f>
        <v/>
      </c>
      <c r="N835" s="4" t="str">
        <f>HYPERLINK("http://141.218.60.56/~jnz1568/getInfo.php?workbook=16_15.xlsx&amp;sheet=A0&amp;row=835&amp;col=14&amp;number=&amp;sourceID=53","")</f>
        <v/>
      </c>
      <c r="O835" s="4" t="str">
        <f>HYPERLINK("http://141.218.60.56/~jnz1568/getInfo.php?workbook=16_15.xlsx&amp;sheet=A0&amp;row=835&amp;col=15&amp;number=&amp;sourceID=55","")</f>
        <v/>
      </c>
      <c r="P835" s="4" t="str">
        <f>HYPERLINK("http://141.218.60.56/~jnz1568/getInfo.php?workbook=16_15.xlsx&amp;sheet=A0&amp;row=835&amp;col=16&amp;number=&amp;sourceID=55","")</f>
        <v/>
      </c>
      <c r="Q835" s="4" t="str">
        <f>HYPERLINK("http://141.218.60.56/~jnz1568/getInfo.php?workbook=16_15.xlsx&amp;sheet=A0&amp;row=835&amp;col=17&amp;number=&amp;sourceID=56","")</f>
        <v/>
      </c>
      <c r="R835" s="4" t="str">
        <f>HYPERLINK("http://141.218.60.56/~jnz1568/getInfo.php?workbook=16_15.xlsx&amp;sheet=A0&amp;row=835&amp;col=18&amp;number=&amp;sourceID=56","")</f>
        <v/>
      </c>
      <c r="S835" s="4" t="str">
        <f>HYPERLINK("http://141.218.60.56/~jnz1568/getInfo.php?workbook=16_15.xlsx&amp;sheet=A0&amp;row=835&amp;col=19&amp;number=&amp;sourceID=57","")</f>
        <v/>
      </c>
      <c r="T835" s="4" t="str">
        <f>HYPERLINK("http://141.218.60.56/~jnz1568/getInfo.php?workbook=16_15.xlsx&amp;sheet=A0&amp;row=835&amp;col=20&amp;number=&amp;sourceID=57","")</f>
        <v/>
      </c>
      <c r="U835" s="4" t="str">
        <f>HYPERLINK("http://141.218.60.56/~jnz1568/getInfo.php?workbook=16_15.xlsx&amp;sheet=A0&amp;row=835&amp;col=21&amp;number=&amp;sourceID=47","")</f>
        <v/>
      </c>
      <c r="V835" s="4" t="str">
        <f>HYPERLINK("http://141.218.60.56/~jnz1568/getInfo.php?workbook=16_15.xlsx&amp;sheet=A0&amp;row=835&amp;col=22&amp;number=&amp;sourceID=47","")</f>
        <v/>
      </c>
    </row>
    <row r="836" spans="1:22">
      <c r="A836" s="3">
        <v>16</v>
      </c>
      <c r="B836" s="3">
        <v>15</v>
      </c>
      <c r="C836" s="3">
        <v>47</v>
      </c>
      <c r="D836" s="3">
        <v>14</v>
      </c>
      <c r="E836" s="3">
        <f>((1/(INDEX(E0!J$4:J$73,C836,1)-INDEX(E0!J$4:J$73,D836,1))))*100000000</f>
        <v>0</v>
      </c>
      <c r="F836" s="4" t="str">
        <f>HYPERLINK("http://141.218.60.56/~jnz1568/getInfo.php?workbook=16_15.xlsx&amp;sheet=A0&amp;row=836&amp;col=6&amp;number=687.14&amp;sourceID=54","687.14")</f>
        <v>687.14</v>
      </c>
      <c r="G836" s="4" t="str">
        <f>HYPERLINK("http://141.218.60.56/~jnz1568/getInfo.php?workbook=16_15.xlsx&amp;sheet=A0&amp;row=836&amp;col=7&amp;number=&amp;sourceID=54","")</f>
        <v/>
      </c>
      <c r="H836" s="4" t="str">
        <f>HYPERLINK("http://141.218.60.56/~jnz1568/getInfo.php?workbook=16_15.xlsx&amp;sheet=A0&amp;row=836&amp;col=8&amp;number=&amp;sourceID=54","")</f>
        <v/>
      </c>
      <c r="I836" s="4" t="str">
        <f>HYPERLINK("http://141.218.60.56/~jnz1568/getInfo.php?workbook=16_15.xlsx&amp;sheet=A0&amp;row=836&amp;col=9&amp;number=336.22&amp;sourceID=54","336.22")</f>
        <v>336.22</v>
      </c>
      <c r="J836" s="4" t="str">
        <f>HYPERLINK("http://141.218.60.56/~jnz1568/getInfo.php?workbook=16_15.xlsx&amp;sheet=A0&amp;row=836&amp;col=10&amp;number=&amp;sourceID=54","")</f>
        <v/>
      </c>
      <c r="K836" s="4" t="str">
        <f>HYPERLINK("http://141.218.60.56/~jnz1568/getInfo.php?workbook=16_15.xlsx&amp;sheet=A0&amp;row=836&amp;col=11&amp;number=&amp;sourceID=54","")</f>
        <v/>
      </c>
      <c r="L836" s="4" t="str">
        <f>HYPERLINK("http://141.218.60.56/~jnz1568/getInfo.php?workbook=16_15.xlsx&amp;sheet=A0&amp;row=836&amp;col=12&amp;number=121.813265687&amp;sourceID=53","121.813265687")</f>
        <v>121.813265687</v>
      </c>
      <c r="M836" s="4" t="str">
        <f>HYPERLINK("http://141.218.60.56/~jnz1568/getInfo.php?workbook=16_15.xlsx&amp;sheet=A0&amp;row=836&amp;col=13&amp;number=&amp;sourceID=53","")</f>
        <v/>
      </c>
      <c r="N836" s="4" t="str">
        <f>HYPERLINK("http://141.218.60.56/~jnz1568/getInfo.php?workbook=16_15.xlsx&amp;sheet=A0&amp;row=836&amp;col=14&amp;number=&amp;sourceID=53","")</f>
        <v/>
      </c>
      <c r="O836" s="4" t="str">
        <f>HYPERLINK("http://141.218.60.56/~jnz1568/getInfo.php?workbook=16_15.xlsx&amp;sheet=A0&amp;row=836&amp;col=15&amp;number=&amp;sourceID=55","")</f>
        <v/>
      </c>
      <c r="P836" s="4" t="str">
        <f>HYPERLINK("http://141.218.60.56/~jnz1568/getInfo.php?workbook=16_15.xlsx&amp;sheet=A0&amp;row=836&amp;col=16&amp;number=&amp;sourceID=55","")</f>
        <v/>
      </c>
      <c r="Q836" s="4" t="str">
        <f>HYPERLINK("http://141.218.60.56/~jnz1568/getInfo.php?workbook=16_15.xlsx&amp;sheet=A0&amp;row=836&amp;col=17&amp;number=&amp;sourceID=56","")</f>
        <v/>
      </c>
      <c r="R836" s="4" t="str">
        <f>HYPERLINK("http://141.218.60.56/~jnz1568/getInfo.php?workbook=16_15.xlsx&amp;sheet=A0&amp;row=836&amp;col=18&amp;number=&amp;sourceID=56","")</f>
        <v/>
      </c>
      <c r="S836" s="4" t="str">
        <f>HYPERLINK("http://141.218.60.56/~jnz1568/getInfo.php?workbook=16_15.xlsx&amp;sheet=A0&amp;row=836&amp;col=19&amp;number=&amp;sourceID=57","")</f>
        <v/>
      </c>
      <c r="T836" s="4" t="str">
        <f>HYPERLINK("http://141.218.60.56/~jnz1568/getInfo.php?workbook=16_15.xlsx&amp;sheet=A0&amp;row=836&amp;col=20&amp;number=&amp;sourceID=57","")</f>
        <v/>
      </c>
      <c r="U836" s="4" t="str">
        <f>HYPERLINK("http://141.218.60.56/~jnz1568/getInfo.php?workbook=16_15.xlsx&amp;sheet=A0&amp;row=836&amp;col=21&amp;number=&amp;sourceID=47","")</f>
        <v/>
      </c>
      <c r="V836" s="4" t="str">
        <f>HYPERLINK("http://141.218.60.56/~jnz1568/getInfo.php?workbook=16_15.xlsx&amp;sheet=A0&amp;row=836&amp;col=22&amp;number=&amp;sourceID=47","")</f>
        <v/>
      </c>
    </row>
    <row r="837" spans="1:22">
      <c r="A837" s="3">
        <v>16</v>
      </c>
      <c r="B837" s="3">
        <v>15</v>
      </c>
      <c r="C837" s="3">
        <v>47</v>
      </c>
      <c r="D837" s="3">
        <v>15</v>
      </c>
      <c r="E837" s="3">
        <f>((1/(INDEX(E0!J$4:J$73,C837,1)-INDEX(E0!J$4:J$73,D837,1))))*100000000</f>
        <v>0</v>
      </c>
      <c r="F837" s="4" t="str">
        <f>HYPERLINK("http://141.218.60.56/~jnz1568/getInfo.php?workbook=16_15.xlsx&amp;sheet=A0&amp;row=837&amp;col=6&amp;number=85470&amp;sourceID=54","85470")</f>
        <v>85470</v>
      </c>
      <c r="G837" s="4" t="str">
        <f>HYPERLINK("http://141.218.60.56/~jnz1568/getInfo.php?workbook=16_15.xlsx&amp;sheet=A0&amp;row=837&amp;col=7&amp;number=&amp;sourceID=54","")</f>
        <v/>
      </c>
      <c r="H837" s="4" t="str">
        <f>HYPERLINK("http://141.218.60.56/~jnz1568/getInfo.php?workbook=16_15.xlsx&amp;sheet=A0&amp;row=837&amp;col=8&amp;number=&amp;sourceID=54","")</f>
        <v/>
      </c>
      <c r="I837" s="4" t="str">
        <f>HYPERLINK("http://141.218.60.56/~jnz1568/getInfo.php?workbook=16_15.xlsx&amp;sheet=A0&amp;row=837&amp;col=9&amp;number=92836&amp;sourceID=54","92836")</f>
        <v>92836</v>
      </c>
      <c r="J837" s="4" t="str">
        <f>HYPERLINK("http://141.218.60.56/~jnz1568/getInfo.php?workbook=16_15.xlsx&amp;sheet=A0&amp;row=837&amp;col=10&amp;number=&amp;sourceID=54","")</f>
        <v/>
      </c>
      <c r="K837" s="4" t="str">
        <f>HYPERLINK("http://141.218.60.56/~jnz1568/getInfo.php?workbook=16_15.xlsx&amp;sheet=A0&amp;row=837&amp;col=11&amp;number=&amp;sourceID=54","")</f>
        <v/>
      </c>
      <c r="L837" s="4" t="str">
        <f>HYPERLINK("http://141.218.60.56/~jnz1568/getInfo.php?workbook=16_15.xlsx&amp;sheet=A0&amp;row=837&amp;col=12&amp;number=89437.832483&amp;sourceID=53","89437.832483")</f>
        <v>89437.832483</v>
      </c>
      <c r="M837" s="4" t="str">
        <f>HYPERLINK("http://141.218.60.56/~jnz1568/getInfo.php?workbook=16_15.xlsx&amp;sheet=A0&amp;row=837&amp;col=13&amp;number=&amp;sourceID=53","")</f>
        <v/>
      </c>
      <c r="N837" s="4" t="str">
        <f>HYPERLINK("http://141.218.60.56/~jnz1568/getInfo.php?workbook=16_15.xlsx&amp;sheet=A0&amp;row=837&amp;col=14&amp;number=&amp;sourceID=53","")</f>
        <v/>
      </c>
      <c r="O837" s="4" t="str">
        <f>HYPERLINK("http://141.218.60.56/~jnz1568/getInfo.php?workbook=16_15.xlsx&amp;sheet=A0&amp;row=837&amp;col=15&amp;number=&amp;sourceID=55","")</f>
        <v/>
      </c>
      <c r="P837" s="4" t="str">
        <f>HYPERLINK("http://141.218.60.56/~jnz1568/getInfo.php?workbook=16_15.xlsx&amp;sheet=A0&amp;row=837&amp;col=16&amp;number=&amp;sourceID=55","")</f>
        <v/>
      </c>
      <c r="Q837" s="4" t="str">
        <f>HYPERLINK("http://141.218.60.56/~jnz1568/getInfo.php?workbook=16_15.xlsx&amp;sheet=A0&amp;row=837&amp;col=17&amp;number=&amp;sourceID=56","")</f>
        <v/>
      </c>
      <c r="R837" s="4" t="str">
        <f>HYPERLINK("http://141.218.60.56/~jnz1568/getInfo.php?workbook=16_15.xlsx&amp;sheet=A0&amp;row=837&amp;col=18&amp;number=&amp;sourceID=56","")</f>
        <v/>
      </c>
      <c r="S837" s="4" t="str">
        <f>HYPERLINK("http://141.218.60.56/~jnz1568/getInfo.php?workbook=16_15.xlsx&amp;sheet=A0&amp;row=837&amp;col=19&amp;number=&amp;sourceID=57","")</f>
        <v/>
      </c>
      <c r="T837" s="4" t="str">
        <f>HYPERLINK("http://141.218.60.56/~jnz1568/getInfo.php?workbook=16_15.xlsx&amp;sheet=A0&amp;row=837&amp;col=20&amp;number=&amp;sourceID=57","")</f>
        <v/>
      </c>
      <c r="U837" s="4" t="str">
        <f>HYPERLINK("http://141.218.60.56/~jnz1568/getInfo.php?workbook=16_15.xlsx&amp;sheet=A0&amp;row=837&amp;col=21&amp;number=&amp;sourceID=47","")</f>
        <v/>
      </c>
      <c r="V837" s="4" t="str">
        <f>HYPERLINK("http://141.218.60.56/~jnz1568/getInfo.php?workbook=16_15.xlsx&amp;sheet=A0&amp;row=837&amp;col=22&amp;number=&amp;sourceID=47","")</f>
        <v/>
      </c>
    </row>
    <row r="838" spans="1:22">
      <c r="A838" s="3">
        <v>16</v>
      </c>
      <c r="B838" s="3">
        <v>15</v>
      </c>
      <c r="C838" s="3">
        <v>47</v>
      </c>
      <c r="D838" s="3">
        <v>20</v>
      </c>
      <c r="E838" s="3">
        <f>((1/(INDEX(E0!J$4:J$73,C838,1)-INDEX(E0!J$4:J$73,D838,1))))*100000000</f>
        <v>0</v>
      </c>
      <c r="F838" s="4" t="str">
        <f>HYPERLINK("http://141.218.60.56/~jnz1568/getInfo.php?workbook=16_15.xlsx&amp;sheet=A0&amp;row=838&amp;col=6&amp;number=59779000&amp;sourceID=54","59779000")</f>
        <v>59779000</v>
      </c>
      <c r="G838" s="4" t="str">
        <f>HYPERLINK("http://141.218.60.56/~jnz1568/getInfo.php?workbook=16_15.xlsx&amp;sheet=A0&amp;row=838&amp;col=7&amp;number=&amp;sourceID=54","")</f>
        <v/>
      </c>
      <c r="H838" s="4" t="str">
        <f>HYPERLINK("http://141.218.60.56/~jnz1568/getInfo.php?workbook=16_15.xlsx&amp;sheet=A0&amp;row=838&amp;col=8&amp;number=&amp;sourceID=54","")</f>
        <v/>
      </c>
      <c r="I838" s="4" t="str">
        <f>HYPERLINK("http://141.218.60.56/~jnz1568/getInfo.php?workbook=16_15.xlsx&amp;sheet=A0&amp;row=838&amp;col=9&amp;number=57830000&amp;sourceID=54","57830000")</f>
        <v>57830000</v>
      </c>
      <c r="J838" s="4" t="str">
        <f>HYPERLINK("http://141.218.60.56/~jnz1568/getInfo.php?workbook=16_15.xlsx&amp;sheet=A0&amp;row=838&amp;col=10&amp;number=&amp;sourceID=54","")</f>
        <v/>
      </c>
      <c r="K838" s="4" t="str">
        <f>HYPERLINK("http://141.218.60.56/~jnz1568/getInfo.php?workbook=16_15.xlsx&amp;sheet=A0&amp;row=838&amp;col=11&amp;number=&amp;sourceID=54","")</f>
        <v/>
      </c>
      <c r="L838" s="4" t="str">
        <f>HYPERLINK("http://141.218.60.56/~jnz1568/getInfo.php?workbook=16_15.xlsx&amp;sheet=A0&amp;row=838&amp;col=12&amp;number=60958312.9825&amp;sourceID=53","60958312.9825")</f>
        <v>60958312.9825</v>
      </c>
      <c r="M838" s="4" t="str">
        <f>HYPERLINK("http://141.218.60.56/~jnz1568/getInfo.php?workbook=16_15.xlsx&amp;sheet=A0&amp;row=838&amp;col=13&amp;number=&amp;sourceID=53","")</f>
        <v/>
      </c>
      <c r="N838" s="4" t="str">
        <f>HYPERLINK("http://141.218.60.56/~jnz1568/getInfo.php?workbook=16_15.xlsx&amp;sheet=A0&amp;row=838&amp;col=14&amp;number=&amp;sourceID=53","")</f>
        <v/>
      </c>
      <c r="O838" s="4" t="str">
        <f>HYPERLINK("http://141.218.60.56/~jnz1568/getInfo.php?workbook=16_15.xlsx&amp;sheet=A0&amp;row=838&amp;col=15&amp;number=&amp;sourceID=55","")</f>
        <v/>
      </c>
      <c r="P838" s="4" t="str">
        <f>HYPERLINK("http://141.218.60.56/~jnz1568/getInfo.php?workbook=16_15.xlsx&amp;sheet=A0&amp;row=838&amp;col=16&amp;number=&amp;sourceID=55","")</f>
        <v/>
      </c>
      <c r="Q838" s="4" t="str">
        <f>HYPERLINK("http://141.218.60.56/~jnz1568/getInfo.php?workbook=16_15.xlsx&amp;sheet=A0&amp;row=838&amp;col=17&amp;number=&amp;sourceID=56","")</f>
        <v/>
      </c>
      <c r="R838" s="4" t="str">
        <f>HYPERLINK("http://141.218.60.56/~jnz1568/getInfo.php?workbook=16_15.xlsx&amp;sheet=A0&amp;row=838&amp;col=18&amp;number=&amp;sourceID=56","")</f>
        <v/>
      </c>
      <c r="S838" s="4" t="str">
        <f>HYPERLINK("http://141.218.60.56/~jnz1568/getInfo.php?workbook=16_15.xlsx&amp;sheet=A0&amp;row=838&amp;col=19&amp;number=&amp;sourceID=57","")</f>
        <v/>
      </c>
      <c r="T838" s="4" t="str">
        <f>HYPERLINK("http://141.218.60.56/~jnz1568/getInfo.php?workbook=16_15.xlsx&amp;sheet=A0&amp;row=838&amp;col=20&amp;number=&amp;sourceID=57","")</f>
        <v/>
      </c>
      <c r="U838" s="4" t="str">
        <f>HYPERLINK("http://141.218.60.56/~jnz1568/getInfo.php?workbook=16_15.xlsx&amp;sheet=A0&amp;row=838&amp;col=21&amp;number=&amp;sourceID=47","")</f>
        <v/>
      </c>
      <c r="V838" s="4" t="str">
        <f>HYPERLINK("http://141.218.60.56/~jnz1568/getInfo.php?workbook=16_15.xlsx&amp;sheet=A0&amp;row=838&amp;col=22&amp;number=&amp;sourceID=47","")</f>
        <v/>
      </c>
    </row>
    <row r="839" spans="1:22">
      <c r="A839" s="3">
        <v>16</v>
      </c>
      <c r="B839" s="3">
        <v>15</v>
      </c>
      <c r="C839" s="3">
        <v>47</v>
      </c>
      <c r="D839" s="3">
        <v>21</v>
      </c>
      <c r="E839" s="3">
        <f>((1/(INDEX(E0!J$4:J$73,C839,1)-INDEX(E0!J$4:J$73,D839,1))))*100000000</f>
        <v>0</v>
      </c>
      <c r="F839" s="4" t="str">
        <f>HYPERLINK("http://141.218.60.56/~jnz1568/getInfo.php?workbook=16_15.xlsx&amp;sheet=A0&amp;row=839&amp;col=6&amp;number=32223000&amp;sourceID=54","32223000")</f>
        <v>32223000</v>
      </c>
      <c r="G839" s="4" t="str">
        <f>HYPERLINK("http://141.218.60.56/~jnz1568/getInfo.php?workbook=16_15.xlsx&amp;sheet=A0&amp;row=839&amp;col=7&amp;number=&amp;sourceID=54","")</f>
        <v/>
      </c>
      <c r="H839" s="4" t="str">
        <f>HYPERLINK("http://141.218.60.56/~jnz1568/getInfo.php?workbook=16_15.xlsx&amp;sheet=A0&amp;row=839&amp;col=8&amp;number=&amp;sourceID=54","")</f>
        <v/>
      </c>
      <c r="I839" s="4" t="str">
        <f>HYPERLINK("http://141.218.60.56/~jnz1568/getInfo.php?workbook=16_15.xlsx&amp;sheet=A0&amp;row=839&amp;col=9&amp;number=31082000&amp;sourceID=54","31082000")</f>
        <v>31082000</v>
      </c>
      <c r="J839" s="4" t="str">
        <f>HYPERLINK("http://141.218.60.56/~jnz1568/getInfo.php?workbook=16_15.xlsx&amp;sheet=A0&amp;row=839&amp;col=10&amp;number=&amp;sourceID=54","")</f>
        <v/>
      </c>
      <c r="K839" s="4" t="str">
        <f>HYPERLINK("http://141.218.60.56/~jnz1568/getInfo.php?workbook=16_15.xlsx&amp;sheet=A0&amp;row=839&amp;col=11&amp;number=&amp;sourceID=54","")</f>
        <v/>
      </c>
      <c r="L839" s="4" t="str">
        <f>HYPERLINK("http://141.218.60.56/~jnz1568/getInfo.php?workbook=16_15.xlsx&amp;sheet=A0&amp;row=839&amp;col=12&amp;number=32512623.3049&amp;sourceID=53","32512623.3049")</f>
        <v>32512623.3049</v>
      </c>
      <c r="M839" s="4" t="str">
        <f>HYPERLINK("http://141.218.60.56/~jnz1568/getInfo.php?workbook=16_15.xlsx&amp;sheet=A0&amp;row=839&amp;col=13&amp;number=&amp;sourceID=53","")</f>
        <v/>
      </c>
      <c r="N839" s="4" t="str">
        <f>HYPERLINK("http://141.218.60.56/~jnz1568/getInfo.php?workbook=16_15.xlsx&amp;sheet=A0&amp;row=839&amp;col=14&amp;number=&amp;sourceID=53","")</f>
        <v/>
      </c>
      <c r="O839" s="4" t="str">
        <f>HYPERLINK("http://141.218.60.56/~jnz1568/getInfo.php?workbook=16_15.xlsx&amp;sheet=A0&amp;row=839&amp;col=15&amp;number=&amp;sourceID=55","")</f>
        <v/>
      </c>
      <c r="P839" s="4" t="str">
        <f>HYPERLINK("http://141.218.60.56/~jnz1568/getInfo.php?workbook=16_15.xlsx&amp;sheet=A0&amp;row=839&amp;col=16&amp;number=&amp;sourceID=55","")</f>
        <v/>
      </c>
      <c r="Q839" s="4" t="str">
        <f>HYPERLINK("http://141.218.60.56/~jnz1568/getInfo.php?workbook=16_15.xlsx&amp;sheet=A0&amp;row=839&amp;col=17&amp;number=&amp;sourceID=56","")</f>
        <v/>
      </c>
      <c r="R839" s="4" t="str">
        <f>HYPERLINK("http://141.218.60.56/~jnz1568/getInfo.php?workbook=16_15.xlsx&amp;sheet=A0&amp;row=839&amp;col=18&amp;number=&amp;sourceID=56","")</f>
        <v/>
      </c>
      <c r="S839" s="4" t="str">
        <f>HYPERLINK("http://141.218.60.56/~jnz1568/getInfo.php?workbook=16_15.xlsx&amp;sheet=A0&amp;row=839&amp;col=19&amp;number=&amp;sourceID=57","")</f>
        <v/>
      </c>
      <c r="T839" s="4" t="str">
        <f>HYPERLINK("http://141.218.60.56/~jnz1568/getInfo.php?workbook=16_15.xlsx&amp;sheet=A0&amp;row=839&amp;col=20&amp;number=&amp;sourceID=57","")</f>
        <v/>
      </c>
      <c r="U839" s="4" t="str">
        <f>HYPERLINK("http://141.218.60.56/~jnz1568/getInfo.php?workbook=16_15.xlsx&amp;sheet=A0&amp;row=839&amp;col=21&amp;number=&amp;sourceID=47","")</f>
        <v/>
      </c>
      <c r="V839" s="4" t="str">
        <f>HYPERLINK("http://141.218.60.56/~jnz1568/getInfo.php?workbook=16_15.xlsx&amp;sheet=A0&amp;row=839&amp;col=22&amp;number=&amp;sourceID=47","")</f>
        <v/>
      </c>
    </row>
    <row r="840" spans="1:22">
      <c r="A840" s="3">
        <v>16</v>
      </c>
      <c r="B840" s="3">
        <v>15</v>
      </c>
      <c r="C840" s="3">
        <v>47</v>
      </c>
      <c r="D840" s="3">
        <v>22</v>
      </c>
      <c r="E840" s="3">
        <f>((1/(INDEX(E0!J$4:J$73,C840,1)-INDEX(E0!J$4:J$73,D840,1))))*100000000</f>
        <v>0</v>
      </c>
      <c r="F840" s="4" t="str">
        <f>HYPERLINK("http://141.218.60.56/~jnz1568/getInfo.php?workbook=16_15.xlsx&amp;sheet=A0&amp;row=840&amp;col=6&amp;number=49399&amp;sourceID=54","49399")</f>
        <v>49399</v>
      </c>
      <c r="G840" s="4" t="str">
        <f>HYPERLINK("http://141.218.60.56/~jnz1568/getInfo.php?workbook=16_15.xlsx&amp;sheet=A0&amp;row=840&amp;col=7&amp;number=&amp;sourceID=54","")</f>
        <v/>
      </c>
      <c r="H840" s="4" t="str">
        <f>HYPERLINK("http://141.218.60.56/~jnz1568/getInfo.php?workbook=16_15.xlsx&amp;sheet=A0&amp;row=840&amp;col=8&amp;number=&amp;sourceID=54","")</f>
        <v/>
      </c>
      <c r="I840" s="4" t="str">
        <f>HYPERLINK("http://141.218.60.56/~jnz1568/getInfo.php?workbook=16_15.xlsx&amp;sheet=A0&amp;row=840&amp;col=9&amp;number=52473&amp;sourceID=54","52473")</f>
        <v>52473</v>
      </c>
      <c r="J840" s="4" t="str">
        <f>HYPERLINK("http://141.218.60.56/~jnz1568/getInfo.php?workbook=16_15.xlsx&amp;sheet=A0&amp;row=840&amp;col=10&amp;number=&amp;sourceID=54","")</f>
        <v/>
      </c>
      <c r="K840" s="4" t="str">
        <f>HYPERLINK("http://141.218.60.56/~jnz1568/getInfo.php?workbook=16_15.xlsx&amp;sheet=A0&amp;row=840&amp;col=11&amp;number=&amp;sourceID=54","")</f>
        <v/>
      </c>
      <c r="L840" s="4" t="str">
        <f>HYPERLINK("http://141.218.60.56/~jnz1568/getInfo.php?workbook=16_15.xlsx&amp;sheet=A0&amp;row=840&amp;col=12&amp;number=41901.2108525&amp;sourceID=53","41901.2108525")</f>
        <v>41901.2108525</v>
      </c>
      <c r="M840" s="4" t="str">
        <f>HYPERLINK("http://141.218.60.56/~jnz1568/getInfo.php?workbook=16_15.xlsx&amp;sheet=A0&amp;row=840&amp;col=13&amp;number=&amp;sourceID=53","")</f>
        <v/>
      </c>
      <c r="N840" s="4" t="str">
        <f>HYPERLINK("http://141.218.60.56/~jnz1568/getInfo.php?workbook=16_15.xlsx&amp;sheet=A0&amp;row=840&amp;col=14&amp;number=&amp;sourceID=53","")</f>
        <v/>
      </c>
      <c r="O840" s="4" t="str">
        <f>HYPERLINK("http://141.218.60.56/~jnz1568/getInfo.php?workbook=16_15.xlsx&amp;sheet=A0&amp;row=840&amp;col=15&amp;number=&amp;sourceID=55","")</f>
        <v/>
      </c>
      <c r="P840" s="4" t="str">
        <f>HYPERLINK("http://141.218.60.56/~jnz1568/getInfo.php?workbook=16_15.xlsx&amp;sheet=A0&amp;row=840&amp;col=16&amp;number=&amp;sourceID=55","")</f>
        <v/>
      </c>
      <c r="Q840" s="4" t="str">
        <f>HYPERLINK("http://141.218.60.56/~jnz1568/getInfo.php?workbook=16_15.xlsx&amp;sheet=A0&amp;row=840&amp;col=17&amp;number=&amp;sourceID=56","")</f>
        <v/>
      </c>
      <c r="R840" s="4" t="str">
        <f>HYPERLINK("http://141.218.60.56/~jnz1568/getInfo.php?workbook=16_15.xlsx&amp;sheet=A0&amp;row=840&amp;col=18&amp;number=&amp;sourceID=56","")</f>
        <v/>
      </c>
      <c r="S840" s="4" t="str">
        <f>HYPERLINK("http://141.218.60.56/~jnz1568/getInfo.php?workbook=16_15.xlsx&amp;sheet=A0&amp;row=840&amp;col=19&amp;number=&amp;sourceID=57","")</f>
        <v/>
      </c>
      <c r="T840" s="4" t="str">
        <f>HYPERLINK("http://141.218.60.56/~jnz1568/getInfo.php?workbook=16_15.xlsx&amp;sheet=A0&amp;row=840&amp;col=20&amp;number=&amp;sourceID=57","")</f>
        <v/>
      </c>
      <c r="U840" s="4" t="str">
        <f>HYPERLINK("http://141.218.60.56/~jnz1568/getInfo.php?workbook=16_15.xlsx&amp;sheet=A0&amp;row=840&amp;col=21&amp;number=&amp;sourceID=47","")</f>
        <v/>
      </c>
      <c r="V840" s="4" t="str">
        <f>HYPERLINK("http://141.218.60.56/~jnz1568/getInfo.php?workbook=16_15.xlsx&amp;sheet=A0&amp;row=840&amp;col=22&amp;number=&amp;sourceID=47","")</f>
        <v/>
      </c>
    </row>
    <row r="841" spans="1:22">
      <c r="A841" s="3">
        <v>16</v>
      </c>
      <c r="B841" s="3">
        <v>15</v>
      </c>
      <c r="C841" s="3">
        <v>47</v>
      </c>
      <c r="D841" s="3">
        <v>23</v>
      </c>
      <c r="E841" s="3">
        <f>((1/(INDEX(E0!J$4:J$73,C841,1)-INDEX(E0!J$4:J$73,D841,1))))*100000000</f>
        <v>0</v>
      </c>
      <c r="F841" s="4" t="str">
        <f>HYPERLINK("http://141.218.60.56/~jnz1568/getInfo.php?workbook=16_15.xlsx&amp;sheet=A0&amp;row=841&amp;col=6&amp;number=0.54483&amp;sourceID=54","0.54483")</f>
        <v>0.54483</v>
      </c>
      <c r="G841" s="4" t="str">
        <f>HYPERLINK("http://141.218.60.56/~jnz1568/getInfo.php?workbook=16_15.xlsx&amp;sheet=A0&amp;row=841&amp;col=7&amp;number=&amp;sourceID=54","")</f>
        <v/>
      </c>
      <c r="H841" s="4" t="str">
        <f>HYPERLINK("http://141.218.60.56/~jnz1568/getInfo.php?workbook=16_15.xlsx&amp;sheet=A0&amp;row=841&amp;col=8&amp;number=&amp;sourceID=54","")</f>
        <v/>
      </c>
      <c r="I841" s="4" t="str">
        <f>HYPERLINK("http://141.218.60.56/~jnz1568/getInfo.php?workbook=16_15.xlsx&amp;sheet=A0&amp;row=841&amp;col=9&amp;number=2.7037&amp;sourceID=54","2.7037")</f>
        <v>2.7037</v>
      </c>
      <c r="J841" s="4" t="str">
        <f>HYPERLINK("http://141.218.60.56/~jnz1568/getInfo.php?workbook=16_15.xlsx&amp;sheet=A0&amp;row=841&amp;col=10&amp;number=&amp;sourceID=54","")</f>
        <v/>
      </c>
      <c r="K841" s="4" t="str">
        <f>HYPERLINK("http://141.218.60.56/~jnz1568/getInfo.php?workbook=16_15.xlsx&amp;sheet=A0&amp;row=841&amp;col=11&amp;number=&amp;sourceID=54","")</f>
        <v/>
      </c>
      <c r="L841" s="4" t="str">
        <f>HYPERLINK("http://141.218.60.56/~jnz1568/getInfo.php?workbook=16_15.xlsx&amp;sheet=A0&amp;row=841&amp;col=12&amp;number=412.287097503&amp;sourceID=53","412.287097503")</f>
        <v>412.287097503</v>
      </c>
      <c r="M841" s="4" t="str">
        <f>HYPERLINK("http://141.218.60.56/~jnz1568/getInfo.php?workbook=16_15.xlsx&amp;sheet=A0&amp;row=841&amp;col=13&amp;number=&amp;sourceID=53","")</f>
        <v/>
      </c>
      <c r="N841" s="4" t="str">
        <f>HYPERLINK("http://141.218.60.56/~jnz1568/getInfo.php?workbook=16_15.xlsx&amp;sheet=A0&amp;row=841&amp;col=14&amp;number=&amp;sourceID=53","")</f>
        <v/>
      </c>
      <c r="O841" s="4" t="str">
        <f>HYPERLINK("http://141.218.60.56/~jnz1568/getInfo.php?workbook=16_15.xlsx&amp;sheet=A0&amp;row=841&amp;col=15&amp;number=&amp;sourceID=55","")</f>
        <v/>
      </c>
      <c r="P841" s="4" t="str">
        <f>HYPERLINK("http://141.218.60.56/~jnz1568/getInfo.php?workbook=16_15.xlsx&amp;sheet=A0&amp;row=841&amp;col=16&amp;number=&amp;sourceID=55","")</f>
        <v/>
      </c>
      <c r="Q841" s="4" t="str">
        <f>HYPERLINK("http://141.218.60.56/~jnz1568/getInfo.php?workbook=16_15.xlsx&amp;sheet=A0&amp;row=841&amp;col=17&amp;number=&amp;sourceID=56","")</f>
        <v/>
      </c>
      <c r="R841" s="4" t="str">
        <f>HYPERLINK("http://141.218.60.56/~jnz1568/getInfo.php?workbook=16_15.xlsx&amp;sheet=A0&amp;row=841&amp;col=18&amp;number=&amp;sourceID=56","")</f>
        <v/>
      </c>
      <c r="S841" s="4" t="str">
        <f>HYPERLINK("http://141.218.60.56/~jnz1568/getInfo.php?workbook=16_15.xlsx&amp;sheet=A0&amp;row=841&amp;col=19&amp;number=&amp;sourceID=57","")</f>
        <v/>
      </c>
      <c r="T841" s="4" t="str">
        <f>HYPERLINK("http://141.218.60.56/~jnz1568/getInfo.php?workbook=16_15.xlsx&amp;sheet=A0&amp;row=841&amp;col=20&amp;number=&amp;sourceID=57","")</f>
        <v/>
      </c>
      <c r="U841" s="4" t="str">
        <f>HYPERLINK("http://141.218.60.56/~jnz1568/getInfo.php?workbook=16_15.xlsx&amp;sheet=A0&amp;row=841&amp;col=21&amp;number=&amp;sourceID=47","")</f>
        <v/>
      </c>
      <c r="V841" s="4" t="str">
        <f>HYPERLINK("http://141.218.60.56/~jnz1568/getInfo.php?workbook=16_15.xlsx&amp;sheet=A0&amp;row=841&amp;col=22&amp;number=&amp;sourceID=47","")</f>
        <v/>
      </c>
    </row>
    <row r="842" spans="1:22">
      <c r="A842" s="3">
        <v>16</v>
      </c>
      <c r="B842" s="3">
        <v>15</v>
      </c>
      <c r="C842" s="3">
        <v>47</v>
      </c>
      <c r="D842" s="3">
        <v>28</v>
      </c>
      <c r="E842" s="3">
        <f>((1/(INDEX(E0!J$4:J$73,C842,1)-INDEX(E0!J$4:J$73,D842,1))))*100000000</f>
        <v>0</v>
      </c>
      <c r="F842" s="4" t="str">
        <f>HYPERLINK("http://141.218.60.56/~jnz1568/getInfo.php?workbook=16_15.xlsx&amp;sheet=A0&amp;row=842&amp;col=6&amp;number=108380&amp;sourceID=54","108380")</f>
        <v>108380</v>
      </c>
      <c r="G842" s="4" t="str">
        <f>HYPERLINK("http://141.218.60.56/~jnz1568/getInfo.php?workbook=16_15.xlsx&amp;sheet=A0&amp;row=842&amp;col=7&amp;number=&amp;sourceID=54","")</f>
        <v/>
      </c>
      <c r="H842" s="4" t="str">
        <f>HYPERLINK("http://141.218.60.56/~jnz1568/getInfo.php?workbook=16_15.xlsx&amp;sheet=A0&amp;row=842&amp;col=8&amp;number=&amp;sourceID=54","")</f>
        <v/>
      </c>
      <c r="I842" s="4" t="str">
        <f>HYPERLINK("http://141.218.60.56/~jnz1568/getInfo.php?workbook=16_15.xlsx&amp;sheet=A0&amp;row=842&amp;col=9&amp;number=105330&amp;sourceID=54","105330")</f>
        <v>105330</v>
      </c>
      <c r="J842" s="4" t="str">
        <f>HYPERLINK("http://141.218.60.56/~jnz1568/getInfo.php?workbook=16_15.xlsx&amp;sheet=A0&amp;row=842&amp;col=10&amp;number=&amp;sourceID=54","")</f>
        <v/>
      </c>
      <c r="K842" s="4" t="str">
        <f>HYPERLINK("http://141.218.60.56/~jnz1568/getInfo.php?workbook=16_15.xlsx&amp;sheet=A0&amp;row=842&amp;col=11&amp;number=&amp;sourceID=54","")</f>
        <v/>
      </c>
      <c r="L842" s="4" t="str">
        <f>HYPERLINK("http://141.218.60.56/~jnz1568/getInfo.php?workbook=16_15.xlsx&amp;sheet=A0&amp;row=842&amp;col=12&amp;number=93653.0992186&amp;sourceID=53","93653.0992186")</f>
        <v>93653.0992186</v>
      </c>
      <c r="M842" s="4" t="str">
        <f>HYPERLINK("http://141.218.60.56/~jnz1568/getInfo.php?workbook=16_15.xlsx&amp;sheet=A0&amp;row=842&amp;col=13&amp;number=&amp;sourceID=53","")</f>
        <v/>
      </c>
      <c r="N842" s="4" t="str">
        <f>HYPERLINK("http://141.218.60.56/~jnz1568/getInfo.php?workbook=16_15.xlsx&amp;sheet=A0&amp;row=842&amp;col=14&amp;number=&amp;sourceID=53","")</f>
        <v/>
      </c>
      <c r="O842" s="4" t="str">
        <f>HYPERLINK("http://141.218.60.56/~jnz1568/getInfo.php?workbook=16_15.xlsx&amp;sheet=A0&amp;row=842&amp;col=15&amp;number=&amp;sourceID=55","")</f>
        <v/>
      </c>
      <c r="P842" s="4" t="str">
        <f>HYPERLINK("http://141.218.60.56/~jnz1568/getInfo.php?workbook=16_15.xlsx&amp;sheet=A0&amp;row=842&amp;col=16&amp;number=&amp;sourceID=55","")</f>
        <v/>
      </c>
      <c r="Q842" s="4" t="str">
        <f>HYPERLINK("http://141.218.60.56/~jnz1568/getInfo.php?workbook=16_15.xlsx&amp;sheet=A0&amp;row=842&amp;col=17&amp;number=&amp;sourceID=56","")</f>
        <v/>
      </c>
      <c r="R842" s="4" t="str">
        <f>HYPERLINK("http://141.218.60.56/~jnz1568/getInfo.php?workbook=16_15.xlsx&amp;sheet=A0&amp;row=842&amp;col=18&amp;number=&amp;sourceID=56","")</f>
        <v/>
      </c>
      <c r="S842" s="4" t="str">
        <f>HYPERLINK("http://141.218.60.56/~jnz1568/getInfo.php?workbook=16_15.xlsx&amp;sheet=A0&amp;row=842&amp;col=19&amp;number=&amp;sourceID=57","")</f>
        <v/>
      </c>
      <c r="T842" s="4" t="str">
        <f>HYPERLINK("http://141.218.60.56/~jnz1568/getInfo.php?workbook=16_15.xlsx&amp;sheet=A0&amp;row=842&amp;col=20&amp;number=&amp;sourceID=57","")</f>
        <v/>
      </c>
      <c r="U842" s="4" t="str">
        <f>HYPERLINK("http://141.218.60.56/~jnz1568/getInfo.php?workbook=16_15.xlsx&amp;sheet=A0&amp;row=842&amp;col=21&amp;number=&amp;sourceID=47","")</f>
        <v/>
      </c>
      <c r="V842" s="4" t="str">
        <f>HYPERLINK("http://141.218.60.56/~jnz1568/getInfo.php?workbook=16_15.xlsx&amp;sheet=A0&amp;row=842&amp;col=22&amp;number=&amp;sourceID=47","")</f>
        <v/>
      </c>
    </row>
    <row r="843" spans="1:22">
      <c r="A843" s="3">
        <v>16</v>
      </c>
      <c r="B843" s="3">
        <v>15</v>
      </c>
      <c r="C843" s="3">
        <v>47</v>
      </c>
      <c r="D843" s="3">
        <v>29</v>
      </c>
      <c r="E843" s="3">
        <f>((1/(INDEX(E0!J$4:J$73,C843,1)-INDEX(E0!J$4:J$73,D843,1))))*100000000</f>
        <v>0</v>
      </c>
      <c r="F843" s="4" t="str">
        <f>HYPERLINK("http://141.218.60.56/~jnz1568/getInfo.php?workbook=16_15.xlsx&amp;sheet=A0&amp;row=843&amp;col=6&amp;number=2074100&amp;sourceID=54","2074100")</f>
        <v>2074100</v>
      </c>
      <c r="G843" s="4" t="str">
        <f>HYPERLINK("http://141.218.60.56/~jnz1568/getInfo.php?workbook=16_15.xlsx&amp;sheet=A0&amp;row=843&amp;col=7&amp;number=&amp;sourceID=54","")</f>
        <v/>
      </c>
      <c r="H843" s="4" t="str">
        <f>HYPERLINK("http://141.218.60.56/~jnz1568/getInfo.php?workbook=16_15.xlsx&amp;sheet=A0&amp;row=843&amp;col=8&amp;number=&amp;sourceID=54","")</f>
        <v/>
      </c>
      <c r="I843" s="4" t="str">
        <f>HYPERLINK("http://141.218.60.56/~jnz1568/getInfo.php?workbook=16_15.xlsx&amp;sheet=A0&amp;row=843&amp;col=9&amp;number=2106800&amp;sourceID=54","2106800")</f>
        <v>2106800</v>
      </c>
      <c r="J843" s="4" t="str">
        <f>HYPERLINK("http://141.218.60.56/~jnz1568/getInfo.php?workbook=16_15.xlsx&amp;sheet=A0&amp;row=843&amp;col=10&amp;number=&amp;sourceID=54","")</f>
        <v/>
      </c>
      <c r="K843" s="4" t="str">
        <f>HYPERLINK("http://141.218.60.56/~jnz1568/getInfo.php?workbook=16_15.xlsx&amp;sheet=A0&amp;row=843&amp;col=11&amp;number=&amp;sourceID=54","")</f>
        <v/>
      </c>
      <c r="L843" s="4" t="str">
        <f>HYPERLINK("http://141.218.60.56/~jnz1568/getInfo.php?workbook=16_15.xlsx&amp;sheet=A0&amp;row=843&amp;col=12&amp;number=2458825.77778&amp;sourceID=53","2458825.77778")</f>
        <v>2458825.77778</v>
      </c>
      <c r="M843" s="4" t="str">
        <f>HYPERLINK("http://141.218.60.56/~jnz1568/getInfo.php?workbook=16_15.xlsx&amp;sheet=A0&amp;row=843&amp;col=13&amp;number=&amp;sourceID=53","")</f>
        <v/>
      </c>
      <c r="N843" s="4" t="str">
        <f>HYPERLINK("http://141.218.60.56/~jnz1568/getInfo.php?workbook=16_15.xlsx&amp;sheet=A0&amp;row=843&amp;col=14&amp;number=&amp;sourceID=53","")</f>
        <v/>
      </c>
      <c r="O843" s="4" t="str">
        <f>HYPERLINK("http://141.218.60.56/~jnz1568/getInfo.php?workbook=16_15.xlsx&amp;sheet=A0&amp;row=843&amp;col=15&amp;number=&amp;sourceID=55","")</f>
        <v/>
      </c>
      <c r="P843" s="4" t="str">
        <f>HYPERLINK("http://141.218.60.56/~jnz1568/getInfo.php?workbook=16_15.xlsx&amp;sheet=A0&amp;row=843&amp;col=16&amp;number=&amp;sourceID=55","")</f>
        <v/>
      </c>
      <c r="Q843" s="4" t="str">
        <f>HYPERLINK("http://141.218.60.56/~jnz1568/getInfo.php?workbook=16_15.xlsx&amp;sheet=A0&amp;row=843&amp;col=17&amp;number=&amp;sourceID=56","")</f>
        <v/>
      </c>
      <c r="R843" s="4" t="str">
        <f>HYPERLINK("http://141.218.60.56/~jnz1568/getInfo.php?workbook=16_15.xlsx&amp;sheet=A0&amp;row=843&amp;col=18&amp;number=&amp;sourceID=56","")</f>
        <v/>
      </c>
      <c r="S843" s="4" t="str">
        <f>HYPERLINK("http://141.218.60.56/~jnz1568/getInfo.php?workbook=16_15.xlsx&amp;sheet=A0&amp;row=843&amp;col=19&amp;number=&amp;sourceID=57","")</f>
        <v/>
      </c>
      <c r="T843" s="4" t="str">
        <f>HYPERLINK("http://141.218.60.56/~jnz1568/getInfo.php?workbook=16_15.xlsx&amp;sheet=A0&amp;row=843&amp;col=20&amp;number=&amp;sourceID=57","")</f>
        <v/>
      </c>
      <c r="U843" s="4" t="str">
        <f>HYPERLINK("http://141.218.60.56/~jnz1568/getInfo.php?workbook=16_15.xlsx&amp;sheet=A0&amp;row=843&amp;col=21&amp;number=&amp;sourceID=47","")</f>
        <v/>
      </c>
      <c r="V843" s="4" t="str">
        <f>HYPERLINK("http://141.218.60.56/~jnz1568/getInfo.php?workbook=16_15.xlsx&amp;sheet=A0&amp;row=843&amp;col=22&amp;number=&amp;sourceID=47","")</f>
        <v/>
      </c>
    </row>
    <row r="844" spans="1:22">
      <c r="A844" s="3">
        <v>16</v>
      </c>
      <c r="B844" s="3">
        <v>15</v>
      </c>
      <c r="C844" s="3">
        <v>47</v>
      </c>
      <c r="D844" s="3">
        <v>31</v>
      </c>
      <c r="E844" s="3">
        <f>((1/(INDEX(E0!J$4:J$73,C844,1)-INDEX(E0!J$4:J$73,D844,1))))*100000000</f>
        <v>0</v>
      </c>
      <c r="F844" s="4" t="str">
        <f>HYPERLINK("http://141.218.60.56/~jnz1568/getInfo.php?workbook=16_15.xlsx&amp;sheet=A0&amp;row=844&amp;col=6&amp;number=&amp;sourceID=54","")</f>
        <v/>
      </c>
      <c r="G844" s="4" t="str">
        <f>HYPERLINK("http://141.218.60.56/~jnz1568/getInfo.php?workbook=16_15.xlsx&amp;sheet=A0&amp;row=844&amp;col=7&amp;number=&amp;sourceID=54","")</f>
        <v/>
      </c>
      <c r="H844" s="4" t="str">
        <f>HYPERLINK("http://141.218.60.56/~jnz1568/getInfo.php?workbook=16_15.xlsx&amp;sheet=A0&amp;row=844&amp;col=8&amp;number=0.02789&amp;sourceID=54","0.02789")</f>
        <v>0.02789</v>
      </c>
      <c r="I844" s="4" t="str">
        <f>HYPERLINK("http://141.218.60.56/~jnz1568/getInfo.php?workbook=16_15.xlsx&amp;sheet=A0&amp;row=844&amp;col=9&amp;number=&amp;sourceID=54","")</f>
        <v/>
      </c>
      <c r="J844" s="4" t="str">
        <f>HYPERLINK("http://141.218.60.56/~jnz1568/getInfo.php?workbook=16_15.xlsx&amp;sheet=A0&amp;row=844&amp;col=10&amp;number=&amp;sourceID=54","")</f>
        <v/>
      </c>
      <c r="K844" s="4" t="str">
        <f>HYPERLINK("http://141.218.60.56/~jnz1568/getInfo.php?workbook=16_15.xlsx&amp;sheet=A0&amp;row=844&amp;col=11&amp;number=0.027396&amp;sourceID=54","0.027396")</f>
        <v>0.027396</v>
      </c>
      <c r="L844" s="4" t="str">
        <f>HYPERLINK("http://141.218.60.56/~jnz1568/getInfo.php?workbook=16_15.xlsx&amp;sheet=A0&amp;row=844&amp;col=12&amp;number=&amp;sourceID=53","")</f>
        <v/>
      </c>
      <c r="M844" s="4" t="str">
        <f>HYPERLINK("http://141.218.60.56/~jnz1568/getInfo.php?workbook=16_15.xlsx&amp;sheet=A0&amp;row=844&amp;col=13&amp;number=&amp;sourceID=53","")</f>
        <v/>
      </c>
      <c r="N844" s="4" t="str">
        <f>HYPERLINK("http://141.218.60.56/~jnz1568/getInfo.php?workbook=16_15.xlsx&amp;sheet=A0&amp;row=844&amp;col=14&amp;number=&amp;sourceID=53","")</f>
        <v/>
      </c>
      <c r="O844" s="4" t="str">
        <f>HYPERLINK("http://141.218.60.56/~jnz1568/getInfo.php?workbook=16_15.xlsx&amp;sheet=A0&amp;row=844&amp;col=15&amp;number=&amp;sourceID=55","")</f>
        <v/>
      </c>
      <c r="P844" s="4" t="str">
        <f>HYPERLINK("http://141.218.60.56/~jnz1568/getInfo.php?workbook=16_15.xlsx&amp;sheet=A0&amp;row=844&amp;col=16&amp;number=&amp;sourceID=55","")</f>
        <v/>
      </c>
      <c r="Q844" s="4" t="str">
        <f>HYPERLINK("http://141.218.60.56/~jnz1568/getInfo.php?workbook=16_15.xlsx&amp;sheet=A0&amp;row=844&amp;col=17&amp;number=&amp;sourceID=56","")</f>
        <v/>
      </c>
      <c r="R844" s="4" t="str">
        <f>HYPERLINK("http://141.218.60.56/~jnz1568/getInfo.php?workbook=16_15.xlsx&amp;sheet=A0&amp;row=844&amp;col=18&amp;number=&amp;sourceID=56","")</f>
        <v/>
      </c>
      <c r="S844" s="4" t="str">
        <f>HYPERLINK("http://141.218.60.56/~jnz1568/getInfo.php?workbook=16_15.xlsx&amp;sheet=A0&amp;row=844&amp;col=19&amp;number=&amp;sourceID=57","")</f>
        <v/>
      </c>
      <c r="T844" s="4" t="str">
        <f>HYPERLINK("http://141.218.60.56/~jnz1568/getInfo.php?workbook=16_15.xlsx&amp;sheet=A0&amp;row=844&amp;col=20&amp;number=&amp;sourceID=57","")</f>
        <v/>
      </c>
      <c r="U844" s="4" t="str">
        <f>HYPERLINK("http://141.218.60.56/~jnz1568/getInfo.php?workbook=16_15.xlsx&amp;sheet=A0&amp;row=844&amp;col=21&amp;number=&amp;sourceID=47","")</f>
        <v/>
      </c>
      <c r="V844" s="4" t="str">
        <f>HYPERLINK("http://141.218.60.56/~jnz1568/getInfo.php?workbook=16_15.xlsx&amp;sheet=A0&amp;row=844&amp;col=22&amp;number=&amp;sourceID=47","")</f>
        <v/>
      </c>
    </row>
    <row r="845" spans="1:22">
      <c r="A845" s="3">
        <v>16</v>
      </c>
      <c r="B845" s="3">
        <v>15</v>
      </c>
      <c r="C845" s="3">
        <v>47</v>
      </c>
      <c r="D845" s="3">
        <v>34</v>
      </c>
      <c r="E845" s="3">
        <f>((1/(INDEX(E0!J$4:J$73,C845,1)-INDEX(E0!J$4:J$73,D845,1))))*100000000</f>
        <v>0</v>
      </c>
      <c r="F845" s="4" t="str">
        <f>HYPERLINK("http://141.218.60.56/~jnz1568/getInfo.php?workbook=16_15.xlsx&amp;sheet=A0&amp;row=845&amp;col=6&amp;number=&amp;sourceID=54","")</f>
        <v/>
      </c>
      <c r="G845" s="4" t="str">
        <f>HYPERLINK("http://141.218.60.56/~jnz1568/getInfo.php?workbook=16_15.xlsx&amp;sheet=A0&amp;row=845&amp;col=7&amp;number=&amp;sourceID=54","")</f>
        <v/>
      </c>
      <c r="H845" s="4" t="str">
        <f>HYPERLINK("http://141.218.60.56/~jnz1568/getInfo.php?workbook=16_15.xlsx&amp;sheet=A0&amp;row=845&amp;col=8&amp;number=0.002712&amp;sourceID=54","0.002712")</f>
        <v>0.002712</v>
      </c>
      <c r="I845" s="4" t="str">
        <f>HYPERLINK("http://141.218.60.56/~jnz1568/getInfo.php?workbook=16_15.xlsx&amp;sheet=A0&amp;row=845&amp;col=9&amp;number=&amp;sourceID=54","")</f>
        <v/>
      </c>
      <c r="J845" s="4" t="str">
        <f>HYPERLINK("http://141.218.60.56/~jnz1568/getInfo.php?workbook=16_15.xlsx&amp;sheet=A0&amp;row=845&amp;col=10&amp;number=&amp;sourceID=54","")</f>
        <v/>
      </c>
      <c r="K845" s="4" t="str">
        <f>HYPERLINK("http://141.218.60.56/~jnz1568/getInfo.php?workbook=16_15.xlsx&amp;sheet=A0&amp;row=845&amp;col=11&amp;number=0.0026662&amp;sourceID=54","0.0026662")</f>
        <v>0.0026662</v>
      </c>
      <c r="L845" s="4" t="str">
        <f>HYPERLINK("http://141.218.60.56/~jnz1568/getInfo.php?workbook=16_15.xlsx&amp;sheet=A0&amp;row=845&amp;col=12&amp;number=&amp;sourceID=53","")</f>
        <v/>
      </c>
      <c r="M845" s="4" t="str">
        <f>HYPERLINK("http://141.218.60.56/~jnz1568/getInfo.php?workbook=16_15.xlsx&amp;sheet=A0&amp;row=845&amp;col=13&amp;number=&amp;sourceID=53","")</f>
        <v/>
      </c>
      <c r="N845" s="4" t="str">
        <f>HYPERLINK("http://141.218.60.56/~jnz1568/getInfo.php?workbook=16_15.xlsx&amp;sheet=A0&amp;row=845&amp;col=14&amp;number=&amp;sourceID=53","")</f>
        <v/>
      </c>
      <c r="O845" s="4" t="str">
        <f>HYPERLINK("http://141.218.60.56/~jnz1568/getInfo.php?workbook=16_15.xlsx&amp;sheet=A0&amp;row=845&amp;col=15&amp;number=&amp;sourceID=55","")</f>
        <v/>
      </c>
      <c r="P845" s="4" t="str">
        <f>HYPERLINK("http://141.218.60.56/~jnz1568/getInfo.php?workbook=16_15.xlsx&amp;sheet=A0&amp;row=845&amp;col=16&amp;number=&amp;sourceID=55","")</f>
        <v/>
      </c>
      <c r="Q845" s="4" t="str">
        <f>HYPERLINK("http://141.218.60.56/~jnz1568/getInfo.php?workbook=16_15.xlsx&amp;sheet=A0&amp;row=845&amp;col=17&amp;number=&amp;sourceID=56","")</f>
        <v/>
      </c>
      <c r="R845" s="4" t="str">
        <f>HYPERLINK("http://141.218.60.56/~jnz1568/getInfo.php?workbook=16_15.xlsx&amp;sheet=A0&amp;row=845&amp;col=18&amp;number=&amp;sourceID=56","")</f>
        <v/>
      </c>
      <c r="S845" s="4" t="str">
        <f>HYPERLINK("http://141.218.60.56/~jnz1568/getInfo.php?workbook=16_15.xlsx&amp;sheet=A0&amp;row=845&amp;col=19&amp;number=&amp;sourceID=57","")</f>
        <v/>
      </c>
      <c r="T845" s="4" t="str">
        <f>HYPERLINK("http://141.218.60.56/~jnz1568/getInfo.php?workbook=16_15.xlsx&amp;sheet=A0&amp;row=845&amp;col=20&amp;number=&amp;sourceID=57","")</f>
        <v/>
      </c>
      <c r="U845" s="4" t="str">
        <f>HYPERLINK("http://141.218.60.56/~jnz1568/getInfo.php?workbook=16_15.xlsx&amp;sheet=A0&amp;row=845&amp;col=21&amp;number=&amp;sourceID=47","")</f>
        <v/>
      </c>
      <c r="V845" s="4" t="str">
        <f>HYPERLINK("http://141.218.60.56/~jnz1568/getInfo.php?workbook=16_15.xlsx&amp;sheet=A0&amp;row=845&amp;col=22&amp;number=&amp;sourceID=47","")</f>
        <v/>
      </c>
    </row>
    <row r="846" spans="1:22">
      <c r="A846" s="3">
        <v>16</v>
      </c>
      <c r="B846" s="3">
        <v>15</v>
      </c>
      <c r="C846" s="3">
        <v>47</v>
      </c>
      <c r="D846" s="3">
        <v>35</v>
      </c>
      <c r="E846" s="3">
        <f>((1/(INDEX(E0!J$4:J$73,C846,1)-INDEX(E0!J$4:J$73,D846,1))))*100000000</f>
        <v>0</v>
      </c>
      <c r="F846" s="4" t="str">
        <f>HYPERLINK("http://141.218.60.56/~jnz1568/getInfo.php?workbook=16_15.xlsx&amp;sheet=A0&amp;row=846&amp;col=6&amp;number=&amp;sourceID=54","")</f>
        <v/>
      </c>
      <c r="G846" s="4" t="str">
        <f>HYPERLINK("http://141.218.60.56/~jnz1568/getInfo.php?workbook=16_15.xlsx&amp;sheet=A0&amp;row=846&amp;col=7&amp;number=2.8204e-06&amp;sourceID=54","2.8204e-06")</f>
        <v>2.8204e-06</v>
      </c>
      <c r="H846" s="4" t="str">
        <f>HYPERLINK("http://141.218.60.56/~jnz1568/getInfo.php?workbook=16_15.xlsx&amp;sheet=A0&amp;row=846&amp;col=8&amp;number=0.0090275&amp;sourceID=54","0.0090275")</f>
        <v>0.0090275</v>
      </c>
      <c r="I846" s="4" t="str">
        <f>HYPERLINK("http://141.218.60.56/~jnz1568/getInfo.php?workbook=16_15.xlsx&amp;sheet=A0&amp;row=846&amp;col=9&amp;number=&amp;sourceID=54","")</f>
        <v/>
      </c>
      <c r="J846" s="4" t="str">
        <f>HYPERLINK("http://141.218.60.56/~jnz1568/getInfo.php?workbook=16_15.xlsx&amp;sheet=A0&amp;row=846&amp;col=10&amp;number=2.4042e-06&amp;sourceID=54","2.4042e-06")</f>
        <v>2.4042e-06</v>
      </c>
      <c r="K846" s="4" t="str">
        <f>HYPERLINK("http://141.218.60.56/~jnz1568/getInfo.php?workbook=16_15.xlsx&amp;sheet=A0&amp;row=846&amp;col=11&amp;number=0.0088494&amp;sourceID=54","0.0088494")</f>
        <v>0.0088494</v>
      </c>
      <c r="L846" s="4" t="str">
        <f>HYPERLINK("http://141.218.60.56/~jnz1568/getInfo.php?workbook=16_15.xlsx&amp;sheet=A0&amp;row=846&amp;col=12&amp;number=&amp;sourceID=53","")</f>
        <v/>
      </c>
      <c r="M846" s="4" t="str">
        <f>HYPERLINK("http://141.218.60.56/~jnz1568/getInfo.php?workbook=16_15.xlsx&amp;sheet=A0&amp;row=846&amp;col=13&amp;number=&amp;sourceID=53","")</f>
        <v/>
      </c>
      <c r="N846" s="4" t="str">
        <f>HYPERLINK("http://141.218.60.56/~jnz1568/getInfo.php?workbook=16_15.xlsx&amp;sheet=A0&amp;row=846&amp;col=14&amp;number=&amp;sourceID=53","")</f>
        <v/>
      </c>
      <c r="O846" s="4" t="str">
        <f>HYPERLINK("http://141.218.60.56/~jnz1568/getInfo.php?workbook=16_15.xlsx&amp;sheet=A0&amp;row=846&amp;col=15&amp;number=&amp;sourceID=55","")</f>
        <v/>
      </c>
      <c r="P846" s="4" t="str">
        <f>HYPERLINK("http://141.218.60.56/~jnz1568/getInfo.php?workbook=16_15.xlsx&amp;sheet=A0&amp;row=846&amp;col=16&amp;number=&amp;sourceID=55","")</f>
        <v/>
      </c>
      <c r="Q846" s="4" t="str">
        <f>HYPERLINK("http://141.218.60.56/~jnz1568/getInfo.php?workbook=16_15.xlsx&amp;sheet=A0&amp;row=846&amp;col=17&amp;number=&amp;sourceID=56","")</f>
        <v/>
      </c>
      <c r="R846" s="4" t="str">
        <f>HYPERLINK("http://141.218.60.56/~jnz1568/getInfo.php?workbook=16_15.xlsx&amp;sheet=A0&amp;row=846&amp;col=18&amp;number=&amp;sourceID=56","")</f>
        <v/>
      </c>
      <c r="S846" s="4" t="str">
        <f>HYPERLINK("http://141.218.60.56/~jnz1568/getInfo.php?workbook=16_15.xlsx&amp;sheet=A0&amp;row=846&amp;col=19&amp;number=&amp;sourceID=57","")</f>
        <v/>
      </c>
      <c r="T846" s="4" t="str">
        <f>HYPERLINK("http://141.218.60.56/~jnz1568/getInfo.php?workbook=16_15.xlsx&amp;sheet=A0&amp;row=846&amp;col=20&amp;number=&amp;sourceID=57","")</f>
        <v/>
      </c>
      <c r="U846" s="4" t="str">
        <f>HYPERLINK("http://141.218.60.56/~jnz1568/getInfo.php?workbook=16_15.xlsx&amp;sheet=A0&amp;row=846&amp;col=21&amp;number=&amp;sourceID=47","")</f>
        <v/>
      </c>
      <c r="V846" s="4" t="str">
        <f>HYPERLINK("http://141.218.60.56/~jnz1568/getInfo.php?workbook=16_15.xlsx&amp;sheet=A0&amp;row=846&amp;col=22&amp;number=&amp;sourceID=47","")</f>
        <v/>
      </c>
    </row>
    <row r="847" spans="1:22">
      <c r="A847" s="3">
        <v>16</v>
      </c>
      <c r="B847" s="3">
        <v>15</v>
      </c>
      <c r="C847" s="3">
        <v>47</v>
      </c>
      <c r="D847" s="3">
        <v>36</v>
      </c>
      <c r="E847" s="3">
        <f>((1/(INDEX(E0!J$4:J$73,C847,1)-INDEX(E0!J$4:J$73,D847,1))))*100000000</f>
        <v>0</v>
      </c>
      <c r="F847" s="4" t="str">
        <f>HYPERLINK("http://141.218.60.56/~jnz1568/getInfo.php?workbook=16_15.xlsx&amp;sheet=A0&amp;row=847&amp;col=6&amp;number=&amp;sourceID=54","")</f>
        <v/>
      </c>
      <c r="G847" s="4" t="str">
        <f>HYPERLINK("http://141.218.60.56/~jnz1568/getInfo.php?workbook=16_15.xlsx&amp;sheet=A0&amp;row=847&amp;col=7&amp;number=6.6648e-06&amp;sourceID=54","6.6648e-06")</f>
        <v>6.6648e-06</v>
      </c>
      <c r="H847" s="4" t="str">
        <f>HYPERLINK("http://141.218.60.56/~jnz1568/getInfo.php?workbook=16_15.xlsx&amp;sheet=A0&amp;row=847&amp;col=8&amp;number=&amp;sourceID=54","")</f>
        <v/>
      </c>
      <c r="I847" s="4" t="str">
        <f>HYPERLINK("http://141.218.60.56/~jnz1568/getInfo.php?workbook=16_15.xlsx&amp;sheet=A0&amp;row=847&amp;col=9&amp;number=&amp;sourceID=54","")</f>
        <v/>
      </c>
      <c r="J847" s="4" t="str">
        <f>HYPERLINK("http://141.218.60.56/~jnz1568/getInfo.php?workbook=16_15.xlsx&amp;sheet=A0&amp;row=847&amp;col=10&amp;number=7.0103e-06&amp;sourceID=54","7.0103e-06")</f>
        <v>7.0103e-06</v>
      </c>
      <c r="K847" s="4" t="str">
        <f>HYPERLINK("http://141.218.60.56/~jnz1568/getInfo.php?workbook=16_15.xlsx&amp;sheet=A0&amp;row=847&amp;col=11&amp;number=&amp;sourceID=54","")</f>
        <v/>
      </c>
      <c r="L847" s="4" t="str">
        <f>HYPERLINK("http://141.218.60.56/~jnz1568/getInfo.php?workbook=16_15.xlsx&amp;sheet=A0&amp;row=847&amp;col=12&amp;number=&amp;sourceID=53","")</f>
        <v/>
      </c>
      <c r="M847" s="4" t="str">
        <f>HYPERLINK("http://141.218.60.56/~jnz1568/getInfo.php?workbook=16_15.xlsx&amp;sheet=A0&amp;row=847&amp;col=13&amp;number=&amp;sourceID=53","")</f>
        <v/>
      </c>
      <c r="N847" s="4" t="str">
        <f>HYPERLINK("http://141.218.60.56/~jnz1568/getInfo.php?workbook=16_15.xlsx&amp;sheet=A0&amp;row=847&amp;col=14&amp;number=&amp;sourceID=53","")</f>
        <v/>
      </c>
      <c r="O847" s="4" t="str">
        <f>HYPERLINK("http://141.218.60.56/~jnz1568/getInfo.php?workbook=16_15.xlsx&amp;sheet=A0&amp;row=847&amp;col=15&amp;number=&amp;sourceID=55","")</f>
        <v/>
      </c>
      <c r="P847" s="4" t="str">
        <f>HYPERLINK("http://141.218.60.56/~jnz1568/getInfo.php?workbook=16_15.xlsx&amp;sheet=A0&amp;row=847&amp;col=16&amp;number=&amp;sourceID=55","")</f>
        <v/>
      </c>
      <c r="Q847" s="4" t="str">
        <f>HYPERLINK("http://141.218.60.56/~jnz1568/getInfo.php?workbook=16_15.xlsx&amp;sheet=A0&amp;row=847&amp;col=17&amp;number=&amp;sourceID=56","")</f>
        <v/>
      </c>
      <c r="R847" s="4" t="str">
        <f>HYPERLINK("http://141.218.60.56/~jnz1568/getInfo.php?workbook=16_15.xlsx&amp;sheet=A0&amp;row=847&amp;col=18&amp;number=&amp;sourceID=56","")</f>
        <v/>
      </c>
      <c r="S847" s="4" t="str">
        <f>HYPERLINK("http://141.218.60.56/~jnz1568/getInfo.php?workbook=16_15.xlsx&amp;sheet=A0&amp;row=847&amp;col=19&amp;number=&amp;sourceID=57","")</f>
        <v/>
      </c>
      <c r="T847" s="4" t="str">
        <f>HYPERLINK("http://141.218.60.56/~jnz1568/getInfo.php?workbook=16_15.xlsx&amp;sheet=A0&amp;row=847&amp;col=20&amp;number=&amp;sourceID=57","")</f>
        <v/>
      </c>
      <c r="U847" s="4" t="str">
        <f>HYPERLINK("http://141.218.60.56/~jnz1568/getInfo.php?workbook=16_15.xlsx&amp;sheet=A0&amp;row=847&amp;col=21&amp;number=&amp;sourceID=47","")</f>
        <v/>
      </c>
      <c r="V847" s="4" t="str">
        <f>HYPERLINK("http://141.218.60.56/~jnz1568/getInfo.php?workbook=16_15.xlsx&amp;sheet=A0&amp;row=847&amp;col=22&amp;number=&amp;sourceID=47","")</f>
        <v/>
      </c>
    </row>
    <row r="848" spans="1:22">
      <c r="A848" s="3">
        <v>16</v>
      </c>
      <c r="B848" s="3">
        <v>15</v>
      </c>
      <c r="C848" s="3">
        <v>47</v>
      </c>
      <c r="D848" s="3">
        <v>38</v>
      </c>
      <c r="E848" s="3">
        <f>((1/(INDEX(E0!J$4:J$73,C848,1)-INDEX(E0!J$4:J$73,D848,1))))*100000000</f>
        <v>0</v>
      </c>
      <c r="F848" s="4" t="str">
        <f>HYPERLINK("http://141.218.60.56/~jnz1568/getInfo.php?workbook=16_15.xlsx&amp;sheet=A0&amp;row=848&amp;col=6&amp;number=&amp;sourceID=54","")</f>
        <v/>
      </c>
      <c r="G848" s="4" t="str">
        <f>HYPERLINK("http://141.218.60.56/~jnz1568/getInfo.php?workbook=16_15.xlsx&amp;sheet=A0&amp;row=848&amp;col=7&amp;number=&amp;sourceID=54","")</f>
        <v/>
      </c>
      <c r="H848" s="4" t="str">
        <f>HYPERLINK("http://141.218.60.56/~jnz1568/getInfo.php?workbook=16_15.xlsx&amp;sheet=A0&amp;row=848&amp;col=8&amp;number=0.0011933&amp;sourceID=54","0.0011933")</f>
        <v>0.0011933</v>
      </c>
      <c r="I848" s="4" t="str">
        <f>HYPERLINK("http://141.218.60.56/~jnz1568/getInfo.php?workbook=16_15.xlsx&amp;sheet=A0&amp;row=848&amp;col=9&amp;number=&amp;sourceID=54","")</f>
        <v/>
      </c>
      <c r="J848" s="4" t="str">
        <f>HYPERLINK("http://141.218.60.56/~jnz1568/getInfo.php?workbook=16_15.xlsx&amp;sheet=A0&amp;row=848&amp;col=10&amp;number=&amp;sourceID=54","")</f>
        <v/>
      </c>
      <c r="K848" s="4" t="str">
        <f>HYPERLINK("http://141.218.60.56/~jnz1568/getInfo.php?workbook=16_15.xlsx&amp;sheet=A0&amp;row=848&amp;col=11&amp;number=0.0011535&amp;sourceID=54","0.0011535")</f>
        <v>0.0011535</v>
      </c>
      <c r="L848" s="4" t="str">
        <f>HYPERLINK("http://141.218.60.56/~jnz1568/getInfo.php?workbook=16_15.xlsx&amp;sheet=A0&amp;row=848&amp;col=12&amp;number=&amp;sourceID=53","")</f>
        <v/>
      </c>
      <c r="M848" s="4" t="str">
        <f>HYPERLINK("http://141.218.60.56/~jnz1568/getInfo.php?workbook=16_15.xlsx&amp;sheet=A0&amp;row=848&amp;col=13&amp;number=&amp;sourceID=53","")</f>
        <v/>
      </c>
      <c r="N848" s="4" t="str">
        <f>HYPERLINK("http://141.218.60.56/~jnz1568/getInfo.php?workbook=16_15.xlsx&amp;sheet=A0&amp;row=848&amp;col=14&amp;number=&amp;sourceID=53","")</f>
        <v/>
      </c>
      <c r="O848" s="4" t="str">
        <f>HYPERLINK("http://141.218.60.56/~jnz1568/getInfo.php?workbook=16_15.xlsx&amp;sheet=A0&amp;row=848&amp;col=15&amp;number=&amp;sourceID=55","")</f>
        <v/>
      </c>
      <c r="P848" s="4" t="str">
        <f>HYPERLINK("http://141.218.60.56/~jnz1568/getInfo.php?workbook=16_15.xlsx&amp;sheet=A0&amp;row=848&amp;col=16&amp;number=&amp;sourceID=55","")</f>
        <v/>
      </c>
      <c r="Q848" s="4" t="str">
        <f>HYPERLINK("http://141.218.60.56/~jnz1568/getInfo.php?workbook=16_15.xlsx&amp;sheet=A0&amp;row=848&amp;col=17&amp;number=&amp;sourceID=56","")</f>
        <v/>
      </c>
      <c r="R848" s="4" t="str">
        <f>HYPERLINK("http://141.218.60.56/~jnz1568/getInfo.php?workbook=16_15.xlsx&amp;sheet=A0&amp;row=848&amp;col=18&amp;number=&amp;sourceID=56","")</f>
        <v/>
      </c>
      <c r="S848" s="4" t="str">
        <f>HYPERLINK("http://141.218.60.56/~jnz1568/getInfo.php?workbook=16_15.xlsx&amp;sheet=A0&amp;row=848&amp;col=19&amp;number=&amp;sourceID=57","")</f>
        <v/>
      </c>
      <c r="T848" s="4" t="str">
        <f>HYPERLINK("http://141.218.60.56/~jnz1568/getInfo.php?workbook=16_15.xlsx&amp;sheet=A0&amp;row=848&amp;col=20&amp;number=&amp;sourceID=57","")</f>
        <v/>
      </c>
      <c r="U848" s="4" t="str">
        <f>HYPERLINK("http://141.218.60.56/~jnz1568/getInfo.php?workbook=16_15.xlsx&amp;sheet=A0&amp;row=848&amp;col=21&amp;number=&amp;sourceID=47","")</f>
        <v/>
      </c>
      <c r="V848" s="4" t="str">
        <f>HYPERLINK("http://141.218.60.56/~jnz1568/getInfo.php?workbook=16_15.xlsx&amp;sheet=A0&amp;row=848&amp;col=22&amp;number=&amp;sourceID=47","")</f>
        <v/>
      </c>
    </row>
    <row r="849" spans="1:22">
      <c r="A849" s="3">
        <v>16</v>
      </c>
      <c r="B849" s="3">
        <v>15</v>
      </c>
      <c r="C849" s="3">
        <v>47</v>
      </c>
      <c r="D849" s="3">
        <v>39</v>
      </c>
      <c r="E849" s="3">
        <f>((1/(INDEX(E0!J$4:J$73,C849,1)-INDEX(E0!J$4:J$73,D849,1))))*100000000</f>
        <v>0</v>
      </c>
      <c r="F849" s="4" t="str">
        <f>HYPERLINK("http://141.218.60.56/~jnz1568/getInfo.php?workbook=16_15.xlsx&amp;sheet=A0&amp;row=849&amp;col=6&amp;number=&amp;sourceID=54","")</f>
        <v/>
      </c>
      <c r="G849" s="4" t="str">
        <f>HYPERLINK("http://141.218.60.56/~jnz1568/getInfo.php?workbook=16_15.xlsx&amp;sheet=A0&amp;row=849&amp;col=7&amp;number=6.7896e-05&amp;sourceID=54","6.7896e-05")</f>
        <v>6.7896e-05</v>
      </c>
      <c r="H849" s="4" t="str">
        <f>HYPERLINK("http://141.218.60.56/~jnz1568/getInfo.php?workbook=16_15.xlsx&amp;sheet=A0&amp;row=849&amp;col=8&amp;number=4.9003e-06&amp;sourceID=54","4.9003e-06")</f>
        <v>4.9003e-06</v>
      </c>
      <c r="I849" s="4" t="str">
        <f>HYPERLINK("http://141.218.60.56/~jnz1568/getInfo.php?workbook=16_15.xlsx&amp;sheet=A0&amp;row=849&amp;col=9&amp;number=&amp;sourceID=54","")</f>
        <v/>
      </c>
      <c r="J849" s="4" t="str">
        <f>HYPERLINK("http://141.218.60.56/~jnz1568/getInfo.php?workbook=16_15.xlsx&amp;sheet=A0&amp;row=849&amp;col=10&amp;number=7.4614e-05&amp;sourceID=54","7.4614e-05")</f>
        <v>7.4614e-05</v>
      </c>
      <c r="K849" s="4" t="str">
        <f>HYPERLINK("http://141.218.60.56/~jnz1568/getInfo.php?workbook=16_15.xlsx&amp;sheet=A0&amp;row=849&amp;col=11&amp;number=4.0695e-06&amp;sourceID=54","4.0695e-06")</f>
        <v>4.0695e-06</v>
      </c>
      <c r="L849" s="4" t="str">
        <f>HYPERLINK("http://141.218.60.56/~jnz1568/getInfo.php?workbook=16_15.xlsx&amp;sheet=A0&amp;row=849&amp;col=12&amp;number=&amp;sourceID=53","")</f>
        <v/>
      </c>
      <c r="M849" s="4" t="str">
        <f>HYPERLINK("http://141.218.60.56/~jnz1568/getInfo.php?workbook=16_15.xlsx&amp;sheet=A0&amp;row=849&amp;col=13&amp;number=&amp;sourceID=53","")</f>
        <v/>
      </c>
      <c r="N849" s="4" t="str">
        <f>HYPERLINK("http://141.218.60.56/~jnz1568/getInfo.php?workbook=16_15.xlsx&amp;sheet=A0&amp;row=849&amp;col=14&amp;number=&amp;sourceID=53","")</f>
        <v/>
      </c>
      <c r="O849" s="4" t="str">
        <f>HYPERLINK("http://141.218.60.56/~jnz1568/getInfo.php?workbook=16_15.xlsx&amp;sheet=A0&amp;row=849&amp;col=15&amp;number=&amp;sourceID=55","")</f>
        <v/>
      </c>
      <c r="P849" s="4" t="str">
        <f>HYPERLINK("http://141.218.60.56/~jnz1568/getInfo.php?workbook=16_15.xlsx&amp;sheet=A0&amp;row=849&amp;col=16&amp;number=&amp;sourceID=55","")</f>
        <v/>
      </c>
      <c r="Q849" s="4" t="str">
        <f>HYPERLINK("http://141.218.60.56/~jnz1568/getInfo.php?workbook=16_15.xlsx&amp;sheet=A0&amp;row=849&amp;col=17&amp;number=&amp;sourceID=56","")</f>
        <v/>
      </c>
      <c r="R849" s="4" t="str">
        <f>HYPERLINK("http://141.218.60.56/~jnz1568/getInfo.php?workbook=16_15.xlsx&amp;sheet=A0&amp;row=849&amp;col=18&amp;number=&amp;sourceID=56","")</f>
        <v/>
      </c>
      <c r="S849" s="4" t="str">
        <f>HYPERLINK("http://141.218.60.56/~jnz1568/getInfo.php?workbook=16_15.xlsx&amp;sheet=A0&amp;row=849&amp;col=19&amp;number=&amp;sourceID=57","")</f>
        <v/>
      </c>
      <c r="T849" s="4" t="str">
        <f>HYPERLINK("http://141.218.60.56/~jnz1568/getInfo.php?workbook=16_15.xlsx&amp;sheet=A0&amp;row=849&amp;col=20&amp;number=&amp;sourceID=57","")</f>
        <v/>
      </c>
      <c r="U849" s="4" t="str">
        <f>HYPERLINK("http://141.218.60.56/~jnz1568/getInfo.php?workbook=16_15.xlsx&amp;sheet=A0&amp;row=849&amp;col=21&amp;number=&amp;sourceID=47","")</f>
        <v/>
      </c>
      <c r="V849" s="4" t="str">
        <f>HYPERLINK("http://141.218.60.56/~jnz1568/getInfo.php?workbook=16_15.xlsx&amp;sheet=A0&amp;row=849&amp;col=22&amp;number=&amp;sourceID=47","")</f>
        <v/>
      </c>
    </row>
    <row r="850" spans="1:22">
      <c r="A850" s="3">
        <v>16</v>
      </c>
      <c r="B850" s="3">
        <v>15</v>
      </c>
      <c r="C850" s="3">
        <v>47</v>
      </c>
      <c r="D850" s="3">
        <v>40</v>
      </c>
      <c r="E850" s="3">
        <f>((1/(INDEX(E0!J$4:J$73,C850,1)-INDEX(E0!J$4:J$73,D850,1))))*100000000</f>
        <v>0</v>
      </c>
      <c r="F850" s="4" t="str">
        <f>HYPERLINK("http://141.218.60.56/~jnz1568/getInfo.php?workbook=16_15.xlsx&amp;sheet=A0&amp;row=850&amp;col=6&amp;number=&amp;sourceID=54","")</f>
        <v/>
      </c>
      <c r="G850" s="4" t="str">
        <f>HYPERLINK("http://141.218.60.56/~jnz1568/getInfo.php?workbook=16_15.xlsx&amp;sheet=A0&amp;row=850&amp;col=7&amp;number=0.0001516&amp;sourceID=54","0.0001516")</f>
        <v>0.0001516</v>
      </c>
      <c r="H850" s="4" t="str">
        <f>HYPERLINK("http://141.218.60.56/~jnz1568/getInfo.php?workbook=16_15.xlsx&amp;sheet=A0&amp;row=850&amp;col=8&amp;number=&amp;sourceID=54","")</f>
        <v/>
      </c>
      <c r="I850" s="4" t="str">
        <f>HYPERLINK("http://141.218.60.56/~jnz1568/getInfo.php?workbook=16_15.xlsx&amp;sheet=A0&amp;row=850&amp;col=9&amp;number=&amp;sourceID=54","")</f>
        <v/>
      </c>
      <c r="J850" s="4" t="str">
        <f>HYPERLINK("http://141.218.60.56/~jnz1568/getInfo.php?workbook=16_15.xlsx&amp;sheet=A0&amp;row=850&amp;col=10&amp;number=0.00014851&amp;sourceID=54","0.00014851")</f>
        <v>0.00014851</v>
      </c>
      <c r="K850" s="4" t="str">
        <f>HYPERLINK("http://141.218.60.56/~jnz1568/getInfo.php?workbook=16_15.xlsx&amp;sheet=A0&amp;row=850&amp;col=11&amp;number=&amp;sourceID=54","")</f>
        <v/>
      </c>
      <c r="L850" s="4" t="str">
        <f>HYPERLINK("http://141.218.60.56/~jnz1568/getInfo.php?workbook=16_15.xlsx&amp;sheet=A0&amp;row=850&amp;col=12&amp;number=&amp;sourceID=53","")</f>
        <v/>
      </c>
      <c r="M850" s="4" t="str">
        <f>HYPERLINK("http://141.218.60.56/~jnz1568/getInfo.php?workbook=16_15.xlsx&amp;sheet=A0&amp;row=850&amp;col=13&amp;number=&amp;sourceID=53","")</f>
        <v/>
      </c>
      <c r="N850" s="4" t="str">
        <f>HYPERLINK("http://141.218.60.56/~jnz1568/getInfo.php?workbook=16_15.xlsx&amp;sheet=A0&amp;row=850&amp;col=14&amp;number=&amp;sourceID=53","")</f>
        <v/>
      </c>
      <c r="O850" s="4" t="str">
        <f>HYPERLINK("http://141.218.60.56/~jnz1568/getInfo.php?workbook=16_15.xlsx&amp;sheet=A0&amp;row=850&amp;col=15&amp;number=&amp;sourceID=55","")</f>
        <v/>
      </c>
      <c r="P850" s="4" t="str">
        <f>HYPERLINK("http://141.218.60.56/~jnz1568/getInfo.php?workbook=16_15.xlsx&amp;sheet=A0&amp;row=850&amp;col=16&amp;number=&amp;sourceID=55","")</f>
        <v/>
      </c>
      <c r="Q850" s="4" t="str">
        <f>HYPERLINK("http://141.218.60.56/~jnz1568/getInfo.php?workbook=16_15.xlsx&amp;sheet=A0&amp;row=850&amp;col=17&amp;number=&amp;sourceID=56","")</f>
        <v/>
      </c>
      <c r="R850" s="4" t="str">
        <f>HYPERLINK("http://141.218.60.56/~jnz1568/getInfo.php?workbook=16_15.xlsx&amp;sheet=A0&amp;row=850&amp;col=18&amp;number=&amp;sourceID=56","")</f>
        <v/>
      </c>
      <c r="S850" s="4" t="str">
        <f>HYPERLINK("http://141.218.60.56/~jnz1568/getInfo.php?workbook=16_15.xlsx&amp;sheet=A0&amp;row=850&amp;col=19&amp;number=&amp;sourceID=57","")</f>
        <v/>
      </c>
      <c r="T850" s="4" t="str">
        <f>HYPERLINK("http://141.218.60.56/~jnz1568/getInfo.php?workbook=16_15.xlsx&amp;sheet=A0&amp;row=850&amp;col=20&amp;number=&amp;sourceID=57","")</f>
        <v/>
      </c>
      <c r="U850" s="4" t="str">
        <f>HYPERLINK("http://141.218.60.56/~jnz1568/getInfo.php?workbook=16_15.xlsx&amp;sheet=A0&amp;row=850&amp;col=21&amp;number=&amp;sourceID=47","")</f>
        <v/>
      </c>
      <c r="V850" s="4" t="str">
        <f>HYPERLINK("http://141.218.60.56/~jnz1568/getInfo.php?workbook=16_15.xlsx&amp;sheet=A0&amp;row=850&amp;col=22&amp;number=&amp;sourceID=47","")</f>
        <v/>
      </c>
    </row>
    <row r="851" spans="1:22">
      <c r="A851" s="3">
        <v>16</v>
      </c>
      <c r="B851" s="3">
        <v>15</v>
      </c>
      <c r="C851" s="3">
        <v>47</v>
      </c>
      <c r="D851" s="3">
        <v>42</v>
      </c>
      <c r="E851" s="3">
        <f>((1/(INDEX(E0!J$4:J$73,C851,1)-INDEX(E0!J$4:J$73,D851,1))))*100000000</f>
        <v>0</v>
      </c>
      <c r="F851" s="4" t="str">
        <f>HYPERLINK("http://141.218.60.56/~jnz1568/getInfo.php?workbook=16_15.xlsx&amp;sheet=A0&amp;row=851&amp;col=6&amp;number=&amp;sourceID=54","")</f>
        <v/>
      </c>
      <c r="G851" s="4" t="str">
        <f>HYPERLINK("http://141.218.60.56/~jnz1568/getInfo.php?workbook=16_15.xlsx&amp;sheet=A0&amp;row=851&amp;col=7&amp;number=0.0028908&amp;sourceID=54","0.0028908")</f>
        <v>0.0028908</v>
      </c>
      <c r="H851" s="4" t="str">
        <f>HYPERLINK("http://141.218.60.56/~jnz1568/getInfo.php?workbook=16_15.xlsx&amp;sheet=A0&amp;row=851&amp;col=8&amp;number=0.00011581&amp;sourceID=54","0.00011581")</f>
        <v>0.00011581</v>
      </c>
      <c r="I851" s="4" t="str">
        <f>HYPERLINK("http://141.218.60.56/~jnz1568/getInfo.php?workbook=16_15.xlsx&amp;sheet=A0&amp;row=851&amp;col=9&amp;number=&amp;sourceID=54","")</f>
        <v/>
      </c>
      <c r="J851" s="4" t="str">
        <f>HYPERLINK("http://141.218.60.56/~jnz1568/getInfo.php?workbook=16_15.xlsx&amp;sheet=A0&amp;row=851&amp;col=10&amp;number=0.0026488&amp;sourceID=54","0.0026488")</f>
        <v>0.0026488</v>
      </c>
      <c r="K851" s="4" t="str">
        <f>HYPERLINK("http://141.218.60.56/~jnz1568/getInfo.php?workbook=16_15.xlsx&amp;sheet=A0&amp;row=851&amp;col=11&amp;number=0.00012105&amp;sourceID=54","0.00012105")</f>
        <v>0.00012105</v>
      </c>
      <c r="L851" s="4" t="str">
        <f>HYPERLINK("http://141.218.60.56/~jnz1568/getInfo.php?workbook=16_15.xlsx&amp;sheet=A0&amp;row=851&amp;col=12&amp;number=&amp;sourceID=53","")</f>
        <v/>
      </c>
      <c r="M851" s="4" t="str">
        <f>HYPERLINK("http://141.218.60.56/~jnz1568/getInfo.php?workbook=16_15.xlsx&amp;sheet=A0&amp;row=851&amp;col=13&amp;number=&amp;sourceID=53","")</f>
        <v/>
      </c>
      <c r="N851" s="4" t="str">
        <f>HYPERLINK("http://141.218.60.56/~jnz1568/getInfo.php?workbook=16_15.xlsx&amp;sheet=A0&amp;row=851&amp;col=14&amp;number=&amp;sourceID=53","")</f>
        <v/>
      </c>
      <c r="O851" s="4" t="str">
        <f>HYPERLINK("http://141.218.60.56/~jnz1568/getInfo.php?workbook=16_15.xlsx&amp;sheet=A0&amp;row=851&amp;col=15&amp;number=&amp;sourceID=55","")</f>
        <v/>
      </c>
      <c r="P851" s="4" t="str">
        <f>HYPERLINK("http://141.218.60.56/~jnz1568/getInfo.php?workbook=16_15.xlsx&amp;sheet=A0&amp;row=851&amp;col=16&amp;number=&amp;sourceID=55","")</f>
        <v/>
      </c>
      <c r="Q851" s="4" t="str">
        <f>HYPERLINK("http://141.218.60.56/~jnz1568/getInfo.php?workbook=16_15.xlsx&amp;sheet=A0&amp;row=851&amp;col=17&amp;number=&amp;sourceID=56","")</f>
        <v/>
      </c>
      <c r="R851" s="4" t="str">
        <f>HYPERLINK("http://141.218.60.56/~jnz1568/getInfo.php?workbook=16_15.xlsx&amp;sheet=A0&amp;row=851&amp;col=18&amp;number=&amp;sourceID=56","")</f>
        <v/>
      </c>
      <c r="S851" s="4" t="str">
        <f>HYPERLINK("http://141.218.60.56/~jnz1568/getInfo.php?workbook=16_15.xlsx&amp;sheet=A0&amp;row=851&amp;col=19&amp;number=&amp;sourceID=57","")</f>
        <v/>
      </c>
      <c r="T851" s="4" t="str">
        <f>HYPERLINK("http://141.218.60.56/~jnz1568/getInfo.php?workbook=16_15.xlsx&amp;sheet=A0&amp;row=851&amp;col=20&amp;number=&amp;sourceID=57","")</f>
        <v/>
      </c>
      <c r="U851" s="4" t="str">
        <f>HYPERLINK("http://141.218.60.56/~jnz1568/getInfo.php?workbook=16_15.xlsx&amp;sheet=A0&amp;row=851&amp;col=21&amp;number=&amp;sourceID=47","")</f>
        <v/>
      </c>
      <c r="V851" s="4" t="str">
        <f>HYPERLINK("http://141.218.60.56/~jnz1568/getInfo.php?workbook=16_15.xlsx&amp;sheet=A0&amp;row=851&amp;col=22&amp;number=&amp;sourceID=47","")</f>
        <v/>
      </c>
    </row>
    <row r="852" spans="1:22">
      <c r="A852" s="3">
        <v>16</v>
      </c>
      <c r="B852" s="3">
        <v>15</v>
      </c>
      <c r="C852" s="3">
        <v>47</v>
      </c>
      <c r="D852" s="3">
        <v>43</v>
      </c>
      <c r="E852" s="3">
        <f>((1/(INDEX(E0!J$4:J$73,C852,1)-INDEX(E0!J$4:J$73,D852,1))))*100000000</f>
        <v>0</v>
      </c>
      <c r="F852" s="4" t="str">
        <f>HYPERLINK("http://141.218.60.56/~jnz1568/getInfo.php?workbook=16_15.xlsx&amp;sheet=A0&amp;row=852&amp;col=6&amp;number=4.117&amp;sourceID=54","4.117")</f>
        <v>4.117</v>
      </c>
      <c r="G852" s="4" t="str">
        <f>HYPERLINK("http://141.218.60.56/~jnz1568/getInfo.php?workbook=16_15.xlsx&amp;sheet=A0&amp;row=852&amp;col=7&amp;number=&amp;sourceID=54","")</f>
        <v/>
      </c>
      <c r="H852" s="4" t="str">
        <f>HYPERLINK("http://141.218.60.56/~jnz1568/getInfo.php?workbook=16_15.xlsx&amp;sheet=A0&amp;row=852&amp;col=8&amp;number=&amp;sourceID=54","")</f>
        <v/>
      </c>
      <c r="I852" s="4" t="str">
        <f>HYPERLINK("http://141.218.60.56/~jnz1568/getInfo.php?workbook=16_15.xlsx&amp;sheet=A0&amp;row=852&amp;col=9&amp;number=13.418&amp;sourceID=54","13.418")</f>
        <v>13.418</v>
      </c>
      <c r="J852" s="4" t="str">
        <f>HYPERLINK("http://141.218.60.56/~jnz1568/getInfo.php?workbook=16_15.xlsx&amp;sheet=A0&amp;row=852&amp;col=10&amp;number=&amp;sourceID=54","")</f>
        <v/>
      </c>
      <c r="K852" s="4" t="str">
        <f>HYPERLINK("http://141.218.60.56/~jnz1568/getInfo.php?workbook=16_15.xlsx&amp;sheet=A0&amp;row=852&amp;col=11&amp;number=&amp;sourceID=54","")</f>
        <v/>
      </c>
      <c r="L852" s="4" t="str">
        <f>HYPERLINK("http://141.218.60.56/~jnz1568/getInfo.php?workbook=16_15.xlsx&amp;sheet=A0&amp;row=852&amp;col=12&amp;number=22.9385104841&amp;sourceID=53","22.9385104841")</f>
        <v>22.9385104841</v>
      </c>
      <c r="M852" s="4" t="str">
        <f>HYPERLINK("http://141.218.60.56/~jnz1568/getInfo.php?workbook=16_15.xlsx&amp;sheet=A0&amp;row=852&amp;col=13&amp;number=&amp;sourceID=53","")</f>
        <v/>
      </c>
      <c r="N852" s="4" t="str">
        <f>HYPERLINK("http://141.218.60.56/~jnz1568/getInfo.php?workbook=16_15.xlsx&amp;sheet=A0&amp;row=852&amp;col=14&amp;number=&amp;sourceID=53","")</f>
        <v/>
      </c>
      <c r="O852" s="4" t="str">
        <f>HYPERLINK("http://141.218.60.56/~jnz1568/getInfo.php?workbook=16_15.xlsx&amp;sheet=A0&amp;row=852&amp;col=15&amp;number=&amp;sourceID=55","")</f>
        <v/>
      </c>
      <c r="P852" s="4" t="str">
        <f>HYPERLINK("http://141.218.60.56/~jnz1568/getInfo.php?workbook=16_15.xlsx&amp;sheet=A0&amp;row=852&amp;col=16&amp;number=&amp;sourceID=55","")</f>
        <v/>
      </c>
      <c r="Q852" s="4" t="str">
        <f>HYPERLINK("http://141.218.60.56/~jnz1568/getInfo.php?workbook=16_15.xlsx&amp;sheet=A0&amp;row=852&amp;col=17&amp;number=&amp;sourceID=56","")</f>
        <v/>
      </c>
      <c r="R852" s="4" t="str">
        <f>HYPERLINK("http://141.218.60.56/~jnz1568/getInfo.php?workbook=16_15.xlsx&amp;sheet=A0&amp;row=852&amp;col=18&amp;number=&amp;sourceID=56","")</f>
        <v/>
      </c>
      <c r="S852" s="4" t="str">
        <f>HYPERLINK("http://141.218.60.56/~jnz1568/getInfo.php?workbook=16_15.xlsx&amp;sheet=A0&amp;row=852&amp;col=19&amp;number=&amp;sourceID=57","")</f>
        <v/>
      </c>
      <c r="T852" s="4" t="str">
        <f>HYPERLINK("http://141.218.60.56/~jnz1568/getInfo.php?workbook=16_15.xlsx&amp;sheet=A0&amp;row=852&amp;col=20&amp;number=&amp;sourceID=57","")</f>
        <v/>
      </c>
      <c r="U852" s="4" t="str">
        <f>HYPERLINK("http://141.218.60.56/~jnz1568/getInfo.php?workbook=16_15.xlsx&amp;sheet=A0&amp;row=852&amp;col=21&amp;number=&amp;sourceID=47","")</f>
        <v/>
      </c>
      <c r="V852" s="4" t="str">
        <f>HYPERLINK("http://141.218.60.56/~jnz1568/getInfo.php?workbook=16_15.xlsx&amp;sheet=A0&amp;row=852&amp;col=22&amp;number=&amp;sourceID=47","")</f>
        <v/>
      </c>
    </row>
    <row r="853" spans="1:22">
      <c r="A853" s="3">
        <v>16</v>
      </c>
      <c r="B853" s="3">
        <v>15</v>
      </c>
      <c r="C853" s="3">
        <v>47</v>
      </c>
      <c r="D853" s="3">
        <v>44</v>
      </c>
      <c r="E853" s="3">
        <f>((1/(INDEX(E0!J$4:J$73,C853,1)-INDEX(E0!J$4:J$73,D853,1))))*100000000</f>
        <v>0</v>
      </c>
      <c r="F853" s="4" t="str">
        <f>HYPERLINK("http://141.218.60.56/~jnz1568/getInfo.php?workbook=16_15.xlsx&amp;sheet=A0&amp;row=853&amp;col=6&amp;number=0.16957&amp;sourceID=54","0.16957")</f>
        <v>0.16957</v>
      </c>
      <c r="G853" s="4" t="str">
        <f>HYPERLINK("http://141.218.60.56/~jnz1568/getInfo.php?workbook=16_15.xlsx&amp;sheet=A0&amp;row=853&amp;col=7&amp;number=&amp;sourceID=54","")</f>
        <v/>
      </c>
      <c r="H853" s="4" t="str">
        <f>HYPERLINK("http://141.218.60.56/~jnz1568/getInfo.php?workbook=16_15.xlsx&amp;sheet=A0&amp;row=853&amp;col=8&amp;number=&amp;sourceID=54","")</f>
        <v/>
      </c>
      <c r="I853" s="4" t="str">
        <f>HYPERLINK("http://141.218.60.56/~jnz1568/getInfo.php?workbook=16_15.xlsx&amp;sheet=A0&amp;row=853&amp;col=9&amp;number=0.92299&amp;sourceID=54","0.92299")</f>
        <v>0.92299</v>
      </c>
      <c r="J853" s="4" t="str">
        <f>HYPERLINK("http://141.218.60.56/~jnz1568/getInfo.php?workbook=16_15.xlsx&amp;sheet=A0&amp;row=853&amp;col=10&amp;number=&amp;sourceID=54","")</f>
        <v/>
      </c>
      <c r="K853" s="4" t="str">
        <f>HYPERLINK("http://141.218.60.56/~jnz1568/getInfo.php?workbook=16_15.xlsx&amp;sheet=A0&amp;row=853&amp;col=11&amp;number=&amp;sourceID=54","")</f>
        <v/>
      </c>
      <c r="L853" s="4" t="str">
        <f>HYPERLINK("http://141.218.60.56/~jnz1568/getInfo.php?workbook=16_15.xlsx&amp;sheet=A0&amp;row=853&amp;col=12&amp;number=2.06130465945&amp;sourceID=53","2.06130465945")</f>
        <v>2.06130465945</v>
      </c>
      <c r="M853" s="4" t="str">
        <f>HYPERLINK("http://141.218.60.56/~jnz1568/getInfo.php?workbook=16_15.xlsx&amp;sheet=A0&amp;row=853&amp;col=13&amp;number=&amp;sourceID=53","")</f>
        <v/>
      </c>
      <c r="N853" s="4" t="str">
        <f>HYPERLINK("http://141.218.60.56/~jnz1568/getInfo.php?workbook=16_15.xlsx&amp;sheet=A0&amp;row=853&amp;col=14&amp;number=&amp;sourceID=53","")</f>
        <v/>
      </c>
      <c r="O853" s="4" t="str">
        <f>HYPERLINK("http://141.218.60.56/~jnz1568/getInfo.php?workbook=16_15.xlsx&amp;sheet=A0&amp;row=853&amp;col=15&amp;number=&amp;sourceID=55","")</f>
        <v/>
      </c>
      <c r="P853" s="4" t="str">
        <f>HYPERLINK("http://141.218.60.56/~jnz1568/getInfo.php?workbook=16_15.xlsx&amp;sheet=A0&amp;row=853&amp;col=16&amp;number=&amp;sourceID=55","")</f>
        <v/>
      </c>
      <c r="Q853" s="4" t="str">
        <f>HYPERLINK("http://141.218.60.56/~jnz1568/getInfo.php?workbook=16_15.xlsx&amp;sheet=A0&amp;row=853&amp;col=17&amp;number=&amp;sourceID=56","")</f>
        <v/>
      </c>
      <c r="R853" s="4" t="str">
        <f>HYPERLINK("http://141.218.60.56/~jnz1568/getInfo.php?workbook=16_15.xlsx&amp;sheet=A0&amp;row=853&amp;col=18&amp;number=&amp;sourceID=56","")</f>
        <v/>
      </c>
      <c r="S853" s="4" t="str">
        <f>HYPERLINK("http://141.218.60.56/~jnz1568/getInfo.php?workbook=16_15.xlsx&amp;sheet=A0&amp;row=853&amp;col=19&amp;number=&amp;sourceID=57","")</f>
        <v/>
      </c>
      <c r="T853" s="4" t="str">
        <f>HYPERLINK("http://141.218.60.56/~jnz1568/getInfo.php?workbook=16_15.xlsx&amp;sheet=A0&amp;row=853&amp;col=20&amp;number=&amp;sourceID=57","")</f>
        <v/>
      </c>
      <c r="U853" s="4" t="str">
        <f>HYPERLINK("http://141.218.60.56/~jnz1568/getInfo.php?workbook=16_15.xlsx&amp;sheet=A0&amp;row=853&amp;col=21&amp;number=&amp;sourceID=47","")</f>
        <v/>
      </c>
      <c r="V853" s="4" t="str">
        <f>HYPERLINK("http://141.218.60.56/~jnz1568/getInfo.php?workbook=16_15.xlsx&amp;sheet=A0&amp;row=853&amp;col=22&amp;number=&amp;sourceID=47","")</f>
        <v/>
      </c>
    </row>
    <row r="854" spans="1:22">
      <c r="A854" s="3">
        <v>16</v>
      </c>
      <c r="B854" s="3">
        <v>15</v>
      </c>
      <c r="C854" s="3">
        <v>47</v>
      </c>
      <c r="D854" s="3">
        <v>45</v>
      </c>
      <c r="E854" s="3">
        <f>((1/(INDEX(E0!J$4:J$73,C854,1)-INDEX(E0!J$4:J$73,D854,1))))*100000000</f>
        <v>0</v>
      </c>
      <c r="F854" s="4" t="str">
        <f>HYPERLINK("http://141.218.60.56/~jnz1568/getInfo.php?workbook=16_15.xlsx&amp;sheet=A0&amp;row=854&amp;col=6&amp;number=&amp;sourceID=54","")</f>
        <v/>
      </c>
      <c r="G854" s="4" t="str">
        <f>HYPERLINK("http://141.218.60.56/~jnz1568/getInfo.php?workbook=16_15.xlsx&amp;sheet=A0&amp;row=854&amp;col=7&amp;number=1.0969e-05&amp;sourceID=54","1.0969e-05")</f>
        <v>1.0969e-05</v>
      </c>
      <c r="H854" s="4" t="str">
        <f>HYPERLINK("http://141.218.60.56/~jnz1568/getInfo.php?workbook=16_15.xlsx&amp;sheet=A0&amp;row=854&amp;col=8&amp;number=8.1638e-05&amp;sourceID=54","8.1638e-05")</f>
        <v>8.1638e-05</v>
      </c>
      <c r="I854" s="4" t="str">
        <f>HYPERLINK("http://141.218.60.56/~jnz1568/getInfo.php?workbook=16_15.xlsx&amp;sheet=A0&amp;row=854&amp;col=9&amp;number=&amp;sourceID=54","")</f>
        <v/>
      </c>
      <c r="J854" s="4" t="str">
        <f>HYPERLINK("http://141.218.60.56/~jnz1568/getInfo.php?workbook=16_15.xlsx&amp;sheet=A0&amp;row=854&amp;col=10&amp;number=1.6541e-06&amp;sourceID=54","1.6541e-06")</f>
        <v>1.6541e-06</v>
      </c>
      <c r="K854" s="4" t="str">
        <f>HYPERLINK("http://141.218.60.56/~jnz1568/getInfo.php?workbook=16_15.xlsx&amp;sheet=A0&amp;row=854&amp;col=11&amp;number=6.6591e-05&amp;sourceID=54","6.6591e-05")</f>
        <v>6.6591e-05</v>
      </c>
      <c r="L854" s="4" t="str">
        <f>HYPERLINK("http://141.218.60.56/~jnz1568/getInfo.php?workbook=16_15.xlsx&amp;sheet=A0&amp;row=854&amp;col=12&amp;number=&amp;sourceID=53","")</f>
        <v/>
      </c>
      <c r="M854" s="4" t="str">
        <f>HYPERLINK("http://141.218.60.56/~jnz1568/getInfo.php?workbook=16_15.xlsx&amp;sheet=A0&amp;row=854&amp;col=13&amp;number=&amp;sourceID=53","")</f>
        <v/>
      </c>
      <c r="N854" s="4" t="str">
        <f>HYPERLINK("http://141.218.60.56/~jnz1568/getInfo.php?workbook=16_15.xlsx&amp;sheet=A0&amp;row=854&amp;col=14&amp;number=&amp;sourceID=53","")</f>
        <v/>
      </c>
      <c r="O854" s="4" t="str">
        <f>HYPERLINK("http://141.218.60.56/~jnz1568/getInfo.php?workbook=16_15.xlsx&amp;sheet=A0&amp;row=854&amp;col=15&amp;number=&amp;sourceID=55","")</f>
        <v/>
      </c>
      <c r="P854" s="4" t="str">
        <f>HYPERLINK("http://141.218.60.56/~jnz1568/getInfo.php?workbook=16_15.xlsx&amp;sheet=A0&amp;row=854&amp;col=16&amp;number=&amp;sourceID=55","")</f>
        <v/>
      </c>
      <c r="Q854" s="4" t="str">
        <f>HYPERLINK("http://141.218.60.56/~jnz1568/getInfo.php?workbook=16_15.xlsx&amp;sheet=A0&amp;row=854&amp;col=17&amp;number=&amp;sourceID=56","")</f>
        <v/>
      </c>
      <c r="R854" s="4" t="str">
        <f>HYPERLINK("http://141.218.60.56/~jnz1568/getInfo.php?workbook=16_15.xlsx&amp;sheet=A0&amp;row=854&amp;col=18&amp;number=&amp;sourceID=56","")</f>
        <v/>
      </c>
      <c r="S854" s="4" t="str">
        <f>HYPERLINK("http://141.218.60.56/~jnz1568/getInfo.php?workbook=16_15.xlsx&amp;sheet=A0&amp;row=854&amp;col=19&amp;number=&amp;sourceID=57","")</f>
        <v/>
      </c>
      <c r="T854" s="4" t="str">
        <f>HYPERLINK("http://141.218.60.56/~jnz1568/getInfo.php?workbook=16_15.xlsx&amp;sheet=A0&amp;row=854&amp;col=20&amp;number=&amp;sourceID=57","")</f>
        <v/>
      </c>
      <c r="U854" s="4" t="str">
        <f>HYPERLINK("http://141.218.60.56/~jnz1568/getInfo.php?workbook=16_15.xlsx&amp;sheet=A0&amp;row=854&amp;col=21&amp;number=&amp;sourceID=47","")</f>
        <v/>
      </c>
      <c r="V854" s="4" t="str">
        <f>HYPERLINK("http://141.218.60.56/~jnz1568/getInfo.php?workbook=16_15.xlsx&amp;sheet=A0&amp;row=854&amp;col=22&amp;number=&amp;sourceID=47","")</f>
        <v/>
      </c>
    </row>
    <row r="855" spans="1:22">
      <c r="A855" s="3">
        <v>16</v>
      </c>
      <c r="B855" s="3">
        <v>15</v>
      </c>
      <c r="C855" s="3">
        <v>47</v>
      </c>
      <c r="D855" s="3">
        <v>46</v>
      </c>
      <c r="E855" s="3">
        <f>((1/(INDEX(E0!J$4:J$73,C855,1)-INDEX(E0!J$4:J$73,D855,1))))*100000000</f>
        <v>0</v>
      </c>
      <c r="F855" s="4" t="str">
        <f>HYPERLINK("http://141.218.60.56/~jnz1568/getInfo.php?workbook=16_15.xlsx&amp;sheet=A0&amp;row=855&amp;col=6&amp;number=&amp;sourceID=54","")</f>
        <v/>
      </c>
      <c r="G855" s="4" t="str">
        <f>HYPERLINK("http://141.218.60.56/~jnz1568/getInfo.php?workbook=16_15.xlsx&amp;sheet=A0&amp;row=855&amp;col=7&amp;number=0.00076193&amp;sourceID=54","0.00076193")</f>
        <v>0.00076193</v>
      </c>
      <c r="H855" s="4" t="str">
        <f>HYPERLINK("http://141.218.60.56/~jnz1568/getInfo.php?workbook=16_15.xlsx&amp;sheet=A0&amp;row=855&amp;col=8&amp;number=&amp;sourceID=54","")</f>
        <v/>
      </c>
      <c r="I855" s="4" t="str">
        <f>HYPERLINK("http://141.218.60.56/~jnz1568/getInfo.php?workbook=16_15.xlsx&amp;sheet=A0&amp;row=855&amp;col=9&amp;number=&amp;sourceID=54","")</f>
        <v/>
      </c>
      <c r="J855" s="4" t="str">
        <f>HYPERLINK("http://141.218.60.56/~jnz1568/getInfo.php?workbook=16_15.xlsx&amp;sheet=A0&amp;row=855&amp;col=10&amp;number=0.00067786&amp;sourceID=54","0.00067786")</f>
        <v>0.00067786</v>
      </c>
      <c r="K855" s="4" t="str">
        <f>HYPERLINK("http://141.218.60.56/~jnz1568/getInfo.php?workbook=16_15.xlsx&amp;sheet=A0&amp;row=855&amp;col=11&amp;number=&amp;sourceID=54","")</f>
        <v/>
      </c>
      <c r="L855" s="4" t="str">
        <f>HYPERLINK("http://141.218.60.56/~jnz1568/getInfo.php?workbook=16_15.xlsx&amp;sheet=A0&amp;row=855&amp;col=12&amp;number=&amp;sourceID=53","")</f>
        <v/>
      </c>
      <c r="M855" s="4" t="str">
        <f>HYPERLINK("http://141.218.60.56/~jnz1568/getInfo.php?workbook=16_15.xlsx&amp;sheet=A0&amp;row=855&amp;col=13&amp;number=&amp;sourceID=53","")</f>
        <v/>
      </c>
      <c r="N855" s="4" t="str">
        <f>HYPERLINK("http://141.218.60.56/~jnz1568/getInfo.php?workbook=16_15.xlsx&amp;sheet=A0&amp;row=855&amp;col=14&amp;number=&amp;sourceID=53","")</f>
        <v/>
      </c>
      <c r="O855" s="4" t="str">
        <f>HYPERLINK("http://141.218.60.56/~jnz1568/getInfo.php?workbook=16_15.xlsx&amp;sheet=A0&amp;row=855&amp;col=15&amp;number=&amp;sourceID=55","")</f>
        <v/>
      </c>
      <c r="P855" s="4" t="str">
        <f>HYPERLINK("http://141.218.60.56/~jnz1568/getInfo.php?workbook=16_15.xlsx&amp;sheet=A0&amp;row=855&amp;col=16&amp;number=&amp;sourceID=55","")</f>
        <v/>
      </c>
      <c r="Q855" s="4" t="str">
        <f>HYPERLINK("http://141.218.60.56/~jnz1568/getInfo.php?workbook=16_15.xlsx&amp;sheet=A0&amp;row=855&amp;col=17&amp;number=&amp;sourceID=56","")</f>
        <v/>
      </c>
      <c r="R855" s="4" t="str">
        <f>HYPERLINK("http://141.218.60.56/~jnz1568/getInfo.php?workbook=16_15.xlsx&amp;sheet=A0&amp;row=855&amp;col=18&amp;number=&amp;sourceID=56","")</f>
        <v/>
      </c>
      <c r="S855" s="4" t="str">
        <f>HYPERLINK("http://141.218.60.56/~jnz1568/getInfo.php?workbook=16_15.xlsx&amp;sheet=A0&amp;row=855&amp;col=19&amp;number=&amp;sourceID=57","")</f>
        <v/>
      </c>
      <c r="T855" s="4" t="str">
        <f>HYPERLINK("http://141.218.60.56/~jnz1568/getInfo.php?workbook=16_15.xlsx&amp;sheet=A0&amp;row=855&amp;col=20&amp;number=&amp;sourceID=57","")</f>
        <v/>
      </c>
      <c r="U855" s="4" t="str">
        <f>HYPERLINK("http://141.218.60.56/~jnz1568/getInfo.php?workbook=16_15.xlsx&amp;sheet=A0&amp;row=855&amp;col=21&amp;number=&amp;sourceID=47","")</f>
        <v/>
      </c>
      <c r="V855" s="4" t="str">
        <f>HYPERLINK("http://141.218.60.56/~jnz1568/getInfo.php?workbook=16_15.xlsx&amp;sheet=A0&amp;row=855&amp;col=22&amp;number=&amp;sourceID=47","")</f>
        <v/>
      </c>
    </row>
    <row r="856" spans="1:22">
      <c r="A856" s="3">
        <v>16</v>
      </c>
      <c r="B856" s="3">
        <v>15</v>
      </c>
      <c r="C856" s="3">
        <v>48</v>
      </c>
      <c r="D856" s="3">
        <v>1</v>
      </c>
      <c r="E856" s="3">
        <f>((1/(INDEX(E0!J$4:J$73,C856,1)-INDEX(E0!J$4:J$73,D856,1))))*100000000</f>
        <v>0</v>
      </c>
      <c r="F856" s="4" t="str">
        <f>HYPERLINK("http://141.218.60.56/~jnz1568/getInfo.php?workbook=16_15.xlsx&amp;sheet=A0&amp;row=856&amp;col=6&amp;number=1946.7&amp;sourceID=54","1946.7")</f>
        <v>1946.7</v>
      </c>
      <c r="G856" s="4" t="str">
        <f>HYPERLINK("http://141.218.60.56/~jnz1568/getInfo.php?workbook=16_15.xlsx&amp;sheet=A0&amp;row=856&amp;col=7&amp;number=&amp;sourceID=54","")</f>
        <v/>
      </c>
      <c r="H856" s="4" t="str">
        <f>HYPERLINK("http://141.218.60.56/~jnz1568/getInfo.php?workbook=16_15.xlsx&amp;sheet=A0&amp;row=856&amp;col=8&amp;number=&amp;sourceID=54","")</f>
        <v/>
      </c>
      <c r="I856" s="4" t="str">
        <f>HYPERLINK("http://141.218.60.56/~jnz1568/getInfo.php?workbook=16_15.xlsx&amp;sheet=A0&amp;row=856&amp;col=9&amp;number=145.23&amp;sourceID=54","145.23")</f>
        <v>145.23</v>
      </c>
      <c r="J856" s="4" t="str">
        <f>HYPERLINK("http://141.218.60.56/~jnz1568/getInfo.php?workbook=16_15.xlsx&amp;sheet=A0&amp;row=856&amp;col=10&amp;number=&amp;sourceID=54","")</f>
        <v/>
      </c>
      <c r="K856" s="4" t="str">
        <f>HYPERLINK("http://141.218.60.56/~jnz1568/getInfo.php?workbook=16_15.xlsx&amp;sheet=A0&amp;row=856&amp;col=11&amp;number=&amp;sourceID=54","")</f>
        <v/>
      </c>
      <c r="L856" s="4" t="str">
        <f>HYPERLINK("http://141.218.60.56/~jnz1568/getInfo.php?workbook=16_15.xlsx&amp;sheet=A0&amp;row=856&amp;col=12&amp;number=22346.2553829&amp;sourceID=53","22346.2553829")</f>
        <v>22346.2553829</v>
      </c>
      <c r="M856" s="4" t="str">
        <f>HYPERLINK("http://141.218.60.56/~jnz1568/getInfo.php?workbook=16_15.xlsx&amp;sheet=A0&amp;row=856&amp;col=13&amp;number=&amp;sourceID=53","")</f>
        <v/>
      </c>
      <c r="N856" s="4" t="str">
        <f>HYPERLINK("http://141.218.60.56/~jnz1568/getInfo.php?workbook=16_15.xlsx&amp;sheet=A0&amp;row=856&amp;col=14&amp;number=&amp;sourceID=53","")</f>
        <v/>
      </c>
      <c r="O856" s="4" t="str">
        <f>HYPERLINK("http://141.218.60.56/~jnz1568/getInfo.php?workbook=16_15.xlsx&amp;sheet=A0&amp;row=856&amp;col=15&amp;number=&amp;sourceID=55","")</f>
        <v/>
      </c>
      <c r="P856" s="4" t="str">
        <f>HYPERLINK("http://141.218.60.56/~jnz1568/getInfo.php?workbook=16_15.xlsx&amp;sheet=A0&amp;row=856&amp;col=16&amp;number=&amp;sourceID=55","")</f>
        <v/>
      </c>
      <c r="Q856" s="4" t="str">
        <f>HYPERLINK("http://141.218.60.56/~jnz1568/getInfo.php?workbook=16_15.xlsx&amp;sheet=A0&amp;row=856&amp;col=17&amp;number=&amp;sourceID=56","")</f>
        <v/>
      </c>
      <c r="R856" s="4" t="str">
        <f>HYPERLINK("http://141.218.60.56/~jnz1568/getInfo.php?workbook=16_15.xlsx&amp;sheet=A0&amp;row=856&amp;col=18&amp;number=&amp;sourceID=56","")</f>
        <v/>
      </c>
      <c r="S856" s="4" t="str">
        <f>HYPERLINK("http://141.218.60.56/~jnz1568/getInfo.php?workbook=16_15.xlsx&amp;sheet=A0&amp;row=856&amp;col=19&amp;number=&amp;sourceID=57","")</f>
        <v/>
      </c>
      <c r="T856" s="4" t="str">
        <f>HYPERLINK("http://141.218.60.56/~jnz1568/getInfo.php?workbook=16_15.xlsx&amp;sheet=A0&amp;row=856&amp;col=20&amp;number=&amp;sourceID=57","")</f>
        <v/>
      </c>
      <c r="U856" s="4" t="str">
        <f>HYPERLINK("http://141.218.60.56/~jnz1568/getInfo.php?workbook=16_15.xlsx&amp;sheet=A0&amp;row=856&amp;col=21&amp;number=&amp;sourceID=47","")</f>
        <v/>
      </c>
      <c r="V856" s="4" t="str">
        <f>HYPERLINK("http://141.218.60.56/~jnz1568/getInfo.php?workbook=16_15.xlsx&amp;sheet=A0&amp;row=856&amp;col=22&amp;number=&amp;sourceID=47","")</f>
        <v/>
      </c>
    </row>
    <row r="857" spans="1:22">
      <c r="A857" s="3">
        <v>16</v>
      </c>
      <c r="B857" s="3">
        <v>15</v>
      </c>
      <c r="C857" s="3">
        <v>48</v>
      </c>
      <c r="D857" s="3">
        <v>2</v>
      </c>
      <c r="E857" s="3">
        <f>((1/(INDEX(E0!J$4:J$73,C857,1)-INDEX(E0!J$4:J$73,D857,1))))*100000000</f>
        <v>0</v>
      </c>
      <c r="F857" s="4" t="str">
        <f>HYPERLINK("http://141.218.60.56/~jnz1568/getInfo.php?workbook=16_15.xlsx&amp;sheet=A0&amp;row=857&amp;col=6&amp;number=1072800000&amp;sourceID=54","1072800000")</f>
        <v>1072800000</v>
      </c>
      <c r="G857" s="4" t="str">
        <f>HYPERLINK("http://141.218.60.56/~jnz1568/getInfo.php?workbook=16_15.xlsx&amp;sheet=A0&amp;row=857&amp;col=7&amp;number=&amp;sourceID=54","")</f>
        <v/>
      </c>
      <c r="H857" s="4" t="str">
        <f>HYPERLINK("http://141.218.60.56/~jnz1568/getInfo.php?workbook=16_15.xlsx&amp;sheet=A0&amp;row=857&amp;col=8&amp;number=&amp;sourceID=54","")</f>
        <v/>
      </c>
      <c r="I857" s="4" t="str">
        <f>HYPERLINK("http://141.218.60.56/~jnz1568/getInfo.php?workbook=16_15.xlsx&amp;sheet=A0&amp;row=857&amp;col=9&amp;number=1072700000&amp;sourceID=54","1072700000")</f>
        <v>1072700000</v>
      </c>
      <c r="J857" s="4" t="str">
        <f>HYPERLINK("http://141.218.60.56/~jnz1568/getInfo.php?workbook=16_15.xlsx&amp;sheet=A0&amp;row=857&amp;col=10&amp;number=&amp;sourceID=54","")</f>
        <v/>
      </c>
      <c r="K857" s="4" t="str">
        <f>HYPERLINK("http://141.218.60.56/~jnz1568/getInfo.php?workbook=16_15.xlsx&amp;sheet=A0&amp;row=857&amp;col=11&amp;number=&amp;sourceID=54","")</f>
        <v/>
      </c>
      <c r="L857" s="4" t="str">
        <f>HYPERLINK("http://141.218.60.56/~jnz1568/getInfo.php?workbook=16_15.xlsx&amp;sheet=A0&amp;row=857&amp;col=12&amp;number=1062231859.92&amp;sourceID=53","1062231859.92")</f>
        <v>1062231859.92</v>
      </c>
      <c r="M857" s="4" t="str">
        <f>HYPERLINK("http://141.218.60.56/~jnz1568/getInfo.php?workbook=16_15.xlsx&amp;sheet=A0&amp;row=857&amp;col=13&amp;number=&amp;sourceID=53","")</f>
        <v/>
      </c>
      <c r="N857" s="4" t="str">
        <f>HYPERLINK("http://141.218.60.56/~jnz1568/getInfo.php?workbook=16_15.xlsx&amp;sheet=A0&amp;row=857&amp;col=14&amp;number=&amp;sourceID=53","")</f>
        <v/>
      </c>
      <c r="O857" s="4" t="str">
        <f>HYPERLINK("http://141.218.60.56/~jnz1568/getInfo.php?workbook=16_15.xlsx&amp;sheet=A0&amp;row=857&amp;col=15&amp;number=&amp;sourceID=55","")</f>
        <v/>
      </c>
      <c r="P857" s="4" t="str">
        <f>HYPERLINK("http://141.218.60.56/~jnz1568/getInfo.php?workbook=16_15.xlsx&amp;sheet=A0&amp;row=857&amp;col=16&amp;number=&amp;sourceID=55","")</f>
        <v/>
      </c>
      <c r="Q857" s="4" t="str">
        <f>HYPERLINK("http://141.218.60.56/~jnz1568/getInfo.php?workbook=16_15.xlsx&amp;sheet=A0&amp;row=857&amp;col=17&amp;number=&amp;sourceID=56","")</f>
        <v/>
      </c>
      <c r="R857" s="4" t="str">
        <f>HYPERLINK("http://141.218.60.56/~jnz1568/getInfo.php?workbook=16_15.xlsx&amp;sheet=A0&amp;row=857&amp;col=18&amp;number=&amp;sourceID=56","")</f>
        <v/>
      </c>
      <c r="S857" s="4" t="str">
        <f>HYPERLINK("http://141.218.60.56/~jnz1568/getInfo.php?workbook=16_15.xlsx&amp;sheet=A0&amp;row=857&amp;col=19&amp;number=&amp;sourceID=57","")</f>
        <v/>
      </c>
      <c r="T857" s="4" t="str">
        <f>HYPERLINK("http://141.218.60.56/~jnz1568/getInfo.php?workbook=16_15.xlsx&amp;sheet=A0&amp;row=857&amp;col=20&amp;number=&amp;sourceID=57","")</f>
        <v/>
      </c>
      <c r="U857" s="4" t="str">
        <f>HYPERLINK("http://141.218.60.56/~jnz1568/getInfo.php?workbook=16_15.xlsx&amp;sheet=A0&amp;row=857&amp;col=21&amp;number=&amp;sourceID=47","")</f>
        <v/>
      </c>
      <c r="V857" s="4" t="str">
        <f>HYPERLINK("http://141.218.60.56/~jnz1568/getInfo.php?workbook=16_15.xlsx&amp;sheet=A0&amp;row=857&amp;col=22&amp;number=&amp;sourceID=47","")</f>
        <v/>
      </c>
    </row>
    <row r="858" spans="1:22">
      <c r="A858" s="3">
        <v>16</v>
      </c>
      <c r="B858" s="3">
        <v>15</v>
      </c>
      <c r="C858" s="3">
        <v>48</v>
      </c>
      <c r="D858" s="3">
        <v>3</v>
      </c>
      <c r="E858" s="3">
        <f>((1/(INDEX(E0!J$4:J$73,C858,1)-INDEX(E0!J$4:J$73,D858,1))))*100000000</f>
        <v>0</v>
      </c>
      <c r="F858" s="4" t="str">
        <f>HYPERLINK("http://141.218.60.56/~jnz1568/getInfo.php?workbook=16_15.xlsx&amp;sheet=A0&amp;row=858&amp;col=6&amp;number=135030000&amp;sourceID=54","135030000")</f>
        <v>135030000</v>
      </c>
      <c r="G858" s="4" t="str">
        <f>HYPERLINK("http://141.218.60.56/~jnz1568/getInfo.php?workbook=16_15.xlsx&amp;sheet=A0&amp;row=858&amp;col=7&amp;number=&amp;sourceID=54","")</f>
        <v/>
      </c>
      <c r="H858" s="4" t="str">
        <f>HYPERLINK("http://141.218.60.56/~jnz1568/getInfo.php?workbook=16_15.xlsx&amp;sheet=A0&amp;row=858&amp;col=8&amp;number=&amp;sourceID=54","")</f>
        <v/>
      </c>
      <c r="I858" s="4" t="str">
        <f>HYPERLINK("http://141.218.60.56/~jnz1568/getInfo.php?workbook=16_15.xlsx&amp;sheet=A0&amp;row=858&amp;col=9&amp;number=132020000&amp;sourceID=54","132020000")</f>
        <v>132020000</v>
      </c>
      <c r="J858" s="4" t="str">
        <f>HYPERLINK("http://141.218.60.56/~jnz1568/getInfo.php?workbook=16_15.xlsx&amp;sheet=A0&amp;row=858&amp;col=10&amp;number=&amp;sourceID=54","")</f>
        <v/>
      </c>
      <c r="K858" s="4" t="str">
        <f>HYPERLINK("http://141.218.60.56/~jnz1568/getInfo.php?workbook=16_15.xlsx&amp;sheet=A0&amp;row=858&amp;col=11&amp;number=&amp;sourceID=54","")</f>
        <v/>
      </c>
      <c r="L858" s="4" t="str">
        <f>HYPERLINK("http://141.218.60.56/~jnz1568/getInfo.php?workbook=16_15.xlsx&amp;sheet=A0&amp;row=858&amp;col=12&amp;number=133093337.873&amp;sourceID=53","133093337.873")</f>
        <v>133093337.873</v>
      </c>
      <c r="M858" s="4" t="str">
        <f>HYPERLINK("http://141.218.60.56/~jnz1568/getInfo.php?workbook=16_15.xlsx&amp;sheet=A0&amp;row=858&amp;col=13&amp;number=&amp;sourceID=53","")</f>
        <v/>
      </c>
      <c r="N858" s="4" t="str">
        <f>HYPERLINK("http://141.218.60.56/~jnz1568/getInfo.php?workbook=16_15.xlsx&amp;sheet=A0&amp;row=858&amp;col=14&amp;number=&amp;sourceID=53","")</f>
        <v/>
      </c>
      <c r="O858" s="4" t="str">
        <f>HYPERLINK("http://141.218.60.56/~jnz1568/getInfo.php?workbook=16_15.xlsx&amp;sheet=A0&amp;row=858&amp;col=15&amp;number=&amp;sourceID=55","")</f>
        <v/>
      </c>
      <c r="P858" s="4" t="str">
        <f>HYPERLINK("http://141.218.60.56/~jnz1568/getInfo.php?workbook=16_15.xlsx&amp;sheet=A0&amp;row=858&amp;col=16&amp;number=&amp;sourceID=55","")</f>
        <v/>
      </c>
      <c r="Q858" s="4" t="str">
        <f>HYPERLINK("http://141.218.60.56/~jnz1568/getInfo.php?workbook=16_15.xlsx&amp;sheet=A0&amp;row=858&amp;col=17&amp;number=&amp;sourceID=56","")</f>
        <v/>
      </c>
      <c r="R858" s="4" t="str">
        <f>HYPERLINK("http://141.218.60.56/~jnz1568/getInfo.php?workbook=16_15.xlsx&amp;sheet=A0&amp;row=858&amp;col=18&amp;number=&amp;sourceID=56","")</f>
        <v/>
      </c>
      <c r="S858" s="4" t="str">
        <f>HYPERLINK("http://141.218.60.56/~jnz1568/getInfo.php?workbook=16_15.xlsx&amp;sheet=A0&amp;row=858&amp;col=19&amp;number=&amp;sourceID=57","")</f>
        <v/>
      </c>
      <c r="T858" s="4" t="str">
        <f>HYPERLINK("http://141.218.60.56/~jnz1568/getInfo.php?workbook=16_15.xlsx&amp;sheet=A0&amp;row=858&amp;col=20&amp;number=&amp;sourceID=57","")</f>
        <v/>
      </c>
      <c r="U858" s="4" t="str">
        <f>HYPERLINK("http://141.218.60.56/~jnz1568/getInfo.php?workbook=16_15.xlsx&amp;sheet=A0&amp;row=858&amp;col=21&amp;number=&amp;sourceID=47","")</f>
        <v/>
      </c>
      <c r="V858" s="4" t="str">
        <f>HYPERLINK("http://141.218.60.56/~jnz1568/getInfo.php?workbook=16_15.xlsx&amp;sheet=A0&amp;row=858&amp;col=22&amp;number=&amp;sourceID=47","")</f>
        <v/>
      </c>
    </row>
    <row r="859" spans="1:22">
      <c r="A859" s="3">
        <v>16</v>
      </c>
      <c r="B859" s="3">
        <v>15</v>
      </c>
      <c r="C859" s="3">
        <v>48</v>
      </c>
      <c r="D859" s="3">
        <v>4</v>
      </c>
      <c r="E859" s="3">
        <f>((1/(INDEX(E0!J$4:J$73,C859,1)-INDEX(E0!J$4:J$73,D859,1))))*100000000</f>
        <v>0</v>
      </c>
      <c r="F859" s="4" t="str">
        <f>HYPERLINK("http://141.218.60.56/~jnz1568/getInfo.php?workbook=16_15.xlsx&amp;sheet=A0&amp;row=859&amp;col=6&amp;number=1073200000&amp;sourceID=54","1073200000")</f>
        <v>1073200000</v>
      </c>
      <c r="G859" s="4" t="str">
        <f>HYPERLINK("http://141.218.60.56/~jnz1568/getInfo.php?workbook=16_15.xlsx&amp;sheet=A0&amp;row=859&amp;col=7&amp;number=&amp;sourceID=54","")</f>
        <v/>
      </c>
      <c r="H859" s="4" t="str">
        <f>HYPERLINK("http://141.218.60.56/~jnz1568/getInfo.php?workbook=16_15.xlsx&amp;sheet=A0&amp;row=859&amp;col=8&amp;number=&amp;sourceID=54","")</f>
        <v/>
      </c>
      <c r="I859" s="4" t="str">
        <f>HYPERLINK("http://141.218.60.56/~jnz1568/getInfo.php?workbook=16_15.xlsx&amp;sheet=A0&amp;row=859&amp;col=9&amp;number=1061000000&amp;sourceID=54","1061000000")</f>
        <v>1061000000</v>
      </c>
      <c r="J859" s="4" t="str">
        <f>HYPERLINK("http://141.218.60.56/~jnz1568/getInfo.php?workbook=16_15.xlsx&amp;sheet=A0&amp;row=859&amp;col=10&amp;number=&amp;sourceID=54","")</f>
        <v/>
      </c>
      <c r="K859" s="4" t="str">
        <f>HYPERLINK("http://141.218.60.56/~jnz1568/getInfo.php?workbook=16_15.xlsx&amp;sheet=A0&amp;row=859&amp;col=11&amp;number=&amp;sourceID=54","")</f>
        <v/>
      </c>
      <c r="L859" s="4" t="str">
        <f>HYPERLINK("http://141.218.60.56/~jnz1568/getInfo.php?workbook=16_15.xlsx&amp;sheet=A0&amp;row=859&amp;col=12&amp;number=1116659684.09&amp;sourceID=53","1116659684.09")</f>
        <v>1116659684.09</v>
      </c>
      <c r="M859" s="4" t="str">
        <f>HYPERLINK("http://141.218.60.56/~jnz1568/getInfo.php?workbook=16_15.xlsx&amp;sheet=A0&amp;row=859&amp;col=13&amp;number=&amp;sourceID=53","")</f>
        <v/>
      </c>
      <c r="N859" s="4" t="str">
        <f>HYPERLINK("http://141.218.60.56/~jnz1568/getInfo.php?workbook=16_15.xlsx&amp;sheet=A0&amp;row=859&amp;col=14&amp;number=&amp;sourceID=53","")</f>
        <v/>
      </c>
      <c r="O859" s="4" t="str">
        <f>HYPERLINK("http://141.218.60.56/~jnz1568/getInfo.php?workbook=16_15.xlsx&amp;sheet=A0&amp;row=859&amp;col=15&amp;number=&amp;sourceID=55","")</f>
        <v/>
      </c>
      <c r="P859" s="4" t="str">
        <f>HYPERLINK("http://141.218.60.56/~jnz1568/getInfo.php?workbook=16_15.xlsx&amp;sheet=A0&amp;row=859&amp;col=16&amp;number=&amp;sourceID=55","")</f>
        <v/>
      </c>
      <c r="Q859" s="4" t="str">
        <f>HYPERLINK("http://141.218.60.56/~jnz1568/getInfo.php?workbook=16_15.xlsx&amp;sheet=A0&amp;row=859&amp;col=17&amp;number=&amp;sourceID=56","")</f>
        <v/>
      </c>
      <c r="R859" s="4" t="str">
        <f>HYPERLINK("http://141.218.60.56/~jnz1568/getInfo.php?workbook=16_15.xlsx&amp;sheet=A0&amp;row=859&amp;col=18&amp;number=&amp;sourceID=56","")</f>
        <v/>
      </c>
      <c r="S859" s="4" t="str">
        <f>HYPERLINK("http://141.218.60.56/~jnz1568/getInfo.php?workbook=16_15.xlsx&amp;sheet=A0&amp;row=859&amp;col=19&amp;number=&amp;sourceID=57","")</f>
        <v/>
      </c>
      <c r="T859" s="4" t="str">
        <f>HYPERLINK("http://141.218.60.56/~jnz1568/getInfo.php?workbook=16_15.xlsx&amp;sheet=A0&amp;row=859&amp;col=20&amp;number=&amp;sourceID=57","")</f>
        <v/>
      </c>
      <c r="U859" s="4" t="str">
        <f>HYPERLINK("http://141.218.60.56/~jnz1568/getInfo.php?workbook=16_15.xlsx&amp;sheet=A0&amp;row=859&amp;col=21&amp;number=&amp;sourceID=47","")</f>
        <v/>
      </c>
      <c r="V859" s="4" t="str">
        <f>HYPERLINK("http://141.218.60.56/~jnz1568/getInfo.php?workbook=16_15.xlsx&amp;sheet=A0&amp;row=859&amp;col=22&amp;number=&amp;sourceID=47","")</f>
        <v/>
      </c>
    </row>
    <row r="860" spans="1:22">
      <c r="A860" s="3">
        <v>16</v>
      </c>
      <c r="B860" s="3">
        <v>15</v>
      </c>
      <c r="C860" s="3">
        <v>48</v>
      </c>
      <c r="D860" s="3">
        <v>5</v>
      </c>
      <c r="E860" s="3">
        <f>((1/(INDEX(E0!J$4:J$73,C860,1)-INDEX(E0!J$4:J$73,D860,1))))*100000000</f>
        <v>0</v>
      </c>
      <c r="F860" s="4" t="str">
        <f>HYPERLINK("http://141.218.60.56/~jnz1568/getInfo.php?workbook=16_15.xlsx&amp;sheet=A0&amp;row=860&amp;col=6&amp;number=202270000&amp;sourceID=54","202270000")</f>
        <v>202270000</v>
      </c>
      <c r="G860" s="4" t="str">
        <f>HYPERLINK("http://141.218.60.56/~jnz1568/getInfo.php?workbook=16_15.xlsx&amp;sheet=A0&amp;row=860&amp;col=7&amp;number=&amp;sourceID=54","")</f>
        <v/>
      </c>
      <c r="H860" s="4" t="str">
        <f>HYPERLINK("http://141.218.60.56/~jnz1568/getInfo.php?workbook=16_15.xlsx&amp;sheet=A0&amp;row=860&amp;col=8&amp;number=&amp;sourceID=54","")</f>
        <v/>
      </c>
      <c r="I860" s="4" t="str">
        <f>HYPERLINK("http://141.218.60.56/~jnz1568/getInfo.php?workbook=16_15.xlsx&amp;sheet=A0&amp;row=860&amp;col=9&amp;number=205160000&amp;sourceID=54","205160000")</f>
        <v>205160000</v>
      </c>
      <c r="J860" s="4" t="str">
        <f>HYPERLINK("http://141.218.60.56/~jnz1568/getInfo.php?workbook=16_15.xlsx&amp;sheet=A0&amp;row=860&amp;col=10&amp;number=&amp;sourceID=54","")</f>
        <v/>
      </c>
      <c r="K860" s="4" t="str">
        <f>HYPERLINK("http://141.218.60.56/~jnz1568/getInfo.php?workbook=16_15.xlsx&amp;sheet=A0&amp;row=860&amp;col=11&amp;number=&amp;sourceID=54","")</f>
        <v/>
      </c>
      <c r="L860" s="4" t="str">
        <f>HYPERLINK("http://141.218.60.56/~jnz1568/getInfo.php?workbook=16_15.xlsx&amp;sheet=A0&amp;row=860&amp;col=12&amp;number=206740089.471&amp;sourceID=53","206740089.471")</f>
        <v>206740089.471</v>
      </c>
      <c r="M860" s="4" t="str">
        <f>HYPERLINK("http://141.218.60.56/~jnz1568/getInfo.php?workbook=16_15.xlsx&amp;sheet=A0&amp;row=860&amp;col=13&amp;number=&amp;sourceID=53","")</f>
        <v/>
      </c>
      <c r="N860" s="4" t="str">
        <f>HYPERLINK("http://141.218.60.56/~jnz1568/getInfo.php?workbook=16_15.xlsx&amp;sheet=A0&amp;row=860&amp;col=14&amp;number=&amp;sourceID=53","")</f>
        <v/>
      </c>
      <c r="O860" s="4" t="str">
        <f>HYPERLINK("http://141.218.60.56/~jnz1568/getInfo.php?workbook=16_15.xlsx&amp;sheet=A0&amp;row=860&amp;col=15&amp;number=&amp;sourceID=55","")</f>
        <v/>
      </c>
      <c r="P860" s="4" t="str">
        <f>HYPERLINK("http://141.218.60.56/~jnz1568/getInfo.php?workbook=16_15.xlsx&amp;sheet=A0&amp;row=860&amp;col=16&amp;number=&amp;sourceID=55","")</f>
        <v/>
      </c>
      <c r="Q860" s="4" t="str">
        <f>HYPERLINK("http://141.218.60.56/~jnz1568/getInfo.php?workbook=16_15.xlsx&amp;sheet=A0&amp;row=860&amp;col=17&amp;number=&amp;sourceID=56","")</f>
        <v/>
      </c>
      <c r="R860" s="4" t="str">
        <f>HYPERLINK("http://141.218.60.56/~jnz1568/getInfo.php?workbook=16_15.xlsx&amp;sheet=A0&amp;row=860&amp;col=18&amp;number=&amp;sourceID=56","")</f>
        <v/>
      </c>
      <c r="S860" s="4" t="str">
        <f>HYPERLINK("http://141.218.60.56/~jnz1568/getInfo.php?workbook=16_15.xlsx&amp;sheet=A0&amp;row=860&amp;col=19&amp;number=&amp;sourceID=57","")</f>
        <v/>
      </c>
      <c r="T860" s="4" t="str">
        <f>HYPERLINK("http://141.218.60.56/~jnz1568/getInfo.php?workbook=16_15.xlsx&amp;sheet=A0&amp;row=860&amp;col=20&amp;number=&amp;sourceID=57","")</f>
        <v/>
      </c>
      <c r="U860" s="4" t="str">
        <f>HYPERLINK("http://141.218.60.56/~jnz1568/getInfo.php?workbook=16_15.xlsx&amp;sheet=A0&amp;row=860&amp;col=21&amp;number=&amp;sourceID=47","")</f>
        <v/>
      </c>
      <c r="V860" s="4" t="str">
        <f>HYPERLINK("http://141.218.60.56/~jnz1568/getInfo.php?workbook=16_15.xlsx&amp;sheet=A0&amp;row=860&amp;col=22&amp;number=&amp;sourceID=47","")</f>
        <v/>
      </c>
    </row>
    <row r="861" spans="1:22">
      <c r="A861" s="3">
        <v>16</v>
      </c>
      <c r="B861" s="3">
        <v>15</v>
      </c>
      <c r="C861" s="3">
        <v>48</v>
      </c>
      <c r="D861" s="3">
        <v>6</v>
      </c>
      <c r="E861" s="3">
        <f>((1/(INDEX(E0!J$4:J$73,C861,1)-INDEX(E0!J$4:J$73,D861,1))))*100000000</f>
        <v>0</v>
      </c>
      <c r="F861" s="4" t="str">
        <f>HYPERLINK("http://141.218.60.56/~jnz1568/getInfo.php?workbook=16_15.xlsx&amp;sheet=A0&amp;row=861&amp;col=6&amp;number=&amp;sourceID=54","")</f>
        <v/>
      </c>
      <c r="G861" s="4" t="str">
        <f>HYPERLINK("http://141.218.60.56/~jnz1568/getInfo.php?workbook=16_15.xlsx&amp;sheet=A0&amp;row=861&amp;col=7&amp;number=0.00012142&amp;sourceID=54","0.00012142")</f>
        <v>0.00012142</v>
      </c>
      <c r="H861" s="4" t="str">
        <f>HYPERLINK("http://141.218.60.56/~jnz1568/getInfo.php?workbook=16_15.xlsx&amp;sheet=A0&amp;row=861&amp;col=8&amp;number=0.00017939&amp;sourceID=54","0.00017939")</f>
        <v>0.00017939</v>
      </c>
      <c r="I861" s="4" t="str">
        <f>HYPERLINK("http://141.218.60.56/~jnz1568/getInfo.php?workbook=16_15.xlsx&amp;sheet=A0&amp;row=861&amp;col=9&amp;number=&amp;sourceID=54","")</f>
        <v/>
      </c>
      <c r="J861" s="4" t="str">
        <f>HYPERLINK("http://141.218.60.56/~jnz1568/getInfo.php?workbook=16_15.xlsx&amp;sheet=A0&amp;row=861&amp;col=10&amp;number=9.2264e-05&amp;sourceID=54","9.2264e-05")</f>
        <v>9.2264e-05</v>
      </c>
      <c r="K861" s="4" t="str">
        <f>HYPERLINK("http://141.218.60.56/~jnz1568/getInfo.php?workbook=16_15.xlsx&amp;sheet=A0&amp;row=861&amp;col=11&amp;number=0.0001662&amp;sourceID=54","0.0001662")</f>
        <v>0.0001662</v>
      </c>
      <c r="L861" s="4" t="str">
        <f>HYPERLINK("http://141.218.60.56/~jnz1568/getInfo.php?workbook=16_15.xlsx&amp;sheet=A0&amp;row=861&amp;col=12&amp;number=&amp;sourceID=53","")</f>
        <v/>
      </c>
      <c r="M861" s="4" t="str">
        <f>HYPERLINK("http://141.218.60.56/~jnz1568/getInfo.php?workbook=16_15.xlsx&amp;sheet=A0&amp;row=861&amp;col=13&amp;number=&amp;sourceID=53","")</f>
        <v/>
      </c>
      <c r="N861" s="4" t="str">
        <f>HYPERLINK("http://141.218.60.56/~jnz1568/getInfo.php?workbook=16_15.xlsx&amp;sheet=A0&amp;row=861&amp;col=14&amp;number=&amp;sourceID=53","")</f>
        <v/>
      </c>
      <c r="O861" s="4" t="str">
        <f>HYPERLINK("http://141.218.60.56/~jnz1568/getInfo.php?workbook=16_15.xlsx&amp;sheet=A0&amp;row=861&amp;col=15&amp;number=&amp;sourceID=55","")</f>
        <v/>
      </c>
      <c r="P861" s="4" t="str">
        <f>HYPERLINK("http://141.218.60.56/~jnz1568/getInfo.php?workbook=16_15.xlsx&amp;sheet=A0&amp;row=861&amp;col=16&amp;number=&amp;sourceID=55","")</f>
        <v/>
      </c>
      <c r="Q861" s="4" t="str">
        <f>HYPERLINK("http://141.218.60.56/~jnz1568/getInfo.php?workbook=16_15.xlsx&amp;sheet=A0&amp;row=861&amp;col=17&amp;number=&amp;sourceID=56","")</f>
        <v/>
      </c>
      <c r="R861" s="4" t="str">
        <f>HYPERLINK("http://141.218.60.56/~jnz1568/getInfo.php?workbook=16_15.xlsx&amp;sheet=A0&amp;row=861&amp;col=18&amp;number=&amp;sourceID=56","")</f>
        <v/>
      </c>
      <c r="S861" s="4" t="str">
        <f>HYPERLINK("http://141.218.60.56/~jnz1568/getInfo.php?workbook=16_15.xlsx&amp;sheet=A0&amp;row=861&amp;col=19&amp;number=&amp;sourceID=57","")</f>
        <v/>
      </c>
      <c r="T861" s="4" t="str">
        <f>HYPERLINK("http://141.218.60.56/~jnz1568/getInfo.php?workbook=16_15.xlsx&amp;sheet=A0&amp;row=861&amp;col=20&amp;number=&amp;sourceID=57","")</f>
        <v/>
      </c>
      <c r="U861" s="4" t="str">
        <f>HYPERLINK("http://141.218.60.56/~jnz1568/getInfo.php?workbook=16_15.xlsx&amp;sheet=A0&amp;row=861&amp;col=21&amp;number=&amp;sourceID=47","")</f>
        <v/>
      </c>
      <c r="V861" s="4" t="str">
        <f>HYPERLINK("http://141.218.60.56/~jnz1568/getInfo.php?workbook=16_15.xlsx&amp;sheet=A0&amp;row=861&amp;col=22&amp;number=&amp;sourceID=47","")</f>
        <v/>
      </c>
    </row>
    <row r="862" spans="1:22">
      <c r="A862" s="3">
        <v>16</v>
      </c>
      <c r="B862" s="3">
        <v>15</v>
      </c>
      <c r="C862" s="3">
        <v>48</v>
      </c>
      <c r="D862" s="3">
        <v>7</v>
      </c>
      <c r="E862" s="3">
        <f>((1/(INDEX(E0!J$4:J$73,C862,1)-INDEX(E0!J$4:J$73,D862,1))))*100000000</f>
        <v>0</v>
      </c>
      <c r="F862" s="4" t="str">
        <f>HYPERLINK("http://141.218.60.56/~jnz1568/getInfo.php?workbook=16_15.xlsx&amp;sheet=A0&amp;row=862&amp;col=6&amp;number=&amp;sourceID=54","")</f>
        <v/>
      </c>
      <c r="G862" s="4" t="str">
        <f>HYPERLINK("http://141.218.60.56/~jnz1568/getInfo.php?workbook=16_15.xlsx&amp;sheet=A0&amp;row=862&amp;col=7&amp;number=0.0011786&amp;sourceID=54","0.0011786")</f>
        <v>0.0011786</v>
      </c>
      <c r="H862" s="4" t="str">
        <f>HYPERLINK("http://141.218.60.56/~jnz1568/getInfo.php?workbook=16_15.xlsx&amp;sheet=A0&amp;row=862&amp;col=8&amp;number=0.0010097&amp;sourceID=54","0.0010097")</f>
        <v>0.0010097</v>
      </c>
      <c r="I862" s="4" t="str">
        <f>HYPERLINK("http://141.218.60.56/~jnz1568/getInfo.php?workbook=16_15.xlsx&amp;sheet=A0&amp;row=862&amp;col=9&amp;number=&amp;sourceID=54","")</f>
        <v/>
      </c>
      <c r="J862" s="4" t="str">
        <f>HYPERLINK("http://141.218.60.56/~jnz1568/getInfo.php?workbook=16_15.xlsx&amp;sheet=A0&amp;row=862&amp;col=10&amp;number=0.0011917&amp;sourceID=54","0.0011917")</f>
        <v>0.0011917</v>
      </c>
      <c r="K862" s="4" t="str">
        <f>HYPERLINK("http://141.218.60.56/~jnz1568/getInfo.php?workbook=16_15.xlsx&amp;sheet=A0&amp;row=862&amp;col=11&amp;number=0.00091729&amp;sourceID=54","0.00091729")</f>
        <v>0.00091729</v>
      </c>
      <c r="L862" s="4" t="str">
        <f>HYPERLINK("http://141.218.60.56/~jnz1568/getInfo.php?workbook=16_15.xlsx&amp;sheet=A0&amp;row=862&amp;col=12&amp;number=&amp;sourceID=53","")</f>
        <v/>
      </c>
      <c r="M862" s="4" t="str">
        <f>HYPERLINK("http://141.218.60.56/~jnz1568/getInfo.php?workbook=16_15.xlsx&amp;sheet=A0&amp;row=862&amp;col=13&amp;number=&amp;sourceID=53","")</f>
        <v/>
      </c>
      <c r="N862" s="4" t="str">
        <f>HYPERLINK("http://141.218.60.56/~jnz1568/getInfo.php?workbook=16_15.xlsx&amp;sheet=A0&amp;row=862&amp;col=14&amp;number=&amp;sourceID=53","")</f>
        <v/>
      </c>
      <c r="O862" s="4" t="str">
        <f>HYPERLINK("http://141.218.60.56/~jnz1568/getInfo.php?workbook=16_15.xlsx&amp;sheet=A0&amp;row=862&amp;col=15&amp;number=&amp;sourceID=55","")</f>
        <v/>
      </c>
      <c r="P862" s="4" t="str">
        <f>HYPERLINK("http://141.218.60.56/~jnz1568/getInfo.php?workbook=16_15.xlsx&amp;sheet=A0&amp;row=862&amp;col=16&amp;number=&amp;sourceID=55","")</f>
        <v/>
      </c>
      <c r="Q862" s="4" t="str">
        <f>HYPERLINK("http://141.218.60.56/~jnz1568/getInfo.php?workbook=16_15.xlsx&amp;sheet=A0&amp;row=862&amp;col=17&amp;number=&amp;sourceID=56","")</f>
        <v/>
      </c>
      <c r="R862" s="4" t="str">
        <f>HYPERLINK("http://141.218.60.56/~jnz1568/getInfo.php?workbook=16_15.xlsx&amp;sheet=A0&amp;row=862&amp;col=18&amp;number=&amp;sourceID=56","")</f>
        <v/>
      </c>
      <c r="S862" s="4" t="str">
        <f>HYPERLINK("http://141.218.60.56/~jnz1568/getInfo.php?workbook=16_15.xlsx&amp;sheet=A0&amp;row=862&amp;col=19&amp;number=&amp;sourceID=57","")</f>
        <v/>
      </c>
      <c r="T862" s="4" t="str">
        <f>HYPERLINK("http://141.218.60.56/~jnz1568/getInfo.php?workbook=16_15.xlsx&amp;sheet=A0&amp;row=862&amp;col=20&amp;number=&amp;sourceID=57","")</f>
        <v/>
      </c>
      <c r="U862" s="4" t="str">
        <f>HYPERLINK("http://141.218.60.56/~jnz1568/getInfo.php?workbook=16_15.xlsx&amp;sheet=A0&amp;row=862&amp;col=21&amp;number=&amp;sourceID=47","")</f>
        <v/>
      </c>
      <c r="V862" s="4" t="str">
        <f>HYPERLINK("http://141.218.60.56/~jnz1568/getInfo.php?workbook=16_15.xlsx&amp;sheet=A0&amp;row=862&amp;col=22&amp;number=&amp;sourceID=47","")</f>
        <v/>
      </c>
    </row>
    <row r="863" spans="1:22">
      <c r="A863" s="3">
        <v>16</v>
      </c>
      <c r="B863" s="3">
        <v>15</v>
      </c>
      <c r="C863" s="3">
        <v>48</v>
      </c>
      <c r="D863" s="3">
        <v>8</v>
      </c>
      <c r="E863" s="3">
        <f>((1/(INDEX(E0!J$4:J$73,C863,1)-INDEX(E0!J$4:J$73,D863,1))))*100000000</f>
        <v>0</v>
      </c>
      <c r="F863" s="4" t="str">
        <f>HYPERLINK("http://141.218.60.56/~jnz1568/getInfo.php?workbook=16_15.xlsx&amp;sheet=A0&amp;row=863&amp;col=6&amp;number=&amp;sourceID=54","")</f>
        <v/>
      </c>
      <c r="G863" s="4" t="str">
        <f>HYPERLINK("http://141.218.60.56/~jnz1568/getInfo.php?workbook=16_15.xlsx&amp;sheet=A0&amp;row=863&amp;col=7&amp;number=2.4346e-06&amp;sourceID=54","2.4346e-06")</f>
        <v>2.4346e-06</v>
      </c>
      <c r="H863" s="4" t="str">
        <f>HYPERLINK("http://141.218.60.56/~jnz1568/getInfo.php?workbook=16_15.xlsx&amp;sheet=A0&amp;row=863&amp;col=8&amp;number=0.00020694&amp;sourceID=54","0.00020694")</f>
        <v>0.00020694</v>
      </c>
      <c r="I863" s="4" t="str">
        <f>HYPERLINK("http://141.218.60.56/~jnz1568/getInfo.php?workbook=16_15.xlsx&amp;sheet=A0&amp;row=863&amp;col=9&amp;number=&amp;sourceID=54","")</f>
        <v/>
      </c>
      <c r="J863" s="4" t="str">
        <f>HYPERLINK("http://141.218.60.56/~jnz1568/getInfo.php?workbook=16_15.xlsx&amp;sheet=A0&amp;row=863&amp;col=10&amp;number=2.5122e-06&amp;sourceID=54","2.5122e-06")</f>
        <v>2.5122e-06</v>
      </c>
      <c r="K863" s="4" t="str">
        <f>HYPERLINK("http://141.218.60.56/~jnz1568/getInfo.php?workbook=16_15.xlsx&amp;sheet=A0&amp;row=863&amp;col=11&amp;number=0.00019403&amp;sourceID=54","0.00019403")</f>
        <v>0.00019403</v>
      </c>
      <c r="L863" s="4" t="str">
        <f>HYPERLINK("http://141.218.60.56/~jnz1568/getInfo.php?workbook=16_15.xlsx&amp;sheet=A0&amp;row=863&amp;col=12&amp;number=&amp;sourceID=53","")</f>
        <v/>
      </c>
      <c r="M863" s="4" t="str">
        <f>HYPERLINK("http://141.218.60.56/~jnz1568/getInfo.php?workbook=16_15.xlsx&amp;sheet=A0&amp;row=863&amp;col=13&amp;number=&amp;sourceID=53","")</f>
        <v/>
      </c>
      <c r="N863" s="4" t="str">
        <f>HYPERLINK("http://141.218.60.56/~jnz1568/getInfo.php?workbook=16_15.xlsx&amp;sheet=A0&amp;row=863&amp;col=14&amp;number=&amp;sourceID=53","")</f>
        <v/>
      </c>
      <c r="O863" s="4" t="str">
        <f>HYPERLINK("http://141.218.60.56/~jnz1568/getInfo.php?workbook=16_15.xlsx&amp;sheet=A0&amp;row=863&amp;col=15&amp;number=&amp;sourceID=55","")</f>
        <v/>
      </c>
      <c r="P863" s="4" t="str">
        <f>HYPERLINK("http://141.218.60.56/~jnz1568/getInfo.php?workbook=16_15.xlsx&amp;sheet=A0&amp;row=863&amp;col=16&amp;number=&amp;sourceID=55","")</f>
        <v/>
      </c>
      <c r="Q863" s="4" t="str">
        <f>HYPERLINK("http://141.218.60.56/~jnz1568/getInfo.php?workbook=16_15.xlsx&amp;sheet=A0&amp;row=863&amp;col=17&amp;number=&amp;sourceID=56","")</f>
        <v/>
      </c>
      <c r="R863" s="4" t="str">
        <f>HYPERLINK("http://141.218.60.56/~jnz1568/getInfo.php?workbook=16_15.xlsx&amp;sheet=A0&amp;row=863&amp;col=18&amp;number=&amp;sourceID=56","")</f>
        <v/>
      </c>
      <c r="S863" s="4" t="str">
        <f>HYPERLINK("http://141.218.60.56/~jnz1568/getInfo.php?workbook=16_15.xlsx&amp;sheet=A0&amp;row=863&amp;col=19&amp;number=&amp;sourceID=57","")</f>
        <v/>
      </c>
      <c r="T863" s="4" t="str">
        <f>HYPERLINK("http://141.218.60.56/~jnz1568/getInfo.php?workbook=16_15.xlsx&amp;sheet=A0&amp;row=863&amp;col=20&amp;number=&amp;sourceID=57","")</f>
        <v/>
      </c>
      <c r="U863" s="4" t="str">
        <f>HYPERLINK("http://141.218.60.56/~jnz1568/getInfo.php?workbook=16_15.xlsx&amp;sheet=A0&amp;row=863&amp;col=21&amp;number=&amp;sourceID=47","")</f>
        <v/>
      </c>
      <c r="V863" s="4" t="str">
        <f>HYPERLINK("http://141.218.60.56/~jnz1568/getInfo.php?workbook=16_15.xlsx&amp;sheet=A0&amp;row=863&amp;col=22&amp;number=&amp;sourceID=47","")</f>
        <v/>
      </c>
    </row>
    <row r="864" spans="1:22">
      <c r="A864" s="3">
        <v>16</v>
      </c>
      <c r="B864" s="3">
        <v>15</v>
      </c>
      <c r="C864" s="3">
        <v>48</v>
      </c>
      <c r="D864" s="3">
        <v>9</v>
      </c>
      <c r="E864" s="3">
        <f>((1/(INDEX(E0!J$4:J$73,C864,1)-INDEX(E0!J$4:J$73,D864,1))))*100000000</f>
        <v>0</v>
      </c>
      <c r="F864" s="4" t="str">
        <f>HYPERLINK("http://141.218.60.56/~jnz1568/getInfo.php?workbook=16_15.xlsx&amp;sheet=A0&amp;row=864&amp;col=6&amp;number=&amp;sourceID=54","")</f>
        <v/>
      </c>
      <c r="G864" s="4" t="str">
        <f>HYPERLINK("http://141.218.60.56/~jnz1568/getInfo.php?workbook=16_15.xlsx&amp;sheet=A0&amp;row=864&amp;col=7&amp;number=1.1378&amp;sourceID=54","1.1378")</f>
        <v>1.1378</v>
      </c>
      <c r="H864" s="4" t="str">
        <f>HYPERLINK("http://141.218.60.56/~jnz1568/getInfo.php?workbook=16_15.xlsx&amp;sheet=A0&amp;row=864&amp;col=8&amp;number=0.0098358&amp;sourceID=54","0.0098358")</f>
        <v>0.0098358</v>
      </c>
      <c r="I864" s="4" t="str">
        <f>HYPERLINK("http://141.218.60.56/~jnz1568/getInfo.php?workbook=16_15.xlsx&amp;sheet=A0&amp;row=864&amp;col=9&amp;number=&amp;sourceID=54","")</f>
        <v/>
      </c>
      <c r="J864" s="4" t="str">
        <f>HYPERLINK("http://141.218.60.56/~jnz1568/getInfo.php?workbook=16_15.xlsx&amp;sheet=A0&amp;row=864&amp;col=10&amp;number=1.0386&amp;sourceID=54","1.0386")</f>
        <v>1.0386</v>
      </c>
      <c r="K864" s="4" t="str">
        <f>HYPERLINK("http://141.218.60.56/~jnz1568/getInfo.php?workbook=16_15.xlsx&amp;sheet=A0&amp;row=864&amp;col=11&amp;number=0.0094609&amp;sourceID=54","0.0094609")</f>
        <v>0.0094609</v>
      </c>
      <c r="L864" s="4" t="str">
        <f>HYPERLINK("http://141.218.60.56/~jnz1568/getInfo.php?workbook=16_15.xlsx&amp;sheet=A0&amp;row=864&amp;col=12&amp;number=&amp;sourceID=53","")</f>
        <v/>
      </c>
      <c r="M864" s="4" t="str">
        <f>HYPERLINK("http://141.218.60.56/~jnz1568/getInfo.php?workbook=16_15.xlsx&amp;sheet=A0&amp;row=864&amp;col=13&amp;number=&amp;sourceID=53","")</f>
        <v/>
      </c>
      <c r="N864" s="4" t="str">
        <f>HYPERLINK("http://141.218.60.56/~jnz1568/getInfo.php?workbook=16_15.xlsx&amp;sheet=A0&amp;row=864&amp;col=14&amp;number=&amp;sourceID=53","")</f>
        <v/>
      </c>
      <c r="O864" s="4" t="str">
        <f>HYPERLINK("http://141.218.60.56/~jnz1568/getInfo.php?workbook=16_15.xlsx&amp;sheet=A0&amp;row=864&amp;col=15&amp;number=&amp;sourceID=55","")</f>
        <v/>
      </c>
      <c r="P864" s="4" t="str">
        <f>HYPERLINK("http://141.218.60.56/~jnz1568/getInfo.php?workbook=16_15.xlsx&amp;sheet=A0&amp;row=864&amp;col=16&amp;number=&amp;sourceID=55","")</f>
        <v/>
      </c>
      <c r="Q864" s="4" t="str">
        <f>HYPERLINK("http://141.218.60.56/~jnz1568/getInfo.php?workbook=16_15.xlsx&amp;sheet=A0&amp;row=864&amp;col=17&amp;number=&amp;sourceID=56","")</f>
        <v/>
      </c>
      <c r="R864" s="4" t="str">
        <f>HYPERLINK("http://141.218.60.56/~jnz1568/getInfo.php?workbook=16_15.xlsx&amp;sheet=A0&amp;row=864&amp;col=18&amp;number=&amp;sourceID=56","")</f>
        <v/>
      </c>
      <c r="S864" s="4" t="str">
        <f>HYPERLINK("http://141.218.60.56/~jnz1568/getInfo.php?workbook=16_15.xlsx&amp;sheet=A0&amp;row=864&amp;col=19&amp;number=&amp;sourceID=57","")</f>
        <v/>
      </c>
      <c r="T864" s="4" t="str">
        <f>HYPERLINK("http://141.218.60.56/~jnz1568/getInfo.php?workbook=16_15.xlsx&amp;sheet=A0&amp;row=864&amp;col=20&amp;number=&amp;sourceID=57","")</f>
        <v/>
      </c>
      <c r="U864" s="4" t="str">
        <f>HYPERLINK("http://141.218.60.56/~jnz1568/getInfo.php?workbook=16_15.xlsx&amp;sheet=A0&amp;row=864&amp;col=21&amp;number=&amp;sourceID=47","")</f>
        <v/>
      </c>
      <c r="V864" s="4" t="str">
        <f>HYPERLINK("http://141.218.60.56/~jnz1568/getInfo.php?workbook=16_15.xlsx&amp;sheet=A0&amp;row=864&amp;col=22&amp;number=&amp;sourceID=47","")</f>
        <v/>
      </c>
    </row>
    <row r="865" spans="1:22">
      <c r="A865" s="3">
        <v>16</v>
      </c>
      <c r="B865" s="3">
        <v>15</v>
      </c>
      <c r="C865" s="3">
        <v>48</v>
      </c>
      <c r="D865" s="3">
        <v>10</v>
      </c>
      <c r="E865" s="3">
        <f>((1/(INDEX(E0!J$4:J$73,C865,1)-INDEX(E0!J$4:J$73,D865,1))))*100000000</f>
        <v>0</v>
      </c>
      <c r="F865" s="4" t="str">
        <f>HYPERLINK("http://141.218.60.56/~jnz1568/getInfo.php?workbook=16_15.xlsx&amp;sheet=A0&amp;row=865&amp;col=6&amp;number=&amp;sourceID=54","")</f>
        <v/>
      </c>
      <c r="G865" s="4" t="str">
        <f>HYPERLINK("http://141.218.60.56/~jnz1568/getInfo.php?workbook=16_15.xlsx&amp;sheet=A0&amp;row=865&amp;col=7&amp;number=0.49716&amp;sourceID=54","0.49716")</f>
        <v>0.49716</v>
      </c>
      <c r="H865" s="4" t="str">
        <f>HYPERLINK("http://141.218.60.56/~jnz1568/getInfo.php?workbook=16_15.xlsx&amp;sheet=A0&amp;row=865&amp;col=8&amp;number=0.00084803&amp;sourceID=54","0.00084803")</f>
        <v>0.00084803</v>
      </c>
      <c r="I865" s="4" t="str">
        <f>HYPERLINK("http://141.218.60.56/~jnz1568/getInfo.php?workbook=16_15.xlsx&amp;sheet=A0&amp;row=865&amp;col=9&amp;number=&amp;sourceID=54","")</f>
        <v/>
      </c>
      <c r="J865" s="4" t="str">
        <f>HYPERLINK("http://141.218.60.56/~jnz1568/getInfo.php?workbook=16_15.xlsx&amp;sheet=A0&amp;row=865&amp;col=10&amp;number=0.42702&amp;sourceID=54","0.42702")</f>
        <v>0.42702</v>
      </c>
      <c r="K865" s="4" t="str">
        <f>HYPERLINK("http://141.218.60.56/~jnz1568/getInfo.php?workbook=16_15.xlsx&amp;sheet=A0&amp;row=865&amp;col=11&amp;number=0.00077119&amp;sourceID=54","0.00077119")</f>
        <v>0.00077119</v>
      </c>
      <c r="L865" s="4" t="str">
        <f>HYPERLINK("http://141.218.60.56/~jnz1568/getInfo.php?workbook=16_15.xlsx&amp;sheet=A0&amp;row=865&amp;col=12&amp;number=&amp;sourceID=53","")</f>
        <v/>
      </c>
      <c r="M865" s="4" t="str">
        <f>HYPERLINK("http://141.218.60.56/~jnz1568/getInfo.php?workbook=16_15.xlsx&amp;sheet=A0&amp;row=865&amp;col=13&amp;number=&amp;sourceID=53","")</f>
        <v/>
      </c>
      <c r="N865" s="4" t="str">
        <f>HYPERLINK("http://141.218.60.56/~jnz1568/getInfo.php?workbook=16_15.xlsx&amp;sheet=A0&amp;row=865&amp;col=14&amp;number=&amp;sourceID=53","")</f>
        <v/>
      </c>
      <c r="O865" s="4" t="str">
        <f>HYPERLINK("http://141.218.60.56/~jnz1568/getInfo.php?workbook=16_15.xlsx&amp;sheet=A0&amp;row=865&amp;col=15&amp;number=&amp;sourceID=55","")</f>
        <v/>
      </c>
      <c r="P865" s="4" t="str">
        <f>HYPERLINK("http://141.218.60.56/~jnz1568/getInfo.php?workbook=16_15.xlsx&amp;sheet=A0&amp;row=865&amp;col=16&amp;number=&amp;sourceID=55","")</f>
        <v/>
      </c>
      <c r="Q865" s="4" t="str">
        <f>HYPERLINK("http://141.218.60.56/~jnz1568/getInfo.php?workbook=16_15.xlsx&amp;sheet=A0&amp;row=865&amp;col=17&amp;number=&amp;sourceID=56","")</f>
        <v/>
      </c>
      <c r="R865" s="4" t="str">
        <f>HYPERLINK("http://141.218.60.56/~jnz1568/getInfo.php?workbook=16_15.xlsx&amp;sheet=A0&amp;row=865&amp;col=18&amp;number=&amp;sourceID=56","")</f>
        <v/>
      </c>
      <c r="S865" s="4" t="str">
        <f>HYPERLINK("http://141.218.60.56/~jnz1568/getInfo.php?workbook=16_15.xlsx&amp;sheet=A0&amp;row=865&amp;col=19&amp;number=&amp;sourceID=57","")</f>
        <v/>
      </c>
      <c r="T865" s="4" t="str">
        <f>HYPERLINK("http://141.218.60.56/~jnz1568/getInfo.php?workbook=16_15.xlsx&amp;sheet=A0&amp;row=865&amp;col=20&amp;number=&amp;sourceID=57","")</f>
        <v/>
      </c>
      <c r="U865" s="4" t="str">
        <f>HYPERLINK("http://141.218.60.56/~jnz1568/getInfo.php?workbook=16_15.xlsx&amp;sheet=A0&amp;row=865&amp;col=21&amp;number=&amp;sourceID=47","")</f>
        <v/>
      </c>
      <c r="V865" s="4" t="str">
        <f>HYPERLINK("http://141.218.60.56/~jnz1568/getInfo.php?workbook=16_15.xlsx&amp;sheet=A0&amp;row=865&amp;col=22&amp;number=&amp;sourceID=47","")</f>
        <v/>
      </c>
    </row>
    <row r="866" spans="1:22">
      <c r="A866" s="3">
        <v>16</v>
      </c>
      <c r="B866" s="3">
        <v>15</v>
      </c>
      <c r="C866" s="3">
        <v>48</v>
      </c>
      <c r="D866" s="3">
        <v>11</v>
      </c>
      <c r="E866" s="3">
        <f>((1/(INDEX(E0!J$4:J$73,C866,1)-INDEX(E0!J$4:J$73,D866,1))))*100000000</f>
        <v>0</v>
      </c>
      <c r="F866" s="4" t="str">
        <f>HYPERLINK("http://141.218.60.56/~jnz1568/getInfo.php?workbook=16_15.xlsx&amp;sheet=A0&amp;row=866&amp;col=6&amp;number=&amp;sourceID=54","")</f>
        <v/>
      </c>
      <c r="G866" s="4" t="str">
        <f>HYPERLINK("http://141.218.60.56/~jnz1568/getInfo.php?workbook=16_15.xlsx&amp;sheet=A0&amp;row=866&amp;col=7&amp;number=6.8629&amp;sourceID=54","6.8629")</f>
        <v>6.8629</v>
      </c>
      <c r="H866" s="4" t="str">
        <f>HYPERLINK("http://141.218.60.56/~jnz1568/getInfo.php?workbook=16_15.xlsx&amp;sheet=A0&amp;row=866&amp;col=8&amp;number=0.030311&amp;sourceID=54","0.030311")</f>
        <v>0.030311</v>
      </c>
      <c r="I866" s="4" t="str">
        <f>HYPERLINK("http://141.218.60.56/~jnz1568/getInfo.php?workbook=16_15.xlsx&amp;sheet=A0&amp;row=866&amp;col=9&amp;number=&amp;sourceID=54","")</f>
        <v/>
      </c>
      <c r="J866" s="4" t="str">
        <f>HYPERLINK("http://141.218.60.56/~jnz1568/getInfo.php?workbook=16_15.xlsx&amp;sheet=A0&amp;row=866&amp;col=10&amp;number=6.0342&amp;sourceID=54","6.0342")</f>
        <v>6.0342</v>
      </c>
      <c r="K866" s="4" t="str">
        <f>HYPERLINK("http://141.218.60.56/~jnz1568/getInfo.php?workbook=16_15.xlsx&amp;sheet=A0&amp;row=866&amp;col=11&amp;number=0.034018&amp;sourceID=54","0.034018")</f>
        <v>0.034018</v>
      </c>
      <c r="L866" s="4" t="str">
        <f>HYPERLINK("http://141.218.60.56/~jnz1568/getInfo.php?workbook=16_15.xlsx&amp;sheet=A0&amp;row=866&amp;col=12&amp;number=&amp;sourceID=53","")</f>
        <v/>
      </c>
      <c r="M866" s="4" t="str">
        <f>HYPERLINK("http://141.218.60.56/~jnz1568/getInfo.php?workbook=16_15.xlsx&amp;sheet=A0&amp;row=866&amp;col=13&amp;number=&amp;sourceID=53","")</f>
        <v/>
      </c>
      <c r="N866" s="4" t="str">
        <f>HYPERLINK("http://141.218.60.56/~jnz1568/getInfo.php?workbook=16_15.xlsx&amp;sheet=A0&amp;row=866&amp;col=14&amp;number=&amp;sourceID=53","")</f>
        <v/>
      </c>
      <c r="O866" s="4" t="str">
        <f>HYPERLINK("http://141.218.60.56/~jnz1568/getInfo.php?workbook=16_15.xlsx&amp;sheet=A0&amp;row=866&amp;col=15&amp;number=&amp;sourceID=55","")</f>
        <v/>
      </c>
      <c r="P866" s="4" t="str">
        <f>HYPERLINK("http://141.218.60.56/~jnz1568/getInfo.php?workbook=16_15.xlsx&amp;sheet=A0&amp;row=866&amp;col=16&amp;number=&amp;sourceID=55","")</f>
        <v/>
      </c>
      <c r="Q866" s="4" t="str">
        <f>HYPERLINK("http://141.218.60.56/~jnz1568/getInfo.php?workbook=16_15.xlsx&amp;sheet=A0&amp;row=866&amp;col=17&amp;number=&amp;sourceID=56","")</f>
        <v/>
      </c>
      <c r="R866" s="4" t="str">
        <f>HYPERLINK("http://141.218.60.56/~jnz1568/getInfo.php?workbook=16_15.xlsx&amp;sheet=A0&amp;row=866&amp;col=18&amp;number=&amp;sourceID=56","")</f>
        <v/>
      </c>
      <c r="S866" s="4" t="str">
        <f>HYPERLINK("http://141.218.60.56/~jnz1568/getInfo.php?workbook=16_15.xlsx&amp;sheet=A0&amp;row=866&amp;col=19&amp;number=&amp;sourceID=57","")</f>
        <v/>
      </c>
      <c r="T866" s="4" t="str">
        <f>HYPERLINK("http://141.218.60.56/~jnz1568/getInfo.php?workbook=16_15.xlsx&amp;sheet=A0&amp;row=866&amp;col=20&amp;number=&amp;sourceID=57","")</f>
        <v/>
      </c>
      <c r="U866" s="4" t="str">
        <f>HYPERLINK("http://141.218.60.56/~jnz1568/getInfo.php?workbook=16_15.xlsx&amp;sheet=A0&amp;row=866&amp;col=21&amp;number=&amp;sourceID=47","")</f>
        <v/>
      </c>
      <c r="V866" s="4" t="str">
        <f>HYPERLINK("http://141.218.60.56/~jnz1568/getInfo.php?workbook=16_15.xlsx&amp;sheet=A0&amp;row=866&amp;col=22&amp;number=&amp;sourceID=47","")</f>
        <v/>
      </c>
    </row>
    <row r="867" spans="1:22">
      <c r="A867" s="3">
        <v>16</v>
      </c>
      <c r="B867" s="3">
        <v>15</v>
      </c>
      <c r="C867" s="3">
        <v>48</v>
      </c>
      <c r="D867" s="3">
        <v>12</v>
      </c>
      <c r="E867" s="3">
        <f>((1/(INDEX(E0!J$4:J$73,C867,1)-INDEX(E0!J$4:J$73,D867,1))))*100000000</f>
        <v>0</v>
      </c>
      <c r="F867" s="4" t="str">
        <f>HYPERLINK("http://141.218.60.56/~jnz1568/getInfo.php?workbook=16_15.xlsx&amp;sheet=A0&amp;row=867&amp;col=6&amp;number=&amp;sourceID=54","")</f>
        <v/>
      </c>
      <c r="G867" s="4" t="str">
        <f>HYPERLINK("http://141.218.60.56/~jnz1568/getInfo.php?workbook=16_15.xlsx&amp;sheet=A0&amp;row=867&amp;col=7&amp;number=5.6722&amp;sourceID=54","5.6722")</f>
        <v>5.6722</v>
      </c>
      <c r="H867" s="4" t="str">
        <f>HYPERLINK("http://141.218.60.56/~jnz1568/getInfo.php?workbook=16_15.xlsx&amp;sheet=A0&amp;row=867&amp;col=8&amp;number=0.0091487&amp;sourceID=54","0.0091487")</f>
        <v>0.0091487</v>
      </c>
      <c r="I867" s="4" t="str">
        <f>HYPERLINK("http://141.218.60.56/~jnz1568/getInfo.php?workbook=16_15.xlsx&amp;sheet=A0&amp;row=867&amp;col=9&amp;number=&amp;sourceID=54","")</f>
        <v/>
      </c>
      <c r="J867" s="4" t="str">
        <f>HYPERLINK("http://141.218.60.56/~jnz1568/getInfo.php?workbook=16_15.xlsx&amp;sheet=A0&amp;row=867&amp;col=10&amp;number=5.0516&amp;sourceID=54","5.0516")</f>
        <v>5.0516</v>
      </c>
      <c r="K867" s="4" t="str">
        <f>HYPERLINK("http://141.218.60.56/~jnz1568/getInfo.php?workbook=16_15.xlsx&amp;sheet=A0&amp;row=867&amp;col=11&amp;number=0.0092071&amp;sourceID=54","0.0092071")</f>
        <v>0.0092071</v>
      </c>
      <c r="L867" s="4" t="str">
        <f>HYPERLINK("http://141.218.60.56/~jnz1568/getInfo.php?workbook=16_15.xlsx&amp;sheet=A0&amp;row=867&amp;col=12&amp;number=&amp;sourceID=53","")</f>
        <v/>
      </c>
      <c r="M867" s="4" t="str">
        <f>HYPERLINK("http://141.218.60.56/~jnz1568/getInfo.php?workbook=16_15.xlsx&amp;sheet=A0&amp;row=867&amp;col=13&amp;number=&amp;sourceID=53","")</f>
        <v/>
      </c>
      <c r="N867" s="4" t="str">
        <f>HYPERLINK("http://141.218.60.56/~jnz1568/getInfo.php?workbook=16_15.xlsx&amp;sheet=A0&amp;row=867&amp;col=14&amp;number=&amp;sourceID=53","")</f>
        <v/>
      </c>
      <c r="O867" s="4" t="str">
        <f>HYPERLINK("http://141.218.60.56/~jnz1568/getInfo.php?workbook=16_15.xlsx&amp;sheet=A0&amp;row=867&amp;col=15&amp;number=&amp;sourceID=55","")</f>
        <v/>
      </c>
      <c r="P867" s="4" t="str">
        <f>HYPERLINK("http://141.218.60.56/~jnz1568/getInfo.php?workbook=16_15.xlsx&amp;sheet=A0&amp;row=867&amp;col=16&amp;number=&amp;sourceID=55","")</f>
        <v/>
      </c>
      <c r="Q867" s="4" t="str">
        <f>HYPERLINK("http://141.218.60.56/~jnz1568/getInfo.php?workbook=16_15.xlsx&amp;sheet=A0&amp;row=867&amp;col=17&amp;number=&amp;sourceID=56","")</f>
        <v/>
      </c>
      <c r="R867" s="4" t="str">
        <f>HYPERLINK("http://141.218.60.56/~jnz1568/getInfo.php?workbook=16_15.xlsx&amp;sheet=A0&amp;row=867&amp;col=18&amp;number=&amp;sourceID=56","")</f>
        <v/>
      </c>
      <c r="S867" s="4" t="str">
        <f>HYPERLINK("http://141.218.60.56/~jnz1568/getInfo.php?workbook=16_15.xlsx&amp;sheet=A0&amp;row=867&amp;col=19&amp;number=&amp;sourceID=57","")</f>
        <v/>
      </c>
      <c r="T867" s="4" t="str">
        <f>HYPERLINK("http://141.218.60.56/~jnz1568/getInfo.php?workbook=16_15.xlsx&amp;sheet=A0&amp;row=867&amp;col=20&amp;number=&amp;sourceID=57","")</f>
        <v/>
      </c>
      <c r="U867" s="4" t="str">
        <f>HYPERLINK("http://141.218.60.56/~jnz1568/getInfo.php?workbook=16_15.xlsx&amp;sheet=A0&amp;row=867&amp;col=21&amp;number=&amp;sourceID=47","")</f>
        <v/>
      </c>
      <c r="V867" s="4" t="str">
        <f>HYPERLINK("http://141.218.60.56/~jnz1568/getInfo.php?workbook=16_15.xlsx&amp;sheet=A0&amp;row=867&amp;col=22&amp;number=&amp;sourceID=47","")</f>
        <v/>
      </c>
    </row>
    <row r="868" spans="1:22">
      <c r="A868" s="3">
        <v>16</v>
      </c>
      <c r="B868" s="3">
        <v>15</v>
      </c>
      <c r="C868" s="3">
        <v>48</v>
      </c>
      <c r="D868" s="3">
        <v>13</v>
      </c>
      <c r="E868" s="3">
        <f>((1/(INDEX(E0!J$4:J$73,C868,1)-INDEX(E0!J$4:J$73,D868,1))))*100000000</f>
        <v>0</v>
      </c>
      <c r="F868" s="4" t="str">
        <f>HYPERLINK("http://141.218.60.56/~jnz1568/getInfo.php?workbook=16_15.xlsx&amp;sheet=A0&amp;row=868&amp;col=6&amp;number=&amp;sourceID=54","")</f>
        <v/>
      </c>
      <c r="G868" s="4" t="str">
        <f>HYPERLINK("http://141.218.60.56/~jnz1568/getInfo.php?workbook=16_15.xlsx&amp;sheet=A0&amp;row=868&amp;col=7&amp;number=0.037941&amp;sourceID=54","0.037941")</f>
        <v>0.037941</v>
      </c>
      <c r="H868" s="4" t="str">
        <f>HYPERLINK("http://141.218.60.56/~jnz1568/getInfo.php?workbook=16_15.xlsx&amp;sheet=A0&amp;row=868&amp;col=8&amp;number=6.1643e-05&amp;sourceID=54","6.1643e-05")</f>
        <v>6.1643e-05</v>
      </c>
      <c r="I868" s="4" t="str">
        <f>HYPERLINK("http://141.218.60.56/~jnz1568/getInfo.php?workbook=16_15.xlsx&amp;sheet=A0&amp;row=868&amp;col=9&amp;number=&amp;sourceID=54","")</f>
        <v/>
      </c>
      <c r="J868" s="4" t="str">
        <f>HYPERLINK("http://141.218.60.56/~jnz1568/getInfo.php?workbook=16_15.xlsx&amp;sheet=A0&amp;row=868&amp;col=10&amp;number=0.040918&amp;sourceID=54","0.040918")</f>
        <v>0.040918</v>
      </c>
      <c r="K868" s="4" t="str">
        <f>HYPERLINK("http://141.218.60.56/~jnz1568/getInfo.php?workbook=16_15.xlsx&amp;sheet=A0&amp;row=868&amp;col=11&amp;number=5.3414e-05&amp;sourceID=54","5.3414e-05")</f>
        <v>5.3414e-05</v>
      </c>
      <c r="L868" s="4" t="str">
        <f>HYPERLINK("http://141.218.60.56/~jnz1568/getInfo.php?workbook=16_15.xlsx&amp;sheet=A0&amp;row=868&amp;col=12&amp;number=&amp;sourceID=53","")</f>
        <v/>
      </c>
      <c r="M868" s="4" t="str">
        <f>HYPERLINK("http://141.218.60.56/~jnz1568/getInfo.php?workbook=16_15.xlsx&amp;sheet=A0&amp;row=868&amp;col=13&amp;number=&amp;sourceID=53","")</f>
        <v/>
      </c>
      <c r="N868" s="4" t="str">
        <f>HYPERLINK("http://141.218.60.56/~jnz1568/getInfo.php?workbook=16_15.xlsx&amp;sheet=A0&amp;row=868&amp;col=14&amp;number=&amp;sourceID=53","")</f>
        <v/>
      </c>
      <c r="O868" s="4" t="str">
        <f>HYPERLINK("http://141.218.60.56/~jnz1568/getInfo.php?workbook=16_15.xlsx&amp;sheet=A0&amp;row=868&amp;col=15&amp;number=&amp;sourceID=55","")</f>
        <v/>
      </c>
      <c r="P868" s="4" t="str">
        <f>HYPERLINK("http://141.218.60.56/~jnz1568/getInfo.php?workbook=16_15.xlsx&amp;sheet=A0&amp;row=868&amp;col=16&amp;number=&amp;sourceID=55","")</f>
        <v/>
      </c>
      <c r="Q868" s="4" t="str">
        <f>HYPERLINK("http://141.218.60.56/~jnz1568/getInfo.php?workbook=16_15.xlsx&amp;sheet=A0&amp;row=868&amp;col=17&amp;number=&amp;sourceID=56","")</f>
        <v/>
      </c>
      <c r="R868" s="4" t="str">
        <f>HYPERLINK("http://141.218.60.56/~jnz1568/getInfo.php?workbook=16_15.xlsx&amp;sheet=A0&amp;row=868&amp;col=18&amp;number=&amp;sourceID=56","")</f>
        <v/>
      </c>
      <c r="S868" s="4" t="str">
        <f>HYPERLINK("http://141.218.60.56/~jnz1568/getInfo.php?workbook=16_15.xlsx&amp;sheet=A0&amp;row=868&amp;col=19&amp;number=&amp;sourceID=57","")</f>
        <v/>
      </c>
      <c r="T868" s="4" t="str">
        <f>HYPERLINK("http://141.218.60.56/~jnz1568/getInfo.php?workbook=16_15.xlsx&amp;sheet=A0&amp;row=868&amp;col=20&amp;number=&amp;sourceID=57","")</f>
        <v/>
      </c>
      <c r="U868" s="4" t="str">
        <f>HYPERLINK("http://141.218.60.56/~jnz1568/getInfo.php?workbook=16_15.xlsx&amp;sheet=A0&amp;row=868&amp;col=21&amp;number=&amp;sourceID=47","")</f>
        <v/>
      </c>
      <c r="V868" s="4" t="str">
        <f>HYPERLINK("http://141.218.60.56/~jnz1568/getInfo.php?workbook=16_15.xlsx&amp;sheet=A0&amp;row=868&amp;col=22&amp;number=&amp;sourceID=47","")</f>
        <v/>
      </c>
    </row>
    <row r="869" spans="1:22">
      <c r="A869" s="3">
        <v>16</v>
      </c>
      <c r="B869" s="3">
        <v>15</v>
      </c>
      <c r="C869" s="3">
        <v>48</v>
      </c>
      <c r="D869" s="3">
        <v>14</v>
      </c>
      <c r="E869" s="3">
        <f>((1/(INDEX(E0!J$4:J$73,C869,1)-INDEX(E0!J$4:J$73,D869,1))))*100000000</f>
        <v>0</v>
      </c>
      <c r="F869" s="4" t="str">
        <f>HYPERLINK("http://141.218.60.56/~jnz1568/getInfo.php?workbook=16_15.xlsx&amp;sheet=A0&amp;row=869&amp;col=6&amp;number=&amp;sourceID=54","")</f>
        <v/>
      </c>
      <c r="G869" s="4" t="str">
        <f>HYPERLINK("http://141.218.60.56/~jnz1568/getInfo.php?workbook=16_15.xlsx&amp;sheet=A0&amp;row=869&amp;col=7&amp;number=0.055445&amp;sourceID=54","0.055445")</f>
        <v>0.055445</v>
      </c>
      <c r="H869" s="4" t="str">
        <f>HYPERLINK("http://141.218.60.56/~jnz1568/getInfo.php?workbook=16_15.xlsx&amp;sheet=A0&amp;row=869&amp;col=8&amp;number=0.00024942&amp;sourceID=54","0.00024942")</f>
        <v>0.00024942</v>
      </c>
      <c r="I869" s="4" t="str">
        <f>HYPERLINK("http://141.218.60.56/~jnz1568/getInfo.php?workbook=16_15.xlsx&amp;sheet=A0&amp;row=869&amp;col=9&amp;number=&amp;sourceID=54","")</f>
        <v/>
      </c>
      <c r="J869" s="4" t="str">
        <f>HYPERLINK("http://141.218.60.56/~jnz1568/getInfo.php?workbook=16_15.xlsx&amp;sheet=A0&amp;row=869&amp;col=10&amp;number=0.058872&amp;sourceID=54","0.058872")</f>
        <v>0.058872</v>
      </c>
      <c r="K869" s="4" t="str">
        <f>HYPERLINK("http://141.218.60.56/~jnz1568/getInfo.php?workbook=16_15.xlsx&amp;sheet=A0&amp;row=869&amp;col=11&amp;number=0.00021391&amp;sourceID=54","0.00021391")</f>
        <v>0.00021391</v>
      </c>
      <c r="L869" s="4" t="str">
        <f>HYPERLINK("http://141.218.60.56/~jnz1568/getInfo.php?workbook=16_15.xlsx&amp;sheet=A0&amp;row=869&amp;col=12&amp;number=&amp;sourceID=53","")</f>
        <v/>
      </c>
      <c r="M869" s="4" t="str">
        <f>HYPERLINK("http://141.218.60.56/~jnz1568/getInfo.php?workbook=16_15.xlsx&amp;sheet=A0&amp;row=869&amp;col=13&amp;number=&amp;sourceID=53","")</f>
        <v/>
      </c>
      <c r="N869" s="4" t="str">
        <f>HYPERLINK("http://141.218.60.56/~jnz1568/getInfo.php?workbook=16_15.xlsx&amp;sheet=A0&amp;row=869&amp;col=14&amp;number=&amp;sourceID=53","")</f>
        <v/>
      </c>
      <c r="O869" s="4" t="str">
        <f>HYPERLINK("http://141.218.60.56/~jnz1568/getInfo.php?workbook=16_15.xlsx&amp;sheet=A0&amp;row=869&amp;col=15&amp;number=&amp;sourceID=55","")</f>
        <v/>
      </c>
      <c r="P869" s="4" t="str">
        <f>HYPERLINK("http://141.218.60.56/~jnz1568/getInfo.php?workbook=16_15.xlsx&amp;sheet=A0&amp;row=869&amp;col=16&amp;number=&amp;sourceID=55","")</f>
        <v/>
      </c>
      <c r="Q869" s="4" t="str">
        <f>HYPERLINK("http://141.218.60.56/~jnz1568/getInfo.php?workbook=16_15.xlsx&amp;sheet=A0&amp;row=869&amp;col=17&amp;number=&amp;sourceID=56","")</f>
        <v/>
      </c>
      <c r="R869" s="4" t="str">
        <f>HYPERLINK("http://141.218.60.56/~jnz1568/getInfo.php?workbook=16_15.xlsx&amp;sheet=A0&amp;row=869&amp;col=18&amp;number=&amp;sourceID=56","")</f>
        <v/>
      </c>
      <c r="S869" s="4" t="str">
        <f>HYPERLINK("http://141.218.60.56/~jnz1568/getInfo.php?workbook=16_15.xlsx&amp;sheet=A0&amp;row=869&amp;col=19&amp;number=&amp;sourceID=57","")</f>
        <v/>
      </c>
      <c r="T869" s="4" t="str">
        <f>HYPERLINK("http://141.218.60.56/~jnz1568/getInfo.php?workbook=16_15.xlsx&amp;sheet=A0&amp;row=869&amp;col=20&amp;number=&amp;sourceID=57","")</f>
        <v/>
      </c>
      <c r="U869" s="4" t="str">
        <f>HYPERLINK("http://141.218.60.56/~jnz1568/getInfo.php?workbook=16_15.xlsx&amp;sheet=A0&amp;row=869&amp;col=21&amp;number=&amp;sourceID=47","")</f>
        <v/>
      </c>
      <c r="V869" s="4" t="str">
        <f>HYPERLINK("http://141.218.60.56/~jnz1568/getInfo.php?workbook=16_15.xlsx&amp;sheet=A0&amp;row=869&amp;col=22&amp;number=&amp;sourceID=47","")</f>
        <v/>
      </c>
    </row>
    <row r="870" spans="1:22">
      <c r="A870" s="3">
        <v>16</v>
      </c>
      <c r="B870" s="3">
        <v>15</v>
      </c>
      <c r="C870" s="3">
        <v>48</v>
      </c>
      <c r="D870" s="3">
        <v>15</v>
      </c>
      <c r="E870" s="3">
        <f>((1/(INDEX(E0!J$4:J$73,C870,1)-INDEX(E0!J$4:J$73,D870,1))))*100000000</f>
        <v>0</v>
      </c>
      <c r="F870" s="4" t="str">
        <f>HYPERLINK("http://141.218.60.56/~jnz1568/getInfo.php?workbook=16_15.xlsx&amp;sheet=A0&amp;row=870&amp;col=6&amp;number=&amp;sourceID=54","")</f>
        <v/>
      </c>
      <c r="G870" s="4" t="str">
        <f>HYPERLINK("http://141.218.60.56/~jnz1568/getInfo.php?workbook=16_15.xlsx&amp;sheet=A0&amp;row=870&amp;col=7&amp;number=0.00014136&amp;sourceID=54","0.00014136")</f>
        <v>0.00014136</v>
      </c>
      <c r="H870" s="4" t="str">
        <f>HYPERLINK("http://141.218.60.56/~jnz1568/getInfo.php?workbook=16_15.xlsx&amp;sheet=A0&amp;row=870&amp;col=8&amp;number=0.027192&amp;sourceID=54","0.027192")</f>
        <v>0.027192</v>
      </c>
      <c r="I870" s="4" t="str">
        <f>HYPERLINK("http://141.218.60.56/~jnz1568/getInfo.php?workbook=16_15.xlsx&amp;sheet=A0&amp;row=870&amp;col=9&amp;number=&amp;sourceID=54","")</f>
        <v/>
      </c>
      <c r="J870" s="4" t="str">
        <f>HYPERLINK("http://141.218.60.56/~jnz1568/getInfo.php?workbook=16_15.xlsx&amp;sheet=A0&amp;row=870&amp;col=10&amp;number=8.7776e-05&amp;sourceID=54","8.7776e-05")</f>
        <v>8.7776e-05</v>
      </c>
      <c r="K870" s="4" t="str">
        <f>HYPERLINK("http://141.218.60.56/~jnz1568/getInfo.php?workbook=16_15.xlsx&amp;sheet=A0&amp;row=870&amp;col=11&amp;number=0.02319&amp;sourceID=54","0.02319")</f>
        <v>0.02319</v>
      </c>
      <c r="L870" s="4" t="str">
        <f>HYPERLINK("http://141.218.60.56/~jnz1568/getInfo.php?workbook=16_15.xlsx&amp;sheet=A0&amp;row=870&amp;col=12&amp;number=&amp;sourceID=53","")</f>
        <v/>
      </c>
      <c r="M870" s="4" t="str">
        <f>HYPERLINK("http://141.218.60.56/~jnz1568/getInfo.php?workbook=16_15.xlsx&amp;sheet=A0&amp;row=870&amp;col=13&amp;number=&amp;sourceID=53","")</f>
        <v/>
      </c>
      <c r="N870" s="4" t="str">
        <f>HYPERLINK("http://141.218.60.56/~jnz1568/getInfo.php?workbook=16_15.xlsx&amp;sheet=A0&amp;row=870&amp;col=14&amp;number=&amp;sourceID=53","")</f>
        <v/>
      </c>
      <c r="O870" s="4" t="str">
        <f>HYPERLINK("http://141.218.60.56/~jnz1568/getInfo.php?workbook=16_15.xlsx&amp;sheet=A0&amp;row=870&amp;col=15&amp;number=&amp;sourceID=55","")</f>
        <v/>
      </c>
      <c r="P870" s="4" t="str">
        <f>HYPERLINK("http://141.218.60.56/~jnz1568/getInfo.php?workbook=16_15.xlsx&amp;sheet=A0&amp;row=870&amp;col=16&amp;number=&amp;sourceID=55","")</f>
        <v/>
      </c>
      <c r="Q870" s="4" t="str">
        <f>HYPERLINK("http://141.218.60.56/~jnz1568/getInfo.php?workbook=16_15.xlsx&amp;sheet=A0&amp;row=870&amp;col=17&amp;number=&amp;sourceID=56","")</f>
        <v/>
      </c>
      <c r="R870" s="4" t="str">
        <f>HYPERLINK("http://141.218.60.56/~jnz1568/getInfo.php?workbook=16_15.xlsx&amp;sheet=A0&amp;row=870&amp;col=18&amp;number=&amp;sourceID=56","")</f>
        <v/>
      </c>
      <c r="S870" s="4" t="str">
        <f>HYPERLINK("http://141.218.60.56/~jnz1568/getInfo.php?workbook=16_15.xlsx&amp;sheet=A0&amp;row=870&amp;col=19&amp;number=&amp;sourceID=57","")</f>
        <v/>
      </c>
      <c r="T870" s="4" t="str">
        <f>HYPERLINK("http://141.218.60.56/~jnz1568/getInfo.php?workbook=16_15.xlsx&amp;sheet=A0&amp;row=870&amp;col=20&amp;number=&amp;sourceID=57","")</f>
        <v/>
      </c>
      <c r="U870" s="4" t="str">
        <f>HYPERLINK("http://141.218.60.56/~jnz1568/getInfo.php?workbook=16_15.xlsx&amp;sheet=A0&amp;row=870&amp;col=21&amp;number=&amp;sourceID=47","")</f>
        <v/>
      </c>
      <c r="V870" s="4" t="str">
        <f>HYPERLINK("http://141.218.60.56/~jnz1568/getInfo.php?workbook=16_15.xlsx&amp;sheet=A0&amp;row=870&amp;col=22&amp;number=&amp;sourceID=47","")</f>
        <v/>
      </c>
    </row>
    <row r="871" spans="1:22">
      <c r="A871" s="3">
        <v>16</v>
      </c>
      <c r="B871" s="3">
        <v>15</v>
      </c>
      <c r="C871" s="3">
        <v>48</v>
      </c>
      <c r="D871" s="3">
        <v>16</v>
      </c>
      <c r="E871" s="3">
        <f>((1/(INDEX(E0!J$4:J$73,C871,1)-INDEX(E0!J$4:J$73,D871,1))))*100000000</f>
        <v>0</v>
      </c>
      <c r="F871" s="4" t="str">
        <f>HYPERLINK("http://141.218.60.56/~jnz1568/getInfo.php?workbook=16_15.xlsx&amp;sheet=A0&amp;row=871&amp;col=6&amp;number=&amp;sourceID=54","")</f>
        <v/>
      </c>
      <c r="G871" s="4" t="str">
        <f>HYPERLINK("http://141.218.60.56/~jnz1568/getInfo.php?workbook=16_15.xlsx&amp;sheet=A0&amp;row=871&amp;col=7&amp;number=0.00010995&amp;sourceID=54","0.00010995")</f>
        <v>0.00010995</v>
      </c>
      <c r="H871" s="4" t="str">
        <f>HYPERLINK("http://141.218.60.56/~jnz1568/getInfo.php?workbook=16_15.xlsx&amp;sheet=A0&amp;row=871&amp;col=8&amp;number=0.00012457&amp;sourceID=54","0.00012457")</f>
        <v>0.00012457</v>
      </c>
      <c r="I871" s="4" t="str">
        <f>HYPERLINK("http://141.218.60.56/~jnz1568/getInfo.php?workbook=16_15.xlsx&amp;sheet=A0&amp;row=871&amp;col=9&amp;number=&amp;sourceID=54","")</f>
        <v/>
      </c>
      <c r="J871" s="4" t="str">
        <f>HYPERLINK("http://141.218.60.56/~jnz1568/getInfo.php?workbook=16_15.xlsx&amp;sheet=A0&amp;row=871&amp;col=10&amp;number=0.00012563&amp;sourceID=54","0.00012563")</f>
        <v>0.00012563</v>
      </c>
      <c r="K871" s="4" t="str">
        <f>HYPERLINK("http://141.218.60.56/~jnz1568/getInfo.php?workbook=16_15.xlsx&amp;sheet=A0&amp;row=871&amp;col=11&amp;number=0.00016524&amp;sourceID=54","0.00016524")</f>
        <v>0.00016524</v>
      </c>
      <c r="L871" s="4" t="str">
        <f>HYPERLINK("http://141.218.60.56/~jnz1568/getInfo.php?workbook=16_15.xlsx&amp;sheet=A0&amp;row=871&amp;col=12&amp;number=&amp;sourceID=53","")</f>
        <v/>
      </c>
      <c r="M871" s="4" t="str">
        <f>HYPERLINK("http://141.218.60.56/~jnz1568/getInfo.php?workbook=16_15.xlsx&amp;sheet=A0&amp;row=871&amp;col=13&amp;number=&amp;sourceID=53","")</f>
        <v/>
      </c>
      <c r="N871" s="4" t="str">
        <f>HYPERLINK("http://141.218.60.56/~jnz1568/getInfo.php?workbook=16_15.xlsx&amp;sheet=A0&amp;row=871&amp;col=14&amp;number=&amp;sourceID=53","")</f>
        <v/>
      </c>
      <c r="O871" s="4" t="str">
        <f>HYPERLINK("http://141.218.60.56/~jnz1568/getInfo.php?workbook=16_15.xlsx&amp;sheet=A0&amp;row=871&amp;col=15&amp;number=&amp;sourceID=55","")</f>
        <v/>
      </c>
      <c r="P871" s="4" t="str">
        <f>HYPERLINK("http://141.218.60.56/~jnz1568/getInfo.php?workbook=16_15.xlsx&amp;sheet=A0&amp;row=871&amp;col=16&amp;number=&amp;sourceID=55","")</f>
        <v/>
      </c>
      <c r="Q871" s="4" t="str">
        <f>HYPERLINK("http://141.218.60.56/~jnz1568/getInfo.php?workbook=16_15.xlsx&amp;sheet=A0&amp;row=871&amp;col=17&amp;number=&amp;sourceID=56","")</f>
        <v/>
      </c>
      <c r="R871" s="4" t="str">
        <f>HYPERLINK("http://141.218.60.56/~jnz1568/getInfo.php?workbook=16_15.xlsx&amp;sheet=A0&amp;row=871&amp;col=18&amp;number=&amp;sourceID=56","")</f>
        <v/>
      </c>
      <c r="S871" s="4" t="str">
        <f>HYPERLINK("http://141.218.60.56/~jnz1568/getInfo.php?workbook=16_15.xlsx&amp;sheet=A0&amp;row=871&amp;col=19&amp;number=&amp;sourceID=57","")</f>
        <v/>
      </c>
      <c r="T871" s="4" t="str">
        <f>HYPERLINK("http://141.218.60.56/~jnz1568/getInfo.php?workbook=16_15.xlsx&amp;sheet=A0&amp;row=871&amp;col=20&amp;number=&amp;sourceID=57","")</f>
        <v/>
      </c>
      <c r="U871" s="4" t="str">
        <f>HYPERLINK("http://141.218.60.56/~jnz1568/getInfo.php?workbook=16_15.xlsx&amp;sheet=A0&amp;row=871&amp;col=21&amp;number=&amp;sourceID=47","")</f>
        <v/>
      </c>
      <c r="V871" s="4" t="str">
        <f>HYPERLINK("http://141.218.60.56/~jnz1568/getInfo.php?workbook=16_15.xlsx&amp;sheet=A0&amp;row=871&amp;col=22&amp;number=&amp;sourceID=47","")</f>
        <v/>
      </c>
    </row>
    <row r="872" spans="1:22">
      <c r="A872" s="3">
        <v>16</v>
      </c>
      <c r="B872" s="3">
        <v>15</v>
      </c>
      <c r="C872" s="3">
        <v>48</v>
      </c>
      <c r="D872" s="3">
        <v>17</v>
      </c>
      <c r="E872" s="3">
        <f>((1/(INDEX(E0!J$4:J$73,C872,1)-INDEX(E0!J$4:J$73,D872,1))))*100000000</f>
        <v>0</v>
      </c>
      <c r="F872" s="4" t="str">
        <f>HYPERLINK("http://141.218.60.56/~jnz1568/getInfo.php?workbook=16_15.xlsx&amp;sheet=A0&amp;row=872&amp;col=6&amp;number=&amp;sourceID=54","")</f>
        <v/>
      </c>
      <c r="G872" s="4" t="str">
        <f>HYPERLINK("http://141.218.60.56/~jnz1568/getInfo.php?workbook=16_15.xlsx&amp;sheet=A0&amp;row=872&amp;col=7&amp;number=0.0003819&amp;sourceID=54","0.0003819")</f>
        <v>0.0003819</v>
      </c>
      <c r="H872" s="4" t="str">
        <f>HYPERLINK("http://141.218.60.56/~jnz1568/getInfo.php?workbook=16_15.xlsx&amp;sheet=A0&amp;row=872&amp;col=8&amp;number=0.051232&amp;sourceID=54","0.051232")</f>
        <v>0.051232</v>
      </c>
      <c r="I872" s="4" t="str">
        <f>HYPERLINK("http://141.218.60.56/~jnz1568/getInfo.php?workbook=16_15.xlsx&amp;sheet=A0&amp;row=872&amp;col=9&amp;number=&amp;sourceID=54","")</f>
        <v/>
      </c>
      <c r="J872" s="4" t="str">
        <f>HYPERLINK("http://141.218.60.56/~jnz1568/getInfo.php?workbook=16_15.xlsx&amp;sheet=A0&amp;row=872&amp;col=10&amp;number=0.00030056&amp;sourceID=54","0.00030056")</f>
        <v>0.00030056</v>
      </c>
      <c r="K872" s="4" t="str">
        <f>HYPERLINK("http://141.218.60.56/~jnz1568/getInfo.php?workbook=16_15.xlsx&amp;sheet=A0&amp;row=872&amp;col=11&amp;number=0.051436&amp;sourceID=54","0.051436")</f>
        <v>0.051436</v>
      </c>
      <c r="L872" s="4" t="str">
        <f>HYPERLINK("http://141.218.60.56/~jnz1568/getInfo.php?workbook=16_15.xlsx&amp;sheet=A0&amp;row=872&amp;col=12&amp;number=&amp;sourceID=53","")</f>
        <v/>
      </c>
      <c r="M872" s="4" t="str">
        <f>HYPERLINK("http://141.218.60.56/~jnz1568/getInfo.php?workbook=16_15.xlsx&amp;sheet=A0&amp;row=872&amp;col=13&amp;number=&amp;sourceID=53","")</f>
        <v/>
      </c>
      <c r="N872" s="4" t="str">
        <f>HYPERLINK("http://141.218.60.56/~jnz1568/getInfo.php?workbook=16_15.xlsx&amp;sheet=A0&amp;row=872&amp;col=14&amp;number=&amp;sourceID=53","")</f>
        <v/>
      </c>
      <c r="O872" s="4" t="str">
        <f>HYPERLINK("http://141.218.60.56/~jnz1568/getInfo.php?workbook=16_15.xlsx&amp;sheet=A0&amp;row=872&amp;col=15&amp;number=&amp;sourceID=55","")</f>
        <v/>
      </c>
      <c r="P872" s="4" t="str">
        <f>HYPERLINK("http://141.218.60.56/~jnz1568/getInfo.php?workbook=16_15.xlsx&amp;sheet=A0&amp;row=872&amp;col=16&amp;number=&amp;sourceID=55","")</f>
        <v/>
      </c>
      <c r="Q872" s="4" t="str">
        <f>HYPERLINK("http://141.218.60.56/~jnz1568/getInfo.php?workbook=16_15.xlsx&amp;sheet=A0&amp;row=872&amp;col=17&amp;number=&amp;sourceID=56","")</f>
        <v/>
      </c>
      <c r="R872" s="4" t="str">
        <f>HYPERLINK("http://141.218.60.56/~jnz1568/getInfo.php?workbook=16_15.xlsx&amp;sheet=A0&amp;row=872&amp;col=18&amp;number=&amp;sourceID=56","")</f>
        <v/>
      </c>
      <c r="S872" s="4" t="str">
        <f>HYPERLINK("http://141.218.60.56/~jnz1568/getInfo.php?workbook=16_15.xlsx&amp;sheet=A0&amp;row=872&amp;col=19&amp;number=&amp;sourceID=57","")</f>
        <v/>
      </c>
      <c r="T872" s="4" t="str">
        <f>HYPERLINK("http://141.218.60.56/~jnz1568/getInfo.php?workbook=16_15.xlsx&amp;sheet=A0&amp;row=872&amp;col=20&amp;number=&amp;sourceID=57","")</f>
        <v/>
      </c>
      <c r="U872" s="4" t="str">
        <f>HYPERLINK("http://141.218.60.56/~jnz1568/getInfo.php?workbook=16_15.xlsx&amp;sheet=A0&amp;row=872&amp;col=21&amp;number=&amp;sourceID=47","")</f>
        <v/>
      </c>
      <c r="V872" s="4" t="str">
        <f>HYPERLINK("http://141.218.60.56/~jnz1568/getInfo.php?workbook=16_15.xlsx&amp;sheet=A0&amp;row=872&amp;col=22&amp;number=&amp;sourceID=47","")</f>
        <v/>
      </c>
    </row>
    <row r="873" spans="1:22">
      <c r="A873" s="3">
        <v>16</v>
      </c>
      <c r="B873" s="3">
        <v>15</v>
      </c>
      <c r="C873" s="3">
        <v>48</v>
      </c>
      <c r="D873" s="3">
        <v>18</v>
      </c>
      <c r="E873" s="3">
        <f>((1/(INDEX(E0!J$4:J$73,C873,1)-INDEX(E0!J$4:J$73,D873,1))))*100000000</f>
        <v>0</v>
      </c>
      <c r="F873" s="4" t="str">
        <f>HYPERLINK("http://141.218.60.56/~jnz1568/getInfo.php?workbook=16_15.xlsx&amp;sheet=A0&amp;row=873&amp;col=6&amp;number=&amp;sourceID=54","")</f>
        <v/>
      </c>
      <c r="G873" s="4" t="str">
        <f>HYPERLINK("http://141.218.60.56/~jnz1568/getInfo.php?workbook=16_15.xlsx&amp;sheet=A0&amp;row=873&amp;col=7&amp;number=2.3774e-06&amp;sourceID=54","2.3774e-06")</f>
        <v>2.3774e-06</v>
      </c>
      <c r="H873" s="4" t="str">
        <f>HYPERLINK("http://141.218.60.56/~jnz1568/getInfo.php?workbook=16_15.xlsx&amp;sheet=A0&amp;row=873&amp;col=8&amp;number=&amp;sourceID=54","")</f>
        <v/>
      </c>
      <c r="I873" s="4" t="str">
        <f>HYPERLINK("http://141.218.60.56/~jnz1568/getInfo.php?workbook=16_15.xlsx&amp;sheet=A0&amp;row=873&amp;col=9&amp;number=&amp;sourceID=54","")</f>
        <v/>
      </c>
      <c r="J873" s="4" t="str">
        <f>HYPERLINK("http://141.218.60.56/~jnz1568/getInfo.php?workbook=16_15.xlsx&amp;sheet=A0&amp;row=873&amp;col=10&amp;number=5.9225e-06&amp;sourceID=54","5.9225e-06")</f>
        <v>5.9225e-06</v>
      </c>
      <c r="K873" s="4" t="str">
        <f>HYPERLINK("http://141.218.60.56/~jnz1568/getInfo.php?workbook=16_15.xlsx&amp;sheet=A0&amp;row=873&amp;col=11&amp;number=&amp;sourceID=54","")</f>
        <v/>
      </c>
      <c r="L873" s="4" t="str">
        <f>HYPERLINK("http://141.218.60.56/~jnz1568/getInfo.php?workbook=16_15.xlsx&amp;sheet=A0&amp;row=873&amp;col=12&amp;number=&amp;sourceID=53","")</f>
        <v/>
      </c>
      <c r="M873" s="4" t="str">
        <f>HYPERLINK("http://141.218.60.56/~jnz1568/getInfo.php?workbook=16_15.xlsx&amp;sheet=A0&amp;row=873&amp;col=13&amp;number=&amp;sourceID=53","")</f>
        <v/>
      </c>
      <c r="N873" s="4" t="str">
        <f>HYPERLINK("http://141.218.60.56/~jnz1568/getInfo.php?workbook=16_15.xlsx&amp;sheet=A0&amp;row=873&amp;col=14&amp;number=&amp;sourceID=53","")</f>
        <v/>
      </c>
      <c r="O873" s="4" t="str">
        <f>HYPERLINK("http://141.218.60.56/~jnz1568/getInfo.php?workbook=16_15.xlsx&amp;sheet=A0&amp;row=873&amp;col=15&amp;number=&amp;sourceID=55","")</f>
        <v/>
      </c>
      <c r="P873" s="4" t="str">
        <f>HYPERLINK("http://141.218.60.56/~jnz1568/getInfo.php?workbook=16_15.xlsx&amp;sheet=A0&amp;row=873&amp;col=16&amp;number=&amp;sourceID=55","")</f>
        <v/>
      </c>
      <c r="Q873" s="4" t="str">
        <f>HYPERLINK("http://141.218.60.56/~jnz1568/getInfo.php?workbook=16_15.xlsx&amp;sheet=A0&amp;row=873&amp;col=17&amp;number=&amp;sourceID=56","")</f>
        <v/>
      </c>
      <c r="R873" s="4" t="str">
        <f>HYPERLINK("http://141.218.60.56/~jnz1568/getInfo.php?workbook=16_15.xlsx&amp;sheet=A0&amp;row=873&amp;col=18&amp;number=&amp;sourceID=56","")</f>
        <v/>
      </c>
      <c r="S873" s="4" t="str">
        <f>HYPERLINK("http://141.218.60.56/~jnz1568/getInfo.php?workbook=16_15.xlsx&amp;sheet=A0&amp;row=873&amp;col=19&amp;number=&amp;sourceID=57","")</f>
        <v/>
      </c>
      <c r="T873" s="4" t="str">
        <f>HYPERLINK("http://141.218.60.56/~jnz1568/getInfo.php?workbook=16_15.xlsx&amp;sheet=A0&amp;row=873&amp;col=20&amp;number=&amp;sourceID=57","")</f>
        <v/>
      </c>
      <c r="U873" s="4" t="str">
        <f>HYPERLINK("http://141.218.60.56/~jnz1568/getInfo.php?workbook=16_15.xlsx&amp;sheet=A0&amp;row=873&amp;col=21&amp;number=&amp;sourceID=47","")</f>
        <v/>
      </c>
      <c r="V873" s="4" t="str">
        <f>HYPERLINK("http://141.218.60.56/~jnz1568/getInfo.php?workbook=16_15.xlsx&amp;sheet=A0&amp;row=873&amp;col=22&amp;number=&amp;sourceID=47","")</f>
        <v/>
      </c>
    </row>
    <row r="874" spans="1:22">
      <c r="A874" s="3">
        <v>16</v>
      </c>
      <c r="B874" s="3">
        <v>15</v>
      </c>
      <c r="C874" s="3">
        <v>48</v>
      </c>
      <c r="D874" s="3">
        <v>20</v>
      </c>
      <c r="E874" s="3">
        <f>((1/(INDEX(E0!J$4:J$73,C874,1)-INDEX(E0!J$4:J$73,D874,1))))*100000000</f>
        <v>0</v>
      </c>
      <c r="F874" s="4" t="str">
        <f>HYPERLINK("http://141.218.60.56/~jnz1568/getInfo.php?workbook=16_15.xlsx&amp;sheet=A0&amp;row=874&amp;col=6&amp;number=&amp;sourceID=54","")</f>
        <v/>
      </c>
      <c r="G874" s="4" t="str">
        <f>HYPERLINK("http://141.218.60.56/~jnz1568/getInfo.php?workbook=16_15.xlsx&amp;sheet=A0&amp;row=874&amp;col=7&amp;number=16.296&amp;sourceID=54","16.296")</f>
        <v>16.296</v>
      </c>
      <c r="H874" s="4" t="str">
        <f>HYPERLINK("http://141.218.60.56/~jnz1568/getInfo.php?workbook=16_15.xlsx&amp;sheet=A0&amp;row=874&amp;col=8&amp;number=5.4534e-06&amp;sourceID=54","5.4534e-06")</f>
        <v>5.4534e-06</v>
      </c>
      <c r="I874" s="4" t="str">
        <f>HYPERLINK("http://141.218.60.56/~jnz1568/getInfo.php?workbook=16_15.xlsx&amp;sheet=A0&amp;row=874&amp;col=9&amp;number=&amp;sourceID=54","")</f>
        <v/>
      </c>
      <c r="J874" s="4" t="str">
        <f>HYPERLINK("http://141.218.60.56/~jnz1568/getInfo.php?workbook=16_15.xlsx&amp;sheet=A0&amp;row=874&amp;col=10&amp;number=12.662&amp;sourceID=54","12.662")</f>
        <v>12.662</v>
      </c>
      <c r="K874" s="4" t="str">
        <f>HYPERLINK("http://141.218.60.56/~jnz1568/getInfo.php?workbook=16_15.xlsx&amp;sheet=A0&amp;row=874&amp;col=11&amp;number=5.2166e-06&amp;sourceID=54","5.2166e-06")</f>
        <v>5.2166e-06</v>
      </c>
      <c r="L874" s="4" t="str">
        <f>HYPERLINK("http://141.218.60.56/~jnz1568/getInfo.php?workbook=16_15.xlsx&amp;sheet=A0&amp;row=874&amp;col=12&amp;number=&amp;sourceID=53","")</f>
        <v/>
      </c>
      <c r="M874" s="4" t="str">
        <f>HYPERLINK("http://141.218.60.56/~jnz1568/getInfo.php?workbook=16_15.xlsx&amp;sheet=A0&amp;row=874&amp;col=13&amp;number=&amp;sourceID=53","")</f>
        <v/>
      </c>
      <c r="N874" s="4" t="str">
        <f>HYPERLINK("http://141.218.60.56/~jnz1568/getInfo.php?workbook=16_15.xlsx&amp;sheet=A0&amp;row=874&amp;col=14&amp;number=&amp;sourceID=53","")</f>
        <v/>
      </c>
      <c r="O874" s="4" t="str">
        <f>HYPERLINK("http://141.218.60.56/~jnz1568/getInfo.php?workbook=16_15.xlsx&amp;sheet=A0&amp;row=874&amp;col=15&amp;number=&amp;sourceID=55","")</f>
        <v/>
      </c>
      <c r="P874" s="4" t="str">
        <f>HYPERLINK("http://141.218.60.56/~jnz1568/getInfo.php?workbook=16_15.xlsx&amp;sheet=A0&amp;row=874&amp;col=16&amp;number=&amp;sourceID=55","")</f>
        <v/>
      </c>
      <c r="Q874" s="4" t="str">
        <f>HYPERLINK("http://141.218.60.56/~jnz1568/getInfo.php?workbook=16_15.xlsx&amp;sheet=A0&amp;row=874&amp;col=17&amp;number=&amp;sourceID=56","")</f>
        <v/>
      </c>
      <c r="R874" s="4" t="str">
        <f>HYPERLINK("http://141.218.60.56/~jnz1568/getInfo.php?workbook=16_15.xlsx&amp;sheet=A0&amp;row=874&amp;col=18&amp;number=&amp;sourceID=56","")</f>
        <v/>
      </c>
      <c r="S874" s="4" t="str">
        <f>HYPERLINK("http://141.218.60.56/~jnz1568/getInfo.php?workbook=16_15.xlsx&amp;sheet=A0&amp;row=874&amp;col=19&amp;number=&amp;sourceID=57","")</f>
        <v/>
      </c>
      <c r="T874" s="4" t="str">
        <f>HYPERLINK("http://141.218.60.56/~jnz1568/getInfo.php?workbook=16_15.xlsx&amp;sheet=A0&amp;row=874&amp;col=20&amp;number=&amp;sourceID=57","")</f>
        <v/>
      </c>
      <c r="U874" s="4" t="str">
        <f>HYPERLINK("http://141.218.60.56/~jnz1568/getInfo.php?workbook=16_15.xlsx&amp;sheet=A0&amp;row=874&amp;col=21&amp;number=&amp;sourceID=47","")</f>
        <v/>
      </c>
      <c r="V874" s="4" t="str">
        <f>HYPERLINK("http://141.218.60.56/~jnz1568/getInfo.php?workbook=16_15.xlsx&amp;sheet=A0&amp;row=874&amp;col=22&amp;number=&amp;sourceID=47","")</f>
        <v/>
      </c>
    </row>
    <row r="875" spans="1:22">
      <c r="A875" s="3">
        <v>16</v>
      </c>
      <c r="B875" s="3">
        <v>15</v>
      </c>
      <c r="C875" s="3">
        <v>48</v>
      </c>
      <c r="D875" s="3">
        <v>21</v>
      </c>
      <c r="E875" s="3">
        <f>((1/(INDEX(E0!J$4:J$73,C875,1)-INDEX(E0!J$4:J$73,D875,1))))*100000000</f>
        <v>0</v>
      </c>
      <c r="F875" s="4" t="str">
        <f>HYPERLINK("http://141.218.60.56/~jnz1568/getInfo.php?workbook=16_15.xlsx&amp;sheet=A0&amp;row=875&amp;col=6&amp;number=&amp;sourceID=54","")</f>
        <v/>
      </c>
      <c r="G875" s="4" t="str">
        <f>HYPERLINK("http://141.218.60.56/~jnz1568/getInfo.php?workbook=16_15.xlsx&amp;sheet=A0&amp;row=875&amp;col=7&amp;number=13.405&amp;sourceID=54","13.405")</f>
        <v>13.405</v>
      </c>
      <c r="H875" s="4" t="str">
        <f>HYPERLINK("http://141.218.60.56/~jnz1568/getInfo.php?workbook=16_15.xlsx&amp;sheet=A0&amp;row=875&amp;col=8&amp;number=1.5426e-05&amp;sourceID=54","1.5426e-05")</f>
        <v>1.5426e-05</v>
      </c>
      <c r="I875" s="4" t="str">
        <f>HYPERLINK("http://141.218.60.56/~jnz1568/getInfo.php?workbook=16_15.xlsx&amp;sheet=A0&amp;row=875&amp;col=9&amp;number=&amp;sourceID=54","")</f>
        <v/>
      </c>
      <c r="J875" s="4" t="str">
        <f>HYPERLINK("http://141.218.60.56/~jnz1568/getInfo.php?workbook=16_15.xlsx&amp;sheet=A0&amp;row=875&amp;col=10&amp;number=10.462&amp;sourceID=54","10.462")</f>
        <v>10.462</v>
      </c>
      <c r="K875" s="4" t="str">
        <f>HYPERLINK("http://141.218.60.56/~jnz1568/getInfo.php?workbook=16_15.xlsx&amp;sheet=A0&amp;row=875&amp;col=11&amp;number=1.3672e-05&amp;sourceID=54","1.3672e-05")</f>
        <v>1.3672e-05</v>
      </c>
      <c r="L875" s="4" t="str">
        <f>HYPERLINK("http://141.218.60.56/~jnz1568/getInfo.php?workbook=16_15.xlsx&amp;sheet=A0&amp;row=875&amp;col=12&amp;number=&amp;sourceID=53","")</f>
        <v/>
      </c>
      <c r="M875" s="4" t="str">
        <f>HYPERLINK("http://141.218.60.56/~jnz1568/getInfo.php?workbook=16_15.xlsx&amp;sheet=A0&amp;row=875&amp;col=13&amp;number=&amp;sourceID=53","")</f>
        <v/>
      </c>
      <c r="N875" s="4" t="str">
        <f>HYPERLINK("http://141.218.60.56/~jnz1568/getInfo.php?workbook=16_15.xlsx&amp;sheet=A0&amp;row=875&amp;col=14&amp;number=&amp;sourceID=53","")</f>
        <v/>
      </c>
      <c r="O875" s="4" t="str">
        <f>HYPERLINK("http://141.218.60.56/~jnz1568/getInfo.php?workbook=16_15.xlsx&amp;sheet=A0&amp;row=875&amp;col=15&amp;number=&amp;sourceID=55","")</f>
        <v/>
      </c>
      <c r="P875" s="4" t="str">
        <f>HYPERLINK("http://141.218.60.56/~jnz1568/getInfo.php?workbook=16_15.xlsx&amp;sheet=A0&amp;row=875&amp;col=16&amp;number=&amp;sourceID=55","")</f>
        <v/>
      </c>
      <c r="Q875" s="4" t="str">
        <f>HYPERLINK("http://141.218.60.56/~jnz1568/getInfo.php?workbook=16_15.xlsx&amp;sheet=A0&amp;row=875&amp;col=17&amp;number=&amp;sourceID=56","")</f>
        <v/>
      </c>
      <c r="R875" s="4" t="str">
        <f>HYPERLINK("http://141.218.60.56/~jnz1568/getInfo.php?workbook=16_15.xlsx&amp;sheet=A0&amp;row=875&amp;col=18&amp;number=&amp;sourceID=56","")</f>
        <v/>
      </c>
      <c r="S875" s="4" t="str">
        <f>HYPERLINK("http://141.218.60.56/~jnz1568/getInfo.php?workbook=16_15.xlsx&amp;sheet=A0&amp;row=875&amp;col=19&amp;number=&amp;sourceID=57","")</f>
        <v/>
      </c>
      <c r="T875" s="4" t="str">
        <f>HYPERLINK("http://141.218.60.56/~jnz1568/getInfo.php?workbook=16_15.xlsx&amp;sheet=A0&amp;row=875&amp;col=20&amp;number=&amp;sourceID=57","")</f>
        <v/>
      </c>
      <c r="U875" s="4" t="str">
        <f>HYPERLINK("http://141.218.60.56/~jnz1568/getInfo.php?workbook=16_15.xlsx&amp;sheet=A0&amp;row=875&amp;col=21&amp;number=&amp;sourceID=47","")</f>
        <v/>
      </c>
      <c r="V875" s="4" t="str">
        <f>HYPERLINK("http://141.218.60.56/~jnz1568/getInfo.php?workbook=16_15.xlsx&amp;sheet=A0&amp;row=875&amp;col=22&amp;number=&amp;sourceID=47","")</f>
        <v/>
      </c>
    </row>
    <row r="876" spans="1:22">
      <c r="A876" s="3">
        <v>16</v>
      </c>
      <c r="B876" s="3">
        <v>15</v>
      </c>
      <c r="C876" s="3">
        <v>48</v>
      </c>
      <c r="D876" s="3">
        <v>22</v>
      </c>
      <c r="E876" s="3">
        <f>((1/(INDEX(E0!J$4:J$73,C876,1)-INDEX(E0!J$4:J$73,D876,1))))*100000000</f>
        <v>0</v>
      </c>
      <c r="F876" s="4" t="str">
        <f>HYPERLINK("http://141.218.60.56/~jnz1568/getInfo.php?workbook=16_15.xlsx&amp;sheet=A0&amp;row=876&amp;col=6&amp;number=&amp;sourceID=54","")</f>
        <v/>
      </c>
      <c r="G876" s="4" t="str">
        <f>HYPERLINK("http://141.218.60.56/~jnz1568/getInfo.php?workbook=16_15.xlsx&amp;sheet=A0&amp;row=876&amp;col=7&amp;number=0.001269&amp;sourceID=54","0.001269")</f>
        <v>0.001269</v>
      </c>
      <c r="H876" s="4" t="str">
        <f>HYPERLINK("http://141.218.60.56/~jnz1568/getInfo.php?workbook=16_15.xlsx&amp;sheet=A0&amp;row=876&amp;col=8&amp;number=0.0057001&amp;sourceID=54","0.0057001")</f>
        <v>0.0057001</v>
      </c>
      <c r="I876" s="4" t="str">
        <f>HYPERLINK("http://141.218.60.56/~jnz1568/getInfo.php?workbook=16_15.xlsx&amp;sheet=A0&amp;row=876&amp;col=9&amp;number=&amp;sourceID=54","")</f>
        <v/>
      </c>
      <c r="J876" s="4" t="str">
        <f>HYPERLINK("http://141.218.60.56/~jnz1568/getInfo.php?workbook=16_15.xlsx&amp;sheet=A0&amp;row=876&amp;col=10&amp;number=0.0010939&amp;sourceID=54","0.0010939")</f>
        <v>0.0010939</v>
      </c>
      <c r="K876" s="4" t="str">
        <f>HYPERLINK("http://141.218.60.56/~jnz1568/getInfo.php?workbook=16_15.xlsx&amp;sheet=A0&amp;row=876&amp;col=11&amp;number=0.0054961&amp;sourceID=54","0.0054961")</f>
        <v>0.0054961</v>
      </c>
      <c r="L876" s="4" t="str">
        <f>HYPERLINK("http://141.218.60.56/~jnz1568/getInfo.php?workbook=16_15.xlsx&amp;sheet=A0&amp;row=876&amp;col=12&amp;number=&amp;sourceID=53","")</f>
        <v/>
      </c>
      <c r="M876" s="4" t="str">
        <f>HYPERLINK("http://141.218.60.56/~jnz1568/getInfo.php?workbook=16_15.xlsx&amp;sheet=A0&amp;row=876&amp;col=13&amp;number=&amp;sourceID=53","")</f>
        <v/>
      </c>
      <c r="N876" s="4" t="str">
        <f>HYPERLINK("http://141.218.60.56/~jnz1568/getInfo.php?workbook=16_15.xlsx&amp;sheet=A0&amp;row=876&amp;col=14&amp;number=&amp;sourceID=53","")</f>
        <v/>
      </c>
      <c r="O876" s="4" t="str">
        <f>HYPERLINK("http://141.218.60.56/~jnz1568/getInfo.php?workbook=16_15.xlsx&amp;sheet=A0&amp;row=876&amp;col=15&amp;number=&amp;sourceID=55","")</f>
        <v/>
      </c>
      <c r="P876" s="4" t="str">
        <f>HYPERLINK("http://141.218.60.56/~jnz1568/getInfo.php?workbook=16_15.xlsx&amp;sheet=A0&amp;row=876&amp;col=16&amp;number=&amp;sourceID=55","")</f>
        <v/>
      </c>
      <c r="Q876" s="4" t="str">
        <f>HYPERLINK("http://141.218.60.56/~jnz1568/getInfo.php?workbook=16_15.xlsx&amp;sheet=A0&amp;row=876&amp;col=17&amp;number=&amp;sourceID=56","")</f>
        <v/>
      </c>
      <c r="R876" s="4" t="str">
        <f>HYPERLINK("http://141.218.60.56/~jnz1568/getInfo.php?workbook=16_15.xlsx&amp;sheet=A0&amp;row=876&amp;col=18&amp;number=&amp;sourceID=56","")</f>
        <v/>
      </c>
      <c r="S876" s="4" t="str">
        <f>HYPERLINK("http://141.218.60.56/~jnz1568/getInfo.php?workbook=16_15.xlsx&amp;sheet=A0&amp;row=876&amp;col=19&amp;number=&amp;sourceID=57","")</f>
        <v/>
      </c>
      <c r="T876" s="4" t="str">
        <f>HYPERLINK("http://141.218.60.56/~jnz1568/getInfo.php?workbook=16_15.xlsx&amp;sheet=A0&amp;row=876&amp;col=20&amp;number=&amp;sourceID=57","")</f>
        <v/>
      </c>
      <c r="U876" s="4" t="str">
        <f>HYPERLINK("http://141.218.60.56/~jnz1568/getInfo.php?workbook=16_15.xlsx&amp;sheet=A0&amp;row=876&amp;col=21&amp;number=&amp;sourceID=47","")</f>
        <v/>
      </c>
      <c r="V876" s="4" t="str">
        <f>HYPERLINK("http://141.218.60.56/~jnz1568/getInfo.php?workbook=16_15.xlsx&amp;sheet=A0&amp;row=876&amp;col=22&amp;number=&amp;sourceID=47","")</f>
        <v/>
      </c>
    </row>
    <row r="877" spans="1:22">
      <c r="A877" s="3">
        <v>16</v>
      </c>
      <c r="B877" s="3">
        <v>15</v>
      </c>
      <c r="C877" s="3">
        <v>48</v>
      </c>
      <c r="D877" s="3">
        <v>23</v>
      </c>
      <c r="E877" s="3">
        <f>((1/(INDEX(E0!J$4:J$73,C877,1)-INDEX(E0!J$4:J$73,D877,1))))*100000000</f>
        <v>0</v>
      </c>
      <c r="F877" s="4" t="str">
        <f>HYPERLINK("http://141.218.60.56/~jnz1568/getInfo.php?workbook=16_15.xlsx&amp;sheet=A0&amp;row=877&amp;col=6&amp;number=&amp;sourceID=54","")</f>
        <v/>
      </c>
      <c r="G877" s="4" t="str">
        <f>HYPERLINK("http://141.218.60.56/~jnz1568/getInfo.php?workbook=16_15.xlsx&amp;sheet=A0&amp;row=877&amp;col=7&amp;number=0.00041918&amp;sourceID=54","0.00041918")</f>
        <v>0.00041918</v>
      </c>
      <c r="H877" s="4" t="str">
        <f>HYPERLINK("http://141.218.60.56/~jnz1568/getInfo.php?workbook=16_15.xlsx&amp;sheet=A0&amp;row=877&amp;col=8&amp;number=0.0026291&amp;sourceID=54","0.0026291")</f>
        <v>0.0026291</v>
      </c>
      <c r="I877" s="4" t="str">
        <f>HYPERLINK("http://141.218.60.56/~jnz1568/getInfo.php?workbook=16_15.xlsx&amp;sheet=A0&amp;row=877&amp;col=9&amp;number=&amp;sourceID=54","")</f>
        <v/>
      </c>
      <c r="J877" s="4" t="str">
        <f>HYPERLINK("http://141.218.60.56/~jnz1568/getInfo.php?workbook=16_15.xlsx&amp;sheet=A0&amp;row=877&amp;col=10&amp;number=0.00034418&amp;sourceID=54","0.00034418")</f>
        <v>0.00034418</v>
      </c>
      <c r="K877" s="4" t="str">
        <f>HYPERLINK("http://141.218.60.56/~jnz1568/getInfo.php?workbook=16_15.xlsx&amp;sheet=A0&amp;row=877&amp;col=11&amp;number=0.0028283&amp;sourceID=54","0.0028283")</f>
        <v>0.0028283</v>
      </c>
      <c r="L877" s="4" t="str">
        <f>HYPERLINK("http://141.218.60.56/~jnz1568/getInfo.php?workbook=16_15.xlsx&amp;sheet=A0&amp;row=877&amp;col=12&amp;number=&amp;sourceID=53","")</f>
        <v/>
      </c>
      <c r="M877" s="4" t="str">
        <f>HYPERLINK("http://141.218.60.56/~jnz1568/getInfo.php?workbook=16_15.xlsx&amp;sheet=A0&amp;row=877&amp;col=13&amp;number=&amp;sourceID=53","")</f>
        <v/>
      </c>
      <c r="N877" s="4" t="str">
        <f>HYPERLINK("http://141.218.60.56/~jnz1568/getInfo.php?workbook=16_15.xlsx&amp;sheet=A0&amp;row=877&amp;col=14&amp;number=&amp;sourceID=53","")</f>
        <v/>
      </c>
      <c r="O877" s="4" t="str">
        <f>HYPERLINK("http://141.218.60.56/~jnz1568/getInfo.php?workbook=16_15.xlsx&amp;sheet=A0&amp;row=877&amp;col=15&amp;number=&amp;sourceID=55","")</f>
        <v/>
      </c>
      <c r="P877" s="4" t="str">
        <f>HYPERLINK("http://141.218.60.56/~jnz1568/getInfo.php?workbook=16_15.xlsx&amp;sheet=A0&amp;row=877&amp;col=16&amp;number=&amp;sourceID=55","")</f>
        <v/>
      </c>
      <c r="Q877" s="4" t="str">
        <f>HYPERLINK("http://141.218.60.56/~jnz1568/getInfo.php?workbook=16_15.xlsx&amp;sheet=A0&amp;row=877&amp;col=17&amp;number=&amp;sourceID=56","")</f>
        <v/>
      </c>
      <c r="R877" s="4" t="str">
        <f>HYPERLINK("http://141.218.60.56/~jnz1568/getInfo.php?workbook=16_15.xlsx&amp;sheet=A0&amp;row=877&amp;col=18&amp;number=&amp;sourceID=56","")</f>
        <v/>
      </c>
      <c r="S877" s="4" t="str">
        <f>HYPERLINK("http://141.218.60.56/~jnz1568/getInfo.php?workbook=16_15.xlsx&amp;sheet=A0&amp;row=877&amp;col=19&amp;number=&amp;sourceID=57","")</f>
        <v/>
      </c>
      <c r="T877" s="4" t="str">
        <f>HYPERLINK("http://141.218.60.56/~jnz1568/getInfo.php?workbook=16_15.xlsx&amp;sheet=A0&amp;row=877&amp;col=20&amp;number=&amp;sourceID=57","")</f>
        <v/>
      </c>
      <c r="U877" s="4" t="str">
        <f>HYPERLINK("http://141.218.60.56/~jnz1568/getInfo.php?workbook=16_15.xlsx&amp;sheet=A0&amp;row=877&amp;col=21&amp;number=&amp;sourceID=47","")</f>
        <v/>
      </c>
      <c r="V877" s="4" t="str">
        <f>HYPERLINK("http://141.218.60.56/~jnz1568/getInfo.php?workbook=16_15.xlsx&amp;sheet=A0&amp;row=877&amp;col=22&amp;number=&amp;sourceID=47","")</f>
        <v/>
      </c>
    </row>
    <row r="878" spans="1:22">
      <c r="A878" s="3">
        <v>16</v>
      </c>
      <c r="B878" s="3">
        <v>15</v>
      </c>
      <c r="C878" s="3">
        <v>48</v>
      </c>
      <c r="D878" s="3">
        <v>24</v>
      </c>
      <c r="E878" s="3">
        <f>((1/(INDEX(E0!J$4:J$73,C878,1)-INDEX(E0!J$4:J$73,D878,1))))*100000000</f>
        <v>0</v>
      </c>
      <c r="F878" s="4" t="str">
        <f>HYPERLINK("http://141.218.60.56/~jnz1568/getInfo.php?workbook=16_15.xlsx&amp;sheet=A0&amp;row=878&amp;col=6&amp;number=&amp;sourceID=54","")</f>
        <v/>
      </c>
      <c r="G878" s="4" t="str">
        <f>HYPERLINK("http://141.218.60.56/~jnz1568/getInfo.php?workbook=16_15.xlsx&amp;sheet=A0&amp;row=878&amp;col=7&amp;number=0.094585&amp;sourceID=54","0.094585")</f>
        <v>0.094585</v>
      </c>
      <c r="H878" s="4" t="str">
        <f>HYPERLINK("http://141.218.60.56/~jnz1568/getInfo.php?workbook=16_15.xlsx&amp;sheet=A0&amp;row=878&amp;col=8&amp;number=0.00022215&amp;sourceID=54","0.00022215")</f>
        <v>0.00022215</v>
      </c>
      <c r="I878" s="4" t="str">
        <f>HYPERLINK("http://141.218.60.56/~jnz1568/getInfo.php?workbook=16_15.xlsx&amp;sheet=A0&amp;row=878&amp;col=9&amp;number=&amp;sourceID=54","")</f>
        <v/>
      </c>
      <c r="J878" s="4" t="str">
        <f>HYPERLINK("http://141.218.60.56/~jnz1568/getInfo.php?workbook=16_15.xlsx&amp;sheet=A0&amp;row=878&amp;col=10&amp;number=0.19442&amp;sourceID=54","0.19442")</f>
        <v>0.19442</v>
      </c>
      <c r="K878" s="4" t="str">
        <f>HYPERLINK("http://141.218.60.56/~jnz1568/getInfo.php?workbook=16_15.xlsx&amp;sheet=A0&amp;row=878&amp;col=11&amp;number=0.00016771&amp;sourceID=54","0.00016771")</f>
        <v>0.00016771</v>
      </c>
      <c r="L878" s="4" t="str">
        <f>HYPERLINK("http://141.218.60.56/~jnz1568/getInfo.php?workbook=16_15.xlsx&amp;sheet=A0&amp;row=878&amp;col=12&amp;number=&amp;sourceID=53","")</f>
        <v/>
      </c>
      <c r="M878" s="4" t="str">
        <f>HYPERLINK("http://141.218.60.56/~jnz1568/getInfo.php?workbook=16_15.xlsx&amp;sheet=A0&amp;row=878&amp;col=13&amp;number=&amp;sourceID=53","")</f>
        <v/>
      </c>
      <c r="N878" s="4" t="str">
        <f>HYPERLINK("http://141.218.60.56/~jnz1568/getInfo.php?workbook=16_15.xlsx&amp;sheet=A0&amp;row=878&amp;col=14&amp;number=&amp;sourceID=53","")</f>
        <v/>
      </c>
      <c r="O878" s="4" t="str">
        <f>HYPERLINK("http://141.218.60.56/~jnz1568/getInfo.php?workbook=16_15.xlsx&amp;sheet=A0&amp;row=878&amp;col=15&amp;number=&amp;sourceID=55","")</f>
        <v/>
      </c>
      <c r="P878" s="4" t="str">
        <f>HYPERLINK("http://141.218.60.56/~jnz1568/getInfo.php?workbook=16_15.xlsx&amp;sheet=A0&amp;row=878&amp;col=16&amp;number=&amp;sourceID=55","")</f>
        <v/>
      </c>
      <c r="Q878" s="4" t="str">
        <f>HYPERLINK("http://141.218.60.56/~jnz1568/getInfo.php?workbook=16_15.xlsx&amp;sheet=A0&amp;row=878&amp;col=17&amp;number=&amp;sourceID=56","")</f>
        <v/>
      </c>
      <c r="R878" s="4" t="str">
        <f>HYPERLINK("http://141.218.60.56/~jnz1568/getInfo.php?workbook=16_15.xlsx&amp;sheet=A0&amp;row=878&amp;col=18&amp;number=&amp;sourceID=56","")</f>
        <v/>
      </c>
      <c r="S878" s="4" t="str">
        <f>HYPERLINK("http://141.218.60.56/~jnz1568/getInfo.php?workbook=16_15.xlsx&amp;sheet=A0&amp;row=878&amp;col=19&amp;number=&amp;sourceID=57","")</f>
        <v/>
      </c>
      <c r="T878" s="4" t="str">
        <f>HYPERLINK("http://141.218.60.56/~jnz1568/getInfo.php?workbook=16_15.xlsx&amp;sheet=A0&amp;row=878&amp;col=20&amp;number=&amp;sourceID=57","")</f>
        <v/>
      </c>
      <c r="U878" s="4" t="str">
        <f>HYPERLINK("http://141.218.60.56/~jnz1568/getInfo.php?workbook=16_15.xlsx&amp;sheet=A0&amp;row=878&amp;col=21&amp;number=&amp;sourceID=47","")</f>
        <v/>
      </c>
      <c r="V878" s="4" t="str">
        <f>HYPERLINK("http://141.218.60.56/~jnz1568/getInfo.php?workbook=16_15.xlsx&amp;sheet=A0&amp;row=878&amp;col=22&amp;number=&amp;sourceID=47","")</f>
        <v/>
      </c>
    </row>
    <row r="879" spans="1:22">
      <c r="A879" s="3">
        <v>16</v>
      </c>
      <c r="B879" s="3">
        <v>15</v>
      </c>
      <c r="C879" s="3">
        <v>48</v>
      </c>
      <c r="D879" s="3">
        <v>25</v>
      </c>
      <c r="E879" s="3">
        <f>((1/(INDEX(E0!J$4:J$73,C879,1)-INDEX(E0!J$4:J$73,D879,1))))*100000000</f>
        <v>0</v>
      </c>
      <c r="F879" s="4" t="str">
        <f>HYPERLINK("http://141.218.60.56/~jnz1568/getInfo.php?workbook=16_15.xlsx&amp;sheet=A0&amp;row=879&amp;col=6&amp;number=&amp;sourceID=54","")</f>
        <v/>
      </c>
      <c r="G879" s="4" t="str">
        <f>HYPERLINK("http://141.218.60.56/~jnz1568/getInfo.php?workbook=16_15.xlsx&amp;sheet=A0&amp;row=879&amp;col=7&amp;number=0.03051&amp;sourceID=54","0.03051")</f>
        <v>0.03051</v>
      </c>
      <c r="H879" s="4" t="str">
        <f>HYPERLINK("http://141.218.60.56/~jnz1568/getInfo.php?workbook=16_15.xlsx&amp;sheet=A0&amp;row=879&amp;col=8&amp;number=&amp;sourceID=54","")</f>
        <v/>
      </c>
      <c r="I879" s="4" t="str">
        <f>HYPERLINK("http://141.218.60.56/~jnz1568/getInfo.php?workbook=16_15.xlsx&amp;sheet=A0&amp;row=879&amp;col=9&amp;number=&amp;sourceID=54","")</f>
        <v/>
      </c>
      <c r="J879" s="4" t="str">
        <f>HYPERLINK("http://141.218.60.56/~jnz1568/getInfo.php?workbook=16_15.xlsx&amp;sheet=A0&amp;row=879&amp;col=10&amp;number=0.047263&amp;sourceID=54","0.047263")</f>
        <v>0.047263</v>
      </c>
      <c r="K879" s="4" t="str">
        <f>HYPERLINK("http://141.218.60.56/~jnz1568/getInfo.php?workbook=16_15.xlsx&amp;sheet=A0&amp;row=879&amp;col=11&amp;number=&amp;sourceID=54","")</f>
        <v/>
      </c>
      <c r="L879" s="4" t="str">
        <f>HYPERLINK("http://141.218.60.56/~jnz1568/getInfo.php?workbook=16_15.xlsx&amp;sheet=A0&amp;row=879&amp;col=12&amp;number=&amp;sourceID=53","")</f>
        <v/>
      </c>
      <c r="M879" s="4" t="str">
        <f>HYPERLINK("http://141.218.60.56/~jnz1568/getInfo.php?workbook=16_15.xlsx&amp;sheet=A0&amp;row=879&amp;col=13&amp;number=&amp;sourceID=53","")</f>
        <v/>
      </c>
      <c r="N879" s="4" t="str">
        <f>HYPERLINK("http://141.218.60.56/~jnz1568/getInfo.php?workbook=16_15.xlsx&amp;sheet=A0&amp;row=879&amp;col=14&amp;number=&amp;sourceID=53","")</f>
        <v/>
      </c>
      <c r="O879" s="4" t="str">
        <f>HYPERLINK("http://141.218.60.56/~jnz1568/getInfo.php?workbook=16_15.xlsx&amp;sheet=A0&amp;row=879&amp;col=15&amp;number=&amp;sourceID=55","")</f>
        <v/>
      </c>
      <c r="P879" s="4" t="str">
        <f>HYPERLINK("http://141.218.60.56/~jnz1568/getInfo.php?workbook=16_15.xlsx&amp;sheet=A0&amp;row=879&amp;col=16&amp;number=&amp;sourceID=55","")</f>
        <v/>
      </c>
      <c r="Q879" s="4" t="str">
        <f>HYPERLINK("http://141.218.60.56/~jnz1568/getInfo.php?workbook=16_15.xlsx&amp;sheet=A0&amp;row=879&amp;col=17&amp;number=&amp;sourceID=56","")</f>
        <v/>
      </c>
      <c r="R879" s="4" t="str">
        <f>HYPERLINK("http://141.218.60.56/~jnz1568/getInfo.php?workbook=16_15.xlsx&amp;sheet=A0&amp;row=879&amp;col=18&amp;number=&amp;sourceID=56","")</f>
        <v/>
      </c>
      <c r="S879" s="4" t="str">
        <f>HYPERLINK("http://141.218.60.56/~jnz1568/getInfo.php?workbook=16_15.xlsx&amp;sheet=A0&amp;row=879&amp;col=19&amp;number=&amp;sourceID=57","")</f>
        <v/>
      </c>
      <c r="T879" s="4" t="str">
        <f>HYPERLINK("http://141.218.60.56/~jnz1568/getInfo.php?workbook=16_15.xlsx&amp;sheet=A0&amp;row=879&amp;col=20&amp;number=&amp;sourceID=57","")</f>
        <v/>
      </c>
      <c r="U879" s="4" t="str">
        <f>HYPERLINK("http://141.218.60.56/~jnz1568/getInfo.php?workbook=16_15.xlsx&amp;sheet=A0&amp;row=879&amp;col=21&amp;number=&amp;sourceID=47","")</f>
        <v/>
      </c>
      <c r="V879" s="4" t="str">
        <f>HYPERLINK("http://141.218.60.56/~jnz1568/getInfo.php?workbook=16_15.xlsx&amp;sheet=A0&amp;row=879&amp;col=22&amp;number=&amp;sourceID=47","")</f>
        <v/>
      </c>
    </row>
    <row r="880" spans="1:22">
      <c r="A880" s="3">
        <v>16</v>
      </c>
      <c r="B880" s="3">
        <v>15</v>
      </c>
      <c r="C880" s="3">
        <v>48</v>
      </c>
      <c r="D880" s="3">
        <v>26</v>
      </c>
      <c r="E880" s="3">
        <f>((1/(INDEX(E0!J$4:J$73,C880,1)-INDEX(E0!J$4:J$73,D880,1))))*100000000</f>
        <v>0</v>
      </c>
      <c r="F880" s="4" t="str">
        <f>HYPERLINK("http://141.218.60.56/~jnz1568/getInfo.php?workbook=16_15.xlsx&amp;sheet=A0&amp;row=880&amp;col=6&amp;number=&amp;sourceID=54","")</f>
        <v/>
      </c>
      <c r="G880" s="4" t="str">
        <f>HYPERLINK("http://141.218.60.56/~jnz1568/getInfo.php?workbook=16_15.xlsx&amp;sheet=A0&amp;row=880&amp;col=7&amp;number=4.3223&amp;sourceID=54","4.3223")</f>
        <v>4.3223</v>
      </c>
      <c r="H880" s="4" t="str">
        <f>HYPERLINK("http://141.218.60.56/~jnz1568/getInfo.php?workbook=16_15.xlsx&amp;sheet=A0&amp;row=880&amp;col=8&amp;number=0.0035607&amp;sourceID=54","0.0035607")</f>
        <v>0.0035607</v>
      </c>
      <c r="I880" s="4" t="str">
        <f>HYPERLINK("http://141.218.60.56/~jnz1568/getInfo.php?workbook=16_15.xlsx&amp;sheet=A0&amp;row=880&amp;col=9&amp;number=&amp;sourceID=54","")</f>
        <v/>
      </c>
      <c r="J880" s="4" t="str">
        <f>HYPERLINK("http://141.218.60.56/~jnz1568/getInfo.php?workbook=16_15.xlsx&amp;sheet=A0&amp;row=880&amp;col=10&amp;number=3.8109&amp;sourceID=54","3.8109")</f>
        <v>3.8109</v>
      </c>
      <c r="K880" s="4" t="str">
        <f>HYPERLINK("http://141.218.60.56/~jnz1568/getInfo.php?workbook=16_15.xlsx&amp;sheet=A0&amp;row=880&amp;col=11&amp;number=0.0033969&amp;sourceID=54","0.0033969")</f>
        <v>0.0033969</v>
      </c>
      <c r="L880" s="4" t="str">
        <f>HYPERLINK("http://141.218.60.56/~jnz1568/getInfo.php?workbook=16_15.xlsx&amp;sheet=A0&amp;row=880&amp;col=12&amp;number=&amp;sourceID=53","")</f>
        <v/>
      </c>
      <c r="M880" s="4" t="str">
        <f>HYPERLINK("http://141.218.60.56/~jnz1568/getInfo.php?workbook=16_15.xlsx&amp;sheet=A0&amp;row=880&amp;col=13&amp;number=&amp;sourceID=53","")</f>
        <v/>
      </c>
      <c r="N880" s="4" t="str">
        <f>HYPERLINK("http://141.218.60.56/~jnz1568/getInfo.php?workbook=16_15.xlsx&amp;sheet=A0&amp;row=880&amp;col=14&amp;number=&amp;sourceID=53","")</f>
        <v/>
      </c>
      <c r="O880" s="4" t="str">
        <f>HYPERLINK("http://141.218.60.56/~jnz1568/getInfo.php?workbook=16_15.xlsx&amp;sheet=A0&amp;row=880&amp;col=15&amp;number=&amp;sourceID=55","")</f>
        <v/>
      </c>
      <c r="P880" s="4" t="str">
        <f>HYPERLINK("http://141.218.60.56/~jnz1568/getInfo.php?workbook=16_15.xlsx&amp;sheet=A0&amp;row=880&amp;col=16&amp;number=&amp;sourceID=55","")</f>
        <v/>
      </c>
      <c r="Q880" s="4" t="str">
        <f>HYPERLINK("http://141.218.60.56/~jnz1568/getInfo.php?workbook=16_15.xlsx&amp;sheet=A0&amp;row=880&amp;col=17&amp;number=&amp;sourceID=56","")</f>
        <v/>
      </c>
      <c r="R880" s="4" t="str">
        <f>HYPERLINK("http://141.218.60.56/~jnz1568/getInfo.php?workbook=16_15.xlsx&amp;sheet=A0&amp;row=880&amp;col=18&amp;number=&amp;sourceID=56","")</f>
        <v/>
      </c>
      <c r="S880" s="4" t="str">
        <f>HYPERLINK("http://141.218.60.56/~jnz1568/getInfo.php?workbook=16_15.xlsx&amp;sheet=A0&amp;row=880&amp;col=19&amp;number=&amp;sourceID=57","")</f>
        <v/>
      </c>
      <c r="T880" s="4" t="str">
        <f>HYPERLINK("http://141.218.60.56/~jnz1568/getInfo.php?workbook=16_15.xlsx&amp;sheet=A0&amp;row=880&amp;col=20&amp;number=&amp;sourceID=57","")</f>
        <v/>
      </c>
      <c r="U880" s="4" t="str">
        <f>HYPERLINK("http://141.218.60.56/~jnz1568/getInfo.php?workbook=16_15.xlsx&amp;sheet=A0&amp;row=880&amp;col=21&amp;number=&amp;sourceID=47","")</f>
        <v/>
      </c>
      <c r="V880" s="4" t="str">
        <f>HYPERLINK("http://141.218.60.56/~jnz1568/getInfo.php?workbook=16_15.xlsx&amp;sheet=A0&amp;row=880&amp;col=22&amp;number=&amp;sourceID=47","")</f>
        <v/>
      </c>
    </row>
    <row r="881" spans="1:22">
      <c r="A881" s="3">
        <v>16</v>
      </c>
      <c r="B881" s="3">
        <v>15</v>
      </c>
      <c r="C881" s="3">
        <v>48</v>
      </c>
      <c r="D881" s="3">
        <v>27</v>
      </c>
      <c r="E881" s="3">
        <f>((1/(INDEX(E0!J$4:J$73,C881,1)-INDEX(E0!J$4:J$73,D881,1))))*100000000</f>
        <v>0</v>
      </c>
      <c r="F881" s="4" t="str">
        <f>HYPERLINK("http://141.218.60.56/~jnz1568/getInfo.php?workbook=16_15.xlsx&amp;sheet=A0&amp;row=881&amp;col=6&amp;number=&amp;sourceID=54","")</f>
        <v/>
      </c>
      <c r="G881" s="4" t="str">
        <f>HYPERLINK("http://141.218.60.56/~jnz1568/getInfo.php?workbook=16_15.xlsx&amp;sheet=A0&amp;row=881&amp;col=7&amp;number=0.55872&amp;sourceID=54","0.55872")</f>
        <v>0.55872</v>
      </c>
      <c r="H881" s="4" t="str">
        <f>HYPERLINK("http://141.218.60.56/~jnz1568/getInfo.php?workbook=16_15.xlsx&amp;sheet=A0&amp;row=881&amp;col=8&amp;number=&amp;sourceID=54","")</f>
        <v/>
      </c>
      <c r="I881" s="4" t="str">
        <f>HYPERLINK("http://141.218.60.56/~jnz1568/getInfo.php?workbook=16_15.xlsx&amp;sheet=A0&amp;row=881&amp;col=9&amp;number=&amp;sourceID=54","")</f>
        <v/>
      </c>
      <c r="J881" s="4" t="str">
        <f>HYPERLINK("http://141.218.60.56/~jnz1568/getInfo.php?workbook=16_15.xlsx&amp;sheet=A0&amp;row=881&amp;col=10&amp;number=0.49562&amp;sourceID=54","0.49562")</f>
        <v>0.49562</v>
      </c>
      <c r="K881" s="4" t="str">
        <f>HYPERLINK("http://141.218.60.56/~jnz1568/getInfo.php?workbook=16_15.xlsx&amp;sheet=A0&amp;row=881&amp;col=11&amp;number=&amp;sourceID=54","")</f>
        <v/>
      </c>
      <c r="L881" s="4" t="str">
        <f>HYPERLINK("http://141.218.60.56/~jnz1568/getInfo.php?workbook=16_15.xlsx&amp;sheet=A0&amp;row=881&amp;col=12&amp;number=&amp;sourceID=53","")</f>
        <v/>
      </c>
      <c r="M881" s="4" t="str">
        <f>HYPERLINK("http://141.218.60.56/~jnz1568/getInfo.php?workbook=16_15.xlsx&amp;sheet=A0&amp;row=881&amp;col=13&amp;number=&amp;sourceID=53","")</f>
        <v/>
      </c>
      <c r="N881" s="4" t="str">
        <f>HYPERLINK("http://141.218.60.56/~jnz1568/getInfo.php?workbook=16_15.xlsx&amp;sheet=A0&amp;row=881&amp;col=14&amp;number=&amp;sourceID=53","")</f>
        <v/>
      </c>
      <c r="O881" s="4" t="str">
        <f>HYPERLINK("http://141.218.60.56/~jnz1568/getInfo.php?workbook=16_15.xlsx&amp;sheet=A0&amp;row=881&amp;col=15&amp;number=&amp;sourceID=55","")</f>
        <v/>
      </c>
      <c r="P881" s="4" t="str">
        <f>HYPERLINK("http://141.218.60.56/~jnz1568/getInfo.php?workbook=16_15.xlsx&amp;sheet=A0&amp;row=881&amp;col=16&amp;number=&amp;sourceID=55","")</f>
        <v/>
      </c>
      <c r="Q881" s="4" t="str">
        <f>HYPERLINK("http://141.218.60.56/~jnz1568/getInfo.php?workbook=16_15.xlsx&amp;sheet=A0&amp;row=881&amp;col=17&amp;number=&amp;sourceID=56","")</f>
        <v/>
      </c>
      <c r="R881" s="4" t="str">
        <f>HYPERLINK("http://141.218.60.56/~jnz1568/getInfo.php?workbook=16_15.xlsx&amp;sheet=A0&amp;row=881&amp;col=18&amp;number=&amp;sourceID=56","")</f>
        <v/>
      </c>
      <c r="S881" s="4" t="str">
        <f>HYPERLINK("http://141.218.60.56/~jnz1568/getInfo.php?workbook=16_15.xlsx&amp;sheet=A0&amp;row=881&amp;col=19&amp;number=&amp;sourceID=57","")</f>
        <v/>
      </c>
      <c r="T881" s="4" t="str">
        <f>HYPERLINK("http://141.218.60.56/~jnz1568/getInfo.php?workbook=16_15.xlsx&amp;sheet=A0&amp;row=881&amp;col=20&amp;number=&amp;sourceID=57","")</f>
        <v/>
      </c>
      <c r="U881" s="4" t="str">
        <f>HYPERLINK("http://141.218.60.56/~jnz1568/getInfo.php?workbook=16_15.xlsx&amp;sheet=A0&amp;row=881&amp;col=21&amp;number=&amp;sourceID=47","")</f>
        <v/>
      </c>
      <c r="V881" s="4" t="str">
        <f>HYPERLINK("http://141.218.60.56/~jnz1568/getInfo.php?workbook=16_15.xlsx&amp;sheet=A0&amp;row=881&amp;col=22&amp;number=&amp;sourceID=47","")</f>
        <v/>
      </c>
    </row>
    <row r="882" spans="1:22">
      <c r="A882" s="3">
        <v>16</v>
      </c>
      <c r="B882" s="3">
        <v>15</v>
      </c>
      <c r="C882" s="3">
        <v>48</v>
      </c>
      <c r="D882" s="3">
        <v>28</v>
      </c>
      <c r="E882" s="3">
        <f>((1/(INDEX(E0!J$4:J$73,C882,1)-INDEX(E0!J$4:J$73,D882,1))))*100000000</f>
        <v>0</v>
      </c>
      <c r="F882" s="4" t="str">
        <f>HYPERLINK("http://141.218.60.56/~jnz1568/getInfo.php?workbook=16_15.xlsx&amp;sheet=A0&amp;row=882&amp;col=6&amp;number=&amp;sourceID=54","")</f>
        <v/>
      </c>
      <c r="G882" s="4" t="str">
        <f>HYPERLINK("http://141.218.60.56/~jnz1568/getInfo.php?workbook=16_15.xlsx&amp;sheet=A0&amp;row=882&amp;col=7&amp;number=0.050467&amp;sourceID=54","0.050467")</f>
        <v>0.050467</v>
      </c>
      <c r="H882" s="4" t="str">
        <f>HYPERLINK("http://141.218.60.56/~jnz1568/getInfo.php?workbook=16_15.xlsx&amp;sheet=A0&amp;row=882&amp;col=8&amp;number=4.6834e-07&amp;sourceID=54","4.6834e-07")</f>
        <v>4.6834e-07</v>
      </c>
      <c r="I882" s="4" t="str">
        <f>HYPERLINK("http://141.218.60.56/~jnz1568/getInfo.php?workbook=16_15.xlsx&amp;sheet=A0&amp;row=882&amp;col=9&amp;number=&amp;sourceID=54","")</f>
        <v/>
      </c>
      <c r="J882" s="4" t="str">
        <f>HYPERLINK("http://141.218.60.56/~jnz1568/getInfo.php?workbook=16_15.xlsx&amp;sheet=A0&amp;row=882&amp;col=10&amp;number=0.042711&amp;sourceID=54","0.042711")</f>
        <v>0.042711</v>
      </c>
      <c r="K882" s="4" t="str">
        <f>HYPERLINK("http://141.218.60.56/~jnz1568/getInfo.php?workbook=16_15.xlsx&amp;sheet=A0&amp;row=882&amp;col=11&amp;number=3.5818e-07&amp;sourceID=54","3.5818e-07")</f>
        <v>3.5818e-07</v>
      </c>
      <c r="L882" s="4" t="str">
        <f>HYPERLINK("http://141.218.60.56/~jnz1568/getInfo.php?workbook=16_15.xlsx&amp;sheet=A0&amp;row=882&amp;col=12&amp;number=&amp;sourceID=53","")</f>
        <v/>
      </c>
      <c r="M882" s="4" t="str">
        <f>HYPERLINK("http://141.218.60.56/~jnz1568/getInfo.php?workbook=16_15.xlsx&amp;sheet=A0&amp;row=882&amp;col=13&amp;number=&amp;sourceID=53","")</f>
        <v/>
      </c>
      <c r="N882" s="4" t="str">
        <f>HYPERLINK("http://141.218.60.56/~jnz1568/getInfo.php?workbook=16_15.xlsx&amp;sheet=A0&amp;row=882&amp;col=14&amp;number=&amp;sourceID=53","")</f>
        <v/>
      </c>
      <c r="O882" s="4" t="str">
        <f>HYPERLINK("http://141.218.60.56/~jnz1568/getInfo.php?workbook=16_15.xlsx&amp;sheet=A0&amp;row=882&amp;col=15&amp;number=&amp;sourceID=55","")</f>
        <v/>
      </c>
      <c r="P882" s="4" t="str">
        <f>HYPERLINK("http://141.218.60.56/~jnz1568/getInfo.php?workbook=16_15.xlsx&amp;sheet=A0&amp;row=882&amp;col=16&amp;number=&amp;sourceID=55","")</f>
        <v/>
      </c>
      <c r="Q882" s="4" t="str">
        <f>HYPERLINK("http://141.218.60.56/~jnz1568/getInfo.php?workbook=16_15.xlsx&amp;sheet=A0&amp;row=882&amp;col=17&amp;number=&amp;sourceID=56","")</f>
        <v/>
      </c>
      <c r="R882" s="4" t="str">
        <f>HYPERLINK("http://141.218.60.56/~jnz1568/getInfo.php?workbook=16_15.xlsx&amp;sheet=A0&amp;row=882&amp;col=18&amp;number=&amp;sourceID=56","")</f>
        <v/>
      </c>
      <c r="S882" s="4" t="str">
        <f>HYPERLINK("http://141.218.60.56/~jnz1568/getInfo.php?workbook=16_15.xlsx&amp;sheet=A0&amp;row=882&amp;col=19&amp;number=&amp;sourceID=57","")</f>
        <v/>
      </c>
      <c r="T882" s="4" t="str">
        <f>HYPERLINK("http://141.218.60.56/~jnz1568/getInfo.php?workbook=16_15.xlsx&amp;sheet=A0&amp;row=882&amp;col=20&amp;number=&amp;sourceID=57","")</f>
        <v/>
      </c>
      <c r="U882" s="4" t="str">
        <f>HYPERLINK("http://141.218.60.56/~jnz1568/getInfo.php?workbook=16_15.xlsx&amp;sheet=A0&amp;row=882&amp;col=21&amp;number=&amp;sourceID=47","")</f>
        <v/>
      </c>
      <c r="V882" s="4" t="str">
        <f>HYPERLINK("http://141.218.60.56/~jnz1568/getInfo.php?workbook=16_15.xlsx&amp;sheet=A0&amp;row=882&amp;col=22&amp;number=&amp;sourceID=47","")</f>
        <v/>
      </c>
    </row>
    <row r="883" spans="1:22">
      <c r="A883" s="3">
        <v>16</v>
      </c>
      <c r="B883" s="3">
        <v>15</v>
      </c>
      <c r="C883" s="3">
        <v>48</v>
      </c>
      <c r="D883" s="3">
        <v>29</v>
      </c>
      <c r="E883" s="3">
        <f>((1/(INDEX(E0!J$4:J$73,C883,1)-INDEX(E0!J$4:J$73,D883,1))))*100000000</f>
        <v>0</v>
      </c>
      <c r="F883" s="4" t="str">
        <f>HYPERLINK("http://141.218.60.56/~jnz1568/getInfo.php?workbook=16_15.xlsx&amp;sheet=A0&amp;row=883&amp;col=6&amp;number=&amp;sourceID=54","")</f>
        <v/>
      </c>
      <c r="G883" s="4" t="str">
        <f>HYPERLINK("http://141.218.60.56/~jnz1568/getInfo.php?workbook=16_15.xlsx&amp;sheet=A0&amp;row=883&amp;col=7&amp;number=0.0016719&amp;sourceID=54","0.0016719")</f>
        <v>0.0016719</v>
      </c>
      <c r="H883" s="4" t="str">
        <f>HYPERLINK("http://141.218.60.56/~jnz1568/getInfo.php?workbook=16_15.xlsx&amp;sheet=A0&amp;row=883&amp;col=8&amp;number=6.2966e-08&amp;sourceID=54","6.2966e-08")</f>
        <v>6.2966e-08</v>
      </c>
      <c r="I883" s="4" t="str">
        <f>HYPERLINK("http://141.218.60.56/~jnz1568/getInfo.php?workbook=16_15.xlsx&amp;sheet=A0&amp;row=883&amp;col=9&amp;number=&amp;sourceID=54","")</f>
        <v/>
      </c>
      <c r="J883" s="4" t="str">
        <f>HYPERLINK("http://141.218.60.56/~jnz1568/getInfo.php?workbook=16_15.xlsx&amp;sheet=A0&amp;row=883&amp;col=10&amp;number=0.001097&amp;sourceID=54","0.001097")</f>
        <v>0.001097</v>
      </c>
      <c r="K883" s="4" t="str">
        <f>HYPERLINK("http://141.218.60.56/~jnz1568/getInfo.php?workbook=16_15.xlsx&amp;sheet=A0&amp;row=883&amp;col=11&amp;number=5.2255e-08&amp;sourceID=54","5.2255e-08")</f>
        <v>5.2255e-08</v>
      </c>
      <c r="L883" s="4" t="str">
        <f>HYPERLINK("http://141.218.60.56/~jnz1568/getInfo.php?workbook=16_15.xlsx&amp;sheet=A0&amp;row=883&amp;col=12&amp;number=&amp;sourceID=53","")</f>
        <v/>
      </c>
      <c r="M883" s="4" t="str">
        <f>HYPERLINK("http://141.218.60.56/~jnz1568/getInfo.php?workbook=16_15.xlsx&amp;sheet=A0&amp;row=883&amp;col=13&amp;number=&amp;sourceID=53","")</f>
        <v/>
      </c>
      <c r="N883" s="4" t="str">
        <f>HYPERLINK("http://141.218.60.56/~jnz1568/getInfo.php?workbook=16_15.xlsx&amp;sheet=A0&amp;row=883&amp;col=14&amp;number=&amp;sourceID=53","")</f>
        <v/>
      </c>
      <c r="O883" s="4" t="str">
        <f>HYPERLINK("http://141.218.60.56/~jnz1568/getInfo.php?workbook=16_15.xlsx&amp;sheet=A0&amp;row=883&amp;col=15&amp;number=&amp;sourceID=55","")</f>
        <v/>
      </c>
      <c r="P883" s="4" t="str">
        <f>HYPERLINK("http://141.218.60.56/~jnz1568/getInfo.php?workbook=16_15.xlsx&amp;sheet=A0&amp;row=883&amp;col=16&amp;number=&amp;sourceID=55","")</f>
        <v/>
      </c>
      <c r="Q883" s="4" t="str">
        <f>HYPERLINK("http://141.218.60.56/~jnz1568/getInfo.php?workbook=16_15.xlsx&amp;sheet=A0&amp;row=883&amp;col=17&amp;number=&amp;sourceID=56","")</f>
        <v/>
      </c>
      <c r="R883" s="4" t="str">
        <f>HYPERLINK("http://141.218.60.56/~jnz1568/getInfo.php?workbook=16_15.xlsx&amp;sheet=A0&amp;row=883&amp;col=18&amp;number=&amp;sourceID=56","")</f>
        <v/>
      </c>
      <c r="S883" s="4" t="str">
        <f>HYPERLINK("http://141.218.60.56/~jnz1568/getInfo.php?workbook=16_15.xlsx&amp;sheet=A0&amp;row=883&amp;col=19&amp;number=&amp;sourceID=57","")</f>
        <v/>
      </c>
      <c r="T883" s="4" t="str">
        <f>HYPERLINK("http://141.218.60.56/~jnz1568/getInfo.php?workbook=16_15.xlsx&amp;sheet=A0&amp;row=883&amp;col=20&amp;number=&amp;sourceID=57","")</f>
        <v/>
      </c>
      <c r="U883" s="4" t="str">
        <f>HYPERLINK("http://141.218.60.56/~jnz1568/getInfo.php?workbook=16_15.xlsx&amp;sheet=A0&amp;row=883&amp;col=21&amp;number=&amp;sourceID=47","")</f>
        <v/>
      </c>
      <c r="V883" s="4" t="str">
        <f>HYPERLINK("http://141.218.60.56/~jnz1568/getInfo.php?workbook=16_15.xlsx&amp;sheet=A0&amp;row=883&amp;col=22&amp;number=&amp;sourceID=47","")</f>
        <v/>
      </c>
    </row>
    <row r="884" spans="1:22">
      <c r="A884" s="3">
        <v>16</v>
      </c>
      <c r="B884" s="3">
        <v>15</v>
      </c>
      <c r="C884" s="3">
        <v>48</v>
      </c>
      <c r="D884" s="3">
        <v>30</v>
      </c>
      <c r="E884" s="3">
        <f>((1/(INDEX(E0!J$4:J$73,C884,1)-INDEX(E0!J$4:J$73,D884,1))))*100000000</f>
        <v>0</v>
      </c>
      <c r="F884" s="4" t="str">
        <f>HYPERLINK("http://141.218.60.56/~jnz1568/getInfo.php?workbook=16_15.xlsx&amp;sheet=A0&amp;row=884&amp;col=6&amp;number=&amp;sourceID=54","")</f>
        <v/>
      </c>
      <c r="G884" s="4" t="str">
        <f>HYPERLINK("http://141.218.60.56/~jnz1568/getInfo.php?workbook=16_15.xlsx&amp;sheet=A0&amp;row=884&amp;col=7&amp;number=0.00016417&amp;sourceID=54","0.00016417")</f>
        <v>0.00016417</v>
      </c>
      <c r="H884" s="4" t="str">
        <f>HYPERLINK("http://141.218.60.56/~jnz1568/getInfo.php?workbook=16_15.xlsx&amp;sheet=A0&amp;row=884&amp;col=8&amp;number=0.001171&amp;sourceID=54","0.001171")</f>
        <v>0.001171</v>
      </c>
      <c r="I884" s="4" t="str">
        <f>HYPERLINK("http://141.218.60.56/~jnz1568/getInfo.php?workbook=16_15.xlsx&amp;sheet=A0&amp;row=884&amp;col=9&amp;number=&amp;sourceID=54","")</f>
        <v/>
      </c>
      <c r="J884" s="4" t="str">
        <f>HYPERLINK("http://141.218.60.56/~jnz1568/getInfo.php?workbook=16_15.xlsx&amp;sheet=A0&amp;row=884&amp;col=10&amp;number=0.00020148&amp;sourceID=54","0.00020148")</f>
        <v>0.00020148</v>
      </c>
      <c r="K884" s="4" t="str">
        <f>HYPERLINK("http://141.218.60.56/~jnz1568/getInfo.php?workbook=16_15.xlsx&amp;sheet=A0&amp;row=884&amp;col=11&amp;number=0.00097201&amp;sourceID=54","0.00097201")</f>
        <v>0.00097201</v>
      </c>
      <c r="L884" s="4" t="str">
        <f>HYPERLINK("http://141.218.60.56/~jnz1568/getInfo.php?workbook=16_15.xlsx&amp;sheet=A0&amp;row=884&amp;col=12&amp;number=&amp;sourceID=53","")</f>
        <v/>
      </c>
      <c r="M884" s="4" t="str">
        <f>HYPERLINK("http://141.218.60.56/~jnz1568/getInfo.php?workbook=16_15.xlsx&amp;sheet=A0&amp;row=884&amp;col=13&amp;number=&amp;sourceID=53","")</f>
        <v/>
      </c>
      <c r="N884" s="4" t="str">
        <f>HYPERLINK("http://141.218.60.56/~jnz1568/getInfo.php?workbook=16_15.xlsx&amp;sheet=A0&amp;row=884&amp;col=14&amp;number=&amp;sourceID=53","")</f>
        <v/>
      </c>
      <c r="O884" s="4" t="str">
        <f>HYPERLINK("http://141.218.60.56/~jnz1568/getInfo.php?workbook=16_15.xlsx&amp;sheet=A0&amp;row=884&amp;col=15&amp;number=&amp;sourceID=55","")</f>
        <v/>
      </c>
      <c r="P884" s="4" t="str">
        <f>HYPERLINK("http://141.218.60.56/~jnz1568/getInfo.php?workbook=16_15.xlsx&amp;sheet=A0&amp;row=884&amp;col=16&amp;number=&amp;sourceID=55","")</f>
        <v/>
      </c>
      <c r="Q884" s="4" t="str">
        <f>HYPERLINK("http://141.218.60.56/~jnz1568/getInfo.php?workbook=16_15.xlsx&amp;sheet=A0&amp;row=884&amp;col=17&amp;number=&amp;sourceID=56","")</f>
        <v/>
      </c>
      <c r="R884" s="4" t="str">
        <f>HYPERLINK("http://141.218.60.56/~jnz1568/getInfo.php?workbook=16_15.xlsx&amp;sheet=A0&amp;row=884&amp;col=18&amp;number=&amp;sourceID=56","")</f>
        <v/>
      </c>
      <c r="S884" s="4" t="str">
        <f>HYPERLINK("http://141.218.60.56/~jnz1568/getInfo.php?workbook=16_15.xlsx&amp;sheet=A0&amp;row=884&amp;col=19&amp;number=&amp;sourceID=57","")</f>
        <v/>
      </c>
      <c r="T884" s="4" t="str">
        <f>HYPERLINK("http://141.218.60.56/~jnz1568/getInfo.php?workbook=16_15.xlsx&amp;sheet=A0&amp;row=884&amp;col=20&amp;number=&amp;sourceID=57","")</f>
        <v/>
      </c>
      <c r="U884" s="4" t="str">
        <f>HYPERLINK("http://141.218.60.56/~jnz1568/getInfo.php?workbook=16_15.xlsx&amp;sheet=A0&amp;row=884&amp;col=21&amp;number=&amp;sourceID=47","")</f>
        <v/>
      </c>
      <c r="V884" s="4" t="str">
        <f>HYPERLINK("http://141.218.60.56/~jnz1568/getInfo.php?workbook=16_15.xlsx&amp;sheet=A0&amp;row=884&amp;col=22&amp;number=&amp;sourceID=47","")</f>
        <v/>
      </c>
    </row>
    <row r="885" spans="1:22">
      <c r="A885" s="3">
        <v>16</v>
      </c>
      <c r="B885" s="3">
        <v>15</v>
      </c>
      <c r="C885" s="3">
        <v>48</v>
      </c>
      <c r="D885" s="3">
        <v>31</v>
      </c>
      <c r="E885" s="3">
        <f>((1/(INDEX(E0!J$4:J$73,C885,1)-INDEX(E0!J$4:J$73,D885,1))))*100000000</f>
        <v>0</v>
      </c>
      <c r="F885" s="4" t="str">
        <f>HYPERLINK("http://141.218.60.56/~jnz1568/getInfo.php?workbook=16_15.xlsx&amp;sheet=A0&amp;row=885&amp;col=6&amp;number=10655&amp;sourceID=54","10655")</f>
        <v>10655</v>
      </c>
      <c r="G885" s="4" t="str">
        <f>HYPERLINK("http://141.218.60.56/~jnz1568/getInfo.php?workbook=16_15.xlsx&amp;sheet=A0&amp;row=885&amp;col=7&amp;number=&amp;sourceID=54","")</f>
        <v/>
      </c>
      <c r="H885" s="4" t="str">
        <f>HYPERLINK("http://141.218.60.56/~jnz1568/getInfo.php?workbook=16_15.xlsx&amp;sheet=A0&amp;row=885&amp;col=8&amp;number=&amp;sourceID=54","")</f>
        <v/>
      </c>
      <c r="I885" s="4" t="str">
        <f>HYPERLINK("http://141.218.60.56/~jnz1568/getInfo.php?workbook=16_15.xlsx&amp;sheet=A0&amp;row=885&amp;col=9&amp;number=7182.2&amp;sourceID=54","7182.2")</f>
        <v>7182.2</v>
      </c>
      <c r="J885" s="4" t="str">
        <f>HYPERLINK("http://141.218.60.56/~jnz1568/getInfo.php?workbook=16_15.xlsx&amp;sheet=A0&amp;row=885&amp;col=10&amp;number=&amp;sourceID=54","")</f>
        <v/>
      </c>
      <c r="K885" s="4" t="str">
        <f>HYPERLINK("http://141.218.60.56/~jnz1568/getInfo.php?workbook=16_15.xlsx&amp;sheet=A0&amp;row=885&amp;col=11&amp;number=&amp;sourceID=54","")</f>
        <v/>
      </c>
      <c r="L885" s="4" t="str">
        <f>HYPERLINK("http://141.218.60.56/~jnz1568/getInfo.php?workbook=16_15.xlsx&amp;sheet=A0&amp;row=885&amp;col=12&amp;number=10367.3237791&amp;sourceID=53","10367.3237791")</f>
        <v>10367.3237791</v>
      </c>
      <c r="M885" s="4" t="str">
        <f>HYPERLINK("http://141.218.60.56/~jnz1568/getInfo.php?workbook=16_15.xlsx&amp;sheet=A0&amp;row=885&amp;col=13&amp;number=&amp;sourceID=53","")</f>
        <v/>
      </c>
      <c r="N885" s="4" t="str">
        <f>HYPERLINK("http://141.218.60.56/~jnz1568/getInfo.php?workbook=16_15.xlsx&amp;sheet=A0&amp;row=885&amp;col=14&amp;number=&amp;sourceID=53","")</f>
        <v/>
      </c>
      <c r="O885" s="4" t="str">
        <f>HYPERLINK("http://141.218.60.56/~jnz1568/getInfo.php?workbook=16_15.xlsx&amp;sheet=A0&amp;row=885&amp;col=15&amp;number=&amp;sourceID=55","")</f>
        <v/>
      </c>
      <c r="P885" s="4" t="str">
        <f>HYPERLINK("http://141.218.60.56/~jnz1568/getInfo.php?workbook=16_15.xlsx&amp;sheet=A0&amp;row=885&amp;col=16&amp;number=&amp;sourceID=55","")</f>
        <v/>
      </c>
      <c r="Q885" s="4" t="str">
        <f>HYPERLINK("http://141.218.60.56/~jnz1568/getInfo.php?workbook=16_15.xlsx&amp;sheet=A0&amp;row=885&amp;col=17&amp;number=&amp;sourceID=56","")</f>
        <v/>
      </c>
      <c r="R885" s="4" t="str">
        <f>HYPERLINK("http://141.218.60.56/~jnz1568/getInfo.php?workbook=16_15.xlsx&amp;sheet=A0&amp;row=885&amp;col=18&amp;number=&amp;sourceID=56","")</f>
        <v/>
      </c>
      <c r="S885" s="4" t="str">
        <f>HYPERLINK("http://141.218.60.56/~jnz1568/getInfo.php?workbook=16_15.xlsx&amp;sheet=A0&amp;row=885&amp;col=19&amp;number=&amp;sourceID=57","")</f>
        <v/>
      </c>
      <c r="T885" s="4" t="str">
        <f>HYPERLINK("http://141.218.60.56/~jnz1568/getInfo.php?workbook=16_15.xlsx&amp;sheet=A0&amp;row=885&amp;col=20&amp;number=&amp;sourceID=57","")</f>
        <v/>
      </c>
      <c r="U885" s="4" t="str">
        <f>HYPERLINK("http://141.218.60.56/~jnz1568/getInfo.php?workbook=16_15.xlsx&amp;sheet=A0&amp;row=885&amp;col=21&amp;number=&amp;sourceID=47","")</f>
        <v/>
      </c>
      <c r="V885" s="4" t="str">
        <f>HYPERLINK("http://141.218.60.56/~jnz1568/getInfo.php?workbook=16_15.xlsx&amp;sheet=A0&amp;row=885&amp;col=22&amp;number=&amp;sourceID=47","")</f>
        <v/>
      </c>
    </row>
    <row r="886" spans="1:22">
      <c r="A886" s="3">
        <v>16</v>
      </c>
      <c r="B886" s="3">
        <v>15</v>
      </c>
      <c r="C886" s="3">
        <v>48</v>
      </c>
      <c r="D886" s="3">
        <v>32</v>
      </c>
      <c r="E886" s="3">
        <f>((1/(INDEX(E0!J$4:J$73,C886,1)-INDEX(E0!J$4:J$73,D886,1))))*100000000</f>
        <v>0</v>
      </c>
      <c r="F886" s="4" t="str">
        <f>HYPERLINK("http://141.218.60.56/~jnz1568/getInfo.php?workbook=16_15.xlsx&amp;sheet=A0&amp;row=886&amp;col=6&amp;number=&amp;sourceID=54","")</f>
        <v/>
      </c>
      <c r="G886" s="4" t="str">
        <f>HYPERLINK("http://141.218.60.56/~jnz1568/getInfo.php?workbook=16_15.xlsx&amp;sheet=A0&amp;row=886&amp;col=7&amp;number=0.0040416&amp;sourceID=54","0.0040416")</f>
        <v>0.0040416</v>
      </c>
      <c r="H886" s="4" t="str">
        <f>HYPERLINK("http://141.218.60.56/~jnz1568/getInfo.php?workbook=16_15.xlsx&amp;sheet=A0&amp;row=886&amp;col=8&amp;number=&amp;sourceID=54","")</f>
        <v/>
      </c>
      <c r="I886" s="4" t="str">
        <f>HYPERLINK("http://141.218.60.56/~jnz1568/getInfo.php?workbook=16_15.xlsx&amp;sheet=A0&amp;row=886&amp;col=9&amp;number=&amp;sourceID=54","")</f>
        <v/>
      </c>
      <c r="J886" s="4" t="str">
        <f>HYPERLINK("http://141.218.60.56/~jnz1568/getInfo.php?workbook=16_15.xlsx&amp;sheet=A0&amp;row=886&amp;col=10&amp;number=0.0044278&amp;sourceID=54","0.0044278")</f>
        <v>0.0044278</v>
      </c>
      <c r="K886" s="4" t="str">
        <f>HYPERLINK("http://141.218.60.56/~jnz1568/getInfo.php?workbook=16_15.xlsx&amp;sheet=A0&amp;row=886&amp;col=11&amp;number=&amp;sourceID=54","")</f>
        <v/>
      </c>
      <c r="L886" s="4" t="str">
        <f>HYPERLINK("http://141.218.60.56/~jnz1568/getInfo.php?workbook=16_15.xlsx&amp;sheet=A0&amp;row=886&amp;col=12&amp;number=&amp;sourceID=53","")</f>
        <v/>
      </c>
      <c r="M886" s="4" t="str">
        <f>HYPERLINK("http://141.218.60.56/~jnz1568/getInfo.php?workbook=16_15.xlsx&amp;sheet=A0&amp;row=886&amp;col=13&amp;number=&amp;sourceID=53","")</f>
        <v/>
      </c>
      <c r="N886" s="4" t="str">
        <f>HYPERLINK("http://141.218.60.56/~jnz1568/getInfo.php?workbook=16_15.xlsx&amp;sheet=A0&amp;row=886&amp;col=14&amp;number=&amp;sourceID=53","")</f>
        <v/>
      </c>
      <c r="O886" s="4" t="str">
        <f>HYPERLINK("http://141.218.60.56/~jnz1568/getInfo.php?workbook=16_15.xlsx&amp;sheet=A0&amp;row=886&amp;col=15&amp;number=&amp;sourceID=55","")</f>
        <v/>
      </c>
      <c r="P886" s="4" t="str">
        <f>HYPERLINK("http://141.218.60.56/~jnz1568/getInfo.php?workbook=16_15.xlsx&amp;sheet=A0&amp;row=886&amp;col=16&amp;number=&amp;sourceID=55","")</f>
        <v/>
      </c>
      <c r="Q886" s="4" t="str">
        <f>HYPERLINK("http://141.218.60.56/~jnz1568/getInfo.php?workbook=16_15.xlsx&amp;sheet=A0&amp;row=886&amp;col=17&amp;number=&amp;sourceID=56","")</f>
        <v/>
      </c>
      <c r="R886" s="4" t="str">
        <f>HYPERLINK("http://141.218.60.56/~jnz1568/getInfo.php?workbook=16_15.xlsx&amp;sheet=A0&amp;row=886&amp;col=18&amp;number=&amp;sourceID=56","")</f>
        <v/>
      </c>
      <c r="S886" s="4" t="str">
        <f>HYPERLINK("http://141.218.60.56/~jnz1568/getInfo.php?workbook=16_15.xlsx&amp;sheet=A0&amp;row=886&amp;col=19&amp;number=&amp;sourceID=57","")</f>
        <v/>
      </c>
      <c r="T886" s="4" t="str">
        <f>HYPERLINK("http://141.218.60.56/~jnz1568/getInfo.php?workbook=16_15.xlsx&amp;sheet=A0&amp;row=886&amp;col=20&amp;number=&amp;sourceID=57","")</f>
        <v/>
      </c>
      <c r="U886" s="4" t="str">
        <f>HYPERLINK("http://141.218.60.56/~jnz1568/getInfo.php?workbook=16_15.xlsx&amp;sheet=A0&amp;row=886&amp;col=21&amp;number=&amp;sourceID=47","")</f>
        <v/>
      </c>
      <c r="V886" s="4" t="str">
        <f>HYPERLINK("http://141.218.60.56/~jnz1568/getInfo.php?workbook=16_15.xlsx&amp;sheet=A0&amp;row=886&amp;col=22&amp;number=&amp;sourceID=47","")</f>
        <v/>
      </c>
    </row>
    <row r="887" spans="1:22">
      <c r="A887" s="3">
        <v>16</v>
      </c>
      <c r="B887" s="3">
        <v>15</v>
      </c>
      <c r="C887" s="3">
        <v>48</v>
      </c>
      <c r="D887" s="3">
        <v>34</v>
      </c>
      <c r="E887" s="3">
        <f>((1/(INDEX(E0!J$4:J$73,C887,1)-INDEX(E0!J$4:J$73,D887,1))))*100000000</f>
        <v>0</v>
      </c>
      <c r="F887" s="4" t="str">
        <f>HYPERLINK("http://141.218.60.56/~jnz1568/getInfo.php?workbook=16_15.xlsx&amp;sheet=A0&amp;row=887&amp;col=6&amp;number=1764.1&amp;sourceID=54","1764.1")</f>
        <v>1764.1</v>
      </c>
      <c r="G887" s="4" t="str">
        <f>HYPERLINK("http://141.218.60.56/~jnz1568/getInfo.php?workbook=16_15.xlsx&amp;sheet=A0&amp;row=887&amp;col=7&amp;number=&amp;sourceID=54","")</f>
        <v/>
      </c>
      <c r="H887" s="4" t="str">
        <f>HYPERLINK("http://141.218.60.56/~jnz1568/getInfo.php?workbook=16_15.xlsx&amp;sheet=A0&amp;row=887&amp;col=8&amp;number=&amp;sourceID=54","")</f>
        <v/>
      </c>
      <c r="I887" s="4" t="str">
        <f>HYPERLINK("http://141.218.60.56/~jnz1568/getInfo.php?workbook=16_15.xlsx&amp;sheet=A0&amp;row=887&amp;col=9&amp;number=1132.8&amp;sourceID=54","1132.8")</f>
        <v>1132.8</v>
      </c>
      <c r="J887" s="4" t="str">
        <f>HYPERLINK("http://141.218.60.56/~jnz1568/getInfo.php?workbook=16_15.xlsx&amp;sheet=A0&amp;row=887&amp;col=10&amp;number=&amp;sourceID=54","")</f>
        <v/>
      </c>
      <c r="K887" s="4" t="str">
        <f>HYPERLINK("http://141.218.60.56/~jnz1568/getInfo.php?workbook=16_15.xlsx&amp;sheet=A0&amp;row=887&amp;col=11&amp;number=&amp;sourceID=54","")</f>
        <v/>
      </c>
      <c r="L887" s="4" t="str">
        <f>HYPERLINK("http://141.218.60.56/~jnz1568/getInfo.php?workbook=16_15.xlsx&amp;sheet=A0&amp;row=887&amp;col=12&amp;number=1778.74406303&amp;sourceID=53","1778.74406303")</f>
        <v>1778.74406303</v>
      </c>
      <c r="M887" s="4" t="str">
        <f>HYPERLINK("http://141.218.60.56/~jnz1568/getInfo.php?workbook=16_15.xlsx&amp;sheet=A0&amp;row=887&amp;col=13&amp;number=&amp;sourceID=53","")</f>
        <v/>
      </c>
      <c r="N887" s="4" t="str">
        <f>HYPERLINK("http://141.218.60.56/~jnz1568/getInfo.php?workbook=16_15.xlsx&amp;sheet=A0&amp;row=887&amp;col=14&amp;number=&amp;sourceID=53","")</f>
        <v/>
      </c>
      <c r="O887" s="4" t="str">
        <f>HYPERLINK("http://141.218.60.56/~jnz1568/getInfo.php?workbook=16_15.xlsx&amp;sheet=A0&amp;row=887&amp;col=15&amp;number=&amp;sourceID=55","")</f>
        <v/>
      </c>
      <c r="P887" s="4" t="str">
        <f>HYPERLINK("http://141.218.60.56/~jnz1568/getInfo.php?workbook=16_15.xlsx&amp;sheet=A0&amp;row=887&amp;col=16&amp;number=&amp;sourceID=55","")</f>
        <v/>
      </c>
      <c r="Q887" s="4" t="str">
        <f>HYPERLINK("http://141.218.60.56/~jnz1568/getInfo.php?workbook=16_15.xlsx&amp;sheet=A0&amp;row=887&amp;col=17&amp;number=&amp;sourceID=56","")</f>
        <v/>
      </c>
      <c r="R887" s="4" t="str">
        <f>HYPERLINK("http://141.218.60.56/~jnz1568/getInfo.php?workbook=16_15.xlsx&amp;sheet=A0&amp;row=887&amp;col=18&amp;number=&amp;sourceID=56","")</f>
        <v/>
      </c>
      <c r="S887" s="4" t="str">
        <f>HYPERLINK("http://141.218.60.56/~jnz1568/getInfo.php?workbook=16_15.xlsx&amp;sheet=A0&amp;row=887&amp;col=19&amp;number=&amp;sourceID=57","")</f>
        <v/>
      </c>
      <c r="T887" s="4" t="str">
        <f>HYPERLINK("http://141.218.60.56/~jnz1568/getInfo.php?workbook=16_15.xlsx&amp;sheet=A0&amp;row=887&amp;col=20&amp;number=&amp;sourceID=57","")</f>
        <v/>
      </c>
      <c r="U887" s="4" t="str">
        <f>HYPERLINK("http://141.218.60.56/~jnz1568/getInfo.php?workbook=16_15.xlsx&amp;sheet=A0&amp;row=887&amp;col=21&amp;number=&amp;sourceID=47","")</f>
        <v/>
      </c>
      <c r="V887" s="4" t="str">
        <f>HYPERLINK("http://141.218.60.56/~jnz1568/getInfo.php?workbook=16_15.xlsx&amp;sheet=A0&amp;row=887&amp;col=22&amp;number=&amp;sourceID=47","")</f>
        <v/>
      </c>
    </row>
    <row r="888" spans="1:22">
      <c r="A888" s="3">
        <v>16</v>
      </c>
      <c r="B888" s="3">
        <v>15</v>
      </c>
      <c r="C888" s="3">
        <v>48</v>
      </c>
      <c r="D888" s="3">
        <v>35</v>
      </c>
      <c r="E888" s="3">
        <f>((1/(INDEX(E0!J$4:J$73,C888,1)-INDEX(E0!J$4:J$73,D888,1))))*100000000</f>
        <v>0</v>
      </c>
      <c r="F888" s="4" t="str">
        <f>HYPERLINK("http://141.218.60.56/~jnz1568/getInfo.php?workbook=16_15.xlsx&amp;sheet=A0&amp;row=888&amp;col=6&amp;number=706.71&amp;sourceID=54","706.71")</f>
        <v>706.71</v>
      </c>
      <c r="G888" s="4" t="str">
        <f>HYPERLINK("http://141.218.60.56/~jnz1568/getInfo.php?workbook=16_15.xlsx&amp;sheet=A0&amp;row=888&amp;col=7&amp;number=&amp;sourceID=54","")</f>
        <v/>
      </c>
      <c r="H888" s="4" t="str">
        <f>HYPERLINK("http://141.218.60.56/~jnz1568/getInfo.php?workbook=16_15.xlsx&amp;sheet=A0&amp;row=888&amp;col=8&amp;number=&amp;sourceID=54","")</f>
        <v/>
      </c>
      <c r="I888" s="4" t="str">
        <f>HYPERLINK("http://141.218.60.56/~jnz1568/getInfo.php?workbook=16_15.xlsx&amp;sheet=A0&amp;row=888&amp;col=9&amp;number=449.04&amp;sourceID=54","449.04")</f>
        <v>449.04</v>
      </c>
      <c r="J888" s="4" t="str">
        <f>HYPERLINK("http://141.218.60.56/~jnz1568/getInfo.php?workbook=16_15.xlsx&amp;sheet=A0&amp;row=888&amp;col=10&amp;number=&amp;sourceID=54","")</f>
        <v/>
      </c>
      <c r="K888" s="4" t="str">
        <f>HYPERLINK("http://141.218.60.56/~jnz1568/getInfo.php?workbook=16_15.xlsx&amp;sheet=A0&amp;row=888&amp;col=11&amp;number=&amp;sourceID=54","")</f>
        <v/>
      </c>
      <c r="L888" s="4" t="str">
        <f>HYPERLINK("http://141.218.60.56/~jnz1568/getInfo.php?workbook=16_15.xlsx&amp;sheet=A0&amp;row=888&amp;col=12&amp;number=486.320694122&amp;sourceID=53","486.320694122")</f>
        <v>486.320694122</v>
      </c>
      <c r="M888" s="4" t="str">
        <f>HYPERLINK("http://141.218.60.56/~jnz1568/getInfo.php?workbook=16_15.xlsx&amp;sheet=A0&amp;row=888&amp;col=13&amp;number=&amp;sourceID=53","")</f>
        <v/>
      </c>
      <c r="N888" s="4" t="str">
        <f>HYPERLINK("http://141.218.60.56/~jnz1568/getInfo.php?workbook=16_15.xlsx&amp;sheet=A0&amp;row=888&amp;col=14&amp;number=&amp;sourceID=53","")</f>
        <v/>
      </c>
      <c r="O888" s="4" t="str">
        <f>HYPERLINK("http://141.218.60.56/~jnz1568/getInfo.php?workbook=16_15.xlsx&amp;sheet=A0&amp;row=888&amp;col=15&amp;number=&amp;sourceID=55","")</f>
        <v/>
      </c>
      <c r="P888" s="4" t="str">
        <f>HYPERLINK("http://141.218.60.56/~jnz1568/getInfo.php?workbook=16_15.xlsx&amp;sheet=A0&amp;row=888&amp;col=16&amp;number=&amp;sourceID=55","")</f>
        <v/>
      </c>
      <c r="Q888" s="4" t="str">
        <f>HYPERLINK("http://141.218.60.56/~jnz1568/getInfo.php?workbook=16_15.xlsx&amp;sheet=A0&amp;row=888&amp;col=17&amp;number=&amp;sourceID=56","")</f>
        <v/>
      </c>
      <c r="R888" s="4" t="str">
        <f>HYPERLINK("http://141.218.60.56/~jnz1568/getInfo.php?workbook=16_15.xlsx&amp;sheet=A0&amp;row=888&amp;col=18&amp;number=&amp;sourceID=56","")</f>
        <v/>
      </c>
      <c r="S888" s="4" t="str">
        <f>HYPERLINK("http://141.218.60.56/~jnz1568/getInfo.php?workbook=16_15.xlsx&amp;sheet=A0&amp;row=888&amp;col=19&amp;number=&amp;sourceID=57","")</f>
        <v/>
      </c>
      <c r="T888" s="4" t="str">
        <f>HYPERLINK("http://141.218.60.56/~jnz1568/getInfo.php?workbook=16_15.xlsx&amp;sheet=A0&amp;row=888&amp;col=20&amp;number=&amp;sourceID=57","")</f>
        <v/>
      </c>
      <c r="U888" s="4" t="str">
        <f>HYPERLINK("http://141.218.60.56/~jnz1568/getInfo.php?workbook=16_15.xlsx&amp;sheet=A0&amp;row=888&amp;col=21&amp;number=&amp;sourceID=47","")</f>
        <v/>
      </c>
      <c r="V888" s="4" t="str">
        <f>HYPERLINK("http://141.218.60.56/~jnz1568/getInfo.php?workbook=16_15.xlsx&amp;sheet=A0&amp;row=888&amp;col=22&amp;number=&amp;sourceID=47","")</f>
        <v/>
      </c>
    </row>
    <row r="889" spans="1:22">
      <c r="A889" s="3">
        <v>16</v>
      </c>
      <c r="B889" s="3">
        <v>15</v>
      </c>
      <c r="C889" s="3">
        <v>48</v>
      </c>
      <c r="D889" s="3">
        <v>36</v>
      </c>
      <c r="E889" s="3">
        <f>((1/(INDEX(E0!J$4:J$73,C889,1)-INDEX(E0!J$4:J$73,D889,1))))*100000000</f>
        <v>0</v>
      </c>
      <c r="F889" s="4" t="str">
        <f>HYPERLINK("http://141.218.60.56/~jnz1568/getInfo.php?workbook=16_15.xlsx&amp;sheet=A0&amp;row=889&amp;col=6&amp;number=25.865&amp;sourceID=54","25.865")</f>
        <v>25.865</v>
      </c>
      <c r="G889" s="4" t="str">
        <f>HYPERLINK("http://141.218.60.56/~jnz1568/getInfo.php?workbook=16_15.xlsx&amp;sheet=A0&amp;row=889&amp;col=7&amp;number=&amp;sourceID=54","")</f>
        <v/>
      </c>
      <c r="H889" s="4" t="str">
        <f>HYPERLINK("http://141.218.60.56/~jnz1568/getInfo.php?workbook=16_15.xlsx&amp;sheet=A0&amp;row=889&amp;col=8&amp;number=&amp;sourceID=54","")</f>
        <v/>
      </c>
      <c r="I889" s="4" t="str">
        <f>HYPERLINK("http://141.218.60.56/~jnz1568/getInfo.php?workbook=16_15.xlsx&amp;sheet=A0&amp;row=889&amp;col=9&amp;number=15.677&amp;sourceID=54","15.677")</f>
        <v>15.677</v>
      </c>
      <c r="J889" s="4" t="str">
        <f>HYPERLINK("http://141.218.60.56/~jnz1568/getInfo.php?workbook=16_15.xlsx&amp;sheet=A0&amp;row=889&amp;col=10&amp;number=&amp;sourceID=54","")</f>
        <v/>
      </c>
      <c r="K889" s="4" t="str">
        <f>HYPERLINK("http://141.218.60.56/~jnz1568/getInfo.php?workbook=16_15.xlsx&amp;sheet=A0&amp;row=889&amp;col=11&amp;number=&amp;sourceID=54","")</f>
        <v/>
      </c>
      <c r="L889" s="4" t="str">
        <f>HYPERLINK("http://141.218.60.56/~jnz1568/getInfo.php?workbook=16_15.xlsx&amp;sheet=A0&amp;row=889&amp;col=12&amp;number=12.7021505975&amp;sourceID=53","12.7021505975")</f>
        <v>12.7021505975</v>
      </c>
      <c r="M889" s="4" t="str">
        <f>HYPERLINK("http://141.218.60.56/~jnz1568/getInfo.php?workbook=16_15.xlsx&amp;sheet=A0&amp;row=889&amp;col=13&amp;number=&amp;sourceID=53","")</f>
        <v/>
      </c>
      <c r="N889" s="4" t="str">
        <f>HYPERLINK("http://141.218.60.56/~jnz1568/getInfo.php?workbook=16_15.xlsx&amp;sheet=A0&amp;row=889&amp;col=14&amp;number=&amp;sourceID=53","")</f>
        <v/>
      </c>
      <c r="O889" s="4" t="str">
        <f>HYPERLINK("http://141.218.60.56/~jnz1568/getInfo.php?workbook=16_15.xlsx&amp;sheet=A0&amp;row=889&amp;col=15&amp;number=&amp;sourceID=55","")</f>
        <v/>
      </c>
      <c r="P889" s="4" t="str">
        <f>HYPERLINK("http://141.218.60.56/~jnz1568/getInfo.php?workbook=16_15.xlsx&amp;sheet=A0&amp;row=889&amp;col=16&amp;number=&amp;sourceID=55","")</f>
        <v/>
      </c>
      <c r="Q889" s="4" t="str">
        <f>HYPERLINK("http://141.218.60.56/~jnz1568/getInfo.php?workbook=16_15.xlsx&amp;sheet=A0&amp;row=889&amp;col=17&amp;number=&amp;sourceID=56","")</f>
        <v/>
      </c>
      <c r="R889" s="4" t="str">
        <f>HYPERLINK("http://141.218.60.56/~jnz1568/getInfo.php?workbook=16_15.xlsx&amp;sheet=A0&amp;row=889&amp;col=18&amp;number=&amp;sourceID=56","")</f>
        <v/>
      </c>
      <c r="S889" s="4" t="str">
        <f>HYPERLINK("http://141.218.60.56/~jnz1568/getInfo.php?workbook=16_15.xlsx&amp;sheet=A0&amp;row=889&amp;col=19&amp;number=&amp;sourceID=57","")</f>
        <v/>
      </c>
      <c r="T889" s="4" t="str">
        <f>HYPERLINK("http://141.218.60.56/~jnz1568/getInfo.php?workbook=16_15.xlsx&amp;sheet=A0&amp;row=889&amp;col=20&amp;number=&amp;sourceID=57","")</f>
        <v/>
      </c>
      <c r="U889" s="4" t="str">
        <f>HYPERLINK("http://141.218.60.56/~jnz1568/getInfo.php?workbook=16_15.xlsx&amp;sheet=A0&amp;row=889&amp;col=21&amp;number=&amp;sourceID=47","")</f>
        <v/>
      </c>
      <c r="V889" s="4" t="str">
        <f>HYPERLINK("http://141.218.60.56/~jnz1568/getInfo.php?workbook=16_15.xlsx&amp;sheet=A0&amp;row=889&amp;col=22&amp;number=&amp;sourceID=47","")</f>
        <v/>
      </c>
    </row>
    <row r="890" spans="1:22">
      <c r="A890" s="3">
        <v>16</v>
      </c>
      <c r="B890" s="3">
        <v>15</v>
      </c>
      <c r="C890" s="3">
        <v>48</v>
      </c>
      <c r="D890" s="3">
        <v>38</v>
      </c>
      <c r="E890" s="3">
        <f>((1/(INDEX(E0!J$4:J$73,C890,1)-INDEX(E0!J$4:J$73,D890,1))))*100000000</f>
        <v>0</v>
      </c>
      <c r="F890" s="4" t="str">
        <f>HYPERLINK("http://141.218.60.56/~jnz1568/getInfo.php?workbook=16_15.xlsx&amp;sheet=A0&amp;row=890&amp;col=6&amp;number=174.91&amp;sourceID=54","174.91")</f>
        <v>174.91</v>
      </c>
      <c r="G890" s="4" t="str">
        <f>HYPERLINK("http://141.218.60.56/~jnz1568/getInfo.php?workbook=16_15.xlsx&amp;sheet=A0&amp;row=890&amp;col=7&amp;number=&amp;sourceID=54","")</f>
        <v/>
      </c>
      <c r="H890" s="4" t="str">
        <f>HYPERLINK("http://141.218.60.56/~jnz1568/getInfo.php?workbook=16_15.xlsx&amp;sheet=A0&amp;row=890&amp;col=8&amp;number=&amp;sourceID=54","")</f>
        <v/>
      </c>
      <c r="I890" s="4" t="str">
        <f>HYPERLINK("http://141.218.60.56/~jnz1568/getInfo.php?workbook=16_15.xlsx&amp;sheet=A0&amp;row=890&amp;col=9&amp;number=89.953&amp;sourceID=54","89.953")</f>
        <v>89.953</v>
      </c>
      <c r="J890" s="4" t="str">
        <f>HYPERLINK("http://141.218.60.56/~jnz1568/getInfo.php?workbook=16_15.xlsx&amp;sheet=A0&amp;row=890&amp;col=10&amp;number=&amp;sourceID=54","")</f>
        <v/>
      </c>
      <c r="K890" s="4" t="str">
        <f>HYPERLINK("http://141.218.60.56/~jnz1568/getInfo.php?workbook=16_15.xlsx&amp;sheet=A0&amp;row=890&amp;col=11&amp;number=&amp;sourceID=54","")</f>
        <v/>
      </c>
      <c r="L890" s="4" t="str">
        <f>HYPERLINK("http://141.218.60.56/~jnz1568/getInfo.php?workbook=16_15.xlsx&amp;sheet=A0&amp;row=890&amp;col=12&amp;number=137.016015085&amp;sourceID=53","137.016015085")</f>
        <v>137.016015085</v>
      </c>
      <c r="M890" s="4" t="str">
        <f>HYPERLINK("http://141.218.60.56/~jnz1568/getInfo.php?workbook=16_15.xlsx&amp;sheet=A0&amp;row=890&amp;col=13&amp;number=&amp;sourceID=53","")</f>
        <v/>
      </c>
      <c r="N890" s="4" t="str">
        <f>HYPERLINK("http://141.218.60.56/~jnz1568/getInfo.php?workbook=16_15.xlsx&amp;sheet=A0&amp;row=890&amp;col=14&amp;number=&amp;sourceID=53","")</f>
        <v/>
      </c>
      <c r="O890" s="4" t="str">
        <f>HYPERLINK("http://141.218.60.56/~jnz1568/getInfo.php?workbook=16_15.xlsx&amp;sheet=A0&amp;row=890&amp;col=15&amp;number=&amp;sourceID=55","")</f>
        <v/>
      </c>
      <c r="P890" s="4" t="str">
        <f>HYPERLINK("http://141.218.60.56/~jnz1568/getInfo.php?workbook=16_15.xlsx&amp;sheet=A0&amp;row=890&amp;col=16&amp;number=&amp;sourceID=55","")</f>
        <v/>
      </c>
      <c r="Q890" s="4" t="str">
        <f>HYPERLINK("http://141.218.60.56/~jnz1568/getInfo.php?workbook=16_15.xlsx&amp;sheet=A0&amp;row=890&amp;col=17&amp;number=&amp;sourceID=56","")</f>
        <v/>
      </c>
      <c r="R890" s="4" t="str">
        <f>HYPERLINK("http://141.218.60.56/~jnz1568/getInfo.php?workbook=16_15.xlsx&amp;sheet=A0&amp;row=890&amp;col=18&amp;number=&amp;sourceID=56","")</f>
        <v/>
      </c>
      <c r="S890" s="4" t="str">
        <f>HYPERLINK("http://141.218.60.56/~jnz1568/getInfo.php?workbook=16_15.xlsx&amp;sheet=A0&amp;row=890&amp;col=19&amp;number=&amp;sourceID=57","")</f>
        <v/>
      </c>
      <c r="T890" s="4" t="str">
        <f>HYPERLINK("http://141.218.60.56/~jnz1568/getInfo.php?workbook=16_15.xlsx&amp;sheet=A0&amp;row=890&amp;col=20&amp;number=&amp;sourceID=57","")</f>
        <v/>
      </c>
      <c r="U890" s="4" t="str">
        <f>HYPERLINK("http://141.218.60.56/~jnz1568/getInfo.php?workbook=16_15.xlsx&amp;sheet=A0&amp;row=890&amp;col=21&amp;number=&amp;sourceID=47","")</f>
        <v/>
      </c>
      <c r="V890" s="4" t="str">
        <f>HYPERLINK("http://141.218.60.56/~jnz1568/getInfo.php?workbook=16_15.xlsx&amp;sheet=A0&amp;row=890&amp;col=22&amp;number=&amp;sourceID=47","")</f>
        <v/>
      </c>
    </row>
    <row r="891" spans="1:22">
      <c r="A891" s="3">
        <v>16</v>
      </c>
      <c r="B891" s="3">
        <v>15</v>
      </c>
      <c r="C891" s="3">
        <v>48</v>
      </c>
      <c r="D891" s="3">
        <v>39</v>
      </c>
      <c r="E891" s="3">
        <f>((1/(INDEX(E0!J$4:J$73,C891,1)-INDEX(E0!J$4:J$73,D891,1))))*100000000</f>
        <v>0</v>
      </c>
      <c r="F891" s="4" t="str">
        <f>HYPERLINK("http://141.218.60.56/~jnz1568/getInfo.php?workbook=16_15.xlsx&amp;sheet=A0&amp;row=891&amp;col=6&amp;number=791.56&amp;sourceID=54","791.56")</f>
        <v>791.56</v>
      </c>
      <c r="G891" s="4" t="str">
        <f>HYPERLINK("http://141.218.60.56/~jnz1568/getInfo.php?workbook=16_15.xlsx&amp;sheet=A0&amp;row=891&amp;col=7&amp;number=&amp;sourceID=54","")</f>
        <v/>
      </c>
      <c r="H891" s="4" t="str">
        <f>HYPERLINK("http://141.218.60.56/~jnz1568/getInfo.php?workbook=16_15.xlsx&amp;sheet=A0&amp;row=891&amp;col=8&amp;number=&amp;sourceID=54","")</f>
        <v/>
      </c>
      <c r="I891" s="4" t="str">
        <f>HYPERLINK("http://141.218.60.56/~jnz1568/getInfo.php?workbook=16_15.xlsx&amp;sheet=A0&amp;row=891&amp;col=9&amp;number=504.68&amp;sourceID=54","504.68")</f>
        <v>504.68</v>
      </c>
      <c r="J891" s="4" t="str">
        <f>HYPERLINK("http://141.218.60.56/~jnz1568/getInfo.php?workbook=16_15.xlsx&amp;sheet=A0&amp;row=891&amp;col=10&amp;number=&amp;sourceID=54","")</f>
        <v/>
      </c>
      <c r="K891" s="4" t="str">
        <f>HYPERLINK("http://141.218.60.56/~jnz1568/getInfo.php?workbook=16_15.xlsx&amp;sheet=A0&amp;row=891&amp;col=11&amp;number=&amp;sourceID=54","")</f>
        <v/>
      </c>
      <c r="L891" s="4" t="str">
        <f>HYPERLINK("http://141.218.60.56/~jnz1568/getInfo.php?workbook=16_15.xlsx&amp;sheet=A0&amp;row=891&amp;col=12&amp;number=274.270175284&amp;sourceID=53","274.270175284")</f>
        <v>274.270175284</v>
      </c>
      <c r="M891" s="4" t="str">
        <f>HYPERLINK("http://141.218.60.56/~jnz1568/getInfo.php?workbook=16_15.xlsx&amp;sheet=A0&amp;row=891&amp;col=13&amp;number=&amp;sourceID=53","")</f>
        <v/>
      </c>
      <c r="N891" s="4" t="str">
        <f>HYPERLINK("http://141.218.60.56/~jnz1568/getInfo.php?workbook=16_15.xlsx&amp;sheet=A0&amp;row=891&amp;col=14&amp;number=&amp;sourceID=53","")</f>
        <v/>
      </c>
      <c r="O891" s="4" t="str">
        <f>HYPERLINK("http://141.218.60.56/~jnz1568/getInfo.php?workbook=16_15.xlsx&amp;sheet=A0&amp;row=891&amp;col=15&amp;number=&amp;sourceID=55","")</f>
        <v/>
      </c>
      <c r="P891" s="4" t="str">
        <f>HYPERLINK("http://141.218.60.56/~jnz1568/getInfo.php?workbook=16_15.xlsx&amp;sheet=A0&amp;row=891&amp;col=16&amp;number=&amp;sourceID=55","")</f>
        <v/>
      </c>
      <c r="Q891" s="4" t="str">
        <f>HYPERLINK("http://141.218.60.56/~jnz1568/getInfo.php?workbook=16_15.xlsx&amp;sheet=A0&amp;row=891&amp;col=17&amp;number=&amp;sourceID=56","")</f>
        <v/>
      </c>
      <c r="R891" s="4" t="str">
        <f>HYPERLINK("http://141.218.60.56/~jnz1568/getInfo.php?workbook=16_15.xlsx&amp;sheet=A0&amp;row=891&amp;col=18&amp;number=&amp;sourceID=56","")</f>
        <v/>
      </c>
      <c r="S891" s="4" t="str">
        <f>HYPERLINK("http://141.218.60.56/~jnz1568/getInfo.php?workbook=16_15.xlsx&amp;sheet=A0&amp;row=891&amp;col=19&amp;number=&amp;sourceID=57","")</f>
        <v/>
      </c>
      <c r="T891" s="4" t="str">
        <f>HYPERLINK("http://141.218.60.56/~jnz1568/getInfo.php?workbook=16_15.xlsx&amp;sheet=A0&amp;row=891&amp;col=20&amp;number=&amp;sourceID=57","")</f>
        <v/>
      </c>
      <c r="U891" s="4" t="str">
        <f>HYPERLINK("http://141.218.60.56/~jnz1568/getInfo.php?workbook=16_15.xlsx&amp;sheet=A0&amp;row=891&amp;col=21&amp;number=&amp;sourceID=47","")</f>
        <v/>
      </c>
      <c r="V891" s="4" t="str">
        <f>HYPERLINK("http://141.218.60.56/~jnz1568/getInfo.php?workbook=16_15.xlsx&amp;sheet=A0&amp;row=891&amp;col=22&amp;number=&amp;sourceID=47","")</f>
        <v/>
      </c>
    </row>
    <row r="892" spans="1:22">
      <c r="A892" s="3">
        <v>16</v>
      </c>
      <c r="B892" s="3">
        <v>15</v>
      </c>
      <c r="C892" s="3">
        <v>48</v>
      </c>
      <c r="D892" s="3">
        <v>40</v>
      </c>
      <c r="E892" s="3">
        <f>((1/(INDEX(E0!J$4:J$73,C892,1)-INDEX(E0!J$4:J$73,D892,1))))*100000000</f>
        <v>0</v>
      </c>
      <c r="F892" s="4" t="str">
        <f>HYPERLINK("http://141.218.60.56/~jnz1568/getInfo.php?workbook=16_15.xlsx&amp;sheet=A0&amp;row=892&amp;col=6&amp;number=409.44&amp;sourceID=54","409.44")</f>
        <v>409.44</v>
      </c>
      <c r="G892" s="4" t="str">
        <f>HYPERLINK("http://141.218.60.56/~jnz1568/getInfo.php?workbook=16_15.xlsx&amp;sheet=A0&amp;row=892&amp;col=7&amp;number=&amp;sourceID=54","")</f>
        <v/>
      </c>
      <c r="H892" s="4" t="str">
        <f>HYPERLINK("http://141.218.60.56/~jnz1568/getInfo.php?workbook=16_15.xlsx&amp;sheet=A0&amp;row=892&amp;col=8&amp;number=&amp;sourceID=54","")</f>
        <v/>
      </c>
      <c r="I892" s="4" t="str">
        <f>HYPERLINK("http://141.218.60.56/~jnz1568/getInfo.php?workbook=16_15.xlsx&amp;sheet=A0&amp;row=892&amp;col=9&amp;number=226.23&amp;sourceID=54","226.23")</f>
        <v>226.23</v>
      </c>
      <c r="J892" s="4" t="str">
        <f>HYPERLINK("http://141.218.60.56/~jnz1568/getInfo.php?workbook=16_15.xlsx&amp;sheet=A0&amp;row=892&amp;col=10&amp;number=&amp;sourceID=54","")</f>
        <v/>
      </c>
      <c r="K892" s="4" t="str">
        <f>HYPERLINK("http://141.218.60.56/~jnz1568/getInfo.php?workbook=16_15.xlsx&amp;sheet=A0&amp;row=892&amp;col=11&amp;number=&amp;sourceID=54","")</f>
        <v/>
      </c>
      <c r="L892" s="4" t="str">
        <f>HYPERLINK("http://141.218.60.56/~jnz1568/getInfo.php?workbook=16_15.xlsx&amp;sheet=A0&amp;row=892&amp;col=12&amp;number=162.341963034&amp;sourceID=53","162.341963034")</f>
        <v>162.341963034</v>
      </c>
      <c r="M892" s="4" t="str">
        <f>HYPERLINK("http://141.218.60.56/~jnz1568/getInfo.php?workbook=16_15.xlsx&amp;sheet=A0&amp;row=892&amp;col=13&amp;number=&amp;sourceID=53","")</f>
        <v/>
      </c>
      <c r="N892" s="4" t="str">
        <f>HYPERLINK("http://141.218.60.56/~jnz1568/getInfo.php?workbook=16_15.xlsx&amp;sheet=A0&amp;row=892&amp;col=14&amp;number=&amp;sourceID=53","")</f>
        <v/>
      </c>
      <c r="O892" s="4" t="str">
        <f>HYPERLINK("http://141.218.60.56/~jnz1568/getInfo.php?workbook=16_15.xlsx&amp;sheet=A0&amp;row=892&amp;col=15&amp;number=&amp;sourceID=55","")</f>
        <v/>
      </c>
      <c r="P892" s="4" t="str">
        <f>HYPERLINK("http://141.218.60.56/~jnz1568/getInfo.php?workbook=16_15.xlsx&amp;sheet=A0&amp;row=892&amp;col=16&amp;number=&amp;sourceID=55","")</f>
        <v/>
      </c>
      <c r="Q892" s="4" t="str">
        <f>HYPERLINK("http://141.218.60.56/~jnz1568/getInfo.php?workbook=16_15.xlsx&amp;sheet=A0&amp;row=892&amp;col=17&amp;number=&amp;sourceID=56","")</f>
        <v/>
      </c>
      <c r="R892" s="4" t="str">
        <f>HYPERLINK("http://141.218.60.56/~jnz1568/getInfo.php?workbook=16_15.xlsx&amp;sheet=A0&amp;row=892&amp;col=18&amp;number=&amp;sourceID=56","")</f>
        <v/>
      </c>
      <c r="S892" s="4" t="str">
        <f>HYPERLINK("http://141.218.60.56/~jnz1568/getInfo.php?workbook=16_15.xlsx&amp;sheet=A0&amp;row=892&amp;col=19&amp;number=&amp;sourceID=57","")</f>
        <v/>
      </c>
      <c r="T892" s="4" t="str">
        <f>HYPERLINK("http://141.218.60.56/~jnz1568/getInfo.php?workbook=16_15.xlsx&amp;sheet=A0&amp;row=892&amp;col=20&amp;number=&amp;sourceID=57","")</f>
        <v/>
      </c>
      <c r="U892" s="4" t="str">
        <f>HYPERLINK("http://141.218.60.56/~jnz1568/getInfo.php?workbook=16_15.xlsx&amp;sheet=A0&amp;row=892&amp;col=21&amp;number=&amp;sourceID=47","")</f>
        <v/>
      </c>
      <c r="V892" s="4" t="str">
        <f>HYPERLINK("http://141.218.60.56/~jnz1568/getInfo.php?workbook=16_15.xlsx&amp;sheet=A0&amp;row=892&amp;col=22&amp;number=&amp;sourceID=47","")</f>
        <v/>
      </c>
    </row>
    <row r="893" spans="1:22">
      <c r="A893" s="3">
        <v>16</v>
      </c>
      <c r="B893" s="3">
        <v>15</v>
      </c>
      <c r="C893" s="3">
        <v>48</v>
      </c>
      <c r="D893" s="3">
        <v>41</v>
      </c>
      <c r="E893" s="3">
        <f>((1/(INDEX(E0!J$4:J$73,C893,1)-INDEX(E0!J$4:J$73,D893,1))))*100000000</f>
        <v>0</v>
      </c>
      <c r="F893" s="4" t="str">
        <f>HYPERLINK("http://141.218.60.56/~jnz1568/getInfo.php?workbook=16_15.xlsx&amp;sheet=A0&amp;row=893&amp;col=6&amp;number=&amp;sourceID=54","")</f>
        <v/>
      </c>
      <c r="G893" s="4" t="str">
        <f>HYPERLINK("http://141.218.60.56/~jnz1568/getInfo.php?workbook=16_15.xlsx&amp;sheet=A0&amp;row=893&amp;col=7&amp;number=2.6675e-08&amp;sourceID=54","2.6675e-08")</f>
        <v>2.6675e-08</v>
      </c>
      <c r="H893" s="4" t="str">
        <f>HYPERLINK("http://141.218.60.56/~jnz1568/getInfo.php?workbook=16_15.xlsx&amp;sheet=A0&amp;row=893&amp;col=8&amp;number=1.927e-05&amp;sourceID=54","1.927e-05")</f>
        <v>1.927e-05</v>
      </c>
      <c r="I893" s="4" t="str">
        <f>HYPERLINK("http://141.218.60.56/~jnz1568/getInfo.php?workbook=16_15.xlsx&amp;sheet=A0&amp;row=893&amp;col=9&amp;number=&amp;sourceID=54","")</f>
        <v/>
      </c>
      <c r="J893" s="4" t="str">
        <f>HYPERLINK("http://141.218.60.56/~jnz1568/getInfo.php?workbook=16_15.xlsx&amp;sheet=A0&amp;row=893&amp;col=10&amp;number=2.4271e-08&amp;sourceID=54","2.4271e-08")</f>
        <v>2.4271e-08</v>
      </c>
      <c r="K893" s="4" t="str">
        <f>HYPERLINK("http://141.218.60.56/~jnz1568/getInfo.php?workbook=16_15.xlsx&amp;sheet=A0&amp;row=893&amp;col=11&amp;number=1.6886e-05&amp;sourceID=54","1.6886e-05")</f>
        <v>1.6886e-05</v>
      </c>
      <c r="L893" s="4" t="str">
        <f>HYPERLINK("http://141.218.60.56/~jnz1568/getInfo.php?workbook=16_15.xlsx&amp;sheet=A0&amp;row=893&amp;col=12&amp;number=&amp;sourceID=53","")</f>
        <v/>
      </c>
      <c r="M893" s="4" t="str">
        <f>HYPERLINK("http://141.218.60.56/~jnz1568/getInfo.php?workbook=16_15.xlsx&amp;sheet=A0&amp;row=893&amp;col=13&amp;number=&amp;sourceID=53","")</f>
        <v/>
      </c>
      <c r="N893" s="4" t="str">
        <f>HYPERLINK("http://141.218.60.56/~jnz1568/getInfo.php?workbook=16_15.xlsx&amp;sheet=A0&amp;row=893&amp;col=14&amp;number=&amp;sourceID=53","")</f>
        <v/>
      </c>
      <c r="O893" s="4" t="str">
        <f>HYPERLINK("http://141.218.60.56/~jnz1568/getInfo.php?workbook=16_15.xlsx&amp;sheet=A0&amp;row=893&amp;col=15&amp;number=&amp;sourceID=55","")</f>
        <v/>
      </c>
      <c r="P893" s="4" t="str">
        <f>HYPERLINK("http://141.218.60.56/~jnz1568/getInfo.php?workbook=16_15.xlsx&amp;sheet=A0&amp;row=893&amp;col=16&amp;number=&amp;sourceID=55","")</f>
        <v/>
      </c>
      <c r="Q893" s="4" t="str">
        <f>HYPERLINK("http://141.218.60.56/~jnz1568/getInfo.php?workbook=16_15.xlsx&amp;sheet=A0&amp;row=893&amp;col=17&amp;number=&amp;sourceID=56","")</f>
        <v/>
      </c>
      <c r="R893" s="4" t="str">
        <f>HYPERLINK("http://141.218.60.56/~jnz1568/getInfo.php?workbook=16_15.xlsx&amp;sheet=A0&amp;row=893&amp;col=18&amp;number=&amp;sourceID=56","")</f>
        <v/>
      </c>
      <c r="S893" s="4" t="str">
        <f>HYPERLINK("http://141.218.60.56/~jnz1568/getInfo.php?workbook=16_15.xlsx&amp;sheet=A0&amp;row=893&amp;col=19&amp;number=&amp;sourceID=57","")</f>
        <v/>
      </c>
      <c r="T893" s="4" t="str">
        <f>HYPERLINK("http://141.218.60.56/~jnz1568/getInfo.php?workbook=16_15.xlsx&amp;sheet=A0&amp;row=893&amp;col=20&amp;number=&amp;sourceID=57","")</f>
        <v/>
      </c>
      <c r="U893" s="4" t="str">
        <f>HYPERLINK("http://141.218.60.56/~jnz1568/getInfo.php?workbook=16_15.xlsx&amp;sheet=A0&amp;row=893&amp;col=21&amp;number=&amp;sourceID=47","")</f>
        <v/>
      </c>
      <c r="V893" s="4" t="str">
        <f>HYPERLINK("http://141.218.60.56/~jnz1568/getInfo.php?workbook=16_15.xlsx&amp;sheet=A0&amp;row=893&amp;col=22&amp;number=&amp;sourceID=47","")</f>
        <v/>
      </c>
    </row>
    <row r="894" spans="1:22">
      <c r="A894" s="3">
        <v>16</v>
      </c>
      <c r="B894" s="3">
        <v>15</v>
      </c>
      <c r="C894" s="3">
        <v>48</v>
      </c>
      <c r="D894" s="3">
        <v>42</v>
      </c>
      <c r="E894" s="3">
        <f>((1/(INDEX(E0!J$4:J$73,C894,1)-INDEX(E0!J$4:J$73,D894,1))))*100000000</f>
        <v>0</v>
      </c>
      <c r="F894" s="4" t="str">
        <f>HYPERLINK("http://141.218.60.56/~jnz1568/getInfo.php?workbook=16_15.xlsx&amp;sheet=A0&amp;row=894&amp;col=6&amp;number=80246&amp;sourceID=54","80246")</f>
        <v>80246</v>
      </c>
      <c r="G894" s="4" t="str">
        <f>HYPERLINK("http://141.218.60.56/~jnz1568/getInfo.php?workbook=16_15.xlsx&amp;sheet=A0&amp;row=894&amp;col=7&amp;number=&amp;sourceID=54","")</f>
        <v/>
      </c>
      <c r="H894" s="4" t="str">
        <f>HYPERLINK("http://141.218.60.56/~jnz1568/getInfo.php?workbook=16_15.xlsx&amp;sheet=A0&amp;row=894&amp;col=8&amp;number=&amp;sourceID=54","")</f>
        <v/>
      </c>
      <c r="I894" s="4" t="str">
        <f>HYPERLINK("http://141.218.60.56/~jnz1568/getInfo.php?workbook=16_15.xlsx&amp;sheet=A0&amp;row=894&amp;col=9&amp;number=34566&amp;sourceID=54","34566")</f>
        <v>34566</v>
      </c>
      <c r="J894" s="4" t="str">
        <f>HYPERLINK("http://141.218.60.56/~jnz1568/getInfo.php?workbook=16_15.xlsx&amp;sheet=A0&amp;row=894&amp;col=10&amp;number=&amp;sourceID=54","")</f>
        <v/>
      </c>
      <c r="K894" s="4" t="str">
        <f>HYPERLINK("http://141.218.60.56/~jnz1568/getInfo.php?workbook=16_15.xlsx&amp;sheet=A0&amp;row=894&amp;col=11&amp;number=&amp;sourceID=54","")</f>
        <v/>
      </c>
      <c r="L894" s="4" t="str">
        <f>HYPERLINK("http://141.218.60.56/~jnz1568/getInfo.php?workbook=16_15.xlsx&amp;sheet=A0&amp;row=894&amp;col=12&amp;number=31590.4128244&amp;sourceID=53","31590.4128244")</f>
        <v>31590.4128244</v>
      </c>
      <c r="M894" s="4" t="str">
        <f>HYPERLINK("http://141.218.60.56/~jnz1568/getInfo.php?workbook=16_15.xlsx&amp;sheet=A0&amp;row=894&amp;col=13&amp;number=&amp;sourceID=53","")</f>
        <v/>
      </c>
      <c r="N894" s="4" t="str">
        <f>HYPERLINK("http://141.218.60.56/~jnz1568/getInfo.php?workbook=16_15.xlsx&amp;sheet=A0&amp;row=894&amp;col=14&amp;number=&amp;sourceID=53","")</f>
        <v/>
      </c>
      <c r="O894" s="4" t="str">
        <f>HYPERLINK("http://141.218.60.56/~jnz1568/getInfo.php?workbook=16_15.xlsx&amp;sheet=A0&amp;row=894&amp;col=15&amp;number=&amp;sourceID=55","")</f>
        <v/>
      </c>
      <c r="P894" s="4" t="str">
        <f>HYPERLINK("http://141.218.60.56/~jnz1568/getInfo.php?workbook=16_15.xlsx&amp;sheet=A0&amp;row=894&amp;col=16&amp;number=&amp;sourceID=55","")</f>
        <v/>
      </c>
      <c r="Q894" s="4" t="str">
        <f>HYPERLINK("http://141.218.60.56/~jnz1568/getInfo.php?workbook=16_15.xlsx&amp;sheet=A0&amp;row=894&amp;col=17&amp;number=&amp;sourceID=56","")</f>
        <v/>
      </c>
      <c r="R894" s="4" t="str">
        <f>HYPERLINK("http://141.218.60.56/~jnz1568/getInfo.php?workbook=16_15.xlsx&amp;sheet=A0&amp;row=894&amp;col=18&amp;number=&amp;sourceID=56","")</f>
        <v/>
      </c>
      <c r="S894" s="4" t="str">
        <f>HYPERLINK("http://141.218.60.56/~jnz1568/getInfo.php?workbook=16_15.xlsx&amp;sheet=A0&amp;row=894&amp;col=19&amp;number=&amp;sourceID=57","")</f>
        <v/>
      </c>
      <c r="T894" s="4" t="str">
        <f>HYPERLINK("http://141.218.60.56/~jnz1568/getInfo.php?workbook=16_15.xlsx&amp;sheet=A0&amp;row=894&amp;col=20&amp;number=&amp;sourceID=57","")</f>
        <v/>
      </c>
      <c r="U894" s="4" t="str">
        <f>HYPERLINK("http://141.218.60.56/~jnz1568/getInfo.php?workbook=16_15.xlsx&amp;sheet=A0&amp;row=894&amp;col=21&amp;number=&amp;sourceID=47","")</f>
        <v/>
      </c>
      <c r="V894" s="4" t="str">
        <f>HYPERLINK("http://141.218.60.56/~jnz1568/getInfo.php?workbook=16_15.xlsx&amp;sheet=A0&amp;row=894&amp;col=22&amp;number=&amp;sourceID=47","")</f>
        <v/>
      </c>
    </row>
    <row r="895" spans="1:22">
      <c r="A895" s="3">
        <v>16</v>
      </c>
      <c r="B895" s="3">
        <v>15</v>
      </c>
      <c r="C895" s="3">
        <v>48</v>
      </c>
      <c r="D895" s="3">
        <v>43</v>
      </c>
      <c r="E895" s="3">
        <f>((1/(INDEX(E0!J$4:J$73,C895,1)-INDEX(E0!J$4:J$73,D895,1))))*100000000</f>
        <v>0</v>
      </c>
      <c r="F895" s="4" t="str">
        <f>HYPERLINK("http://141.218.60.56/~jnz1568/getInfo.php?workbook=16_15.xlsx&amp;sheet=A0&amp;row=895&amp;col=6&amp;number=&amp;sourceID=54","")</f>
        <v/>
      </c>
      <c r="G895" s="4" t="str">
        <f>HYPERLINK("http://141.218.60.56/~jnz1568/getInfo.php?workbook=16_15.xlsx&amp;sheet=A0&amp;row=895&amp;col=7&amp;number=8.0635e-09&amp;sourceID=54","8.0635e-09")</f>
        <v>8.0635e-09</v>
      </c>
      <c r="H895" s="4" t="str">
        <f>HYPERLINK("http://141.218.60.56/~jnz1568/getInfo.php?workbook=16_15.xlsx&amp;sheet=A0&amp;row=895&amp;col=8&amp;number=5.7818e-06&amp;sourceID=54","5.7818e-06")</f>
        <v>5.7818e-06</v>
      </c>
      <c r="I895" s="4" t="str">
        <f>HYPERLINK("http://141.218.60.56/~jnz1568/getInfo.php?workbook=16_15.xlsx&amp;sheet=A0&amp;row=895&amp;col=9&amp;number=&amp;sourceID=54","")</f>
        <v/>
      </c>
      <c r="J895" s="4" t="str">
        <f>HYPERLINK("http://141.218.60.56/~jnz1568/getInfo.php?workbook=16_15.xlsx&amp;sheet=A0&amp;row=895&amp;col=10&amp;number=4.1737e-09&amp;sourceID=54","4.1737e-09")</f>
        <v>4.1737e-09</v>
      </c>
      <c r="K895" s="4" t="str">
        <f>HYPERLINK("http://141.218.60.56/~jnz1568/getInfo.php?workbook=16_15.xlsx&amp;sheet=A0&amp;row=895&amp;col=11&amp;number=7.3909e-06&amp;sourceID=54","7.3909e-06")</f>
        <v>7.3909e-06</v>
      </c>
      <c r="L895" s="4" t="str">
        <f>HYPERLINK("http://141.218.60.56/~jnz1568/getInfo.php?workbook=16_15.xlsx&amp;sheet=A0&amp;row=895&amp;col=12&amp;number=&amp;sourceID=53","")</f>
        <v/>
      </c>
      <c r="M895" s="4" t="str">
        <f>HYPERLINK("http://141.218.60.56/~jnz1568/getInfo.php?workbook=16_15.xlsx&amp;sheet=A0&amp;row=895&amp;col=13&amp;number=&amp;sourceID=53","")</f>
        <v/>
      </c>
      <c r="N895" s="4" t="str">
        <f>HYPERLINK("http://141.218.60.56/~jnz1568/getInfo.php?workbook=16_15.xlsx&amp;sheet=A0&amp;row=895&amp;col=14&amp;number=&amp;sourceID=53","")</f>
        <v/>
      </c>
      <c r="O895" s="4" t="str">
        <f>HYPERLINK("http://141.218.60.56/~jnz1568/getInfo.php?workbook=16_15.xlsx&amp;sheet=A0&amp;row=895&amp;col=15&amp;number=&amp;sourceID=55","")</f>
        <v/>
      </c>
      <c r="P895" s="4" t="str">
        <f>HYPERLINK("http://141.218.60.56/~jnz1568/getInfo.php?workbook=16_15.xlsx&amp;sheet=A0&amp;row=895&amp;col=16&amp;number=&amp;sourceID=55","")</f>
        <v/>
      </c>
      <c r="Q895" s="4" t="str">
        <f>HYPERLINK("http://141.218.60.56/~jnz1568/getInfo.php?workbook=16_15.xlsx&amp;sheet=A0&amp;row=895&amp;col=17&amp;number=&amp;sourceID=56","")</f>
        <v/>
      </c>
      <c r="R895" s="4" t="str">
        <f>HYPERLINK("http://141.218.60.56/~jnz1568/getInfo.php?workbook=16_15.xlsx&amp;sheet=A0&amp;row=895&amp;col=18&amp;number=&amp;sourceID=56","")</f>
        <v/>
      </c>
      <c r="S895" s="4" t="str">
        <f>HYPERLINK("http://141.218.60.56/~jnz1568/getInfo.php?workbook=16_15.xlsx&amp;sheet=A0&amp;row=895&amp;col=19&amp;number=&amp;sourceID=57","")</f>
        <v/>
      </c>
      <c r="T895" s="4" t="str">
        <f>HYPERLINK("http://141.218.60.56/~jnz1568/getInfo.php?workbook=16_15.xlsx&amp;sheet=A0&amp;row=895&amp;col=20&amp;number=&amp;sourceID=57","")</f>
        <v/>
      </c>
      <c r="U895" s="4" t="str">
        <f>HYPERLINK("http://141.218.60.56/~jnz1568/getInfo.php?workbook=16_15.xlsx&amp;sheet=A0&amp;row=895&amp;col=21&amp;number=&amp;sourceID=47","")</f>
        <v/>
      </c>
      <c r="V895" s="4" t="str">
        <f>HYPERLINK("http://141.218.60.56/~jnz1568/getInfo.php?workbook=16_15.xlsx&amp;sheet=A0&amp;row=895&amp;col=22&amp;number=&amp;sourceID=47","")</f>
        <v/>
      </c>
    </row>
    <row r="896" spans="1:22">
      <c r="A896" s="3">
        <v>16</v>
      </c>
      <c r="B896" s="3">
        <v>15</v>
      </c>
      <c r="C896" s="3">
        <v>48</v>
      </c>
      <c r="D896" s="3">
        <v>44</v>
      </c>
      <c r="E896" s="3">
        <f>((1/(INDEX(E0!J$4:J$73,C896,1)-INDEX(E0!J$4:J$73,D896,1))))*100000000</f>
        <v>0</v>
      </c>
      <c r="F896" s="4" t="str">
        <f>HYPERLINK("http://141.218.60.56/~jnz1568/getInfo.php?workbook=16_15.xlsx&amp;sheet=A0&amp;row=896&amp;col=6&amp;number=&amp;sourceID=54","")</f>
        <v/>
      </c>
      <c r="G896" s="4" t="str">
        <f>HYPERLINK("http://141.218.60.56/~jnz1568/getInfo.php?workbook=16_15.xlsx&amp;sheet=A0&amp;row=896&amp;col=7&amp;number=3.0351e-08&amp;sourceID=54","3.0351e-08")</f>
        <v>3.0351e-08</v>
      </c>
      <c r="H896" s="4" t="str">
        <f>HYPERLINK("http://141.218.60.56/~jnz1568/getInfo.php?workbook=16_15.xlsx&amp;sheet=A0&amp;row=896&amp;col=8&amp;number=1.1598e-06&amp;sourceID=54","1.1598e-06")</f>
        <v>1.1598e-06</v>
      </c>
      <c r="I896" s="4" t="str">
        <f>HYPERLINK("http://141.218.60.56/~jnz1568/getInfo.php?workbook=16_15.xlsx&amp;sheet=A0&amp;row=896&amp;col=9&amp;number=&amp;sourceID=54","")</f>
        <v/>
      </c>
      <c r="J896" s="4" t="str">
        <f>HYPERLINK("http://141.218.60.56/~jnz1568/getInfo.php?workbook=16_15.xlsx&amp;sheet=A0&amp;row=896&amp;col=10&amp;number=2.4492e-08&amp;sourceID=54","2.4492e-08")</f>
        <v>2.4492e-08</v>
      </c>
      <c r="K896" s="4" t="str">
        <f>HYPERLINK("http://141.218.60.56/~jnz1568/getInfo.php?workbook=16_15.xlsx&amp;sheet=A0&amp;row=896&amp;col=11&amp;number=1.5374e-06&amp;sourceID=54","1.5374e-06")</f>
        <v>1.5374e-06</v>
      </c>
      <c r="L896" s="4" t="str">
        <f>HYPERLINK("http://141.218.60.56/~jnz1568/getInfo.php?workbook=16_15.xlsx&amp;sheet=A0&amp;row=896&amp;col=12&amp;number=&amp;sourceID=53","")</f>
        <v/>
      </c>
      <c r="M896" s="4" t="str">
        <f>HYPERLINK("http://141.218.60.56/~jnz1568/getInfo.php?workbook=16_15.xlsx&amp;sheet=A0&amp;row=896&amp;col=13&amp;number=&amp;sourceID=53","")</f>
        <v/>
      </c>
      <c r="N896" s="4" t="str">
        <f>HYPERLINK("http://141.218.60.56/~jnz1568/getInfo.php?workbook=16_15.xlsx&amp;sheet=A0&amp;row=896&amp;col=14&amp;number=&amp;sourceID=53","")</f>
        <v/>
      </c>
      <c r="O896" s="4" t="str">
        <f>HYPERLINK("http://141.218.60.56/~jnz1568/getInfo.php?workbook=16_15.xlsx&amp;sheet=A0&amp;row=896&amp;col=15&amp;number=&amp;sourceID=55","")</f>
        <v/>
      </c>
      <c r="P896" s="4" t="str">
        <f>HYPERLINK("http://141.218.60.56/~jnz1568/getInfo.php?workbook=16_15.xlsx&amp;sheet=A0&amp;row=896&amp;col=16&amp;number=&amp;sourceID=55","")</f>
        <v/>
      </c>
      <c r="Q896" s="4" t="str">
        <f>HYPERLINK("http://141.218.60.56/~jnz1568/getInfo.php?workbook=16_15.xlsx&amp;sheet=A0&amp;row=896&amp;col=17&amp;number=&amp;sourceID=56","")</f>
        <v/>
      </c>
      <c r="R896" s="4" t="str">
        <f>HYPERLINK("http://141.218.60.56/~jnz1568/getInfo.php?workbook=16_15.xlsx&amp;sheet=A0&amp;row=896&amp;col=18&amp;number=&amp;sourceID=56","")</f>
        <v/>
      </c>
      <c r="S896" s="4" t="str">
        <f>HYPERLINK("http://141.218.60.56/~jnz1568/getInfo.php?workbook=16_15.xlsx&amp;sheet=A0&amp;row=896&amp;col=19&amp;number=&amp;sourceID=57","")</f>
        <v/>
      </c>
      <c r="T896" s="4" t="str">
        <f>HYPERLINK("http://141.218.60.56/~jnz1568/getInfo.php?workbook=16_15.xlsx&amp;sheet=A0&amp;row=896&amp;col=20&amp;number=&amp;sourceID=57","")</f>
        <v/>
      </c>
      <c r="U896" s="4" t="str">
        <f>HYPERLINK("http://141.218.60.56/~jnz1568/getInfo.php?workbook=16_15.xlsx&amp;sheet=A0&amp;row=896&amp;col=21&amp;number=&amp;sourceID=47","")</f>
        <v/>
      </c>
      <c r="V896" s="4" t="str">
        <f>HYPERLINK("http://141.218.60.56/~jnz1568/getInfo.php?workbook=16_15.xlsx&amp;sheet=A0&amp;row=896&amp;col=22&amp;number=&amp;sourceID=47","")</f>
        <v/>
      </c>
    </row>
    <row r="897" spans="1:22">
      <c r="A897" s="3">
        <v>16</v>
      </c>
      <c r="B897" s="3">
        <v>15</v>
      </c>
      <c r="C897" s="3">
        <v>48</v>
      </c>
      <c r="D897" s="3">
        <v>45</v>
      </c>
      <c r="E897" s="3">
        <f>((1/(INDEX(E0!J$4:J$73,C897,1)-INDEX(E0!J$4:J$73,D897,1))))*100000000</f>
        <v>0</v>
      </c>
      <c r="F897" s="4" t="str">
        <f>HYPERLINK("http://141.218.60.56/~jnz1568/getInfo.php?workbook=16_15.xlsx&amp;sheet=A0&amp;row=897&amp;col=6&amp;number=313.06&amp;sourceID=54","313.06")</f>
        <v>313.06</v>
      </c>
      <c r="G897" s="4" t="str">
        <f>HYPERLINK("http://141.218.60.56/~jnz1568/getInfo.php?workbook=16_15.xlsx&amp;sheet=A0&amp;row=897&amp;col=7&amp;number=&amp;sourceID=54","")</f>
        <v/>
      </c>
      <c r="H897" s="4" t="str">
        <f>HYPERLINK("http://141.218.60.56/~jnz1568/getInfo.php?workbook=16_15.xlsx&amp;sheet=A0&amp;row=897&amp;col=8&amp;number=&amp;sourceID=54","")</f>
        <v/>
      </c>
      <c r="I897" s="4" t="str">
        <f>HYPERLINK("http://141.218.60.56/~jnz1568/getInfo.php?workbook=16_15.xlsx&amp;sheet=A0&amp;row=897&amp;col=9&amp;number=19.062&amp;sourceID=54","19.062")</f>
        <v>19.062</v>
      </c>
      <c r="J897" s="4" t="str">
        <f>HYPERLINK("http://141.218.60.56/~jnz1568/getInfo.php?workbook=16_15.xlsx&amp;sheet=A0&amp;row=897&amp;col=10&amp;number=&amp;sourceID=54","")</f>
        <v/>
      </c>
      <c r="K897" s="4" t="str">
        <f>HYPERLINK("http://141.218.60.56/~jnz1568/getInfo.php?workbook=16_15.xlsx&amp;sheet=A0&amp;row=897&amp;col=11&amp;number=&amp;sourceID=54","")</f>
        <v/>
      </c>
      <c r="L897" s="4" t="str">
        <f>HYPERLINK("http://141.218.60.56/~jnz1568/getInfo.php?workbook=16_15.xlsx&amp;sheet=A0&amp;row=897&amp;col=12&amp;number=0.617977906046&amp;sourceID=53","0.617977906046")</f>
        <v>0.617977906046</v>
      </c>
      <c r="M897" s="4" t="str">
        <f>HYPERLINK("http://141.218.60.56/~jnz1568/getInfo.php?workbook=16_15.xlsx&amp;sheet=A0&amp;row=897&amp;col=13&amp;number=&amp;sourceID=53","")</f>
        <v/>
      </c>
      <c r="N897" s="4" t="str">
        <f>HYPERLINK("http://141.218.60.56/~jnz1568/getInfo.php?workbook=16_15.xlsx&amp;sheet=A0&amp;row=897&amp;col=14&amp;number=&amp;sourceID=53","")</f>
        <v/>
      </c>
      <c r="O897" s="4" t="str">
        <f>HYPERLINK("http://141.218.60.56/~jnz1568/getInfo.php?workbook=16_15.xlsx&amp;sheet=A0&amp;row=897&amp;col=15&amp;number=&amp;sourceID=55","")</f>
        <v/>
      </c>
      <c r="P897" s="4" t="str">
        <f>HYPERLINK("http://141.218.60.56/~jnz1568/getInfo.php?workbook=16_15.xlsx&amp;sheet=A0&amp;row=897&amp;col=16&amp;number=&amp;sourceID=55","")</f>
        <v/>
      </c>
      <c r="Q897" s="4" t="str">
        <f>HYPERLINK("http://141.218.60.56/~jnz1568/getInfo.php?workbook=16_15.xlsx&amp;sheet=A0&amp;row=897&amp;col=17&amp;number=&amp;sourceID=56","")</f>
        <v/>
      </c>
      <c r="R897" s="4" t="str">
        <f>HYPERLINK("http://141.218.60.56/~jnz1568/getInfo.php?workbook=16_15.xlsx&amp;sheet=A0&amp;row=897&amp;col=18&amp;number=&amp;sourceID=56","")</f>
        <v/>
      </c>
      <c r="S897" s="4" t="str">
        <f>HYPERLINK("http://141.218.60.56/~jnz1568/getInfo.php?workbook=16_15.xlsx&amp;sheet=A0&amp;row=897&amp;col=19&amp;number=&amp;sourceID=57","")</f>
        <v/>
      </c>
      <c r="T897" s="4" t="str">
        <f>HYPERLINK("http://141.218.60.56/~jnz1568/getInfo.php?workbook=16_15.xlsx&amp;sheet=A0&amp;row=897&amp;col=20&amp;number=&amp;sourceID=57","")</f>
        <v/>
      </c>
      <c r="U897" s="4" t="str">
        <f>HYPERLINK("http://141.218.60.56/~jnz1568/getInfo.php?workbook=16_15.xlsx&amp;sheet=A0&amp;row=897&amp;col=21&amp;number=&amp;sourceID=47","")</f>
        <v/>
      </c>
      <c r="V897" s="4" t="str">
        <f>HYPERLINK("http://141.218.60.56/~jnz1568/getInfo.php?workbook=16_15.xlsx&amp;sheet=A0&amp;row=897&amp;col=22&amp;number=&amp;sourceID=47","")</f>
        <v/>
      </c>
    </row>
    <row r="898" spans="1:22">
      <c r="A898" s="3">
        <v>16</v>
      </c>
      <c r="B898" s="3">
        <v>15</v>
      </c>
      <c r="C898" s="3">
        <v>48</v>
      </c>
      <c r="D898" s="3">
        <v>46</v>
      </c>
      <c r="E898" s="3">
        <f>((1/(INDEX(E0!J$4:J$73,C898,1)-INDEX(E0!J$4:J$73,D898,1))))*100000000</f>
        <v>0</v>
      </c>
      <c r="F898" s="4" t="str">
        <f>HYPERLINK("http://141.218.60.56/~jnz1568/getInfo.php?workbook=16_15.xlsx&amp;sheet=A0&amp;row=898&amp;col=6&amp;number=5754.1&amp;sourceID=54","5754.1")</f>
        <v>5754.1</v>
      </c>
      <c r="G898" s="4" t="str">
        <f>HYPERLINK("http://141.218.60.56/~jnz1568/getInfo.php?workbook=16_15.xlsx&amp;sheet=A0&amp;row=898&amp;col=7&amp;number=&amp;sourceID=54","")</f>
        <v/>
      </c>
      <c r="H898" s="4" t="str">
        <f>HYPERLINK("http://141.218.60.56/~jnz1568/getInfo.php?workbook=16_15.xlsx&amp;sheet=A0&amp;row=898&amp;col=8&amp;number=&amp;sourceID=54","")</f>
        <v/>
      </c>
      <c r="I898" s="4" t="str">
        <f>HYPERLINK("http://141.218.60.56/~jnz1568/getInfo.php?workbook=16_15.xlsx&amp;sheet=A0&amp;row=898&amp;col=9&amp;number=2124.7&amp;sourceID=54","2124.7")</f>
        <v>2124.7</v>
      </c>
      <c r="J898" s="4" t="str">
        <f>HYPERLINK("http://141.218.60.56/~jnz1568/getInfo.php?workbook=16_15.xlsx&amp;sheet=A0&amp;row=898&amp;col=10&amp;number=&amp;sourceID=54","")</f>
        <v/>
      </c>
      <c r="K898" s="4" t="str">
        <f>HYPERLINK("http://141.218.60.56/~jnz1568/getInfo.php?workbook=16_15.xlsx&amp;sheet=A0&amp;row=898&amp;col=11&amp;number=&amp;sourceID=54","")</f>
        <v/>
      </c>
      <c r="L898" s="4" t="str">
        <f>HYPERLINK("http://141.218.60.56/~jnz1568/getInfo.php?workbook=16_15.xlsx&amp;sheet=A0&amp;row=898&amp;col=12&amp;number=1461.81968402&amp;sourceID=53","1461.81968402")</f>
        <v>1461.81968402</v>
      </c>
      <c r="M898" s="4" t="str">
        <f>HYPERLINK("http://141.218.60.56/~jnz1568/getInfo.php?workbook=16_15.xlsx&amp;sheet=A0&amp;row=898&amp;col=13&amp;number=&amp;sourceID=53","")</f>
        <v/>
      </c>
      <c r="N898" s="4" t="str">
        <f>HYPERLINK("http://141.218.60.56/~jnz1568/getInfo.php?workbook=16_15.xlsx&amp;sheet=A0&amp;row=898&amp;col=14&amp;number=&amp;sourceID=53","")</f>
        <v/>
      </c>
      <c r="O898" s="4" t="str">
        <f>HYPERLINK("http://141.218.60.56/~jnz1568/getInfo.php?workbook=16_15.xlsx&amp;sheet=A0&amp;row=898&amp;col=15&amp;number=&amp;sourceID=55","")</f>
        <v/>
      </c>
      <c r="P898" s="4" t="str">
        <f>HYPERLINK("http://141.218.60.56/~jnz1568/getInfo.php?workbook=16_15.xlsx&amp;sheet=A0&amp;row=898&amp;col=16&amp;number=&amp;sourceID=55","")</f>
        <v/>
      </c>
      <c r="Q898" s="4" t="str">
        <f>HYPERLINK("http://141.218.60.56/~jnz1568/getInfo.php?workbook=16_15.xlsx&amp;sheet=A0&amp;row=898&amp;col=17&amp;number=&amp;sourceID=56","")</f>
        <v/>
      </c>
      <c r="R898" s="4" t="str">
        <f>HYPERLINK("http://141.218.60.56/~jnz1568/getInfo.php?workbook=16_15.xlsx&amp;sheet=A0&amp;row=898&amp;col=18&amp;number=&amp;sourceID=56","")</f>
        <v/>
      </c>
      <c r="S898" s="4" t="str">
        <f>HYPERLINK("http://141.218.60.56/~jnz1568/getInfo.php?workbook=16_15.xlsx&amp;sheet=A0&amp;row=898&amp;col=19&amp;number=&amp;sourceID=57","")</f>
        <v/>
      </c>
      <c r="T898" s="4" t="str">
        <f>HYPERLINK("http://141.218.60.56/~jnz1568/getInfo.php?workbook=16_15.xlsx&amp;sheet=A0&amp;row=898&amp;col=20&amp;number=&amp;sourceID=57","")</f>
        <v/>
      </c>
      <c r="U898" s="4" t="str">
        <f>HYPERLINK("http://141.218.60.56/~jnz1568/getInfo.php?workbook=16_15.xlsx&amp;sheet=A0&amp;row=898&amp;col=21&amp;number=&amp;sourceID=47","")</f>
        <v/>
      </c>
      <c r="V898" s="4" t="str">
        <f>HYPERLINK("http://141.218.60.56/~jnz1568/getInfo.php?workbook=16_15.xlsx&amp;sheet=A0&amp;row=898&amp;col=22&amp;number=&amp;sourceID=47","")</f>
        <v/>
      </c>
    </row>
    <row r="899" spans="1:22">
      <c r="A899" s="3">
        <v>16</v>
      </c>
      <c r="B899" s="3">
        <v>15</v>
      </c>
      <c r="C899" s="3">
        <v>48</v>
      </c>
      <c r="D899" s="3">
        <v>47</v>
      </c>
      <c r="E899" s="3">
        <f>((1/(INDEX(E0!J$4:J$73,C899,1)-INDEX(E0!J$4:J$73,D899,1))))*100000000</f>
        <v>0</v>
      </c>
      <c r="F899" s="4" t="str">
        <f>HYPERLINK("http://141.218.60.56/~jnz1568/getInfo.php?workbook=16_15.xlsx&amp;sheet=A0&amp;row=899&amp;col=6&amp;number=4454.3&amp;sourceID=54","4454.3")</f>
        <v>4454.3</v>
      </c>
      <c r="G899" s="4" t="str">
        <f>HYPERLINK("http://141.218.60.56/~jnz1568/getInfo.php?workbook=16_15.xlsx&amp;sheet=A0&amp;row=899&amp;col=7&amp;number=&amp;sourceID=54","")</f>
        <v/>
      </c>
      <c r="H899" s="4" t="str">
        <f>HYPERLINK("http://141.218.60.56/~jnz1568/getInfo.php?workbook=16_15.xlsx&amp;sheet=A0&amp;row=899&amp;col=8&amp;number=&amp;sourceID=54","")</f>
        <v/>
      </c>
      <c r="I899" s="4" t="str">
        <f>HYPERLINK("http://141.218.60.56/~jnz1568/getInfo.php?workbook=16_15.xlsx&amp;sheet=A0&amp;row=899&amp;col=9&amp;number=6.3193&amp;sourceID=54","6.3193")</f>
        <v>6.3193</v>
      </c>
      <c r="J899" s="4" t="str">
        <f>HYPERLINK("http://141.218.60.56/~jnz1568/getInfo.php?workbook=16_15.xlsx&amp;sheet=A0&amp;row=899&amp;col=10&amp;number=&amp;sourceID=54","")</f>
        <v/>
      </c>
      <c r="K899" s="4" t="str">
        <f>HYPERLINK("http://141.218.60.56/~jnz1568/getInfo.php?workbook=16_15.xlsx&amp;sheet=A0&amp;row=899&amp;col=11&amp;number=&amp;sourceID=54","")</f>
        <v/>
      </c>
      <c r="L899" s="4" t="str">
        <f>HYPERLINK("http://141.218.60.56/~jnz1568/getInfo.php?workbook=16_15.xlsx&amp;sheet=A0&amp;row=899&amp;col=12&amp;number=106.72570752&amp;sourceID=53","106.72570752")</f>
        <v>106.72570752</v>
      </c>
      <c r="M899" s="4" t="str">
        <f>HYPERLINK("http://141.218.60.56/~jnz1568/getInfo.php?workbook=16_15.xlsx&amp;sheet=A0&amp;row=899&amp;col=13&amp;number=&amp;sourceID=53","")</f>
        <v/>
      </c>
      <c r="N899" s="4" t="str">
        <f>HYPERLINK("http://141.218.60.56/~jnz1568/getInfo.php?workbook=16_15.xlsx&amp;sheet=A0&amp;row=899&amp;col=14&amp;number=&amp;sourceID=53","")</f>
        <v/>
      </c>
      <c r="O899" s="4" t="str">
        <f>HYPERLINK("http://141.218.60.56/~jnz1568/getInfo.php?workbook=16_15.xlsx&amp;sheet=A0&amp;row=899&amp;col=15&amp;number=&amp;sourceID=55","")</f>
        <v/>
      </c>
      <c r="P899" s="4" t="str">
        <f>HYPERLINK("http://141.218.60.56/~jnz1568/getInfo.php?workbook=16_15.xlsx&amp;sheet=A0&amp;row=899&amp;col=16&amp;number=&amp;sourceID=55","")</f>
        <v/>
      </c>
      <c r="Q899" s="4" t="str">
        <f>HYPERLINK("http://141.218.60.56/~jnz1568/getInfo.php?workbook=16_15.xlsx&amp;sheet=A0&amp;row=899&amp;col=17&amp;number=&amp;sourceID=56","")</f>
        <v/>
      </c>
      <c r="R899" s="4" t="str">
        <f>HYPERLINK("http://141.218.60.56/~jnz1568/getInfo.php?workbook=16_15.xlsx&amp;sheet=A0&amp;row=899&amp;col=18&amp;number=&amp;sourceID=56","")</f>
        <v/>
      </c>
      <c r="S899" s="4" t="str">
        <f>HYPERLINK("http://141.218.60.56/~jnz1568/getInfo.php?workbook=16_15.xlsx&amp;sheet=A0&amp;row=899&amp;col=19&amp;number=&amp;sourceID=57","")</f>
        <v/>
      </c>
      <c r="T899" s="4" t="str">
        <f>HYPERLINK("http://141.218.60.56/~jnz1568/getInfo.php?workbook=16_15.xlsx&amp;sheet=A0&amp;row=899&amp;col=20&amp;number=&amp;sourceID=57","")</f>
        <v/>
      </c>
      <c r="U899" s="4" t="str">
        <f>HYPERLINK("http://141.218.60.56/~jnz1568/getInfo.php?workbook=16_15.xlsx&amp;sheet=A0&amp;row=899&amp;col=21&amp;number=&amp;sourceID=47","")</f>
        <v/>
      </c>
      <c r="V899" s="4" t="str">
        <f>HYPERLINK("http://141.218.60.56/~jnz1568/getInfo.php?workbook=16_15.xlsx&amp;sheet=A0&amp;row=899&amp;col=22&amp;number=&amp;sourceID=47","")</f>
        <v/>
      </c>
    </row>
    <row r="900" spans="1:22">
      <c r="A900" s="3">
        <v>16</v>
      </c>
      <c r="B900" s="3">
        <v>15</v>
      </c>
      <c r="C900" s="3">
        <v>49</v>
      </c>
      <c r="D900" s="3">
        <v>1</v>
      </c>
      <c r="E900" s="3">
        <f>((1/(INDEX(E0!J$4:J$73,C900,1)-INDEX(E0!J$4:J$73,D900,1))))*100000000</f>
        <v>0</v>
      </c>
      <c r="F900" s="4" t="str">
        <f>HYPERLINK("http://141.218.60.56/~jnz1568/getInfo.php?workbook=16_15.xlsx&amp;sheet=A0&amp;row=900&amp;col=6&amp;number=&amp;sourceID=54","")</f>
        <v/>
      </c>
      <c r="G900" s="4" t="str">
        <f>HYPERLINK("http://141.218.60.56/~jnz1568/getInfo.php?workbook=16_15.xlsx&amp;sheet=A0&amp;row=900&amp;col=7&amp;number=3.0872&amp;sourceID=54","3.0872")</f>
        <v>3.0872</v>
      </c>
      <c r="H900" s="4" t="str">
        <f>HYPERLINK("http://141.218.60.56/~jnz1568/getInfo.php?workbook=16_15.xlsx&amp;sheet=A0&amp;row=900&amp;col=8&amp;number=0.14578&amp;sourceID=54","0.14578")</f>
        <v>0.14578</v>
      </c>
      <c r="I900" s="4" t="str">
        <f>HYPERLINK("http://141.218.60.56/~jnz1568/getInfo.php?workbook=16_15.xlsx&amp;sheet=A0&amp;row=900&amp;col=9&amp;number=&amp;sourceID=54","")</f>
        <v/>
      </c>
      <c r="J900" s="4" t="str">
        <f>HYPERLINK("http://141.218.60.56/~jnz1568/getInfo.php?workbook=16_15.xlsx&amp;sheet=A0&amp;row=900&amp;col=10&amp;number=3.2809&amp;sourceID=54","3.2809")</f>
        <v>3.2809</v>
      </c>
      <c r="K900" s="4" t="str">
        <f>HYPERLINK("http://141.218.60.56/~jnz1568/getInfo.php?workbook=16_15.xlsx&amp;sheet=A0&amp;row=900&amp;col=11&amp;number=0.14636&amp;sourceID=54","0.14636")</f>
        <v>0.14636</v>
      </c>
      <c r="L900" s="4" t="str">
        <f>HYPERLINK("http://141.218.60.56/~jnz1568/getInfo.php?workbook=16_15.xlsx&amp;sheet=A0&amp;row=900&amp;col=12&amp;number=&amp;sourceID=53","")</f>
        <v/>
      </c>
      <c r="M900" s="4" t="str">
        <f>HYPERLINK("http://141.218.60.56/~jnz1568/getInfo.php?workbook=16_15.xlsx&amp;sheet=A0&amp;row=900&amp;col=13&amp;number=&amp;sourceID=53","")</f>
        <v/>
      </c>
      <c r="N900" s="4" t="str">
        <f>HYPERLINK("http://141.218.60.56/~jnz1568/getInfo.php?workbook=16_15.xlsx&amp;sheet=A0&amp;row=900&amp;col=14&amp;number=&amp;sourceID=53","")</f>
        <v/>
      </c>
      <c r="O900" s="4" t="str">
        <f>HYPERLINK("http://141.218.60.56/~jnz1568/getInfo.php?workbook=16_15.xlsx&amp;sheet=A0&amp;row=900&amp;col=15&amp;number=&amp;sourceID=55","")</f>
        <v/>
      </c>
      <c r="P900" s="4" t="str">
        <f>HYPERLINK("http://141.218.60.56/~jnz1568/getInfo.php?workbook=16_15.xlsx&amp;sheet=A0&amp;row=900&amp;col=16&amp;number=&amp;sourceID=55","")</f>
        <v/>
      </c>
      <c r="Q900" s="4" t="str">
        <f>HYPERLINK("http://141.218.60.56/~jnz1568/getInfo.php?workbook=16_15.xlsx&amp;sheet=A0&amp;row=900&amp;col=17&amp;number=&amp;sourceID=56","")</f>
        <v/>
      </c>
      <c r="R900" s="4" t="str">
        <f>HYPERLINK("http://141.218.60.56/~jnz1568/getInfo.php?workbook=16_15.xlsx&amp;sheet=A0&amp;row=900&amp;col=18&amp;number=&amp;sourceID=56","")</f>
        <v/>
      </c>
      <c r="S900" s="4" t="str">
        <f>HYPERLINK("http://141.218.60.56/~jnz1568/getInfo.php?workbook=16_15.xlsx&amp;sheet=A0&amp;row=900&amp;col=19&amp;number=&amp;sourceID=57","")</f>
        <v/>
      </c>
      <c r="T900" s="4" t="str">
        <f>HYPERLINK("http://141.218.60.56/~jnz1568/getInfo.php?workbook=16_15.xlsx&amp;sheet=A0&amp;row=900&amp;col=20&amp;number=&amp;sourceID=57","")</f>
        <v/>
      </c>
      <c r="U900" s="4" t="str">
        <f>HYPERLINK("http://141.218.60.56/~jnz1568/getInfo.php?workbook=16_15.xlsx&amp;sheet=A0&amp;row=900&amp;col=21&amp;number=&amp;sourceID=47","")</f>
        <v/>
      </c>
      <c r="V900" s="4" t="str">
        <f>HYPERLINK("http://141.218.60.56/~jnz1568/getInfo.php?workbook=16_15.xlsx&amp;sheet=A0&amp;row=900&amp;col=22&amp;number=&amp;sourceID=47","")</f>
        <v/>
      </c>
    </row>
    <row r="901" spans="1:22">
      <c r="A901" s="3">
        <v>16</v>
      </c>
      <c r="B901" s="3">
        <v>15</v>
      </c>
      <c r="C901" s="3">
        <v>49</v>
      </c>
      <c r="D901" s="3">
        <v>2</v>
      </c>
      <c r="E901" s="3">
        <f>((1/(INDEX(E0!J$4:J$73,C901,1)-INDEX(E0!J$4:J$73,D901,1))))*100000000</f>
        <v>0</v>
      </c>
      <c r="F901" s="4" t="str">
        <f>HYPERLINK("http://141.218.60.56/~jnz1568/getInfo.php?workbook=16_15.xlsx&amp;sheet=A0&amp;row=901&amp;col=6&amp;number=&amp;sourceID=54","")</f>
        <v/>
      </c>
      <c r="G901" s="4" t="str">
        <f>HYPERLINK("http://141.218.60.56/~jnz1568/getInfo.php?workbook=16_15.xlsx&amp;sheet=A0&amp;row=901&amp;col=7&amp;number=1295.7&amp;sourceID=54","1295.7")</f>
        <v>1295.7</v>
      </c>
      <c r="H901" s="4" t="str">
        <f>HYPERLINK("http://141.218.60.56/~jnz1568/getInfo.php?workbook=16_15.xlsx&amp;sheet=A0&amp;row=901&amp;col=8&amp;number=0.0049657&amp;sourceID=54","0.0049657")</f>
        <v>0.0049657</v>
      </c>
      <c r="I901" s="4" t="str">
        <f>HYPERLINK("http://141.218.60.56/~jnz1568/getInfo.php?workbook=16_15.xlsx&amp;sheet=A0&amp;row=901&amp;col=9&amp;number=&amp;sourceID=54","")</f>
        <v/>
      </c>
      <c r="J901" s="4" t="str">
        <f>HYPERLINK("http://141.218.60.56/~jnz1568/getInfo.php?workbook=16_15.xlsx&amp;sheet=A0&amp;row=901&amp;col=10&amp;number=1337&amp;sourceID=54","1337")</f>
        <v>1337</v>
      </c>
      <c r="K901" s="4" t="str">
        <f>HYPERLINK("http://141.218.60.56/~jnz1568/getInfo.php?workbook=16_15.xlsx&amp;sheet=A0&amp;row=901&amp;col=11&amp;number=0.0048117&amp;sourceID=54","0.0048117")</f>
        <v>0.0048117</v>
      </c>
      <c r="L901" s="4" t="str">
        <f>HYPERLINK("http://141.218.60.56/~jnz1568/getInfo.php?workbook=16_15.xlsx&amp;sheet=A0&amp;row=901&amp;col=12&amp;number=&amp;sourceID=53","")</f>
        <v/>
      </c>
      <c r="M901" s="4" t="str">
        <f>HYPERLINK("http://141.218.60.56/~jnz1568/getInfo.php?workbook=16_15.xlsx&amp;sheet=A0&amp;row=901&amp;col=13&amp;number=&amp;sourceID=53","")</f>
        <v/>
      </c>
      <c r="N901" s="4" t="str">
        <f>HYPERLINK("http://141.218.60.56/~jnz1568/getInfo.php?workbook=16_15.xlsx&amp;sheet=A0&amp;row=901&amp;col=14&amp;number=&amp;sourceID=53","")</f>
        <v/>
      </c>
      <c r="O901" s="4" t="str">
        <f>HYPERLINK("http://141.218.60.56/~jnz1568/getInfo.php?workbook=16_15.xlsx&amp;sheet=A0&amp;row=901&amp;col=15&amp;number=&amp;sourceID=55","")</f>
        <v/>
      </c>
      <c r="P901" s="4" t="str">
        <f>HYPERLINK("http://141.218.60.56/~jnz1568/getInfo.php?workbook=16_15.xlsx&amp;sheet=A0&amp;row=901&amp;col=16&amp;number=&amp;sourceID=55","")</f>
        <v/>
      </c>
      <c r="Q901" s="4" t="str">
        <f>HYPERLINK("http://141.218.60.56/~jnz1568/getInfo.php?workbook=16_15.xlsx&amp;sheet=A0&amp;row=901&amp;col=17&amp;number=&amp;sourceID=56","")</f>
        <v/>
      </c>
      <c r="R901" s="4" t="str">
        <f>HYPERLINK("http://141.218.60.56/~jnz1568/getInfo.php?workbook=16_15.xlsx&amp;sheet=A0&amp;row=901&amp;col=18&amp;number=&amp;sourceID=56","")</f>
        <v/>
      </c>
      <c r="S901" s="4" t="str">
        <f>HYPERLINK("http://141.218.60.56/~jnz1568/getInfo.php?workbook=16_15.xlsx&amp;sheet=A0&amp;row=901&amp;col=19&amp;number=&amp;sourceID=57","")</f>
        <v/>
      </c>
      <c r="T901" s="4" t="str">
        <f>HYPERLINK("http://141.218.60.56/~jnz1568/getInfo.php?workbook=16_15.xlsx&amp;sheet=A0&amp;row=901&amp;col=20&amp;number=&amp;sourceID=57","")</f>
        <v/>
      </c>
      <c r="U901" s="4" t="str">
        <f>HYPERLINK("http://141.218.60.56/~jnz1568/getInfo.php?workbook=16_15.xlsx&amp;sheet=A0&amp;row=901&amp;col=21&amp;number=&amp;sourceID=47","")</f>
        <v/>
      </c>
      <c r="V901" s="4" t="str">
        <f>HYPERLINK("http://141.218.60.56/~jnz1568/getInfo.php?workbook=16_15.xlsx&amp;sheet=A0&amp;row=901&amp;col=22&amp;number=&amp;sourceID=47","")</f>
        <v/>
      </c>
    </row>
    <row r="902" spans="1:22">
      <c r="A902" s="3">
        <v>16</v>
      </c>
      <c r="B902" s="3">
        <v>15</v>
      </c>
      <c r="C902" s="3">
        <v>49</v>
      </c>
      <c r="D902" s="3">
        <v>3</v>
      </c>
      <c r="E902" s="3">
        <f>((1/(INDEX(E0!J$4:J$73,C902,1)-INDEX(E0!J$4:J$73,D902,1))))*100000000</f>
        <v>0</v>
      </c>
      <c r="F902" s="4" t="str">
        <f>HYPERLINK("http://141.218.60.56/~jnz1568/getInfo.php?workbook=16_15.xlsx&amp;sheet=A0&amp;row=902&amp;col=6&amp;number=&amp;sourceID=54","")</f>
        <v/>
      </c>
      <c r="G902" s="4" t="str">
        <f>HYPERLINK("http://141.218.60.56/~jnz1568/getInfo.php?workbook=16_15.xlsx&amp;sheet=A0&amp;row=902&amp;col=7&amp;number=4272.3&amp;sourceID=54","4272.3")</f>
        <v>4272.3</v>
      </c>
      <c r="H902" s="4" t="str">
        <f>HYPERLINK("http://141.218.60.56/~jnz1568/getInfo.php?workbook=16_15.xlsx&amp;sheet=A0&amp;row=902&amp;col=8&amp;number=0.00057644&amp;sourceID=54","0.00057644")</f>
        <v>0.00057644</v>
      </c>
      <c r="I902" s="4" t="str">
        <f>HYPERLINK("http://141.218.60.56/~jnz1568/getInfo.php?workbook=16_15.xlsx&amp;sheet=A0&amp;row=902&amp;col=9&amp;number=&amp;sourceID=54","")</f>
        <v/>
      </c>
      <c r="J902" s="4" t="str">
        <f>HYPERLINK("http://141.218.60.56/~jnz1568/getInfo.php?workbook=16_15.xlsx&amp;sheet=A0&amp;row=902&amp;col=10&amp;number=4405.6&amp;sourceID=54","4405.6")</f>
        <v>4405.6</v>
      </c>
      <c r="K902" s="4" t="str">
        <f>HYPERLINK("http://141.218.60.56/~jnz1568/getInfo.php?workbook=16_15.xlsx&amp;sheet=A0&amp;row=902&amp;col=11&amp;number=0.0005867&amp;sourceID=54","0.0005867")</f>
        <v>0.0005867</v>
      </c>
      <c r="L902" s="4" t="str">
        <f>HYPERLINK("http://141.218.60.56/~jnz1568/getInfo.php?workbook=16_15.xlsx&amp;sheet=A0&amp;row=902&amp;col=12&amp;number=&amp;sourceID=53","")</f>
        <v/>
      </c>
      <c r="M902" s="4" t="str">
        <f>HYPERLINK("http://141.218.60.56/~jnz1568/getInfo.php?workbook=16_15.xlsx&amp;sheet=A0&amp;row=902&amp;col=13&amp;number=&amp;sourceID=53","")</f>
        <v/>
      </c>
      <c r="N902" s="4" t="str">
        <f>HYPERLINK("http://141.218.60.56/~jnz1568/getInfo.php?workbook=16_15.xlsx&amp;sheet=A0&amp;row=902&amp;col=14&amp;number=&amp;sourceID=53","")</f>
        <v/>
      </c>
      <c r="O902" s="4" t="str">
        <f>HYPERLINK("http://141.218.60.56/~jnz1568/getInfo.php?workbook=16_15.xlsx&amp;sheet=A0&amp;row=902&amp;col=15&amp;number=&amp;sourceID=55","")</f>
        <v/>
      </c>
      <c r="P902" s="4" t="str">
        <f>HYPERLINK("http://141.218.60.56/~jnz1568/getInfo.php?workbook=16_15.xlsx&amp;sheet=A0&amp;row=902&amp;col=16&amp;number=&amp;sourceID=55","")</f>
        <v/>
      </c>
      <c r="Q902" s="4" t="str">
        <f>HYPERLINK("http://141.218.60.56/~jnz1568/getInfo.php?workbook=16_15.xlsx&amp;sheet=A0&amp;row=902&amp;col=17&amp;number=&amp;sourceID=56","")</f>
        <v/>
      </c>
      <c r="R902" s="4" t="str">
        <f>HYPERLINK("http://141.218.60.56/~jnz1568/getInfo.php?workbook=16_15.xlsx&amp;sheet=A0&amp;row=902&amp;col=18&amp;number=&amp;sourceID=56","")</f>
        <v/>
      </c>
      <c r="S902" s="4" t="str">
        <f>HYPERLINK("http://141.218.60.56/~jnz1568/getInfo.php?workbook=16_15.xlsx&amp;sheet=A0&amp;row=902&amp;col=19&amp;number=&amp;sourceID=57","")</f>
        <v/>
      </c>
      <c r="T902" s="4" t="str">
        <f>HYPERLINK("http://141.218.60.56/~jnz1568/getInfo.php?workbook=16_15.xlsx&amp;sheet=A0&amp;row=902&amp;col=20&amp;number=&amp;sourceID=57","")</f>
        <v/>
      </c>
      <c r="U902" s="4" t="str">
        <f>HYPERLINK("http://141.218.60.56/~jnz1568/getInfo.php?workbook=16_15.xlsx&amp;sheet=A0&amp;row=902&amp;col=21&amp;number=&amp;sourceID=47","")</f>
        <v/>
      </c>
      <c r="V902" s="4" t="str">
        <f>HYPERLINK("http://141.218.60.56/~jnz1568/getInfo.php?workbook=16_15.xlsx&amp;sheet=A0&amp;row=902&amp;col=22&amp;number=&amp;sourceID=47","")</f>
        <v/>
      </c>
    </row>
    <row r="903" spans="1:22">
      <c r="A903" s="3">
        <v>16</v>
      </c>
      <c r="B903" s="3">
        <v>15</v>
      </c>
      <c r="C903" s="3">
        <v>49</v>
      </c>
      <c r="D903" s="3">
        <v>4</v>
      </c>
      <c r="E903" s="3">
        <f>((1/(INDEX(E0!J$4:J$73,C903,1)-INDEX(E0!J$4:J$73,D903,1))))*100000000</f>
        <v>0</v>
      </c>
      <c r="F903" s="4" t="str">
        <f>HYPERLINK("http://141.218.60.56/~jnz1568/getInfo.php?workbook=16_15.xlsx&amp;sheet=A0&amp;row=903&amp;col=6&amp;number=&amp;sourceID=54","")</f>
        <v/>
      </c>
      <c r="G903" s="4" t="str">
        <f>HYPERLINK("http://141.218.60.56/~jnz1568/getInfo.php?workbook=16_15.xlsx&amp;sheet=A0&amp;row=903&amp;col=7&amp;number=1650.1&amp;sourceID=54","1650.1")</f>
        <v>1650.1</v>
      </c>
      <c r="H903" s="4" t="str">
        <f>HYPERLINK("http://141.218.60.56/~jnz1568/getInfo.php?workbook=16_15.xlsx&amp;sheet=A0&amp;row=903&amp;col=8&amp;number=0.21479&amp;sourceID=54","0.21479")</f>
        <v>0.21479</v>
      </c>
      <c r="I903" s="4" t="str">
        <f>HYPERLINK("http://141.218.60.56/~jnz1568/getInfo.php?workbook=16_15.xlsx&amp;sheet=A0&amp;row=903&amp;col=9&amp;number=&amp;sourceID=54","")</f>
        <v/>
      </c>
      <c r="J903" s="4" t="str">
        <f>HYPERLINK("http://141.218.60.56/~jnz1568/getInfo.php?workbook=16_15.xlsx&amp;sheet=A0&amp;row=903&amp;col=10&amp;number=1692.5&amp;sourceID=54","1692.5")</f>
        <v>1692.5</v>
      </c>
      <c r="K903" s="4" t="str">
        <f>HYPERLINK("http://141.218.60.56/~jnz1568/getInfo.php?workbook=16_15.xlsx&amp;sheet=A0&amp;row=903&amp;col=11&amp;number=0.21822&amp;sourceID=54","0.21822")</f>
        <v>0.21822</v>
      </c>
      <c r="L903" s="4" t="str">
        <f>HYPERLINK("http://141.218.60.56/~jnz1568/getInfo.php?workbook=16_15.xlsx&amp;sheet=A0&amp;row=903&amp;col=12&amp;number=&amp;sourceID=53","")</f>
        <v/>
      </c>
      <c r="M903" s="4" t="str">
        <f>HYPERLINK("http://141.218.60.56/~jnz1568/getInfo.php?workbook=16_15.xlsx&amp;sheet=A0&amp;row=903&amp;col=13&amp;number=&amp;sourceID=53","")</f>
        <v/>
      </c>
      <c r="N903" s="4" t="str">
        <f>HYPERLINK("http://141.218.60.56/~jnz1568/getInfo.php?workbook=16_15.xlsx&amp;sheet=A0&amp;row=903&amp;col=14&amp;number=&amp;sourceID=53","")</f>
        <v/>
      </c>
      <c r="O903" s="4" t="str">
        <f>HYPERLINK("http://141.218.60.56/~jnz1568/getInfo.php?workbook=16_15.xlsx&amp;sheet=A0&amp;row=903&amp;col=15&amp;number=&amp;sourceID=55","")</f>
        <v/>
      </c>
      <c r="P903" s="4" t="str">
        <f>HYPERLINK("http://141.218.60.56/~jnz1568/getInfo.php?workbook=16_15.xlsx&amp;sheet=A0&amp;row=903&amp;col=16&amp;number=&amp;sourceID=55","")</f>
        <v/>
      </c>
      <c r="Q903" s="4" t="str">
        <f>HYPERLINK("http://141.218.60.56/~jnz1568/getInfo.php?workbook=16_15.xlsx&amp;sheet=A0&amp;row=903&amp;col=17&amp;number=&amp;sourceID=56","")</f>
        <v/>
      </c>
      <c r="R903" s="4" t="str">
        <f>HYPERLINK("http://141.218.60.56/~jnz1568/getInfo.php?workbook=16_15.xlsx&amp;sheet=A0&amp;row=903&amp;col=18&amp;number=&amp;sourceID=56","")</f>
        <v/>
      </c>
      <c r="S903" s="4" t="str">
        <f>HYPERLINK("http://141.218.60.56/~jnz1568/getInfo.php?workbook=16_15.xlsx&amp;sheet=A0&amp;row=903&amp;col=19&amp;number=&amp;sourceID=57","")</f>
        <v/>
      </c>
      <c r="T903" s="4" t="str">
        <f>HYPERLINK("http://141.218.60.56/~jnz1568/getInfo.php?workbook=16_15.xlsx&amp;sheet=A0&amp;row=903&amp;col=20&amp;number=&amp;sourceID=57","")</f>
        <v/>
      </c>
      <c r="U903" s="4" t="str">
        <f>HYPERLINK("http://141.218.60.56/~jnz1568/getInfo.php?workbook=16_15.xlsx&amp;sheet=A0&amp;row=903&amp;col=21&amp;number=&amp;sourceID=47","")</f>
        <v/>
      </c>
      <c r="V903" s="4" t="str">
        <f>HYPERLINK("http://141.218.60.56/~jnz1568/getInfo.php?workbook=16_15.xlsx&amp;sheet=A0&amp;row=903&amp;col=22&amp;number=&amp;sourceID=47","")</f>
        <v/>
      </c>
    </row>
    <row r="904" spans="1:22">
      <c r="A904" s="3">
        <v>16</v>
      </c>
      <c r="B904" s="3">
        <v>15</v>
      </c>
      <c r="C904" s="3">
        <v>49</v>
      </c>
      <c r="D904" s="3">
        <v>5</v>
      </c>
      <c r="E904" s="3">
        <f>((1/(INDEX(E0!J$4:J$73,C904,1)-INDEX(E0!J$4:J$73,D904,1))))*100000000</f>
        <v>0</v>
      </c>
      <c r="F904" s="4" t="str">
        <f>HYPERLINK("http://141.218.60.56/~jnz1568/getInfo.php?workbook=16_15.xlsx&amp;sheet=A0&amp;row=904&amp;col=6&amp;number=&amp;sourceID=54","")</f>
        <v/>
      </c>
      <c r="G904" s="4" t="str">
        <f>HYPERLINK("http://141.218.60.56/~jnz1568/getInfo.php?workbook=16_15.xlsx&amp;sheet=A0&amp;row=904&amp;col=7&amp;number=1758.5&amp;sourceID=54","1758.5")</f>
        <v>1758.5</v>
      </c>
      <c r="H904" s="4" t="str">
        <f>HYPERLINK("http://141.218.60.56/~jnz1568/getInfo.php?workbook=16_15.xlsx&amp;sheet=A0&amp;row=904&amp;col=8&amp;number=4.9225&amp;sourceID=54","4.9225")</f>
        <v>4.9225</v>
      </c>
      <c r="I904" s="4" t="str">
        <f>HYPERLINK("http://141.218.60.56/~jnz1568/getInfo.php?workbook=16_15.xlsx&amp;sheet=A0&amp;row=904&amp;col=9&amp;number=&amp;sourceID=54","")</f>
        <v/>
      </c>
      <c r="J904" s="4" t="str">
        <f>HYPERLINK("http://141.218.60.56/~jnz1568/getInfo.php?workbook=16_15.xlsx&amp;sheet=A0&amp;row=904&amp;col=10&amp;number=1805&amp;sourceID=54","1805")</f>
        <v>1805</v>
      </c>
      <c r="K904" s="4" t="str">
        <f>HYPERLINK("http://141.218.60.56/~jnz1568/getInfo.php?workbook=16_15.xlsx&amp;sheet=A0&amp;row=904&amp;col=11&amp;number=5&amp;sourceID=54","5")</f>
        <v>5</v>
      </c>
      <c r="L904" s="4" t="str">
        <f>HYPERLINK("http://141.218.60.56/~jnz1568/getInfo.php?workbook=16_15.xlsx&amp;sheet=A0&amp;row=904&amp;col=12&amp;number=&amp;sourceID=53","")</f>
        <v/>
      </c>
      <c r="M904" s="4" t="str">
        <f>HYPERLINK("http://141.218.60.56/~jnz1568/getInfo.php?workbook=16_15.xlsx&amp;sheet=A0&amp;row=904&amp;col=13&amp;number=&amp;sourceID=53","")</f>
        <v/>
      </c>
      <c r="N904" s="4" t="str">
        <f>HYPERLINK("http://141.218.60.56/~jnz1568/getInfo.php?workbook=16_15.xlsx&amp;sheet=A0&amp;row=904&amp;col=14&amp;number=&amp;sourceID=53","")</f>
        <v/>
      </c>
      <c r="O904" s="4" t="str">
        <f>HYPERLINK("http://141.218.60.56/~jnz1568/getInfo.php?workbook=16_15.xlsx&amp;sheet=A0&amp;row=904&amp;col=15&amp;number=&amp;sourceID=55","")</f>
        <v/>
      </c>
      <c r="P904" s="4" t="str">
        <f>HYPERLINK("http://141.218.60.56/~jnz1568/getInfo.php?workbook=16_15.xlsx&amp;sheet=A0&amp;row=904&amp;col=16&amp;number=&amp;sourceID=55","")</f>
        <v/>
      </c>
      <c r="Q904" s="4" t="str">
        <f>HYPERLINK("http://141.218.60.56/~jnz1568/getInfo.php?workbook=16_15.xlsx&amp;sheet=A0&amp;row=904&amp;col=17&amp;number=&amp;sourceID=56","")</f>
        <v/>
      </c>
      <c r="R904" s="4" t="str">
        <f>HYPERLINK("http://141.218.60.56/~jnz1568/getInfo.php?workbook=16_15.xlsx&amp;sheet=A0&amp;row=904&amp;col=18&amp;number=&amp;sourceID=56","")</f>
        <v/>
      </c>
      <c r="S904" s="4" t="str">
        <f>HYPERLINK("http://141.218.60.56/~jnz1568/getInfo.php?workbook=16_15.xlsx&amp;sheet=A0&amp;row=904&amp;col=19&amp;number=&amp;sourceID=57","")</f>
        <v/>
      </c>
      <c r="T904" s="4" t="str">
        <f>HYPERLINK("http://141.218.60.56/~jnz1568/getInfo.php?workbook=16_15.xlsx&amp;sheet=A0&amp;row=904&amp;col=20&amp;number=&amp;sourceID=57","")</f>
        <v/>
      </c>
      <c r="U904" s="4" t="str">
        <f>HYPERLINK("http://141.218.60.56/~jnz1568/getInfo.php?workbook=16_15.xlsx&amp;sheet=A0&amp;row=904&amp;col=21&amp;number=&amp;sourceID=47","")</f>
        <v/>
      </c>
      <c r="V904" s="4" t="str">
        <f>HYPERLINK("http://141.218.60.56/~jnz1568/getInfo.php?workbook=16_15.xlsx&amp;sheet=A0&amp;row=904&amp;col=22&amp;number=&amp;sourceID=47","")</f>
        <v/>
      </c>
    </row>
    <row r="905" spans="1:22">
      <c r="A905" s="3">
        <v>16</v>
      </c>
      <c r="B905" s="3">
        <v>15</v>
      </c>
      <c r="C905" s="3">
        <v>49</v>
      </c>
      <c r="D905" s="3">
        <v>6</v>
      </c>
      <c r="E905" s="3">
        <f>((1/(INDEX(E0!J$4:J$73,C905,1)-INDEX(E0!J$4:J$73,D905,1))))*100000000</f>
        <v>0</v>
      </c>
      <c r="F905" s="4" t="str">
        <f>HYPERLINK("http://141.218.60.56/~jnz1568/getInfo.php?workbook=16_15.xlsx&amp;sheet=A0&amp;row=905&amp;col=6&amp;number=52107&amp;sourceID=54","52107")</f>
        <v>52107</v>
      </c>
      <c r="G905" s="4" t="str">
        <f>HYPERLINK("http://141.218.60.56/~jnz1568/getInfo.php?workbook=16_15.xlsx&amp;sheet=A0&amp;row=905&amp;col=7&amp;number=&amp;sourceID=54","")</f>
        <v/>
      </c>
      <c r="H905" s="4" t="str">
        <f>HYPERLINK("http://141.218.60.56/~jnz1568/getInfo.php?workbook=16_15.xlsx&amp;sheet=A0&amp;row=905&amp;col=8&amp;number=&amp;sourceID=54","")</f>
        <v/>
      </c>
      <c r="I905" s="4" t="str">
        <f>HYPERLINK("http://141.218.60.56/~jnz1568/getInfo.php?workbook=16_15.xlsx&amp;sheet=A0&amp;row=905&amp;col=9&amp;number=55908&amp;sourceID=54","55908")</f>
        <v>55908</v>
      </c>
      <c r="J905" s="4" t="str">
        <f>HYPERLINK("http://141.218.60.56/~jnz1568/getInfo.php?workbook=16_15.xlsx&amp;sheet=A0&amp;row=905&amp;col=10&amp;number=&amp;sourceID=54","")</f>
        <v/>
      </c>
      <c r="K905" s="4" t="str">
        <f>HYPERLINK("http://141.218.60.56/~jnz1568/getInfo.php?workbook=16_15.xlsx&amp;sheet=A0&amp;row=905&amp;col=11&amp;number=&amp;sourceID=54","")</f>
        <v/>
      </c>
      <c r="L905" s="4" t="str">
        <f>HYPERLINK("http://141.218.60.56/~jnz1568/getInfo.php?workbook=16_15.xlsx&amp;sheet=A0&amp;row=905&amp;col=12&amp;number=48506.7311946&amp;sourceID=53","48506.7311946")</f>
        <v>48506.7311946</v>
      </c>
      <c r="M905" s="4" t="str">
        <f>HYPERLINK("http://141.218.60.56/~jnz1568/getInfo.php?workbook=16_15.xlsx&amp;sheet=A0&amp;row=905&amp;col=13&amp;number=&amp;sourceID=53","")</f>
        <v/>
      </c>
      <c r="N905" s="4" t="str">
        <f>HYPERLINK("http://141.218.60.56/~jnz1568/getInfo.php?workbook=16_15.xlsx&amp;sheet=A0&amp;row=905&amp;col=14&amp;number=&amp;sourceID=53","")</f>
        <v/>
      </c>
      <c r="O905" s="4" t="str">
        <f>HYPERLINK("http://141.218.60.56/~jnz1568/getInfo.php?workbook=16_15.xlsx&amp;sheet=A0&amp;row=905&amp;col=15&amp;number=&amp;sourceID=55","")</f>
        <v/>
      </c>
      <c r="P905" s="4" t="str">
        <f>HYPERLINK("http://141.218.60.56/~jnz1568/getInfo.php?workbook=16_15.xlsx&amp;sheet=A0&amp;row=905&amp;col=16&amp;number=&amp;sourceID=55","")</f>
        <v/>
      </c>
      <c r="Q905" s="4" t="str">
        <f>HYPERLINK("http://141.218.60.56/~jnz1568/getInfo.php?workbook=16_15.xlsx&amp;sheet=A0&amp;row=905&amp;col=17&amp;number=&amp;sourceID=56","")</f>
        <v/>
      </c>
      <c r="R905" s="4" t="str">
        <f>HYPERLINK("http://141.218.60.56/~jnz1568/getInfo.php?workbook=16_15.xlsx&amp;sheet=A0&amp;row=905&amp;col=18&amp;number=&amp;sourceID=56","")</f>
        <v/>
      </c>
      <c r="S905" s="4" t="str">
        <f>HYPERLINK("http://141.218.60.56/~jnz1568/getInfo.php?workbook=16_15.xlsx&amp;sheet=A0&amp;row=905&amp;col=19&amp;number=&amp;sourceID=57","")</f>
        <v/>
      </c>
      <c r="T905" s="4" t="str">
        <f>HYPERLINK("http://141.218.60.56/~jnz1568/getInfo.php?workbook=16_15.xlsx&amp;sheet=A0&amp;row=905&amp;col=20&amp;number=&amp;sourceID=57","")</f>
        <v/>
      </c>
      <c r="U905" s="4" t="str">
        <f>HYPERLINK("http://141.218.60.56/~jnz1568/getInfo.php?workbook=16_15.xlsx&amp;sheet=A0&amp;row=905&amp;col=21&amp;number=&amp;sourceID=47","")</f>
        <v/>
      </c>
      <c r="V905" s="4" t="str">
        <f>HYPERLINK("http://141.218.60.56/~jnz1568/getInfo.php?workbook=16_15.xlsx&amp;sheet=A0&amp;row=905&amp;col=22&amp;number=&amp;sourceID=47","")</f>
        <v/>
      </c>
    </row>
    <row r="906" spans="1:22">
      <c r="A906" s="3">
        <v>16</v>
      </c>
      <c r="B906" s="3">
        <v>15</v>
      </c>
      <c r="C906" s="3">
        <v>49</v>
      </c>
      <c r="D906" s="3">
        <v>7</v>
      </c>
      <c r="E906" s="3">
        <f>((1/(INDEX(E0!J$4:J$73,C906,1)-INDEX(E0!J$4:J$73,D906,1))))*100000000</f>
        <v>0</v>
      </c>
      <c r="F906" s="4" t="str">
        <f>HYPERLINK("http://141.218.60.56/~jnz1568/getInfo.php?workbook=16_15.xlsx&amp;sheet=A0&amp;row=906&amp;col=6&amp;number=380.95&amp;sourceID=54","380.95")</f>
        <v>380.95</v>
      </c>
      <c r="G906" s="4" t="str">
        <f>HYPERLINK("http://141.218.60.56/~jnz1568/getInfo.php?workbook=16_15.xlsx&amp;sheet=A0&amp;row=906&amp;col=7&amp;number=&amp;sourceID=54","")</f>
        <v/>
      </c>
      <c r="H906" s="4" t="str">
        <f>HYPERLINK("http://141.218.60.56/~jnz1568/getInfo.php?workbook=16_15.xlsx&amp;sheet=A0&amp;row=906&amp;col=8&amp;number=&amp;sourceID=54","")</f>
        <v/>
      </c>
      <c r="I906" s="4" t="str">
        <f>HYPERLINK("http://141.218.60.56/~jnz1568/getInfo.php?workbook=16_15.xlsx&amp;sheet=A0&amp;row=906&amp;col=9&amp;number=482.04&amp;sourceID=54","482.04")</f>
        <v>482.04</v>
      </c>
      <c r="J906" s="4" t="str">
        <f>HYPERLINK("http://141.218.60.56/~jnz1568/getInfo.php?workbook=16_15.xlsx&amp;sheet=A0&amp;row=906&amp;col=10&amp;number=&amp;sourceID=54","")</f>
        <v/>
      </c>
      <c r="K906" s="4" t="str">
        <f>HYPERLINK("http://141.218.60.56/~jnz1568/getInfo.php?workbook=16_15.xlsx&amp;sheet=A0&amp;row=906&amp;col=11&amp;number=&amp;sourceID=54","")</f>
        <v/>
      </c>
      <c r="L906" s="4" t="str">
        <f>HYPERLINK("http://141.218.60.56/~jnz1568/getInfo.php?workbook=16_15.xlsx&amp;sheet=A0&amp;row=906&amp;col=12&amp;number=102.428431151&amp;sourceID=53","102.428431151")</f>
        <v>102.428431151</v>
      </c>
      <c r="M906" s="4" t="str">
        <f>HYPERLINK("http://141.218.60.56/~jnz1568/getInfo.php?workbook=16_15.xlsx&amp;sheet=A0&amp;row=906&amp;col=13&amp;number=&amp;sourceID=53","")</f>
        <v/>
      </c>
      <c r="N906" s="4" t="str">
        <f>HYPERLINK("http://141.218.60.56/~jnz1568/getInfo.php?workbook=16_15.xlsx&amp;sheet=A0&amp;row=906&amp;col=14&amp;number=&amp;sourceID=53","")</f>
        <v/>
      </c>
      <c r="O906" s="4" t="str">
        <f>HYPERLINK("http://141.218.60.56/~jnz1568/getInfo.php?workbook=16_15.xlsx&amp;sheet=A0&amp;row=906&amp;col=15&amp;number=&amp;sourceID=55","")</f>
        <v/>
      </c>
      <c r="P906" s="4" t="str">
        <f>HYPERLINK("http://141.218.60.56/~jnz1568/getInfo.php?workbook=16_15.xlsx&amp;sheet=A0&amp;row=906&amp;col=16&amp;number=&amp;sourceID=55","")</f>
        <v/>
      </c>
      <c r="Q906" s="4" t="str">
        <f>HYPERLINK("http://141.218.60.56/~jnz1568/getInfo.php?workbook=16_15.xlsx&amp;sheet=A0&amp;row=906&amp;col=17&amp;number=&amp;sourceID=56","")</f>
        <v/>
      </c>
      <c r="R906" s="4" t="str">
        <f>HYPERLINK("http://141.218.60.56/~jnz1568/getInfo.php?workbook=16_15.xlsx&amp;sheet=A0&amp;row=906&amp;col=18&amp;number=&amp;sourceID=56","")</f>
        <v/>
      </c>
      <c r="S906" s="4" t="str">
        <f>HYPERLINK("http://141.218.60.56/~jnz1568/getInfo.php?workbook=16_15.xlsx&amp;sheet=A0&amp;row=906&amp;col=19&amp;number=&amp;sourceID=57","")</f>
        <v/>
      </c>
      <c r="T906" s="4" t="str">
        <f>HYPERLINK("http://141.218.60.56/~jnz1568/getInfo.php?workbook=16_15.xlsx&amp;sheet=A0&amp;row=906&amp;col=20&amp;number=&amp;sourceID=57","")</f>
        <v/>
      </c>
      <c r="U906" s="4" t="str">
        <f>HYPERLINK("http://141.218.60.56/~jnz1568/getInfo.php?workbook=16_15.xlsx&amp;sheet=A0&amp;row=906&amp;col=21&amp;number=&amp;sourceID=47","")</f>
        <v/>
      </c>
      <c r="V906" s="4" t="str">
        <f>HYPERLINK("http://141.218.60.56/~jnz1568/getInfo.php?workbook=16_15.xlsx&amp;sheet=A0&amp;row=906&amp;col=22&amp;number=&amp;sourceID=47","")</f>
        <v/>
      </c>
    </row>
    <row r="907" spans="1:22">
      <c r="A907" s="3">
        <v>16</v>
      </c>
      <c r="B907" s="3">
        <v>15</v>
      </c>
      <c r="C907" s="3">
        <v>49</v>
      </c>
      <c r="D907" s="3">
        <v>8</v>
      </c>
      <c r="E907" s="3">
        <f>((1/(INDEX(E0!J$4:J$73,C907,1)-INDEX(E0!J$4:J$73,D907,1))))*100000000</f>
        <v>0</v>
      </c>
      <c r="F907" s="4" t="str">
        <f>HYPERLINK("http://141.218.60.56/~jnz1568/getInfo.php?workbook=16_15.xlsx&amp;sheet=A0&amp;row=907&amp;col=6&amp;number=930.99&amp;sourceID=54","930.99")</f>
        <v>930.99</v>
      </c>
      <c r="G907" s="4" t="str">
        <f>HYPERLINK("http://141.218.60.56/~jnz1568/getInfo.php?workbook=16_15.xlsx&amp;sheet=A0&amp;row=907&amp;col=7&amp;number=&amp;sourceID=54","")</f>
        <v/>
      </c>
      <c r="H907" s="4" t="str">
        <f>HYPERLINK("http://141.218.60.56/~jnz1568/getInfo.php?workbook=16_15.xlsx&amp;sheet=A0&amp;row=907&amp;col=8&amp;number=&amp;sourceID=54","")</f>
        <v/>
      </c>
      <c r="I907" s="4" t="str">
        <f>HYPERLINK("http://141.218.60.56/~jnz1568/getInfo.php?workbook=16_15.xlsx&amp;sheet=A0&amp;row=907&amp;col=9&amp;number=847.9&amp;sourceID=54","847.9")</f>
        <v>847.9</v>
      </c>
      <c r="J907" s="4" t="str">
        <f>HYPERLINK("http://141.218.60.56/~jnz1568/getInfo.php?workbook=16_15.xlsx&amp;sheet=A0&amp;row=907&amp;col=10&amp;number=&amp;sourceID=54","")</f>
        <v/>
      </c>
      <c r="K907" s="4" t="str">
        <f>HYPERLINK("http://141.218.60.56/~jnz1568/getInfo.php?workbook=16_15.xlsx&amp;sheet=A0&amp;row=907&amp;col=11&amp;number=&amp;sourceID=54","")</f>
        <v/>
      </c>
      <c r="L907" s="4" t="str">
        <f>HYPERLINK("http://141.218.60.56/~jnz1568/getInfo.php?workbook=16_15.xlsx&amp;sheet=A0&amp;row=907&amp;col=12&amp;number=3192.2117047&amp;sourceID=53","3192.2117047")</f>
        <v>3192.2117047</v>
      </c>
      <c r="M907" s="4" t="str">
        <f>HYPERLINK("http://141.218.60.56/~jnz1568/getInfo.php?workbook=16_15.xlsx&amp;sheet=A0&amp;row=907&amp;col=13&amp;number=&amp;sourceID=53","")</f>
        <v/>
      </c>
      <c r="N907" s="4" t="str">
        <f>HYPERLINK("http://141.218.60.56/~jnz1568/getInfo.php?workbook=16_15.xlsx&amp;sheet=A0&amp;row=907&amp;col=14&amp;number=&amp;sourceID=53","")</f>
        <v/>
      </c>
      <c r="O907" s="4" t="str">
        <f>HYPERLINK("http://141.218.60.56/~jnz1568/getInfo.php?workbook=16_15.xlsx&amp;sheet=A0&amp;row=907&amp;col=15&amp;number=&amp;sourceID=55","")</f>
        <v/>
      </c>
      <c r="P907" s="4" t="str">
        <f>HYPERLINK("http://141.218.60.56/~jnz1568/getInfo.php?workbook=16_15.xlsx&amp;sheet=A0&amp;row=907&amp;col=16&amp;number=&amp;sourceID=55","")</f>
        <v/>
      </c>
      <c r="Q907" s="4" t="str">
        <f>HYPERLINK("http://141.218.60.56/~jnz1568/getInfo.php?workbook=16_15.xlsx&amp;sheet=A0&amp;row=907&amp;col=17&amp;number=&amp;sourceID=56","")</f>
        <v/>
      </c>
      <c r="R907" s="4" t="str">
        <f>HYPERLINK("http://141.218.60.56/~jnz1568/getInfo.php?workbook=16_15.xlsx&amp;sheet=A0&amp;row=907&amp;col=18&amp;number=&amp;sourceID=56","")</f>
        <v/>
      </c>
      <c r="S907" s="4" t="str">
        <f>HYPERLINK("http://141.218.60.56/~jnz1568/getInfo.php?workbook=16_15.xlsx&amp;sheet=A0&amp;row=907&amp;col=19&amp;number=&amp;sourceID=57","")</f>
        <v/>
      </c>
      <c r="T907" s="4" t="str">
        <f>HYPERLINK("http://141.218.60.56/~jnz1568/getInfo.php?workbook=16_15.xlsx&amp;sheet=A0&amp;row=907&amp;col=20&amp;number=&amp;sourceID=57","")</f>
        <v/>
      </c>
      <c r="U907" s="4" t="str">
        <f>HYPERLINK("http://141.218.60.56/~jnz1568/getInfo.php?workbook=16_15.xlsx&amp;sheet=A0&amp;row=907&amp;col=21&amp;number=&amp;sourceID=47","")</f>
        <v/>
      </c>
      <c r="V907" s="4" t="str">
        <f>HYPERLINK("http://141.218.60.56/~jnz1568/getInfo.php?workbook=16_15.xlsx&amp;sheet=A0&amp;row=907&amp;col=22&amp;number=&amp;sourceID=47","")</f>
        <v/>
      </c>
    </row>
    <row r="908" spans="1:22">
      <c r="A908" s="3">
        <v>16</v>
      </c>
      <c r="B908" s="3">
        <v>15</v>
      </c>
      <c r="C908" s="3">
        <v>49</v>
      </c>
      <c r="D908" s="3">
        <v>9</v>
      </c>
      <c r="E908" s="3">
        <f>((1/(INDEX(E0!J$4:J$73,C908,1)-INDEX(E0!J$4:J$73,D908,1))))*100000000</f>
        <v>0</v>
      </c>
      <c r="F908" s="4" t="str">
        <f>HYPERLINK("http://141.218.60.56/~jnz1568/getInfo.php?workbook=16_15.xlsx&amp;sheet=A0&amp;row=908&amp;col=6&amp;number=335660&amp;sourceID=54","335660")</f>
        <v>335660</v>
      </c>
      <c r="G908" s="4" t="str">
        <f>HYPERLINK("http://141.218.60.56/~jnz1568/getInfo.php?workbook=16_15.xlsx&amp;sheet=A0&amp;row=908&amp;col=7&amp;number=&amp;sourceID=54","")</f>
        <v/>
      </c>
      <c r="H908" s="4" t="str">
        <f>HYPERLINK("http://141.218.60.56/~jnz1568/getInfo.php?workbook=16_15.xlsx&amp;sheet=A0&amp;row=908&amp;col=8&amp;number=&amp;sourceID=54","")</f>
        <v/>
      </c>
      <c r="I908" s="4" t="str">
        <f>HYPERLINK("http://141.218.60.56/~jnz1568/getInfo.php?workbook=16_15.xlsx&amp;sheet=A0&amp;row=908&amp;col=9&amp;number=304740&amp;sourceID=54","304740")</f>
        <v>304740</v>
      </c>
      <c r="J908" s="4" t="str">
        <f>HYPERLINK("http://141.218.60.56/~jnz1568/getInfo.php?workbook=16_15.xlsx&amp;sheet=A0&amp;row=908&amp;col=10&amp;number=&amp;sourceID=54","")</f>
        <v/>
      </c>
      <c r="K908" s="4" t="str">
        <f>HYPERLINK("http://141.218.60.56/~jnz1568/getInfo.php?workbook=16_15.xlsx&amp;sheet=A0&amp;row=908&amp;col=11&amp;number=&amp;sourceID=54","")</f>
        <v/>
      </c>
      <c r="L908" s="4" t="str">
        <f>HYPERLINK("http://141.218.60.56/~jnz1568/getInfo.php?workbook=16_15.xlsx&amp;sheet=A0&amp;row=908&amp;col=12&amp;number=369673.245568&amp;sourceID=53","369673.245568")</f>
        <v>369673.245568</v>
      </c>
      <c r="M908" s="4" t="str">
        <f>HYPERLINK("http://141.218.60.56/~jnz1568/getInfo.php?workbook=16_15.xlsx&amp;sheet=A0&amp;row=908&amp;col=13&amp;number=&amp;sourceID=53","")</f>
        <v/>
      </c>
      <c r="N908" s="4" t="str">
        <f>HYPERLINK("http://141.218.60.56/~jnz1568/getInfo.php?workbook=16_15.xlsx&amp;sheet=A0&amp;row=908&amp;col=14&amp;number=&amp;sourceID=53","")</f>
        <v/>
      </c>
      <c r="O908" s="4" t="str">
        <f>HYPERLINK("http://141.218.60.56/~jnz1568/getInfo.php?workbook=16_15.xlsx&amp;sheet=A0&amp;row=908&amp;col=15&amp;number=&amp;sourceID=55","")</f>
        <v/>
      </c>
      <c r="P908" s="4" t="str">
        <f>HYPERLINK("http://141.218.60.56/~jnz1568/getInfo.php?workbook=16_15.xlsx&amp;sheet=A0&amp;row=908&amp;col=16&amp;number=&amp;sourceID=55","")</f>
        <v/>
      </c>
      <c r="Q908" s="4" t="str">
        <f>HYPERLINK("http://141.218.60.56/~jnz1568/getInfo.php?workbook=16_15.xlsx&amp;sheet=A0&amp;row=908&amp;col=17&amp;number=&amp;sourceID=56","")</f>
        <v/>
      </c>
      <c r="R908" s="4" t="str">
        <f>HYPERLINK("http://141.218.60.56/~jnz1568/getInfo.php?workbook=16_15.xlsx&amp;sheet=A0&amp;row=908&amp;col=18&amp;number=&amp;sourceID=56","")</f>
        <v/>
      </c>
      <c r="S908" s="4" t="str">
        <f>HYPERLINK("http://141.218.60.56/~jnz1568/getInfo.php?workbook=16_15.xlsx&amp;sheet=A0&amp;row=908&amp;col=19&amp;number=&amp;sourceID=57","")</f>
        <v/>
      </c>
      <c r="T908" s="4" t="str">
        <f>HYPERLINK("http://141.218.60.56/~jnz1568/getInfo.php?workbook=16_15.xlsx&amp;sheet=A0&amp;row=908&amp;col=20&amp;number=&amp;sourceID=57","")</f>
        <v/>
      </c>
      <c r="U908" s="4" t="str">
        <f>HYPERLINK("http://141.218.60.56/~jnz1568/getInfo.php?workbook=16_15.xlsx&amp;sheet=A0&amp;row=908&amp;col=21&amp;number=&amp;sourceID=47","")</f>
        <v/>
      </c>
      <c r="V908" s="4" t="str">
        <f>HYPERLINK("http://141.218.60.56/~jnz1568/getInfo.php?workbook=16_15.xlsx&amp;sheet=A0&amp;row=908&amp;col=22&amp;number=&amp;sourceID=47","")</f>
        <v/>
      </c>
    </row>
    <row r="909" spans="1:22">
      <c r="A909" s="3">
        <v>16</v>
      </c>
      <c r="B909" s="3">
        <v>15</v>
      </c>
      <c r="C909" s="3">
        <v>49</v>
      </c>
      <c r="D909" s="3">
        <v>10</v>
      </c>
      <c r="E909" s="3">
        <f>((1/(INDEX(E0!J$4:J$73,C909,1)-INDEX(E0!J$4:J$73,D909,1))))*100000000</f>
        <v>0</v>
      </c>
      <c r="F909" s="4" t="str">
        <f>HYPERLINK("http://141.218.60.56/~jnz1568/getInfo.php?workbook=16_15.xlsx&amp;sheet=A0&amp;row=909&amp;col=6&amp;number=7534400&amp;sourceID=54","7534400")</f>
        <v>7534400</v>
      </c>
      <c r="G909" s="4" t="str">
        <f>HYPERLINK("http://141.218.60.56/~jnz1568/getInfo.php?workbook=16_15.xlsx&amp;sheet=A0&amp;row=909&amp;col=7&amp;number=&amp;sourceID=54","")</f>
        <v/>
      </c>
      <c r="H909" s="4" t="str">
        <f>HYPERLINK("http://141.218.60.56/~jnz1568/getInfo.php?workbook=16_15.xlsx&amp;sheet=A0&amp;row=909&amp;col=8&amp;number=&amp;sourceID=54","")</f>
        <v/>
      </c>
      <c r="I909" s="4" t="str">
        <f>HYPERLINK("http://141.218.60.56/~jnz1568/getInfo.php?workbook=16_15.xlsx&amp;sheet=A0&amp;row=909&amp;col=9&amp;number=7455000&amp;sourceID=54","7455000")</f>
        <v>7455000</v>
      </c>
      <c r="J909" s="4" t="str">
        <f>HYPERLINK("http://141.218.60.56/~jnz1568/getInfo.php?workbook=16_15.xlsx&amp;sheet=A0&amp;row=909&amp;col=10&amp;number=&amp;sourceID=54","")</f>
        <v/>
      </c>
      <c r="K909" s="4" t="str">
        <f>HYPERLINK("http://141.218.60.56/~jnz1568/getInfo.php?workbook=16_15.xlsx&amp;sheet=A0&amp;row=909&amp;col=11&amp;number=&amp;sourceID=54","")</f>
        <v/>
      </c>
      <c r="L909" s="4" t="str">
        <f>HYPERLINK("http://141.218.60.56/~jnz1568/getInfo.php?workbook=16_15.xlsx&amp;sheet=A0&amp;row=909&amp;col=12&amp;number=8710818.69563&amp;sourceID=53","8710818.69563")</f>
        <v>8710818.69563</v>
      </c>
      <c r="M909" s="4" t="str">
        <f>HYPERLINK("http://141.218.60.56/~jnz1568/getInfo.php?workbook=16_15.xlsx&amp;sheet=A0&amp;row=909&amp;col=13&amp;number=&amp;sourceID=53","")</f>
        <v/>
      </c>
      <c r="N909" s="4" t="str">
        <f>HYPERLINK("http://141.218.60.56/~jnz1568/getInfo.php?workbook=16_15.xlsx&amp;sheet=A0&amp;row=909&amp;col=14&amp;number=&amp;sourceID=53","")</f>
        <v/>
      </c>
      <c r="O909" s="4" t="str">
        <f>HYPERLINK("http://141.218.60.56/~jnz1568/getInfo.php?workbook=16_15.xlsx&amp;sheet=A0&amp;row=909&amp;col=15&amp;number=&amp;sourceID=55","")</f>
        <v/>
      </c>
      <c r="P909" s="4" t="str">
        <f>HYPERLINK("http://141.218.60.56/~jnz1568/getInfo.php?workbook=16_15.xlsx&amp;sheet=A0&amp;row=909&amp;col=16&amp;number=&amp;sourceID=55","")</f>
        <v/>
      </c>
      <c r="Q909" s="4" t="str">
        <f>HYPERLINK("http://141.218.60.56/~jnz1568/getInfo.php?workbook=16_15.xlsx&amp;sheet=A0&amp;row=909&amp;col=17&amp;number=&amp;sourceID=56","")</f>
        <v/>
      </c>
      <c r="R909" s="4" t="str">
        <f>HYPERLINK("http://141.218.60.56/~jnz1568/getInfo.php?workbook=16_15.xlsx&amp;sheet=A0&amp;row=909&amp;col=18&amp;number=&amp;sourceID=56","")</f>
        <v/>
      </c>
      <c r="S909" s="4" t="str">
        <f>HYPERLINK("http://141.218.60.56/~jnz1568/getInfo.php?workbook=16_15.xlsx&amp;sheet=A0&amp;row=909&amp;col=19&amp;number=&amp;sourceID=57","")</f>
        <v/>
      </c>
      <c r="T909" s="4" t="str">
        <f>HYPERLINK("http://141.218.60.56/~jnz1568/getInfo.php?workbook=16_15.xlsx&amp;sheet=A0&amp;row=909&amp;col=20&amp;number=&amp;sourceID=57","")</f>
        <v/>
      </c>
      <c r="U909" s="4" t="str">
        <f>HYPERLINK("http://141.218.60.56/~jnz1568/getInfo.php?workbook=16_15.xlsx&amp;sheet=A0&amp;row=909&amp;col=21&amp;number=&amp;sourceID=47","")</f>
        <v/>
      </c>
      <c r="V909" s="4" t="str">
        <f>HYPERLINK("http://141.218.60.56/~jnz1568/getInfo.php?workbook=16_15.xlsx&amp;sheet=A0&amp;row=909&amp;col=22&amp;number=&amp;sourceID=47","")</f>
        <v/>
      </c>
    </row>
    <row r="910" spans="1:22">
      <c r="A910" s="3">
        <v>16</v>
      </c>
      <c r="B910" s="3">
        <v>15</v>
      </c>
      <c r="C910" s="3">
        <v>49</v>
      </c>
      <c r="D910" s="3">
        <v>11</v>
      </c>
      <c r="E910" s="3">
        <f>((1/(INDEX(E0!J$4:J$73,C910,1)-INDEX(E0!J$4:J$73,D910,1))))*100000000</f>
        <v>0</v>
      </c>
      <c r="F910" s="4" t="str">
        <f>HYPERLINK("http://141.218.60.56/~jnz1568/getInfo.php?workbook=16_15.xlsx&amp;sheet=A0&amp;row=910&amp;col=6&amp;number=22782000&amp;sourceID=54","22782000")</f>
        <v>22782000</v>
      </c>
      <c r="G910" s="4" t="str">
        <f>HYPERLINK("http://141.218.60.56/~jnz1568/getInfo.php?workbook=16_15.xlsx&amp;sheet=A0&amp;row=910&amp;col=7&amp;number=&amp;sourceID=54","")</f>
        <v/>
      </c>
      <c r="H910" s="4" t="str">
        <f>HYPERLINK("http://141.218.60.56/~jnz1568/getInfo.php?workbook=16_15.xlsx&amp;sheet=A0&amp;row=910&amp;col=8&amp;number=&amp;sourceID=54","")</f>
        <v/>
      </c>
      <c r="I910" s="4" t="str">
        <f>HYPERLINK("http://141.218.60.56/~jnz1568/getInfo.php?workbook=16_15.xlsx&amp;sheet=A0&amp;row=910&amp;col=9&amp;number=23126000&amp;sourceID=54","23126000")</f>
        <v>23126000</v>
      </c>
      <c r="J910" s="4" t="str">
        <f>HYPERLINK("http://141.218.60.56/~jnz1568/getInfo.php?workbook=16_15.xlsx&amp;sheet=A0&amp;row=910&amp;col=10&amp;number=&amp;sourceID=54","")</f>
        <v/>
      </c>
      <c r="K910" s="4" t="str">
        <f>HYPERLINK("http://141.218.60.56/~jnz1568/getInfo.php?workbook=16_15.xlsx&amp;sheet=A0&amp;row=910&amp;col=11&amp;number=&amp;sourceID=54","")</f>
        <v/>
      </c>
      <c r="L910" s="4" t="str">
        <f>HYPERLINK("http://141.218.60.56/~jnz1568/getInfo.php?workbook=16_15.xlsx&amp;sheet=A0&amp;row=910&amp;col=12&amp;number=22203112.223&amp;sourceID=53","22203112.223")</f>
        <v>22203112.223</v>
      </c>
      <c r="M910" s="4" t="str">
        <f>HYPERLINK("http://141.218.60.56/~jnz1568/getInfo.php?workbook=16_15.xlsx&amp;sheet=A0&amp;row=910&amp;col=13&amp;number=&amp;sourceID=53","")</f>
        <v/>
      </c>
      <c r="N910" s="4" t="str">
        <f>HYPERLINK("http://141.218.60.56/~jnz1568/getInfo.php?workbook=16_15.xlsx&amp;sheet=A0&amp;row=910&amp;col=14&amp;number=&amp;sourceID=53","")</f>
        <v/>
      </c>
      <c r="O910" s="4" t="str">
        <f>HYPERLINK("http://141.218.60.56/~jnz1568/getInfo.php?workbook=16_15.xlsx&amp;sheet=A0&amp;row=910&amp;col=15&amp;number=&amp;sourceID=55","")</f>
        <v/>
      </c>
      <c r="P910" s="4" t="str">
        <f>HYPERLINK("http://141.218.60.56/~jnz1568/getInfo.php?workbook=16_15.xlsx&amp;sheet=A0&amp;row=910&amp;col=16&amp;number=&amp;sourceID=55","")</f>
        <v/>
      </c>
      <c r="Q910" s="4" t="str">
        <f>HYPERLINK("http://141.218.60.56/~jnz1568/getInfo.php?workbook=16_15.xlsx&amp;sheet=A0&amp;row=910&amp;col=17&amp;number=&amp;sourceID=56","")</f>
        <v/>
      </c>
      <c r="R910" s="4" t="str">
        <f>HYPERLINK("http://141.218.60.56/~jnz1568/getInfo.php?workbook=16_15.xlsx&amp;sheet=A0&amp;row=910&amp;col=18&amp;number=&amp;sourceID=56","")</f>
        <v/>
      </c>
      <c r="S910" s="4" t="str">
        <f>HYPERLINK("http://141.218.60.56/~jnz1568/getInfo.php?workbook=16_15.xlsx&amp;sheet=A0&amp;row=910&amp;col=19&amp;number=&amp;sourceID=57","")</f>
        <v/>
      </c>
      <c r="T910" s="4" t="str">
        <f>HYPERLINK("http://141.218.60.56/~jnz1568/getInfo.php?workbook=16_15.xlsx&amp;sheet=A0&amp;row=910&amp;col=20&amp;number=&amp;sourceID=57","")</f>
        <v/>
      </c>
      <c r="U910" s="4" t="str">
        <f>HYPERLINK("http://141.218.60.56/~jnz1568/getInfo.php?workbook=16_15.xlsx&amp;sheet=A0&amp;row=910&amp;col=21&amp;number=&amp;sourceID=47","")</f>
        <v/>
      </c>
      <c r="V910" s="4" t="str">
        <f>HYPERLINK("http://141.218.60.56/~jnz1568/getInfo.php?workbook=16_15.xlsx&amp;sheet=A0&amp;row=910&amp;col=22&amp;number=&amp;sourceID=47","")</f>
        <v/>
      </c>
    </row>
    <row r="911" spans="1:22">
      <c r="A911" s="3">
        <v>16</v>
      </c>
      <c r="B911" s="3">
        <v>15</v>
      </c>
      <c r="C911" s="3">
        <v>49</v>
      </c>
      <c r="D911" s="3">
        <v>12</v>
      </c>
      <c r="E911" s="3">
        <f>((1/(INDEX(E0!J$4:J$73,C911,1)-INDEX(E0!J$4:J$73,D911,1))))*100000000</f>
        <v>0</v>
      </c>
      <c r="F911" s="4" t="str">
        <f>HYPERLINK("http://141.218.60.56/~jnz1568/getInfo.php?workbook=16_15.xlsx&amp;sheet=A0&amp;row=911&amp;col=6&amp;number=4243400&amp;sourceID=54","4243400")</f>
        <v>4243400</v>
      </c>
      <c r="G911" s="4" t="str">
        <f>HYPERLINK("http://141.218.60.56/~jnz1568/getInfo.php?workbook=16_15.xlsx&amp;sheet=A0&amp;row=911&amp;col=7&amp;number=&amp;sourceID=54","")</f>
        <v/>
      </c>
      <c r="H911" s="4" t="str">
        <f>HYPERLINK("http://141.218.60.56/~jnz1568/getInfo.php?workbook=16_15.xlsx&amp;sheet=A0&amp;row=911&amp;col=8&amp;number=&amp;sourceID=54","")</f>
        <v/>
      </c>
      <c r="I911" s="4" t="str">
        <f>HYPERLINK("http://141.218.60.56/~jnz1568/getInfo.php?workbook=16_15.xlsx&amp;sheet=A0&amp;row=911&amp;col=9&amp;number=4310200&amp;sourceID=54","4310200")</f>
        <v>4310200</v>
      </c>
      <c r="J911" s="4" t="str">
        <f>HYPERLINK("http://141.218.60.56/~jnz1568/getInfo.php?workbook=16_15.xlsx&amp;sheet=A0&amp;row=911&amp;col=10&amp;number=&amp;sourceID=54","")</f>
        <v/>
      </c>
      <c r="K911" s="4" t="str">
        <f>HYPERLINK("http://141.218.60.56/~jnz1568/getInfo.php?workbook=16_15.xlsx&amp;sheet=A0&amp;row=911&amp;col=11&amp;number=&amp;sourceID=54","")</f>
        <v/>
      </c>
      <c r="L911" s="4" t="str">
        <f>HYPERLINK("http://141.218.60.56/~jnz1568/getInfo.php?workbook=16_15.xlsx&amp;sheet=A0&amp;row=911&amp;col=12&amp;number=4137371.06374&amp;sourceID=53","4137371.06374")</f>
        <v>4137371.06374</v>
      </c>
      <c r="M911" s="4" t="str">
        <f>HYPERLINK("http://141.218.60.56/~jnz1568/getInfo.php?workbook=16_15.xlsx&amp;sheet=A0&amp;row=911&amp;col=13&amp;number=&amp;sourceID=53","")</f>
        <v/>
      </c>
      <c r="N911" s="4" t="str">
        <f>HYPERLINK("http://141.218.60.56/~jnz1568/getInfo.php?workbook=16_15.xlsx&amp;sheet=A0&amp;row=911&amp;col=14&amp;number=&amp;sourceID=53","")</f>
        <v/>
      </c>
      <c r="O911" s="4" t="str">
        <f>HYPERLINK("http://141.218.60.56/~jnz1568/getInfo.php?workbook=16_15.xlsx&amp;sheet=A0&amp;row=911&amp;col=15&amp;number=&amp;sourceID=55","")</f>
        <v/>
      </c>
      <c r="P911" s="4" t="str">
        <f>HYPERLINK("http://141.218.60.56/~jnz1568/getInfo.php?workbook=16_15.xlsx&amp;sheet=A0&amp;row=911&amp;col=16&amp;number=&amp;sourceID=55","")</f>
        <v/>
      </c>
      <c r="Q911" s="4" t="str">
        <f>HYPERLINK("http://141.218.60.56/~jnz1568/getInfo.php?workbook=16_15.xlsx&amp;sheet=A0&amp;row=911&amp;col=17&amp;number=&amp;sourceID=56","")</f>
        <v/>
      </c>
      <c r="R911" s="4" t="str">
        <f>HYPERLINK("http://141.218.60.56/~jnz1568/getInfo.php?workbook=16_15.xlsx&amp;sheet=A0&amp;row=911&amp;col=18&amp;number=&amp;sourceID=56","")</f>
        <v/>
      </c>
      <c r="S911" s="4" t="str">
        <f>HYPERLINK("http://141.218.60.56/~jnz1568/getInfo.php?workbook=16_15.xlsx&amp;sheet=A0&amp;row=911&amp;col=19&amp;number=&amp;sourceID=57","")</f>
        <v/>
      </c>
      <c r="T911" s="4" t="str">
        <f>HYPERLINK("http://141.218.60.56/~jnz1568/getInfo.php?workbook=16_15.xlsx&amp;sheet=A0&amp;row=911&amp;col=20&amp;number=&amp;sourceID=57","")</f>
        <v/>
      </c>
      <c r="U911" s="4" t="str">
        <f>HYPERLINK("http://141.218.60.56/~jnz1568/getInfo.php?workbook=16_15.xlsx&amp;sheet=A0&amp;row=911&amp;col=21&amp;number=&amp;sourceID=47","")</f>
        <v/>
      </c>
      <c r="V911" s="4" t="str">
        <f>HYPERLINK("http://141.218.60.56/~jnz1568/getInfo.php?workbook=16_15.xlsx&amp;sheet=A0&amp;row=911&amp;col=22&amp;number=&amp;sourceID=47","")</f>
        <v/>
      </c>
    </row>
    <row r="912" spans="1:22">
      <c r="A912" s="3">
        <v>16</v>
      </c>
      <c r="B912" s="3">
        <v>15</v>
      </c>
      <c r="C912" s="3">
        <v>49</v>
      </c>
      <c r="D912" s="3">
        <v>13</v>
      </c>
      <c r="E912" s="3">
        <f>((1/(INDEX(E0!J$4:J$73,C912,1)-INDEX(E0!J$4:J$73,D912,1))))*100000000</f>
        <v>0</v>
      </c>
      <c r="F912" s="4" t="str">
        <f>HYPERLINK("http://141.218.60.56/~jnz1568/getInfo.php?workbook=16_15.xlsx&amp;sheet=A0&amp;row=912&amp;col=6&amp;number=9062.3&amp;sourceID=54","9062.3")</f>
        <v>9062.3</v>
      </c>
      <c r="G912" s="4" t="str">
        <f>HYPERLINK("http://141.218.60.56/~jnz1568/getInfo.php?workbook=16_15.xlsx&amp;sheet=A0&amp;row=912&amp;col=7&amp;number=&amp;sourceID=54","")</f>
        <v/>
      </c>
      <c r="H912" s="4" t="str">
        <f>HYPERLINK("http://141.218.60.56/~jnz1568/getInfo.php?workbook=16_15.xlsx&amp;sheet=A0&amp;row=912&amp;col=8&amp;number=&amp;sourceID=54","")</f>
        <v/>
      </c>
      <c r="I912" s="4" t="str">
        <f>HYPERLINK("http://141.218.60.56/~jnz1568/getInfo.php?workbook=16_15.xlsx&amp;sheet=A0&amp;row=912&amp;col=9&amp;number=12608&amp;sourceID=54","12608")</f>
        <v>12608</v>
      </c>
      <c r="J912" s="4" t="str">
        <f>HYPERLINK("http://141.218.60.56/~jnz1568/getInfo.php?workbook=16_15.xlsx&amp;sheet=A0&amp;row=912&amp;col=10&amp;number=&amp;sourceID=54","")</f>
        <v/>
      </c>
      <c r="K912" s="4" t="str">
        <f>HYPERLINK("http://141.218.60.56/~jnz1568/getInfo.php?workbook=16_15.xlsx&amp;sheet=A0&amp;row=912&amp;col=11&amp;number=&amp;sourceID=54","")</f>
        <v/>
      </c>
      <c r="L912" s="4" t="str">
        <f>HYPERLINK("http://141.218.60.56/~jnz1568/getInfo.php?workbook=16_15.xlsx&amp;sheet=A0&amp;row=912&amp;col=12&amp;number=7823.31660633&amp;sourceID=53","7823.31660633")</f>
        <v>7823.31660633</v>
      </c>
      <c r="M912" s="4" t="str">
        <f>HYPERLINK("http://141.218.60.56/~jnz1568/getInfo.php?workbook=16_15.xlsx&amp;sheet=A0&amp;row=912&amp;col=13&amp;number=&amp;sourceID=53","")</f>
        <v/>
      </c>
      <c r="N912" s="4" t="str">
        <f>HYPERLINK("http://141.218.60.56/~jnz1568/getInfo.php?workbook=16_15.xlsx&amp;sheet=A0&amp;row=912&amp;col=14&amp;number=&amp;sourceID=53","")</f>
        <v/>
      </c>
      <c r="O912" s="4" t="str">
        <f>HYPERLINK("http://141.218.60.56/~jnz1568/getInfo.php?workbook=16_15.xlsx&amp;sheet=A0&amp;row=912&amp;col=15&amp;number=&amp;sourceID=55","")</f>
        <v/>
      </c>
      <c r="P912" s="4" t="str">
        <f>HYPERLINK("http://141.218.60.56/~jnz1568/getInfo.php?workbook=16_15.xlsx&amp;sheet=A0&amp;row=912&amp;col=16&amp;number=&amp;sourceID=55","")</f>
        <v/>
      </c>
      <c r="Q912" s="4" t="str">
        <f>HYPERLINK("http://141.218.60.56/~jnz1568/getInfo.php?workbook=16_15.xlsx&amp;sheet=A0&amp;row=912&amp;col=17&amp;number=&amp;sourceID=56","")</f>
        <v/>
      </c>
      <c r="R912" s="4" t="str">
        <f>HYPERLINK("http://141.218.60.56/~jnz1568/getInfo.php?workbook=16_15.xlsx&amp;sheet=A0&amp;row=912&amp;col=18&amp;number=&amp;sourceID=56","")</f>
        <v/>
      </c>
      <c r="S912" s="4" t="str">
        <f>HYPERLINK("http://141.218.60.56/~jnz1568/getInfo.php?workbook=16_15.xlsx&amp;sheet=A0&amp;row=912&amp;col=19&amp;number=&amp;sourceID=57","")</f>
        <v/>
      </c>
      <c r="T912" s="4" t="str">
        <f>HYPERLINK("http://141.218.60.56/~jnz1568/getInfo.php?workbook=16_15.xlsx&amp;sheet=A0&amp;row=912&amp;col=20&amp;number=&amp;sourceID=57","")</f>
        <v/>
      </c>
      <c r="U912" s="4" t="str">
        <f>HYPERLINK("http://141.218.60.56/~jnz1568/getInfo.php?workbook=16_15.xlsx&amp;sheet=A0&amp;row=912&amp;col=21&amp;number=&amp;sourceID=47","")</f>
        <v/>
      </c>
      <c r="V912" s="4" t="str">
        <f>HYPERLINK("http://141.218.60.56/~jnz1568/getInfo.php?workbook=16_15.xlsx&amp;sheet=A0&amp;row=912&amp;col=22&amp;number=&amp;sourceID=47","")</f>
        <v/>
      </c>
    </row>
    <row r="913" spans="1:22">
      <c r="A913" s="3">
        <v>16</v>
      </c>
      <c r="B913" s="3">
        <v>15</v>
      </c>
      <c r="C913" s="3">
        <v>49</v>
      </c>
      <c r="D913" s="3">
        <v>14</v>
      </c>
      <c r="E913" s="3">
        <f>((1/(INDEX(E0!J$4:J$73,C913,1)-INDEX(E0!J$4:J$73,D913,1))))*100000000</f>
        <v>0</v>
      </c>
      <c r="F913" s="4" t="str">
        <f>HYPERLINK("http://141.218.60.56/~jnz1568/getInfo.php?workbook=16_15.xlsx&amp;sheet=A0&amp;row=913&amp;col=6&amp;number=214.51&amp;sourceID=54","214.51")</f>
        <v>214.51</v>
      </c>
      <c r="G913" s="4" t="str">
        <f>HYPERLINK("http://141.218.60.56/~jnz1568/getInfo.php?workbook=16_15.xlsx&amp;sheet=A0&amp;row=913&amp;col=7&amp;number=&amp;sourceID=54","")</f>
        <v/>
      </c>
      <c r="H913" s="4" t="str">
        <f>HYPERLINK("http://141.218.60.56/~jnz1568/getInfo.php?workbook=16_15.xlsx&amp;sheet=A0&amp;row=913&amp;col=8&amp;number=&amp;sourceID=54","")</f>
        <v/>
      </c>
      <c r="I913" s="4" t="str">
        <f>HYPERLINK("http://141.218.60.56/~jnz1568/getInfo.php?workbook=16_15.xlsx&amp;sheet=A0&amp;row=913&amp;col=9&amp;number=6159.2&amp;sourceID=54","6159.2")</f>
        <v>6159.2</v>
      </c>
      <c r="J913" s="4" t="str">
        <f>HYPERLINK("http://141.218.60.56/~jnz1568/getInfo.php?workbook=16_15.xlsx&amp;sheet=A0&amp;row=913&amp;col=10&amp;number=&amp;sourceID=54","")</f>
        <v/>
      </c>
      <c r="K913" s="4" t="str">
        <f>HYPERLINK("http://141.218.60.56/~jnz1568/getInfo.php?workbook=16_15.xlsx&amp;sheet=A0&amp;row=913&amp;col=11&amp;number=&amp;sourceID=54","")</f>
        <v/>
      </c>
      <c r="L913" s="4" t="str">
        <f>HYPERLINK("http://141.218.60.56/~jnz1568/getInfo.php?workbook=16_15.xlsx&amp;sheet=A0&amp;row=913&amp;col=12&amp;number=862.063384098&amp;sourceID=53","862.063384098")</f>
        <v>862.063384098</v>
      </c>
      <c r="M913" s="4" t="str">
        <f>HYPERLINK("http://141.218.60.56/~jnz1568/getInfo.php?workbook=16_15.xlsx&amp;sheet=A0&amp;row=913&amp;col=13&amp;number=&amp;sourceID=53","")</f>
        <v/>
      </c>
      <c r="N913" s="4" t="str">
        <f>HYPERLINK("http://141.218.60.56/~jnz1568/getInfo.php?workbook=16_15.xlsx&amp;sheet=A0&amp;row=913&amp;col=14&amp;number=&amp;sourceID=53","")</f>
        <v/>
      </c>
      <c r="O913" s="4" t="str">
        <f>HYPERLINK("http://141.218.60.56/~jnz1568/getInfo.php?workbook=16_15.xlsx&amp;sheet=A0&amp;row=913&amp;col=15&amp;number=&amp;sourceID=55","")</f>
        <v/>
      </c>
      <c r="P913" s="4" t="str">
        <f>HYPERLINK("http://141.218.60.56/~jnz1568/getInfo.php?workbook=16_15.xlsx&amp;sheet=A0&amp;row=913&amp;col=16&amp;number=&amp;sourceID=55","")</f>
        <v/>
      </c>
      <c r="Q913" s="4" t="str">
        <f>HYPERLINK("http://141.218.60.56/~jnz1568/getInfo.php?workbook=16_15.xlsx&amp;sheet=A0&amp;row=913&amp;col=17&amp;number=&amp;sourceID=56","")</f>
        <v/>
      </c>
      <c r="R913" s="4" t="str">
        <f>HYPERLINK("http://141.218.60.56/~jnz1568/getInfo.php?workbook=16_15.xlsx&amp;sheet=A0&amp;row=913&amp;col=18&amp;number=&amp;sourceID=56","")</f>
        <v/>
      </c>
      <c r="S913" s="4" t="str">
        <f>HYPERLINK("http://141.218.60.56/~jnz1568/getInfo.php?workbook=16_15.xlsx&amp;sheet=A0&amp;row=913&amp;col=19&amp;number=&amp;sourceID=57","")</f>
        <v/>
      </c>
      <c r="T913" s="4" t="str">
        <f>HYPERLINK("http://141.218.60.56/~jnz1568/getInfo.php?workbook=16_15.xlsx&amp;sheet=A0&amp;row=913&amp;col=20&amp;number=&amp;sourceID=57","")</f>
        <v/>
      </c>
      <c r="U913" s="4" t="str">
        <f>HYPERLINK("http://141.218.60.56/~jnz1568/getInfo.php?workbook=16_15.xlsx&amp;sheet=A0&amp;row=913&amp;col=21&amp;number=&amp;sourceID=47","")</f>
        <v/>
      </c>
      <c r="V913" s="4" t="str">
        <f>HYPERLINK("http://141.218.60.56/~jnz1568/getInfo.php?workbook=16_15.xlsx&amp;sheet=A0&amp;row=913&amp;col=22&amp;number=&amp;sourceID=47","")</f>
        <v/>
      </c>
    </row>
    <row r="914" spans="1:22">
      <c r="A914" s="3">
        <v>16</v>
      </c>
      <c r="B914" s="3">
        <v>15</v>
      </c>
      <c r="C914" s="3">
        <v>49</v>
      </c>
      <c r="D914" s="3">
        <v>15</v>
      </c>
      <c r="E914" s="3">
        <f>((1/(INDEX(E0!J$4:J$73,C914,1)-INDEX(E0!J$4:J$73,D914,1))))*100000000</f>
        <v>0</v>
      </c>
      <c r="F914" s="4" t="str">
        <f>HYPERLINK("http://141.218.60.56/~jnz1568/getInfo.php?workbook=16_15.xlsx&amp;sheet=A0&amp;row=914&amp;col=6&amp;number=5493.4&amp;sourceID=54","5493.4")</f>
        <v>5493.4</v>
      </c>
      <c r="G914" s="4" t="str">
        <f>HYPERLINK("http://141.218.60.56/~jnz1568/getInfo.php?workbook=16_15.xlsx&amp;sheet=A0&amp;row=914&amp;col=7&amp;number=&amp;sourceID=54","")</f>
        <v/>
      </c>
      <c r="H914" s="4" t="str">
        <f>HYPERLINK("http://141.218.60.56/~jnz1568/getInfo.php?workbook=16_15.xlsx&amp;sheet=A0&amp;row=914&amp;col=8&amp;number=&amp;sourceID=54","")</f>
        <v/>
      </c>
      <c r="I914" s="4" t="str">
        <f>HYPERLINK("http://141.218.60.56/~jnz1568/getInfo.php?workbook=16_15.xlsx&amp;sheet=A0&amp;row=914&amp;col=9&amp;number=6048.9&amp;sourceID=54","6048.9")</f>
        <v>6048.9</v>
      </c>
      <c r="J914" s="4" t="str">
        <f>HYPERLINK("http://141.218.60.56/~jnz1568/getInfo.php?workbook=16_15.xlsx&amp;sheet=A0&amp;row=914&amp;col=10&amp;number=&amp;sourceID=54","")</f>
        <v/>
      </c>
      <c r="K914" s="4" t="str">
        <f>HYPERLINK("http://141.218.60.56/~jnz1568/getInfo.php?workbook=16_15.xlsx&amp;sheet=A0&amp;row=914&amp;col=11&amp;number=&amp;sourceID=54","")</f>
        <v/>
      </c>
      <c r="L914" s="4" t="str">
        <f>HYPERLINK("http://141.218.60.56/~jnz1568/getInfo.php?workbook=16_15.xlsx&amp;sheet=A0&amp;row=914&amp;col=12&amp;number=5747.60627487&amp;sourceID=53","5747.60627487")</f>
        <v>5747.60627487</v>
      </c>
      <c r="M914" s="4" t="str">
        <f>HYPERLINK("http://141.218.60.56/~jnz1568/getInfo.php?workbook=16_15.xlsx&amp;sheet=A0&amp;row=914&amp;col=13&amp;number=&amp;sourceID=53","")</f>
        <v/>
      </c>
      <c r="N914" s="4" t="str">
        <f>HYPERLINK("http://141.218.60.56/~jnz1568/getInfo.php?workbook=16_15.xlsx&amp;sheet=A0&amp;row=914&amp;col=14&amp;number=&amp;sourceID=53","")</f>
        <v/>
      </c>
      <c r="O914" s="4" t="str">
        <f>HYPERLINK("http://141.218.60.56/~jnz1568/getInfo.php?workbook=16_15.xlsx&amp;sheet=A0&amp;row=914&amp;col=15&amp;number=&amp;sourceID=55","")</f>
        <v/>
      </c>
      <c r="P914" s="4" t="str">
        <f>HYPERLINK("http://141.218.60.56/~jnz1568/getInfo.php?workbook=16_15.xlsx&amp;sheet=A0&amp;row=914&amp;col=16&amp;number=&amp;sourceID=55","")</f>
        <v/>
      </c>
      <c r="Q914" s="4" t="str">
        <f>HYPERLINK("http://141.218.60.56/~jnz1568/getInfo.php?workbook=16_15.xlsx&amp;sheet=A0&amp;row=914&amp;col=17&amp;number=&amp;sourceID=56","")</f>
        <v/>
      </c>
      <c r="R914" s="4" t="str">
        <f>HYPERLINK("http://141.218.60.56/~jnz1568/getInfo.php?workbook=16_15.xlsx&amp;sheet=A0&amp;row=914&amp;col=18&amp;number=&amp;sourceID=56","")</f>
        <v/>
      </c>
      <c r="S914" s="4" t="str">
        <f>HYPERLINK("http://141.218.60.56/~jnz1568/getInfo.php?workbook=16_15.xlsx&amp;sheet=A0&amp;row=914&amp;col=19&amp;number=&amp;sourceID=57","")</f>
        <v/>
      </c>
      <c r="T914" s="4" t="str">
        <f>HYPERLINK("http://141.218.60.56/~jnz1568/getInfo.php?workbook=16_15.xlsx&amp;sheet=A0&amp;row=914&amp;col=20&amp;number=&amp;sourceID=57","")</f>
        <v/>
      </c>
      <c r="U914" s="4" t="str">
        <f>HYPERLINK("http://141.218.60.56/~jnz1568/getInfo.php?workbook=16_15.xlsx&amp;sheet=A0&amp;row=914&amp;col=21&amp;number=&amp;sourceID=47","")</f>
        <v/>
      </c>
      <c r="V914" s="4" t="str">
        <f>HYPERLINK("http://141.218.60.56/~jnz1568/getInfo.php?workbook=16_15.xlsx&amp;sheet=A0&amp;row=914&amp;col=22&amp;number=&amp;sourceID=47","")</f>
        <v/>
      </c>
    </row>
    <row r="915" spans="1:22">
      <c r="A915" s="3">
        <v>16</v>
      </c>
      <c r="B915" s="3">
        <v>15</v>
      </c>
      <c r="C915" s="3">
        <v>49</v>
      </c>
      <c r="D915" s="3">
        <v>16</v>
      </c>
      <c r="E915" s="3">
        <f>((1/(INDEX(E0!J$4:J$73,C915,1)-INDEX(E0!J$4:J$73,D915,1))))*100000000</f>
        <v>0</v>
      </c>
      <c r="F915" s="4" t="str">
        <f>HYPERLINK("http://141.218.60.56/~jnz1568/getInfo.php?workbook=16_15.xlsx&amp;sheet=A0&amp;row=915&amp;col=6&amp;number=1348.5&amp;sourceID=54","1348.5")</f>
        <v>1348.5</v>
      </c>
      <c r="G915" s="4" t="str">
        <f>HYPERLINK("http://141.218.60.56/~jnz1568/getInfo.php?workbook=16_15.xlsx&amp;sheet=A0&amp;row=915&amp;col=7&amp;number=&amp;sourceID=54","")</f>
        <v/>
      </c>
      <c r="H915" s="4" t="str">
        <f>HYPERLINK("http://141.218.60.56/~jnz1568/getInfo.php?workbook=16_15.xlsx&amp;sheet=A0&amp;row=915&amp;col=8&amp;number=&amp;sourceID=54","")</f>
        <v/>
      </c>
      <c r="I915" s="4" t="str">
        <f>HYPERLINK("http://141.218.60.56/~jnz1568/getInfo.php?workbook=16_15.xlsx&amp;sheet=A0&amp;row=915&amp;col=9&amp;number=991.79&amp;sourceID=54","991.79")</f>
        <v>991.79</v>
      </c>
      <c r="J915" s="4" t="str">
        <f>HYPERLINK("http://141.218.60.56/~jnz1568/getInfo.php?workbook=16_15.xlsx&amp;sheet=A0&amp;row=915&amp;col=10&amp;number=&amp;sourceID=54","")</f>
        <v/>
      </c>
      <c r="K915" s="4" t="str">
        <f>HYPERLINK("http://141.218.60.56/~jnz1568/getInfo.php?workbook=16_15.xlsx&amp;sheet=A0&amp;row=915&amp;col=11&amp;number=&amp;sourceID=54","")</f>
        <v/>
      </c>
      <c r="L915" s="4" t="str">
        <f>HYPERLINK("http://141.218.60.56/~jnz1568/getInfo.php?workbook=16_15.xlsx&amp;sheet=A0&amp;row=915&amp;col=12&amp;number=2689.47808467&amp;sourceID=53","2689.47808467")</f>
        <v>2689.47808467</v>
      </c>
      <c r="M915" s="4" t="str">
        <f>HYPERLINK("http://141.218.60.56/~jnz1568/getInfo.php?workbook=16_15.xlsx&amp;sheet=A0&amp;row=915&amp;col=13&amp;number=&amp;sourceID=53","")</f>
        <v/>
      </c>
      <c r="N915" s="4" t="str">
        <f>HYPERLINK("http://141.218.60.56/~jnz1568/getInfo.php?workbook=16_15.xlsx&amp;sheet=A0&amp;row=915&amp;col=14&amp;number=&amp;sourceID=53","")</f>
        <v/>
      </c>
      <c r="O915" s="4" t="str">
        <f>HYPERLINK("http://141.218.60.56/~jnz1568/getInfo.php?workbook=16_15.xlsx&amp;sheet=A0&amp;row=915&amp;col=15&amp;number=&amp;sourceID=55","")</f>
        <v/>
      </c>
      <c r="P915" s="4" t="str">
        <f>HYPERLINK("http://141.218.60.56/~jnz1568/getInfo.php?workbook=16_15.xlsx&amp;sheet=A0&amp;row=915&amp;col=16&amp;number=&amp;sourceID=55","")</f>
        <v/>
      </c>
      <c r="Q915" s="4" t="str">
        <f>HYPERLINK("http://141.218.60.56/~jnz1568/getInfo.php?workbook=16_15.xlsx&amp;sheet=A0&amp;row=915&amp;col=17&amp;number=&amp;sourceID=56","")</f>
        <v/>
      </c>
      <c r="R915" s="4" t="str">
        <f>HYPERLINK("http://141.218.60.56/~jnz1568/getInfo.php?workbook=16_15.xlsx&amp;sheet=A0&amp;row=915&amp;col=18&amp;number=&amp;sourceID=56","")</f>
        <v/>
      </c>
      <c r="S915" s="4" t="str">
        <f>HYPERLINK("http://141.218.60.56/~jnz1568/getInfo.php?workbook=16_15.xlsx&amp;sheet=A0&amp;row=915&amp;col=19&amp;number=&amp;sourceID=57","")</f>
        <v/>
      </c>
      <c r="T915" s="4" t="str">
        <f>HYPERLINK("http://141.218.60.56/~jnz1568/getInfo.php?workbook=16_15.xlsx&amp;sheet=A0&amp;row=915&amp;col=20&amp;number=&amp;sourceID=57","")</f>
        <v/>
      </c>
      <c r="U915" s="4" t="str">
        <f>HYPERLINK("http://141.218.60.56/~jnz1568/getInfo.php?workbook=16_15.xlsx&amp;sheet=A0&amp;row=915&amp;col=21&amp;number=&amp;sourceID=47","")</f>
        <v/>
      </c>
      <c r="V915" s="4" t="str">
        <f>HYPERLINK("http://141.218.60.56/~jnz1568/getInfo.php?workbook=16_15.xlsx&amp;sheet=A0&amp;row=915&amp;col=22&amp;number=&amp;sourceID=47","")</f>
        <v/>
      </c>
    </row>
    <row r="916" spans="1:22">
      <c r="A916" s="3">
        <v>16</v>
      </c>
      <c r="B916" s="3">
        <v>15</v>
      </c>
      <c r="C916" s="3">
        <v>49</v>
      </c>
      <c r="D916" s="3">
        <v>17</v>
      </c>
      <c r="E916" s="3">
        <f>((1/(INDEX(E0!J$4:J$73,C916,1)-INDEX(E0!J$4:J$73,D916,1))))*100000000</f>
        <v>0</v>
      </c>
      <c r="F916" s="4" t="str">
        <f>HYPERLINK("http://141.218.60.56/~jnz1568/getInfo.php?workbook=16_15.xlsx&amp;sheet=A0&amp;row=916&amp;col=6&amp;number=29706&amp;sourceID=54","29706")</f>
        <v>29706</v>
      </c>
      <c r="G916" s="4" t="str">
        <f>HYPERLINK("http://141.218.60.56/~jnz1568/getInfo.php?workbook=16_15.xlsx&amp;sheet=A0&amp;row=916&amp;col=7&amp;number=&amp;sourceID=54","")</f>
        <v/>
      </c>
      <c r="H916" s="4" t="str">
        <f>HYPERLINK("http://141.218.60.56/~jnz1568/getInfo.php?workbook=16_15.xlsx&amp;sheet=A0&amp;row=916&amp;col=8&amp;number=&amp;sourceID=54","")</f>
        <v/>
      </c>
      <c r="I916" s="4" t="str">
        <f>HYPERLINK("http://141.218.60.56/~jnz1568/getInfo.php?workbook=16_15.xlsx&amp;sheet=A0&amp;row=916&amp;col=9&amp;number=32300&amp;sourceID=54","32300")</f>
        <v>32300</v>
      </c>
      <c r="J916" s="4" t="str">
        <f>HYPERLINK("http://141.218.60.56/~jnz1568/getInfo.php?workbook=16_15.xlsx&amp;sheet=A0&amp;row=916&amp;col=10&amp;number=&amp;sourceID=54","")</f>
        <v/>
      </c>
      <c r="K916" s="4" t="str">
        <f>HYPERLINK("http://141.218.60.56/~jnz1568/getInfo.php?workbook=16_15.xlsx&amp;sheet=A0&amp;row=916&amp;col=11&amp;number=&amp;sourceID=54","")</f>
        <v/>
      </c>
      <c r="L916" s="4" t="str">
        <f>HYPERLINK("http://141.218.60.56/~jnz1568/getInfo.php?workbook=16_15.xlsx&amp;sheet=A0&amp;row=916&amp;col=12&amp;number=30603.1679334&amp;sourceID=53","30603.1679334")</f>
        <v>30603.1679334</v>
      </c>
      <c r="M916" s="4" t="str">
        <f>HYPERLINK("http://141.218.60.56/~jnz1568/getInfo.php?workbook=16_15.xlsx&amp;sheet=A0&amp;row=916&amp;col=13&amp;number=&amp;sourceID=53","")</f>
        <v/>
      </c>
      <c r="N916" s="4" t="str">
        <f>HYPERLINK("http://141.218.60.56/~jnz1568/getInfo.php?workbook=16_15.xlsx&amp;sheet=A0&amp;row=916&amp;col=14&amp;number=&amp;sourceID=53","")</f>
        <v/>
      </c>
      <c r="O916" s="4" t="str">
        <f>HYPERLINK("http://141.218.60.56/~jnz1568/getInfo.php?workbook=16_15.xlsx&amp;sheet=A0&amp;row=916&amp;col=15&amp;number=&amp;sourceID=55","")</f>
        <v/>
      </c>
      <c r="P916" s="4" t="str">
        <f>HYPERLINK("http://141.218.60.56/~jnz1568/getInfo.php?workbook=16_15.xlsx&amp;sheet=A0&amp;row=916&amp;col=16&amp;number=&amp;sourceID=55","")</f>
        <v/>
      </c>
      <c r="Q916" s="4" t="str">
        <f>HYPERLINK("http://141.218.60.56/~jnz1568/getInfo.php?workbook=16_15.xlsx&amp;sheet=A0&amp;row=916&amp;col=17&amp;number=&amp;sourceID=56","")</f>
        <v/>
      </c>
      <c r="R916" s="4" t="str">
        <f>HYPERLINK("http://141.218.60.56/~jnz1568/getInfo.php?workbook=16_15.xlsx&amp;sheet=A0&amp;row=916&amp;col=18&amp;number=&amp;sourceID=56","")</f>
        <v/>
      </c>
      <c r="S916" s="4" t="str">
        <f>HYPERLINK("http://141.218.60.56/~jnz1568/getInfo.php?workbook=16_15.xlsx&amp;sheet=A0&amp;row=916&amp;col=19&amp;number=&amp;sourceID=57","")</f>
        <v/>
      </c>
      <c r="T916" s="4" t="str">
        <f>HYPERLINK("http://141.218.60.56/~jnz1568/getInfo.php?workbook=16_15.xlsx&amp;sheet=A0&amp;row=916&amp;col=20&amp;number=&amp;sourceID=57","")</f>
        <v/>
      </c>
      <c r="U916" s="4" t="str">
        <f>HYPERLINK("http://141.218.60.56/~jnz1568/getInfo.php?workbook=16_15.xlsx&amp;sheet=A0&amp;row=916&amp;col=21&amp;number=&amp;sourceID=47","")</f>
        <v/>
      </c>
      <c r="V916" s="4" t="str">
        <f>HYPERLINK("http://141.218.60.56/~jnz1568/getInfo.php?workbook=16_15.xlsx&amp;sheet=A0&amp;row=916&amp;col=22&amp;number=&amp;sourceID=47","")</f>
        <v/>
      </c>
    </row>
    <row r="917" spans="1:22">
      <c r="A917" s="3">
        <v>16</v>
      </c>
      <c r="B917" s="3">
        <v>15</v>
      </c>
      <c r="C917" s="3">
        <v>49</v>
      </c>
      <c r="D917" s="3">
        <v>20</v>
      </c>
      <c r="E917" s="3">
        <f>((1/(INDEX(E0!J$4:J$73,C917,1)-INDEX(E0!J$4:J$73,D917,1))))*100000000</f>
        <v>0</v>
      </c>
      <c r="F917" s="4" t="str">
        <f>HYPERLINK("http://141.218.60.56/~jnz1568/getInfo.php?workbook=16_15.xlsx&amp;sheet=A0&amp;row=917&amp;col=6&amp;number=15150000&amp;sourceID=54","15150000")</f>
        <v>15150000</v>
      </c>
      <c r="G917" s="4" t="str">
        <f>HYPERLINK("http://141.218.60.56/~jnz1568/getInfo.php?workbook=16_15.xlsx&amp;sheet=A0&amp;row=917&amp;col=7&amp;number=&amp;sourceID=54","")</f>
        <v/>
      </c>
      <c r="H917" s="4" t="str">
        <f>HYPERLINK("http://141.218.60.56/~jnz1568/getInfo.php?workbook=16_15.xlsx&amp;sheet=A0&amp;row=917&amp;col=8&amp;number=&amp;sourceID=54","")</f>
        <v/>
      </c>
      <c r="I917" s="4" t="str">
        <f>HYPERLINK("http://141.218.60.56/~jnz1568/getInfo.php?workbook=16_15.xlsx&amp;sheet=A0&amp;row=917&amp;col=9&amp;number=14651000&amp;sourceID=54","14651000")</f>
        <v>14651000</v>
      </c>
      <c r="J917" s="4" t="str">
        <f>HYPERLINK("http://141.218.60.56/~jnz1568/getInfo.php?workbook=16_15.xlsx&amp;sheet=A0&amp;row=917&amp;col=10&amp;number=&amp;sourceID=54","")</f>
        <v/>
      </c>
      <c r="K917" s="4" t="str">
        <f>HYPERLINK("http://141.218.60.56/~jnz1568/getInfo.php?workbook=16_15.xlsx&amp;sheet=A0&amp;row=917&amp;col=11&amp;number=&amp;sourceID=54","")</f>
        <v/>
      </c>
      <c r="L917" s="4" t="str">
        <f>HYPERLINK("http://141.218.60.56/~jnz1568/getInfo.php?workbook=16_15.xlsx&amp;sheet=A0&amp;row=917&amp;col=12&amp;number=15319728.4282&amp;sourceID=53","15319728.4282")</f>
        <v>15319728.4282</v>
      </c>
      <c r="M917" s="4" t="str">
        <f>HYPERLINK("http://141.218.60.56/~jnz1568/getInfo.php?workbook=16_15.xlsx&amp;sheet=A0&amp;row=917&amp;col=13&amp;number=&amp;sourceID=53","")</f>
        <v/>
      </c>
      <c r="N917" s="4" t="str">
        <f>HYPERLINK("http://141.218.60.56/~jnz1568/getInfo.php?workbook=16_15.xlsx&amp;sheet=A0&amp;row=917&amp;col=14&amp;number=&amp;sourceID=53","")</f>
        <v/>
      </c>
      <c r="O917" s="4" t="str">
        <f>HYPERLINK("http://141.218.60.56/~jnz1568/getInfo.php?workbook=16_15.xlsx&amp;sheet=A0&amp;row=917&amp;col=15&amp;number=&amp;sourceID=55","")</f>
        <v/>
      </c>
      <c r="P917" s="4" t="str">
        <f>HYPERLINK("http://141.218.60.56/~jnz1568/getInfo.php?workbook=16_15.xlsx&amp;sheet=A0&amp;row=917&amp;col=16&amp;number=&amp;sourceID=55","")</f>
        <v/>
      </c>
      <c r="Q917" s="4" t="str">
        <f>HYPERLINK("http://141.218.60.56/~jnz1568/getInfo.php?workbook=16_15.xlsx&amp;sheet=A0&amp;row=917&amp;col=17&amp;number=&amp;sourceID=56","")</f>
        <v/>
      </c>
      <c r="R917" s="4" t="str">
        <f>HYPERLINK("http://141.218.60.56/~jnz1568/getInfo.php?workbook=16_15.xlsx&amp;sheet=A0&amp;row=917&amp;col=18&amp;number=&amp;sourceID=56","")</f>
        <v/>
      </c>
      <c r="S917" s="4" t="str">
        <f>HYPERLINK("http://141.218.60.56/~jnz1568/getInfo.php?workbook=16_15.xlsx&amp;sheet=A0&amp;row=917&amp;col=19&amp;number=&amp;sourceID=57","")</f>
        <v/>
      </c>
      <c r="T917" s="4" t="str">
        <f>HYPERLINK("http://141.218.60.56/~jnz1568/getInfo.php?workbook=16_15.xlsx&amp;sheet=A0&amp;row=917&amp;col=20&amp;number=&amp;sourceID=57","")</f>
        <v/>
      </c>
      <c r="U917" s="4" t="str">
        <f>HYPERLINK("http://141.218.60.56/~jnz1568/getInfo.php?workbook=16_15.xlsx&amp;sheet=A0&amp;row=917&amp;col=21&amp;number=&amp;sourceID=47","")</f>
        <v/>
      </c>
      <c r="V917" s="4" t="str">
        <f>HYPERLINK("http://141.218.60.56/~jnz1568/getInfo.php?workbook=16_15.xlsx&amp;sheet=A0&amp;row=917&amp;col=22&amp;number=&amp;sourceID=47","")</f>
        <v/>
      </c>
    </row>
    <row r="918" spans="1:22">
      <c r="A918" s="3">
        <v>16</v>
      </c>
      <c r="B918" s="3">
        <v>15</v>
      </c>
      <c r="C918" s="3">
        <v>49</v>
      </c>
      <c r="D918" s="3">
        <v>21</v>
      </c>
      <c r="E918" s="3">
        <f>((1/(INDEX(E0!J$4:J$73,C918,1)-INDEX(E0!J$4:J$73,D918,1))))*100000000</f>
        <v>0</v>
      </c>
      <c r="F918" s="4" t="str">
        <f>HYPERLINK("http://141.218.60.56/~jnz1568/getInfo.php?workbook=16_15.xlsx&amp;sheet=A0&amp;row=918&amp;col=6&amp;number=75884000&amp;sourceID=54","75884000")</f>
        <v>75884000</v>
      </c>
      <c r="G918" s="4" t="str">
        <f>HYPERLINK("http://141.218.60.56/~jnz1568/getInfo.php?workbook=16_15.xlsx&amp;sheet=A0&amp;row=918&amp;col=7&amp;number=&amp;sourceID=54","")</f>
        <v/>
      </c>
      <c r="H918" s="4" t="str">
        <f>HYPERLINK("http://141.218.60.56/~jnz1568/getInfo.php?workbook=16_15.xlsx&amp;sheet=A0&amp;row=918&amp;col=8&amp;number=&amp;sourceID=54","")</f>
        <v/>
      </c>
      <c r="I918" s="4" t="str">
        <f>HYPERLINK("http://141.218.60.56/~jnz1568/getInfo.php?workbook=16_15.xlsx&amp;sheet=A0&amp;row=918&amp;col=9&amp;number=73611000&amp;sourceID=54","73611000")</f>
        <v>73611000</v>
      </c>
      <c r="J918" s="4" t="str">
        <f>HYPERLINK("http://141.218.60.56/~jnz1568/getInfo.php?workbook=16_15.xlsx&amp;sheet=A0&amp;row=918&amp;col=10&amp;number=&amp;sourceID=54","")</f>
        <v/>
      </c>
      <c r="K918" s="4" t="str">
        <f>HYPERLINK("http://141.218.60.56/~jnz1568/getInfo.php?workbook=16_15.xlsx&amp;sheet=A0&amp;row=918&amp;col=11&amp;number=&amp;sourceID=54","")</f>
        <v/>
      </c>
      <c r="L918" s="4" t="str">
        <f>HYPERLINK("http://141.218.60.56/~jnz1568/getInfo.php?workbook=16_15.xlsx&amp;sheet=A0&amp;row=918&amp;col=12&amp;number=77086930.6254&amp;sourceID=53","77086930.6254")</f>
        <v>77086930.6254</v>
      </c>
      <c r="M918" s="4" t="str">
        <f>HYPERLINK("http://141.218.60.56/~jnz1568/getInfo.php?workbook=16_15.xlsx&amp;sheet=A0&amp;row=918&amp;col=13&amp;number=&amp;sourceID=53","")</f>
        <v/>
      </c>
      <c r="N918" s="4" t="str">
        <f>HYPERLINK("http://141.218.60.56/~jnz1568/getInfo.php?workbook=16_15.xlsx&amp;sheet=A0&amp;row=918&amp;col=14&amp;number=&amp;sourceID=53","")</f>
        <v/>
      </c>
      <c r="O918" s="4" t="str">
        <f>HYPERLINK("http://141.218.60.56/~jnz1568/getInfo.php?workbook=16_15.xlsx&amp;sheet=A0&amp;row=918&amp;col=15&amp;number=&amp;sourceID=55","")</f>
        <v/>
      </c>
      <c r="P918" s="4" t="str">
        <f>HYPERLINK("http://141.218.60.56/~jnz1568/getInfo.php?workbook=16_15.xlsx&amp;sheet=A0&amp;row=918&amp;col=16&amp;number=&amp;sourceID=55","")</f>
        <v/>
      </c>
      <c r="Q918" s="4" t="str">
        <f>HYPERLINK("http://141.218.60.56/~jnz1568/getInfo.php?workbook=16_15.xlsx&amp;sheet=A0&amp;row=918&amp;col=17&amp;number=&amp;sourceID=56","")</f>
        <v/>
      </c>
      <c r="R918" s="4" t="str">
        <f>HYPERLINK("http://141.218.60.56/~jnz1568/getInfo.php?workbook=16_15.xlsx&amp;sheet=A0&amp;row=918&amp;col=18&amp;number=&amp;sourceID=56","")</f>
        <v/>
      </c>
      <c r="S918" s="4" t="str">
        <f>HYPERLINK("http://141.218.60.56/~jnz1568/getInfo.php?workbook=16_15.xlsx&amp;sheet=A0&amp;row=918&amp;col=19&amp;number=&amp;sourceID=57","")</f>
        <v/>
      </c>
      <c r="T918" s="4" t="str">
        <f>HYPERLINK("http://141.218.60.56/~jnz1568/getInfo.php?workbook=16_15.xlsx&amp;sheet=A0&amp;row=918&amp;col=20&amp;number=&amp;sourceID=57","")</f>
        <v/>
      </c>
      <c r="U918" s="4" t="str">
        <f>HYPERLINK("http://141.218.60.56/~jnz1568/getInfo.php?workbook=16_15.xlsx&amp;sheet=A0&amp;row=918&amp;col=21&amp;number=&amp;sourceID=47","")</f>
        <v/>
      </c>
      <c r="V918" s="4" t="str">
        <f>HYPERLINK("http://141.218.60.56/~jnz1568/getInfo.php?workbook=16_15.xlsx&amp;sheet=A0&amp;row=918&amp;col=22&amp;number=&amp;sourceID=47","")</f>
        <v/>
      </c>
    </row>
    <row r="919" spans="1:22">
      <c r="A919" s="3">
        <v>16</v>
      </c>
      <c r="B919" s="3">
        <v>15</v>
      </c>
      <c r="C919" s="3">
        <v>49</v>
      </c>
      <c r="D919" s="3">
        <v>22</v>
      </c>
      <c r="E919" s="3">
        <f>((1/(INDEX(E0!J$4:J$73,C919,1)-INDEX(E0!J$4:J$73,D919,1))))*100000000</f>
        <v>0</v>
      </c>
      <c r="F919" s="4" t="str">
        <f>HYPERLINK("http://141.218.60.56/~jnz1568/getInfo.php?workbook=16_15.xlsx&amp;sheet=A0&amp;row=919&amp;col=6&amp;number=10960&amp;sourceID=54","10960")</f>
        <v>10960</v>
      </c>
      <c r="G919" s="4" t="str">
        <f>HYPERLINK("http://141.218.60.56/~jnz1568/getInfo.php?workbook=16_15.xlsx&amp;sheet=A0&amp;row=919&amp;col=7&amp;number=&amp;sourceID=54","")</f>
        <v/>
      </c>
      <c r="H919" s="4" t="str">
        <f>HYPERLINK("http://141.218.60.56/~jnz1568/getInfo.php?workbook=16_15.xlsx&amp;sheet=A0&amp;row=919&amp;col=8&amp;number=&amp;sourceID=54","")</f>
        <v/>
      </c>
      <c r="I919" s="4" t="str">
        <f>HYPERLINK("http://141.218.60.56/~jnz1568/getInfo.php?workbook=16_15.xlsx&amp;sheet=A0&amp;row=919&amp;col=9&amp;number=11583&amp;sourceID=54","11583")</f>
        <v>11583</v>
      </c>
      <c r="J919" s="4" t="str">
        <f>HYPERLINK("http://141.218.60.56/~jnz1568/getInfo.php?workbook=16_15.xlsx&amp;sheet=A0&amp;row=919&amp;col=10&amp;number=&amp;sourceID=54","")</f>
        <v/>
      </c>
      <c r="K919" s="4" t="str">
        <f>HYPERLINK("http://141.218.60.56/~jnz1568/getInfo.php?workbook=16_15.xlsx&amp;sheet=A0&amp;row=919&amp;col=11&amp;number=&amp;sourceID=54","")</f>
        <v/>
      </c>
      <c r="L919" s="4" t="str">
        <f>HYPERLINK("http://141.218.60.56/~jnz1568/getInfo.php?workbook=16_15.xlsx&amp;sheet=A0&amp;row=919&amp;col=12&amp;number=9232.17500643&amp;sourceID=53","9232.17500643")</f>
        <v>9232.17500643</v>
      </c>
      <c r="M919" s="4" t="str">
        <f>HYPERLINK("http://141.218.60.56/~jnz1568/getInfo.php?workbook=16_15.xlsx&amp;sheet=A0&amp;row=919&amp;col=13&amp;number=&amp;sourceID=53","")</f>
        <v/>
      </c>
      <c r="N919" s="4" t="str">
        <f>HYPERLINK("http://141.218.60.56/~jnz1568/getInfo.php?workbook=16_15.xlsx&amp;sheet=A0&amp;row=919&amp;col=14&amp;number=&amp;sourceID=53","")</f>
        <v/>
      </c>
      <c r="O919" s="4" t="str">
        <f>HYPERLINK("http://141.218.60.56/~jnz1568/getInfo.php?workbook=16_15.xlsx&amp;sheet=A0&amp;row=919&amp;col=15&amp;number=&amp;sourceID=55","")</f>
        <v/>
      </c>
      <c r="P919" s="4" t="str">
        <f>HYPERLINK("http://141.218.60.56/~jnz1568/getInfo.php?workbook=16_15.xlsx&amp;sheet=A0&amp;row=919&amp;col=16&amp;number=&amp;sourceID=55","")</f>
        <v/>
      </c>
      <c r="Q919" s="4" t="str">
        <f>HYPERLINK("http://141.218.60.56/~jnz1568/getInfo.php?workbook=16_15.xlsx&amp;sheet=A0&amp;row=919&amp;col=17&amp;number=&amp;sourceID=56","")</f>
        <v/>
      </c>
      <c r="R919" s="4" t="str">
        <f>HYPERLINK("http://141.218.60.56/~jnz1568/getInfo.php?workbook=16_15.xlsx&amp;sheet=A0&amp;row=919&amp;col=18&amp;number=&amp;sourceID=56","")</f>
        <v/>
      </c>
      <c r="S919" s="4" t="str">
        <f>HYPERLINK("http://141.218.60.56/~jnz1568/getInfo.php?workbook=16_15.xlsx&amp;sheet=A0&amp;row=919&amp;col=19&amp;number=&amp;sourceID=57","")</f>
        <v/>
      </c>
      <c r="T919" s="4" t="str">
        <f>HYPERLINK("http://141.218.60.56/~jnz1568/getInfo.php?workbook=16_15.xlsx&amp;sheet=A0&amp;row=919&amp;col=20&amp;number=&amp;sourceID=57","")</f>
        <v/>
      </c>
      <c r="U919" s="4" t="str">
        <f>HYPERLINK("http://141.218.60.56/~jnz1568/getInfo.php?workbook=16_15.xlsx&amp;sheet=A0&amp;row=919&amp;col=21&amp;number=&amp;sourceID=47","")</f>
        <v/>
      </c>
      <c r="V919" s="4" t="str">
        <f>HYPERLINK("http://141.218.60.56/~jnz1568/getInfo.php?workbook=16_15.xlsx&amp;sheet=A0&amp;row=919&amp;col=22&amp;number=&amp;sourceID=47","")</f>
        <v/>
      </c>
    </row>
    <row r="920" spans="1:22">
      <c r="A920" s="3">
        <v>16</v>
      </c>
      <c r="B920" s="3">
        <v>15</v>
      </c>
      <c r="C920" s="3">
        <v>49</v>
      </c>
      <c r="D920" s="3">
        <v>23</v>
      </c>
      <c r="E920" s="3">
        <f>((1/(INDEX(E0!J$4:J$73,C920,1)-INDEX(E0!J$4:J$73,D920,1))))*100000000</f>
        <v>0</v>
      </c>
      <c r="F920" s="4" t="str">
        <f>HYPERLINK("http://141.218.60.56/~jnz1568/getInfo.php?workbook=16_15.xlsx&amp;sheet=A0&amp;row=920&amp;col=6&amp;number=33466&amp;sourceID=54","33466")</f>
        <v>33466</v>
      </c>
      <c r="G920" s="4" t="str">
        <f>HYPERLINK("http://141.218.60.56/~jnz1568/getInfo.php?workbook=16_15.xlsx&amp;sheet=A0&amp;row=920&amp;col=7&amp;number=&amp;sourceID=54","")</f>
        <v/>
      </c>
      <c r="H920" s="4" t="str">
        <f>HYPERLINK("http://141.218.60.56/~jnz1568/getInfo.php?workbook=16_15.xlsx&amp;sheet=A0&amp;row=920&amp;col=8&amp;number=&amp;sourceID=54","")</f>
        <v/>
      </c>
      <c r="I920" s="4" t="str">
        <f>HYPERLINK("http://141.218.60.56/~jnz1568/getInfo.php?workbook=16_15.xlsx&amp;sheet=A0&amp;row=920&amp;col=9&amp;number=35538&amp;sourceID=54","35538")</f>
        <v>35538</v>
      </c>
      <c r="J920" s="4" t="str">
        <f>HYPERLINK("http://141.218.60.56/~jnz1568/getInfo.php?workbook=16_15.xlsx&amp;sheet=A0&amp;row=920&amp;col=10&amp;number=&amp;sourceID=54","")</f>
        <v/>
      </c>
      <c r="K920" s="4" t="str">
        <f>HYPERLINK("http://141.218.60.56/~jnz1568/getInfo.php?workbook=16_15.xlsx&amp;sheet=A0&amp;row=920&amp;col=11&amp;number=&amp;sourceID=54","")</f>
        <v/>
      </c>
      <c r="L920" s="4" t="str">
        <f>HYPERLINK("http://141.218.60.56/~jnz1568/getInfo.php?workbook=16_15.xlsx&amp;sheet=A0&amp;row=920&amp;col=12&amp;number=22333.6499073&amp;sourceID=53","22333.6499073")</f>
        <v>22333.6499073</v>
      </c>
      <c r="M920" s="4" t="str">
        <f>HYPERLINK("http://141.218.60.56/~jnz1568/getInfo.php?workbook=16_15.xlsx&amp;sheet=A0&amp;row=920&amp;col=13&amp;number=&amp;sourceID=53","")</f>
        <v/>
      </c>
      <c r="N920" s="4" t="str">
        <f>HYPERLINK("http://141.218.60.56/~jnz1568/getInfo.php?workbook=16_15.xlsx&amp;sheet=A0&amp;row=920&amp;col=14&amp;number=&amp;sourceID=53","")</f>
        <v/>
      </c>
      <c r="O920" s="4" t="str">
        <f>HYPERLINK("http://141.218.60.56/~jnz1568/getInfo.php?workbook=16_15.xlsx&amp;sheet=A0&amp;row=920&amp;col=15&amp;number=&amp;sourceID=55","")</f>
        <v/>
      </c>
      <c r="P920" s="4" t="str">
        <f>HYPERLINK("http://141.218.60.56/~jnz1568/getInfo.php?workbook=16_15.xlsx&amp;sheet=A0&amp;row=920&amp;col=16&amp;number=&amp;sourceID=55","")</f>
        <v/>
      </c>
      <c r="Q920" s="4" t="str">
        <f>HYPERLINK("http://141.218.60.56/~jnz1568/getInfo.php?workbook=16_15.xlsx&amp;sheet=A0&amp;row=920&amp;col=17&amp;number=&amp;sourceID=56","")</f>
        <v/>
      </c>
      <c r="R920" s="4" t="str">
        <f>HYPERLINK("http://141.218.60.56/~jnz1568/getInfo.php?workbook=16_15.xlsx&amp;sheet=A0&amp;row=920&amp;col=18&amp;number=&amp;sourceID=56","")</f>
        <v/>
      </c>
      <c r="S920" s="4" t="str">
        <f>HYPERLINK("http://141.218.60.56/~jnz1568/getInfo.php?workbook=16_15.xlsx&amp;sheet=A0&amp;row=920&amp;col=19&amp;number=&amp;sourceID=57","")</f>
        <v/>
      </c>
      <c r="T920" s="4" t="str">
        <f>HYPERLINK("http://141.218.60.56/~jnz1568/getInfo.php?workbook=16_15.xlsx&amp;sheet=A0&amp;row=920&amp;col=20&amp;number=&amp;sourceID=57","")</f>
        <v/>
      </c>
      <c r="U920" s="4" t="str">
        <f>HYPERLINK("http://141.218.60.56/~jnz1568/getInfo.php?workbook=16_15.xlsx&amp;sheet=A0&amp;row=920&amp;col=21&amp;number=&amp;sourceID=47","")</f>
        <v/>
      </c>
      <c r="V920" s="4" t="str">
        <f>HYPERLINK("http://141.218.60.56/~jnz1568/getInfo.php?workbook=16_15.xlsx&amp;sheet=A0&amp;row=920&amp;col=22&amp;number=&amp;sourceID=47","")</f>
        <v/>
      </c>
    </row>
    <row r="921" spans="1:22">
      <c r="A921" s="3">
        <v>16</v>
      </c>
      <c r="B921" s="3">
        <v>15</v>
      </c>
      <c r="C921" s="3">
        <v>49</v>
      </c>
      <c r="D921" s="3">
        <v>24</v>
      </c>
      <c r="E921" s="3">
        <f>((1/(INDEX(E0!J$4:J$73,C921,1)-INDEX(E0!J$4:J$73,D921,1))))*100000000</f>
        <v>0</v>
      </c>
      <c r="F921" s="4" t="str">
        <f>HYPERLINK("http://141.218.60.56/~jnz1568/getInfo.php?workbook=16_15.xlsx&amp;sheet=A0&amp;row=921&amp;col=6&amp;number=16346&amp;sourceID=54","16346")</f>
        <v>16346</v>
      </c>
      <c r="G921" s="4" t="str">
        <f>HYPERLINK("http://141.218.60.56/~jnz1568/getInfo.php?workbook=16_15.xlsx&amp;sheet=A0&amp;row=921&amp;col=7&amp;number=&amp;sourceID=54","")</f>
        <v/>
      </c>
      <c r="H921" s="4" t="str">
        <f>HYPERLINK("http://141.218.60.56/~jnz1568/getInfo.php?workbook=16_15.xlsx&amp;sheet=A0&amp;row=921&amp;col=8&amp;number=&amp;sourceID=54","")</f>
        <v/>
      </c>
      <c r="I921" s="4" t="str">
        <f>HYPERLINK("http://141.218.60.56/~jnz1568/getInfo.php?workbook=16_15.xlsx&amp;sheet=A0&amp;row=921&amp;col=9&amp;number=21980&amp;sourceID=54","21980")</f>
        <v>21980</v>
      </c>
      <c r="J921" s="4" t="str">
        <f>HYPERLINK("http://141.218.60.56/~jnz1568/getInfo.php?workbook=16_15.xlsx&amp;sheet=A0&amp;row=921&amp;col=10&amp;number=&amp;sourceID=54","")</f>
        <v/>
      </c>
      <c r="K921" s="4" t="str">
        <f>HYPERLINK("http://141.218.60.56/~jnz1568/getInfo.php?workbook=16_15.xlsx&amp;sheet=A0&amp;row=921&amp;col=11&amp;number=&amp;sourceID=54","")</f>
        <v/>
      </c>
      <c r="L921" s="4" t="str">
        <f>HYPERLINK("http://141.218.60.56/~jnz1568/getInfo.php?workbook=16_15.xlsx&amp;sheet=A0&amp;row=921&amp;col=12&amp;number=19408.8214712&amp;sourceID=53","19408.8214712")</f>
        <v>19408.8214712</v>
      </c>
      <c r="M921" s="4" t="str">
        <f>HYPERLINK("http://141.218.60.56/~jnz1568/getInfo.php?workbook=16_15.xlsx&amp;sheet=A0&amp;row=921&amp;col=13&amp;number=&amp;sourceID=53","")</f>
        <v/>
      </c>
      <c r="N921" s="4" t="str">
        <f>HYPERLINK("http://141.218.60.56/~jnz1568/getInfo.php?workbook=16_15.xlsx&amp;sheet=A0&amp;row=921&amp;col=14&amp;number=&amp;sourceID=53","")</f>
        <v/>
      </c>
      <c r="O921" s="4" t="str">
        <f>HYPERLINK("http://141.218.60.56/~jnz1568/getInfo.php?workbook=16_15.xlsx&amp;sheet=A0&amp;row=921&amp;col=15&amp;number=&amp;sourceID=55","")</f>
        <v/>
      </c>
      <c r="P921" s="4" t="str">
        <f>HYPERLINK("http://141.218.60.56/~jnz1568/getInfo.php?workbook=16_15.xlsx&amp;sheet=A0&amp;row=921&amp;col=16&amp;number=&amp;sourceID=55","")</f>
        <v/>
      </c>
      <c r="Q921" s="4" t="str">
        <f>HYPERLINK("http://141.218.60.56/~jnz1568/getInfo.php?workbook=16_15.xlsx&amp;sheet=A0&amp;row=921&amp;col=17&amp;number=&amp;sourceID=56","")</f>
        <v/>
      </c>
      <c r="R921" s="4" t="str">
        <f>HYPERLINK("http://141.218.60.56/~jnz1568/getInfo.php?workbook=16_15.xlsx&amp;sheet=A0&amp;row=921&amp;col=18&amp;number=&amp;sourceID=56","")</f>
        <v/>
      </c>
      <c r="S921" s="4" t="str">
        <f>HYPERLINK("http://141.218.60.56/~jnz1568/getInfo.php?workbook=16_15.xlsx&amp;sheet=A0&amp;row=921&amp;col=19&amp;number=&amp;sourceID=57","")</f>
        <v/>
      </c>
      <c r="T921" s="4" t="str">
        <f>HYPERLINK("http://141.218.60.56/~jnz1568/getInfo.php?workbook=16_15.xlsx&amp;sheet=A0&amp;row=921&amp;col=20&amp;number=&amp;sourceID=57","")</f>
        <v/>
      </c>
      <c r="U921" s="4" t="str">
        <f>HYPERLINK("http://141.218.60.56/~jnz1568/getInfo.php?workbook=16_15.xlsx&amp;sheet=A0&amp;row=921&amp;col=21&amp;number=&amp;sourceID=47","")</f>
        <v/>
      </c>
      <c r="V921" s="4" t="str">
        <f>HYPERLINK("http://141.218.60.56/~jnz1568/getInfo.php?workbook=16_15.xlsx&amp;sheet=A0&amp;row=921&amp;col=22&amp;number=&amp;sourceID=47","")</f>
        <v/>
      </c>
    </row>
    <row r="922" spans="1:22">
      <c r="A922" s="3">
        <v>16</v>
      </c>
      <c r="B922" s="3">
        <v>15</v>
      </c>
      <c r="C922" s="3">
        <v>49</v>
      </c>
      <c r="D922" s="3">
        <v>26</v>
      </c>
      <c r="E922" s="3">
        <f>((1/(INDEX(E0!J$4:J$73,C922,1)-INDEX(E0!J$4:J$73,D922,1))))*100000000</f>
        <v>0</v>
      </c>
      <c r="F922" s="4" t="str">
        <f>HYPERLINK("http://141.218.60.56/~jnz1568/getInfo.php?workbook=16_15.xlsx&amp;sheet=A0&amp;row=922&amp;col=6&amp;number=35516&amp;sourceID=54","35516")</f>
        <v>35516</v>
      </c>
      <c r="G922" s="4" t="str">
        <f>HYPERLINK("http://141.218.60.56/~jnz1568/getInfo.php?workbook=16_15.xlsx&amp;sheet=A0&amp;row=922&amp;col=7&amp;number=&amp;sourceID=54","")</f>
        <v/>
      </c>
      <c r="H922" s="4" t="str">
        <f>HYPERLINK("http://141.218.60.56/~jnz1568/getInfo.php?workbook=16_15.xlsx&amp;sheet=A0&amp;row=922&amp;col=8&amp;number=&amp;sourceID=54","")</f>
        <v/>
      </c>
      <c r="I922" s="4" t="str">
        <f>HYPERLINK("http://141.218.60.56/~jnz1568/getInfo.php?workbook=16_15.xlsx&amp;sheet=A0&amp;row=922&amp;col=9&amp;number=34462&amp;sourceID=54","34462")</f>
        <v>34462</v>
      </c>
      <c r="J922" s="4" t="str">
        <f>HYPERLINK("http://141.218.60.56/~jnz1568/getInfo.php?workbook=16_15.xlsx&amp;sheet=A0&amp;row=922&amp;col=10&amp;number=&amp;sourceID=54","")</f>
        <v/>
      </c>
      <c r="K922" s="4" t="str">
        <f>HYPERLINK("http://141.218.60.56/~jnz1568/getInfo.php?workbook=16_15.xlsx&amp;sheet=A0&amp;row=922&amp;col=11&amp;number=&amp;sourceID=54","")</f>
        <v/>
      </c>
      <c r="L922" s="4" t="str">
        <f>HYPERLINK("http://141.218.60.56/~jnz1568/getInfo.php?workbook=16_15.xlsx&amp;sheet=A0&amp;row=922&amp;col=12&amp;number=27034.3125696&amp;sourceID=53","27034.3125696")</f>
        <v>27034.3125696</v>
      </c>
      <c r="M922" s="4" t="str">
        <f>HYPERLINK("http://141.218.60.56/~jnz1568/getInfo.php?workbook=16_15.xlsx&amp;sheet=A0&amp;row=922&amp;col=13&amp;number=&amp;sourceID=53","")</f>
        <v/>
      </c>
      <c r="N922" s="4" t="str">
        <f>HYPERLINK("http://141.218.60.56/~jnz1568/getInfo.php?workbook=16_15.xlsx&amp;sheet=A0&amp;row=922&amp;col=14&amp;number=&amp;sourceID=53","")</f>
        <v/>
      </c>
      <c r="O922" s="4" t="str">
        <f>HYPERLINK("http://141.218.60.56/~jnz1568/getInfo.php?workbook=16_15.xlsx&amp;sheet=A0&amp;row=922&amp;col=15&amp;number=&amp;sourceID=55","")</f>
        <v/>
      </c>
      <c r="P922" s="4" t="str">
        <f>HYPERLINK("http://141.218.60.56/~jnz1568/getInfo.php?workbook=16_15.xlsx&amp;sheet=A0&amp;row=922&amp;col=16&amp;number=&amp;sourceID=55","")</f>
        <v/>
      </c>
      <c r="Q922" s="4" t="str">
        <f>HYPERLINK("http://141.218.60.56/~jnz1568/getInfo.php?workbook=16_15.xlsx&amp;sheet=A0&amp;row=922&amp;col=17&amp;number=&amp;sourceID=56","")</f>
        <v/>
      </c>
      <c r="R922" s="4" t="str">
        <f>HYPERLINK("http://141.218.60.56/~jnz1568/getInfo.php?workbook=16_15.xlsx&amp;sheet=A0&amp;row=922&amp;col=18&amp;number=&amp;sourceID=56","")</f>
        <v/>
      </c>
      <c r="S922" s="4" t="str">
        <f>HYPERLINK("http://141.218.60.56/~jnz1568/getInfo.php?workbook=16_15.xlsx&amp;sheet=A0&amp;row=922&amp;col=19&amp;number=&amp;sourceID=57","")</f>
        <v/>
      </c>
      <c r="T922" s="4" t="str">
        <f>HYPERLINK("http://141.218.60.56/~jnz1568/getInfo.php?workbook=16_15.xlsx&amp;sheet=A0&amp;row=922&amp;col=20&amp;number=&amp;sourceID=57","")</f>
        <v/>
      </c>
      <c r="U922" s="4" t="str">
        <f>HYPERLINK("http://141.218.60.56/~jnz1568/getInfo.php?workbook=16_15.xlsx&amp;sheet=A0&amp;row=922&amp;col=21&amp;number=&amp;sourceID=47","")</f>
        <v/>
      </c>
      <c r="V922" s="4" t="str">
        <f>HYPERLINK("http://141.218.60.56/~jnz1568/getInfo.php?workbook=16_15.xlsx&amp;sheet=A0&amp;row=922&amp;col=22&amp;number=&amp;sourceID=47","")</f>
        <v/>
      </c>
    </row>
    <row r="923" spans="1:22">
      <c r="A923" s="3">
        <v>16</v>
      </c>
      <c r="B923" s="3">
        <v>15</v>
      </c>
      <c r="C923" s="3">
        <v>49</v>
      </c>
      <c r="D923" s="3">
        <v>28</v>
      </c>
      <c r="E923" s="3">
        <f>((1/(INDEX(E0!J$4:J$73,C923,1)-INDEX(E0!J$4:J$73,D923,1))))*100000000</f>
        <v>0</v>
      </c>
      <c r="F923" s="4" t="str">
        <f>HYPERLINK("http://141.218.60.56/~jnz1568/getInfo.php?workbook=16_15.xlsx&amp;sheet=A0&amp;row=923&amp;col=6&amp;number=92522&amp;sourceID=54","92522")</f>
        <v>92522</v>
      </c>
      <c r="G923" s="4" t="str">
        <f>HYPERLINK("http://141.218.60.56/~jnz1568/getInfo.php?workbook=16_15.xlsx&amp;sheet=A0&amp;row=923&amp;col=7&amp;number=&amp;sourceID=54","")</f>
        <v/>
      </c>
      <c r="H923" s="4" t="str">
        <f>HYPERLINK("http://141.218.60.56/~jnz1568/getInfo.php?workbook=16_15.xlsx&amp;sheet=A0&amp;row=923&amp;col=8&amp;number=&amp;sourceID=54","")</f>
        <v/>
      </c>
      <c r="I923" s="4" t="str">
        <f>HYPERLINK("http://141.218.60.56/~jnz1568/getInfo.php?workbook=16_15.xlsx&amp;sheet=A0&amp;row=923&amp;col=9&amp;number=91888&amp;sourceID=54","91888")</f>
        <v>91888</v>
      </c>
      <c r="J923" s="4" t="str">
        <f>HYPERLINK("http://141.218.60.56/~jnz1568/getInfo.php?workbook=16_15.xlsx&amp;sheet=A0&amp;row=923&amp;col=10&amp;number=&amp;sourceID=54","")</f>
        <v/>
      </c>
      <c r="K923" s="4" t="str">
        <f>HYPERLINK("http://141.218.60.56/~jnz1568/getInfo.php?workbook=16_15.xlsx&amp;sheet=A0&amp;row=923&amp;col=11&amp;number=&amp;sourceID=54","")</f>
        <v/>
      </c>
      <c r="L923" s="4" t="str">
        <f>HYPERLINK("http://141.218.60.56/~jnz1568/getInfo.php?workbook=16_15.xlsx&amp;sheet=A0&amp;row=923&amp;col=12&amp;number=77234.502859&amp;sourceID=53","77234.502859")</f>
        <v>77234.502859</v>
      </c>
      <c r="M923" s="4" t="str">
        <f>HYPERLINK("http://141.218.60.56/~jnz1568/getInfo.php?workbook=16_15.xlsx&amp;sheet=A0&amp;row=923&amp;col=13&amp;number=&amp;sourceID=53","")</f>
        <v/>
      </c>
      <c r="N923" s="4" t="str">
        <f>HYPERLINK("http://141.218.60.56/~jnz1568/getInfo.php?workbook=16_15.xlsx&amp;sheet=A0&amp;row=923&amp;col=14&amp;number=&amp;sourceID=53","")</f>
        <v/>
      </c>
      <c r="O923" s="4" t="str">
        <f>HYPERLINK("http://141.218.60.56/~jnz1568/getInfo.php?workbook=16_15.xlsx&amp;sheet=A0&amp;row=923&amp;col=15&amp;number=&amp;sourceID=55","")</f>
        <v/>
      </c>
      <c r="P923" s="4" t="str">
        <f>HYPERLINK("http://141.218.60.56/~jnz1568/getInfo.php?workbook=16_15.xlsx&amp;sheet=A0&amp;row=923&amp;col=16&amp;number=&amp;sourceID=55","")</f>
        <v/>
      </c>
      <c r="Q923" s="4" t="str">
        <f>HYPERLINK("http://141.218.60.56/~jnz1568/getInfo.php?workbook=16_15.xlsx&amp;sheet=A0&amp;row=923&amp;col=17&amp;number=&amp;sourceID=56","")</f>
        <v/>
      </c>
      <c r="R923" s="4" t="str">
        <f>HYPERLINK("http://141.218.60.56/~jnz1568/getInfo.php?workbook=16_15.xlsx&amp;sheet=A0&amp;row=923&amp;col=18&amp;number=&amp;sourceID=56","")</f>
        <v/>
      </c>
      <c r="S923" s="4" t="str">
        <f>HYPERLINK("http://141.218.60.56/~jnz1568/getInfo.php?workbook=16_15.xlsx&amp;sheet=A0&amp;row=923&amp;col=19&amp;number=&amp;sourceID=57","")</f>
        <v/>
      </c>
      <c r="T923" s="4" t="str">
        <f>HYPERLINK("http://141.218.60.56/~jnz1568/getInfo.php?workbook=16_15.xlsx&amp;sheet=A0&amp;row=923&amp;col=20&amp;number=&amp;sourceID=57","")</f>
        <v/>
      </c>
      <c r="U923" s="4" t="str">
        <f>HYPERLINK("http://141.218.60.56/~jnz1568/getInfo.php?workbook=16_15.xlsx&amp;sheet=A0&amp;row=923&amp;col=21&amp;number=&amp;sourceID=47","")</f>
        <v/>
      </c>
      <c r="V923" s="4" t="str">
        <f>HYPERLINK("http://141.218.60.56/~jnz1568/getInfo.php?workbook=16_15.xlsx&amp;sheet=A0&amp;row=923&amp;col=22&amp;number=&amp;sourceID=47","")</f>
        <v/>
      </c>
    </row>
    <row r="924" spans="1:22">
      <c r="A924" s="3">
        <v>16</v>
      </c>
      <c r="B924" s="3">
        <v>15</v>
      </c>
      <c r="C924" s="3">
        <v>49</v>
      </c>
      <c r="D924" s="3">
        <v>29</v>
      </c>
      <c r="E924" s="3">
        <f>((1/(INDEX(E0!J$4:J$73,C924,1)-INDEX(E0!J$4:J$73,D924,1))))*100000000</f>
        <v>0</v>
      </c>
      <c r="F924" s="4" t="str">
        <f>HYPERLINK("http://141.218.60.56/~jnz1568/getInfo.php?workbook=16_15.xlsx&amp;sheet=A0&amp;row=924&amp;col=6&amp;number=264850&amp;sourceID=54","264850")</f>
        <v>264850</v>
      </c>
      <c r="G924" s="4" t="str">
        <f>HYPERLINK("http://141.218.60.56/~jnz1568/getInfo.php?workbook=16_15.xlsx&amp;sheet=A0&amp;row=924&amp;col=7&amp;number=&amp;sourceID=54","")</f>
        <v/>
      </c>
      <c r="H924" s="4" t="str">
        <f>HYPERLINK("http://141.218.60.56/~jnz1568/getInfo.php?workbook=16_15.xlsx&amp;sheet=A0&amp;row=924&amp;col=8&amp;number=&amp;sourceID=54","")</f>
        <v/>
      </c>
      <c r="I924" s="4" t="str">
        <f>HYPERLINK("http://141.218.60.56/~jnz1568/getInfo.php?workbook=16_15.xlsx&amp;sheet=A0&amp;row=924&amp;col=9&amp;number=270030&amp;sourceID=54","270030")</f>
        <v>270030</v>
      </c>
      <c r="J924" s="4" t="str">
        <f>HYPERLINK("http://141.218.60.56/~jnz1568/getInfo.php?workbook=16_15.xlsx&amp;sheet=A0&amp;row=924&amp;col=10&amp;number=&amp;sourceID=54","")</f>
        <v/>
      </c>
      <c r="K924" s="4" t="str">
        <f>HYPERLINK("http://141.218.60.56/~jnz1568/getInfo.php?workbook=16_15.xlsx&amp;sheet=A0&amp;row=924&amp;col=11&amp;number=&amp;sourceID=54","")</f>
        <v/>
      </c>
      <c r="L924" s="4" t="str">
        <f>HYPERLINK("http://141.218.60.56/~jnz1568/getInfo.php?workbook=16_15.xlsx&amp;sheet=A0&amp;row=924&amp;col=12&amp;number=294052.908247&amp;sourceID=53","294052.908247")</f>
        <v>294052.908247</v>
      </c>
      <c r="M924" s="4" t="str">
        <f>HYPERLINK("http://141.218.60.56/~jnz1568/getInfo.php?workbook=16_15.xlsx&amp;sheet=A0&amp;row=924&amp;col=13&amp;number=&amp;sourceID=53","")</f>
        <v/>
      </c>
      <c r="N924" s="4" t="str">
        <f>HYPERLINK("http://141.218.60.56/~jnz1568/getInfo.php?workbook=16_15.xlsx&amp;sheet=A0&amp;row=924&amp;col=14&amp;number=&amp;sourceID=53","")</f>
        <v/>
      </c>
      <c r="O924" s="4" t="str">
        <f>HYPERLINK("http://141.218.60.56/~jnz1568/getInfo.php?workbook=16_15.xlsx&amp;sheet=A0&amp;row=924&amp;col=15&amp;number=&amp;sourceID=55","")</f>
        <v/>
      </c>
      <c r="P924" s="4" t="str">
        <f>HYPERLINK("http://141.218.60.56/~jnz1568/getInfo.php?workbook=16_15.xlsx&amp;sheet=A0&amp;row=924&amp;col=16&amp;number=&amp;sourceID=55","")</f>
        <v/>
      </c>
      <c r="Q924" s="4" t="str">
        <f>HYPERLINK("http://141.218.60.56/~jnz1568/getInfo.php?workbook=16_15.xlsx&amp;sheet=A0&amp;row=924&amp;col=17&amp;number=&amp;sourceID=56","")</f>
        <v/>
      </c>
      <c r="R924" s="4" t="str">
        <f>HYPERLINK("http://141.218.60.56/~jnz1568/getInfo.php?workbook=16_15.xlsx&amp;sheet=A0&amp;row=924&amp;col=18&amp;number=&amp;sourceID=56","")</f>
        <v/>
      </c>
      <c r="S924" s="4" t="str">
        <f>HYPERLINK("http://141.218.60.56/~jnz1568/getInfo.php?workbook=16_15.xlsx&amp;sheet=A0&amp;row=924&amp;col=19&amp;number=&amp;sourceID=57","")</f>
        <v/>
      </c>
      <c r="T924" s="4" t="str">
        <f>HYPERLINK("http://141.218.60.56/~jnz1568/getInfo.php?workbook=16_15.xlsx&amp;sheet=A0&amp;row=924&amp;col=20&amp;number=&amp;sourceID=57","")</f>
        <v/>
      </c>
      <c r="U924" s="4" t="str">
        <f>HYPERLINK("http://141.218.60.56/~jnz1568/getInfo.php?workbook=16_15.xlsx&amp;sheet=A0&amp;row=924&amp;col=21&amp;number=&amp;sourceID=47","")</f>
        <v/>
      </c>
      <c r="V924" s="4" t="str">
        <f>HYPERLINK("http://141.218.60.56/~jnz1568/getInfo.php?workbook=16_15.xlsx&amp;sheet=A0&amp;row=924&amp;col=22&amp;number=&amp;sourceID=47","")</f>
        <v/>
      </c>
    </row>
    <row r="925" spans="1:22">
      <c r="A925" s="3">
        <v>16</v>
      </c>
      <c r="B925" s="3">
        <v>15</v>
      </c>
      <c r="C925" s="3">
        <v>49</v>
      </c>
      <c r="D925" s="3">
        <v>30</v>
      </c>
      <c r="E925" s="3">
        <f>((1/(INDEX(E0!J$4:J$73,C925,1)-INDEX(E0!J$4:J$73,D925,1))))*100000000</f>
        <v>0</v>
      </c>
      <c r="F925" s="4" t="str">
        <f>HYPERLINK("http://141.218.60.56/~jnz1568/getInfo.php?workbook=16_15.xlsx&amp;sheet=A0&amp;row=925&amp;col=6&amp;number=1729300&amp;sourceID=54","1729300")</f>
        <v>1729300</v>
      </c>
      <c r="G925" s="4" t="str">
        <f>HYPERLINK("http://141.218.60.56/~jnz1568/getInfo.php?workbook=16_15.xlsx&amp;sheet=A0&amp;row=925&amp;col=7&amp;number=&amp;sourceID=54","")</f>
        <v/>
      </c>
      <c r="H925" s="4" t="str">
        <f>HYPERLINK("http://141.218.60.56/~jnz1568/getInfo.php?workbook=16_15.xlsx&amp;sheet=A0&amp;row=925&amp;col=8&amp;number=&amp;sourceID=54","")</f>
        <v/>
      </c>
      <c r="I925" s="4" t="str">
        <f>HYPERLINK("http://141.218.60.56/~jnz1568/getInfo.php?workbook=16_15.xlsx&amp;sheet=A0&amp;row=925&amp;col=9&amp;number=1758200&amp;sourceID=54","1758200")</f>
        <v>1758200</v>
      </c>
      <c r="J925" s="4" t="str">
        <f>HYPERLINK("http://141.218.60.56/~jnz1568/getInfo.php?workbook=16_15.xlsx&amp;sheet=A0&amp;row=925&amp;col=10&amp;number=&amp;sourceID=54","")</f>
        <v/>
      </c>
      <c r="K925" s="4" t="str">
        <f>HYPERLINK("http://141.218.60.56/~jnz1568/getInfo.php?workbook=16_15.xlsx&amp;sheet=A0&amp;row=925&amp;col=11&amp;number=&amp;sourceID=54","")</f>
        <v/>
      </c>
      <c r="L925" s="4" t="str">
        <f>HYPERLINK("http://141.218.60.56/~jnz1568/getInfo.php?workbook=16_15.xlsx&amp;sheet=A0&amp;row=925&amp;col=12&amp;number=2050069.97888&amp;sourceID=53","2050069.97888")</f>
        <v>2050069.97888</v>
      </c>
      <c r="M925" s="4" t="str">
        <f>HYPERLINK("http://141.218.60.56/~jnz1568/getInfo.php?workbook=16_15.xlsx&amp;sheet=A0&amp;row=925&amp;col=13&amp;number=&amp;sourceID=53","")</f>
        <v/>
      </c>
      <c r="N925" s="4" t="str">
        <f>HYPERLINK("http://141.218.60.56/~jnz1568/getInfo.php?workbook=16_15.xlsx&amp;sheet=A0&amp;row=925&amp;col=14&amp;number=&amp;sourceID=53","")</f>
        <v/>
      </c>
      <c r="O925" s="4" t="str">
        <f>HYPERLINK("http://141.218.60.56/~jnz1568/getInfo.php?workbook=16_15.xlsx&amp;sheet=A0&amp;row=925&amp;col=15&amp;number=&amp;sourceID=55","")</f>
        <v/>
      </c>
      <c r="P925" s="4" t="str">
        <f>HYPERLINK("http://141.218.60.56/~jnz1568/getInfo.php?workbook=16_15.xlsx&amp;sheet=A0&amp;row=925&amp;col=16&amp;number=&amp;sourceID=55","")</f>
        <v/>
      </c>
      <c r="Q925" s="4" t="str">
        <f>HYPERLINK("http://141.218.60.56/~jnz1568/getInfo.php?workbook=16_15.xlsx&amp;sheet=A0&amp;row=925&amp;col=17&amp;number=&amp;sourceID=56","")</f>
        <v/>
      </c>
      <c r="R925" s="4" t="str">
        <f>HYPERLINK("http://141.218.60.56/~jnz1568/getInfo.php?workbook=16_15.xlsx&amp;sheet=A0&amp;row=925&amp;col=18&amp;number=&amp;sourceID=56","")</f>
        <v/>
      </c>
      <c r="S925" s="4" t="str">
        <f>HYPERLINK("http://141.218.60.56/~jnz1568/getInfo.php?workbook=16_15.xlsx&amp;sheet=A0&amp;row=925&amp;col=19&amp;number=&amp;sourceID=57","")</f>
        <v/>
      </c>
      <c r="T925" s="4" t="str">
        <f>HYPERLINK("http://141.218.60.56/~jnz1568/getInfo.php?workbook=16_15.xlsx&amp;sheet=A0&amp;row=925&amp;col=20&amp;number=&amp;sourceID=57","")</f>
        <v/>
      </c>
      <c r="U925" s="4" t="str">
        <f>HYPERLINK("http://141.218.60.56/~jnz1568/getInfo.php?workbook=16_15.xlsx&amp;sheet=A0&amp;row=925&amp;col=21&amp;number=&amp;sourceID=47","")</f>
        <v/>
      </c>
      <c r="V925" s="4" t="str">
        <f>HYPERLINK("http://141.218.60.56/~jnz1568/getInfo.php?workbook=16_15.xlsx&amp;sheet=A0&amp;row=925&amp;col=22&amp;number=&amp;sourceID=47","")</f>
        <v/>
      </c>
    </row>
    <row r="926" spans="1:22">
      <c r="A926" s="3">
        <v>16</v>
      </c>
      <c r="B926" s="3">
        <v>15</v>
      </c>
      <c r="C926" s="3">
        <v>49</v>
      </c>
      <c r="D926" s="3">
        <v>31</v>
      </c>
      <c r="E926" s="3">
        <f>((1/(INDEX(E0!J$4:J$73,C926,1)-INDEX(E0!J$4:J$73,D926,1))))*100000000</f>
        <v>0</v>
      </c>
      <c r="F926" s="4" t="str">
        <f>HYPERLINK("http://141.218.60.56/~jnz1568/getInfo.php?workbook=16_15.xlsx&amp;sheet=A0&amp;row=926&amp;col=6&amp;number=&amp;sourceID=54","")</f>
        <v/>
      </c>
      <c r="G926" s="4" t="str">
        <f>HYPERLINK("http://141.218.60.56/~jnz1568/getInfo.php?workbook=16_15.xlsx&amp;sheet=A0&amp;row=926&amp;col=7&amp;number=7.5328e-05&amp;sourceID=54","7.5328e-05")</f>
        <v>7.5328e-05</v>
      </c>
      <c r="H926" s="4" t="str">
        <f>HYPERLINK("http://141.218.60.56/~jnz1568/getInfo.php?workbook=16_15.xlsx&amp;sheet=A0&amp;row=926&amp;col=8&amp;number=0.0081793&amp;sourceID=54","0.0081793")</f>
        <v>0.0081793</v>
      </c>
      <c r="I926" s="4" t="str">
        <f>HYPERLINK("http://141.218.60.56/~jnz1568/getInfo.php?workbook=16_15.xlsx&amp;sheet=A0&amp;row=926&amp;col=9&amp;number=&amp;sourceID=54","")</f>
        <v/>
      </c>
      <c r="J926" s="4" t="str">
        <f>HYPERLINK("http://141.218.60.56/~jnz1568/getInfo.php?workbook=16_15.xlsx&amp;sheet=A0&amp;row=926&amp;col=10&amp;number=6.9928e-05&amp;sourceID=54","6.9928e-05")</f>
        <v>6.9928e-05</v>
      </c>
      <c r="K926" s="4" t="str">
        <f>HYPERLINK("http://141.218.60.56/~jnz1568/getInfo.php?workbook=16_15.xlsx&amp;sheet=A0&amp;row=926&amp;col=11&amp;number=0.0080575&amp;sourceID=54","0.0080575")</f>
        <v>0.0080575</v>
      </c>
      <c r="L926" s="4" t="str">
        <f>HYPERLINK("http://141.218.60.56/~jnz1568/getInfo.php?workbook=16_15.xlsx&amp;sheet=A0&amp;row=926&amp;col=12&amp;number=&amp;sourceID=53","")</f>
        <v/>
      </c>
      <c r="M926" s="4" t="str">
        <f>HYPERLINK("http://141.218.60.56/~jnz1568/getInfo.php?workbook=16_15.xlsx&amp;sheet=A0&amp;row=926&amp;col=13&amp;number=&amp;sourceID=53","")</f>
        <v/>
      </c>
      <c r="N926" s="4" t="str">
        <f>HYPERLINK("http://141.218.60.56/~jnz1568/getInfo.php?workbook=16_15.xlsx&amp;sheet=A0&amp;row=926&amp;col=14&amp;number=&amp;sourceID=53","")</f>
        <v/>
      </c>
      <c r="O926" s="4" t="str">
        <f>HYPERLINK("http://141.218.60.56/~jnz1568/getInfo.php?workbook=16_15.xlsx&amp;sheet=A0&amp;row=926&amp;col=15&amp;number=&amp;sourceID=55","")</f>
        <v/>
      </c>
      <c r="P926" s="4" t="str">
        <f>HYPERLINK("http://141.218.60.56/~jnz1568/getInfo.php?workbook=16_15.xlsx&amp;sheet=A0&amp;row=926&amp;col=16&amp;number=&amp;sourceID=55","")</f>
        <v/>
      </c>
      <c r="Q926" s="4" t="str">
        <f>HYPERLINK("http://141.218.60.56/~jnz1568/getInfo.php?workbook=16_15.xlsx&amp;sheet=A0&amp;row=926&amp;col=17&amp;number=&amp;sourceID=56","")</f>
        <v/>
      </c>
      <c r="R926" s="4" t="str">
        <f>HYPERLINK("http://141.218.60.56/~jnz1568/getInfo.php?workbook=16_15.xlsx&amp;sheet=A0&amp;row=926&amp;col=18&amp;number=&amp;sourceID=56","")</f>
        <v/>
      </c>
      <c r="S926" s="4" t="str">
        <f>HYPERLINK("http://141.218.60.56/~jnz1568/getInfo.php?workbook=16_15.xlsx&amp;sheet=A0&amp;row=926&amp;col=19&amp;number=&amp;sourceID=57","")</f>
        <v/>
      </c>
      <c r="T926" s="4" t="str">
        <f>HYPERLINK("http://141.218.60.56/~jnz1568/getInfo.php?workbook=16_15.xlsx&amp;sheet=A0&amp;row=926&amp;col=20&amp;number=&amp;sourceID=57","")</f>
        <v/>
      </c>
      <c r="U926" s="4" t="str">
        <f>HYPERLINK("http://141.218.60.56/~jnz1568/getInfo.php?workbook=16_15.xlsx&amp;sheet=A0&amp;row=926&amp;col=21&amp;number=&amp;sourceID=47","")</f>
        <v/>
      </c>
      <c r="V926" s="4" t="str">
        <f>HYPERLINK("http://141.218.60.56/~jnz1568/getInfo.php?workbook=16_15.xlsx&amp;sheet=A0&amp;row=926&amp;col=22&amp;number=&amp;sourceID=47","")</f>
        <v/>
      </c>
    </row>
    <row r="927" spans="1:22">
      <c r="A927" s="3">
        <v>16</v>
      </c>
      <c r="B927" s="3">
        <v>15</v>
      </c>
      <c r="C927" s="3">
        <v>49</v>
      </c>
      <c r="D927" s="3">
        <v>34</v>
      </c>
      <c r="E927" s="3">
        <f>((1/(INDEX(E0!J$4:J$73,C927,1)-INDEX(E0!J$4:J$73,D927,1))))*100000000</f>
        <v>0</v>
      </c>
      <c r="F927" s="4" t="str">
        <f>HYPERLINK("http://141.218.60.56/~jnz1568/getInfo.php?workbook=16_15.xlsx&amp;sheet=A0&amp;row=927&amp;col=6&amp;number=&amp;sourceID=54","")</f>
        <v/>
      </c>
      <c r="G927" s="4" t="str">
        <f>HYPERLINK("http://141.218.60.56/~jnz1568/getInfo.php?workbook=16_15.xlsx&amp;sheet=A0&amp;row=927&amp;col=7&amp;number=2.0145e-06&amp;sourceID=54","2.0145e-06")</f>
        <v>2.0145e-06</v>
      </c>
      <c r="H927" s="4" t="str">
        <f>HYPERLINK("http://141.218.60.56/~jnz1568/getInfo.php?workbook=16_15.xlsx&amp;sheet=A0&amp;row=927&amp;col=8&amp;number=0.00044568&amp;sourceID=54","0.00044568")</f>
        <v>0.00044568</v>
      </c>
      <c r="I927" s="4" t="str">
        <f>HYPERLINK("http://141.218.60.56/~jnz1568/getInfo.php?workbook=16_15.xlsx&amp;sheet=A0&amp;row=927&amp;col=9&amp;number=&amp;sourceID=54","")</f>
        <v/>
      </c>
      <c r="J927" s="4" t="str">
        <f>HYPERLINK("http://141.218.60.56/~jnz1568/getInfo.php?workbook=16_15.xlsx&amp;sheet=A0&amp;row=927&amp;col=10&amp;number=1.3441e-06&amp;sourceID=54","1.3441e-06")</f>
        <v>1.3441e-06</v>
      </c>
      <c r="K927" s="4" t="str">
        <f>HYPERLINK("http://141.218.60.56/~jnz1568/getInfo.php?workbook=16_15.xlsx&amp;sheet=A0&amp;row=927&amp;col=11&amp;number=0.00044198&amp;sourceID=54","0.00044198")</f>
        <v>0.00044198</v>
      </c>
      <c r="L927" s="4" t="str">
        <f>HYPERLINK("http://141.218.60.56/~jnz1568/getInfo.php?workbook=16_15.xlsx&amp;sheet=A0&amp;row=927&amp;col=12&amp;number=&amp;sourceID=53","")</f>
        <v/>
      </c>
      <c r="M927" s="4" t="str">
        <f>HYPERLINK("http://141.218.60.56/~jnz1568/getInfo.php?workbook=16_15.xlsx&amp;sheet=A0&amp;row=927&amp;col=13&amp;number=&amp;sourceID=53","")</f>
        <v/>
      </c>
      <c r="N927" s="4" t="str">
        <f>HYPERLINK("http://141.218.60.56/~jnz1568/getInfo.php?workbook=16_15.xlsx&amp;sheet=A0&amp;row=927&amp;col=14&amp;number=&amp;sourceID=53","")</f>
        <v/>
      </c>
      <c r="O927" s="4" t="str">
        <f>HYPERLINK("http://141.218.60.56/~jnz1568/getInfo.php?workbook=16_15.xlsx&amp;sheet=A0&amp;row=927&amp;col=15&amp;number=&amp;sourceID=55","")</f>
        <v/>
      </c>
      <c r="P927" s="4" t="str">
        <f>HYPERLINK("http://141.218.60.56/~jnz1568/getInfo.php?workbook=16_15.xlsx&amp;sheet=A0&amp;row=927&amp;col=16&amp;number=&amp;sourceID=55","")</f>
        <v/>
      </c>
      <c r="Q927" s="4" t="str">
        <f>HYPERLINK("http://141.218.60.56/~jnz1568/getInfo.php?workbook=16_15.xlsx&amp;sheet=A0&amp;row=927&amp;col=17&amp;number=&amp;sourceID=56","")</f>
        <v/>
      </c>
      <c r="R927" s="4" t="str">
        <f>HYPERLINK("http://141.218.60.56/~jnz1568/getInfo.php?workbook=16_15.xlsx&amp;sheet=A0&amp;row=927&amp;col=18&amp;number=&amp;sourceID=56","")</f>
        <v/>
      </c>
      <c r="S927" s="4" t="str">
        <f>HYPERLINK("http://141.218.60.56/~jnz1568/getInfo.php?workbook=16_15.xlsx&amp;sheet=A0&amp;row=927&amp;col=19&amp;number=&amp;sourceID=57","")</f>
        <v/>
      </c>
      <c r="T927" s="4" t="str">
        <f>HYPERLINK("http://141.218.60.56/~jnz1568/getInfo.php?workbook=16_15.xlsx&amp;sheet=A0&amp;row=927&amp;col=20&amp;number=&amp;sourceID=57","")</f>
        <v/>
      </c>
      <c r="U927" s="4" t="str">
        <f>HYPERLINK("http://141.218.60.56/~jnz1568/getInfo.php?workbook=16_15.xlsx&amp;sheet=A0&amp;row=927&amp;col=21&amp;number=&amp;sourceID=47","")</f>
        <v/>
      </c>
      <c r="V927" s="4" t="str">
        <f>HYPERLINK("http://141.218.60.56/~jnz1568/getInfo.php?workbook=16_15.xlsx&amp;sheet=A0&amp;row=927&amp;col=22&amp;number=&amp;sourceID=47","")</f>
        <v/>
      </c>
    </row>
    <row r="928" spans="1:22">
      <c r="A928" s="3">
        <v>16</v>
      </c>
      <c r="B928" s="3">
        <v>15</v>
      </c>
      <c r="C928" s="3">
        <v>49</v>
      </c>
      <c r="D928" s="3">
        <v>35</v>
      </c>
      <c r="E928" s="3">
        <f>((1/(INDEX(E0!J$4:J$73,C928,1)-INDEX(E0!J$4:J$73,D928,1))))*100000000</f>
        <v>0</v>
      </c>
      <c r="F928" s="4" t="str">
        <f>HYPERLINK("http://141.218.60.56/~jnz1568/getInfo.php?workbook=16_15.xlsx&amp;sheet=A0&amp;row=928&amp;col=6&amp;number=&amp;sourceID=54","")</f>
        <v/>
      </c>
      <c r="G928" s="4" t="str">
        <f>HYPERLINK("http://141.218.60.56/~jnz1568/getInfo.php?workbook=16_15.xlsx&amp;sheet=A0&amp;row=928&amp;col=7&amp;number=7.1417e-07&amp;sourceID=54","7.1417e-07")</f>
        <v>7.1417e-07</v>
      </c>
      <c r="H928" s="4" t="str">
        <f>HYPERLINK("http://141.218.60.56/~jnz1568/getInfo.php?workbook=16_15.xlsx&amp;sheet=A0&amp;row=928&amp;col=8&amp;number=0.00031012&amp;sourceID=54","0.00031012")</f>
        <v>0.00031012</v>
      </c>
      <c r="I928" s="4" t="str">
        <f>HYPERLINK("http://141.218.60.56/~jnz1568/getInfo.php?workbook=16_15.xlsx&amp;sheet=A0&amp;row=928&amp;col=9&amp;number=&amp;sourceID=54","")</f>
        <v/>
      </c>
      <c r="J928" s="4" t="str">
        <f>HYPERLINK("http://141.218.60.56/~jnz1568/getInfo.php?workbook=16_15.xlsx&amp;sheet=A0&amp;row=928&amp;col=10&amp;number=3.0586e-07&amp;sourceID=54","3.0586e-07")</f>
        <v>3.0586e-07</v>
      </c>
      <c r="K928" s="4" t="str">
        <f>HYPERLINK("http://141.218.60.56/~jnz1568/getInfo.php?workbook=16_15.xlsx&amp;sheet=A0&amp;row=928&amp;col=11&amp;number=0.00030384&amp;sourceID=54","0.00030384")</f>
        <v>0.00030384</v>
      </c>
      <c r="L928" s="4" t="str">
        <f>HYPERLINK("http://141.218.60.56/~jnz1568/getInfo.php?workbook=16_15.xlsx&amp;sheet=A0&amp;row=928&amp;col=12&amp;number=&amp;sourceID=53","")</f>
        <v/>
      </c>
      <c r="M928" s="4" t="str">
        <f>HYPERLINK("http://141.218.60.56/~jnz1568/getInfo.php?workbook=16_15.xlsx&amp;sheet=A0&amp;row=928&amp;col=13&amp;number=&amp;sourceID=53","")</f>
        <v/>
      </c>
      <c r="N928" s="4" t="str">
        <f>HYPERLINK("http://141.218.60.56/~jnz1568/getInfo.php?workbook=16_15.xlsx&amp;sheet=A0&amp;row=928&amp;col=14&amp;number=&amp;sourceID=53","")</f>
        <v/>
      </c>
      <c r="O928" s="4" t="str">
        <f>HYPERLINK("http://141.218.60.56/~jnz1568/getInfo.php?workbook=16_15.xlsx&amp;sheet=A0&amp;row=928&amp;col=15&amp;number=&amp;sourceID=55","")</f>
        <v/>
      </c>
      <c r="P928" s="4" t="str">
        <f>HYPERLINK("http://141.218.60.56/~jnz1568/getInfo.php?workbook=16_15.xlsx&amp;sheet=A0&amp;row=928&amp;col=16&amp;number=&amp;sourceID=55","")</f>
        <v/>
      </c>
      <c r="Q928" s="4" t="str">
        <f>HYPERLINK("http://141.218.60.56/~jnz1568/getInfo.php?workbook=16_15.xlsx&amp;sheet=A0&amp;row=928&amp;col=17&amp;number=&amp;sourceID=56","")</f>
        <v/>
      </c>
      <c r="R928" s="4" t="str">
        <f>HYPERLINK("http://141.218.60.56/~jnz1568/getInfo.php?workbook=16_15.xlsx&amp;sheet=A0&amp;row=928&amp;col=18&amp;number=&amp;sourceID=56","")</f>
        <v/>
      </c>
      <c r="S928" s="4" t="str">
        <f>HYPERLINK("http://141.218.60.56/~jnz1568/getInfo.php?workbook=16_15.xlsx&amp;sheet=A0&amp;row=928&amp;col=19&amp;number=&amp;sourceID=57","")</f>
        <v/>
      </c>
      <c r="T928" s="4" t="str">
        <f>HYPERLINK("http://141.218.60.56/~jnz1568/getInfo.php?workbook=16_15.xlsx&amp;sheet=A0&amp;row=928&amp;col=20&amp;number=&amp;sourceID=57","")</f>
        <v/>
      </c>
      <c r="U928" s="4" t="str">
        <f>HYPERLINK("http://141.218.60.56/~jnz1568/getInfo.php?workbook=16_15.xlsx&amp;sheet=A0&amp;row=928&amp;col=21&amp;number=&amp;sourceID=47","")</f>
        <v/>
      </c>
      <c r="V928" s="4" t="str">
        <f>HYPERLINK("http://141.218.60.56/~jnz1568/getInfo.php?workbook=16_15.xlsx&amp;sheet=A0&amp;row=928&amp;col=22&amp;number=&amp;sourceID=47","")</f>
        <v/>
      </c>
    </row>
    <row r="929" spans="1:22">
      <c r="A929" s="3">
        <v>16</v>
      </c>
      <c r="B929" s="3">
        <v>15</v>
      </c>
      <c r="C929" s="3">
        <v>49</v>
      </c>
      <c r="D929" s="3">
        <v>36</v>
      </c>
      <c r="E929" s="3">
        <f>((1/(INDEX(E0!J$4:J$73,C929,1)-INDEX(E0!J$4:J$73,D929,1))))*100000000</f>
        <v>0</v>
      </c>
      <c r="F929" s="4" t="str">
        <f>HYPERLINK("http://141.218.60.56/~jnz1568/getInfo.php?workbook=16_15.xlsx&amp;sheet=A0&amp;row=929&amp;col=6&amp;number=&amp;sourceID=54","")</f>
        <v/>
      </c>
      <c r="G929" s="4" t="str">
        <f>HYPERLINK("http://141.218.60.56/~jnz1568/getInfo.php?workbook=16_15.xlsx&amp;sheet=A0&amp;row=929&amp;col=7&amp;number=6.1635e-07&amp;sourceID=54","6.1635e-07")</f>
        <v>6.1635e-07</v>
      </c>
      <c r="H929" s="4" t="str">
        <f>HYPERLINK("http://141.218.60.56/~jnz1568/getInfo.php?workbook=16_15.xlsx&amp;sheet=A0&amp;row=929&amp;col=8&amp;number=0.0052105&amp;sourceID=54","0.0052105")</f>
        <v>0.0052105</v>
      </c>
      <c r="I929" s="4" t="str">
        <f>HYPERLINK("http://141.218.60.56/~jnz1568/getInfo.php?workbook=16_15.xlsx&amp;sheet=A0&amp;row=929&amp;col=9&amp;number=&amp;sourceID=54","")</f>
        <v/>
      </c>
      <c r="J929" s="4" t="str">
        <f>HYPERLINK("http://141.218.60.56/~jnz1568/getInfo.php?workbook=16_15.xlsx&amp;sheet=A0&amp;row=929&amp;col=10&amp;number=1.0582e-06&amp;sourceID=54","1.0582e-06")</f>
        <v>1.0582e-06</v>
      </c>
      <c r="K929" s="4" t="str">
        <f>HYPERLINK("http://141.218.60.56/~jnz1568/getInfo.php?workbook=16_15.xlsx&amp;sheet=A0&amp;row=929&amp;col=11&amp;number=0.0051158&amp;sourceID=54","0.0051158")</f>
        <v>0.0051158</v>
      </c>
      <c r="L929" s="4" t="str">
        <f>HYPERLINK("http://141.218.60.56/~jnz1568/getInfo.php?workbook=16_15.xlsx&amp;sheet=A0&amp;row=929&amp;col=12&amp;number=&amp;sourceID=53","")</f>
        <v/>
      </c>
      <c r="M929" s="4" t="str">
        <f>HYPERLINK("http://141.218.60.56/~jnz1568/getInfo.php?workbook=16_15.xlsx&amp;sheet=A0&amp;row=929&amp;col=13&amp;number=&amp;sourceID=53","")</f>
        <v/>
      </c>
      <c r="N929" s="4" t="str">
        <f>HYPERLINK("http://141.218.60.56/~jnz1568/getInfo.php?workbook=16_15.xlsx&amp;sheet=A0&amp;row=929&amp;col=14&amp;number=&amp;sourceID=53","")</f>
        <v/>
      </c>
      <c r="O929" s="4" t="str">
        <f>HYPERLINK("http://141.218.60.56/~jnz1568/getInfo.php?workbook=16_15.xlsx&amp;sheet=A0&amp;row=929&amp;col=15&amp;number=&amp;sourceID=55","")</f>
        <v/>
      </c>
      <c r="P929" s="4" t="str">
        <f>HYPERLINK("http://141.218.60.56/~jnz1568/getInfo.php?workbook=16_15.xlsx&amp;sheet=A0&amp;row=929&amp;col=16&amp;number=&amp;sourceID=55","")</f>
        <v/>
      </c>
      <c r="Q929" s="4" t="str">
        <f>HYPERLINK("http://141.218.60.56/~jnz1568/getInfo.php?workbook=16_15.xlsx&amp;sheet=A0&amp;row=929&amp;col=17&amp;number=&amp;sourceID=56","")</f>
        <v/>
      </c>
      <c r="R929" s="4" t="str">
        <f>HYPERLINK("http://141.218.60.56/~jnz1568/getInfo.php?workbook=16_15.xlsx&amp;sheet=A0&amp;row=929&amp;col=18&amp;number=&amp;sourceID=56","")</f>
        <v/>
      </c>
      <c r="S929" s="4" t="str">
        <f>HYPERLINK("http://141.218.60.56/~jnz1568/getInfo.php?workbook=16_15.xlsx&amp;sheet=A0&amp;row=929&amp;col=19&amp;number=&amp;sourceID=57","")</f>
        <v/>
      </c>
      <c r="T929" s="4" t="str">
        <f>HYPERLINK("http://141.218.60.56/~jnz1568/getInfo.php?workbook=16_15.xlsx&amp;sheet=A0&amp;row=929&amp;col=20&amp;number=&amp;sourceID=57","")</f>
        <v/>
      </c>
      <c r="U929" s="4" t="str">
        <f>HYPERLINK("http://141.218.60.56/~jnz1568/getInfo.php?workbook=16_15.xlsx&amp;sheet=A0&amp;row=929&amp;col=21&amp;number=&amp;sourceID=47","")</f>
        <v/>
      </c>
      <c r="V929" s="4" t="str">
        <f>HYPERLINK("http://141.218.60.56/~jnz1568/getInfo.php?workbook=16_15.xlsx&amp;sheet=A0&amp;row=929&amp;col=22&amp;number=&amp;sourceID=47","")</f>
        <v/>
      </c>
    </row>
    <row r="930" spans="1:22">
      <c r="A930" s="3">
        <v>16</v>
      </c>
      <c r="B930" s="3">
        <v>15</v>
      </c>
      <c r="C930" s="3">
        <v>49</v>
      </c>
      <c r="D930" s="3">
        <v>37</v>
      </c>
      <c r="E930" s="3">
        <f>((1/(INDEX(E0!J$4:J$73,C930,1)-INDEX(E0!J$4:J$73,D930,1))))*100000000</f>
        <v>0</v>
      </c>
      <c r="F930" s="4" t="str">
        <f>HYPERLINK("http://141.218.60.56/~jnz1568/getInfo.php?workbook=16_15.xlsx&amp;sheet=A0&amp;row=930&amp;col=6&amp;number=&amp;sourceID=54","")</f>
        <v/>
      </c>
      <c r="G930" s="4" t="str">
        <f>HYPERLINK("http://141.218.60.56/~jnz1568/getInfo.php?workbook=16_15.xlsx&amp;sheet=A0&amp;row=930&amp;col=7&amp;number=3.7912e-06&amp;sourceID=54","3.7912e-06")</f>
        <v>3.7912e-06</v>
      </c>
      <c r="H930" s="4" t="str">
        <f>HYPERLINK("http://141.218.60.56/~jnz1568/getInfo.php?workbook=16_15.xlsx&amp;sheet=A0&amp;row=930&amp;col=8&amp;number=&amp;sourceID=54","")</f>
        <v/>
      </c>
      <c r="I930" s="4" t="str">
        <f>HYPERLINK("http://141.218.60.56/~jnz1568/getInfo.php?workbook=16_15.xlsx&amp;sheet=A0&amp;row=930&amp;col=9&amp;number=&amp;sourceID=54","")</f>
        <v/>
      </c>
      <c r="J930" s="4" t="str">
        <f>HYPERLINK("http://141.218.60.56/~jnz1568/getInfo.php?workbook=16_15.xlsx&amp;sheet=A0&amp;row=930&amp;col=10&amp;number=3.1285e-06&amp;sourceID=54","3.1285e-06")</f>
        <v>3.1285e-06</v>
      </c>
      <c r="K930" s="4" t="str">
        <f>HYPERLINK("http://141.218.60.56/~jnz1568/getInfo.php?workbook=16_15.xlsx&amp;sheet=A0&amp;row=930&amp;col=11&amp;number=&amp;sourceID=54","")</f>
        <v/>
      </c>
      <c r="L930" s="4" t="str">
        <f>HYPERLINK("http://141.218.60.56/~jnz1568/getInfo.php?workbook=16_15.xlsx&amp;sheet=A0&amp;row=930&amp;col=12&amp;number=&amp;sourceID=53","")</f>
        <v/>
      </c>
      <c r="M930" s="4" t="str">
        <f>HYPERLINK("http://141.218.60.56/~jnz1568/getInfo.php?workbook=16_15.xlsx&amp;sheet=A0&amp;row=930&amp;col=13&amp;number=&amp;sourceID=53","")</f>
        <v/>
      </c>
      <c r="N930" s="4" t="str">
        <f>HYPERLINK("http://141.218.60.56/~jnz1568/getInfo.php?workbook=16_15.xlsx&amp;sheet=A0&amp;row=930&amp;col=14&amp;number=&amp;sourceID=53","")</f>
        <v/>
      </c>
      <c r="O930" s="4" t="str">
        <f>HYPERLINK("http://141.218.60.56/~jnz1568/getInfo.php?workbook=16_15.xlsx&amp;sheet=A0&amp;row=930&amp;col=15&amp;number=&amp;sourceID=55","")</f>
        <v/>
      </c>
      <c r="P930" s="4" t="str">
        <f>HYPERLINK("http://141.218.60.56/~jnz1568/getInfo.php?workbook=16_15.xlsx&amp;sheet=A0&amp;row=930&amp;col=16&amp;number=&amp;sourceID=55","")</f>
        <v/>
      </c>
      <c r="Q930" s="4" t="str">
        <f>HYPERLINK("http://141.218.60.56/~jnz1568/getInfo.php?workbook=16_15.xlsx&amp;sheet=A0&amp;row=930&amp;col=17&amp;number=&amp;sourceID=56","")</f>
        <v/>
      </c>
      <c r="R930" s="4" t="str">
        <f>HYPERLINK("http://141.218.60.56/~jnz1568/getInfo.php?workbook=16_15.xlsx&amp;sheet=A0&amp;row=930&amp;col=18&amp;number=&amp;sourceID=56","")</f>
        <v/>
      </c>
      <c r="S930" s="4" t="str">
        <f>HYPERLINK("http://141.218.60.56/~jnz1568/getInfo.php?workbook=16_15.xlsx&amp;sheet=A0&amp;row=930&amp;col=19&amp;number=&amp;sourceID=57","")</f>
        <v/>
      </c>
      <c r="T930" s="4" t="str">
        <f>HYPERLINK("http://141.218.60.56/~jnz1568/getInfo.php?workbook=16_15.xlsx&amp;sheet=A0&amp;row=930&amp;col=20&amp;number=&amp;sourceID=57","")</f>
        <v/>
      </c>
      <c r="U930" s="4" t="str">
        <f>HYPERLINK("http://141.218.60.56/~jnz1568/getInfo.php?workbook=16_15.xlsx&amp;sheet=A0&amp;row=930&amp;col=21&amp;number=&amp;sourceID=47","")</f>
        <v/>
      </c>
      <c r="V930" s="4" t="str">
        <f>HYPERLINK("http://141.218.60.56/~jnz1568/getInfo.php?workbook=16_15.xlsx&amp;sheet=A0&amp;row=930&amp;col=22&amp;number=&amp;sourceID=47","")</f>
        <v/>
      </c>
    </row>
    <row r="931" spans="1:22">
      <c r="A931" s="3">
        <v>16</v>
      </c>
      <c r="B931" s="3">
        <v>15</v>
      </c>
      <c r="C931" s="3">
        <v>49</v>
      </c>
      <c r="D931" s="3">
        <v>38</v>
      </c>
      <c r="E931" s="3">
        <f>((1/(INDEX(E0!J$4:J$73,C931,1)-INDEX(E0!J$4:J$73,D931,1))))*100000000</f>
        <v>0</v>
      </c>
      <c r="F931" s="4" t="str">
        <f>HYPERLINK("http://141.218.60.56/~jnz1568/getInfo.php?workbook=16_15.xlsx&amp;sheet=A0&amp;row=931&amp;col=6&amp;number=&amp;sourceID=54","")</f>
        <v/>
      </c>
      <c r="G931" s="4" t="str">
        <f>HYPERLINK("http://141.218.60.56/~jnz1568/getInfo.php?workbook=16_15.xlsx&amp;sheet=A0&amp;row=931&amp;col=7&amp;number=1.8205e-07&amp;sourceID=54","1.8205e-07")</f>
        <v>1.8205e-07</v>
      </c>
      <c r="H931" s="4" t="str">
        <f>HYPERLINK("http://141.218.60.56/~jnz1568/getInfo.php?workbook=16_15.xlsx&amp;sheet=A0&amp;row=931&amp;col=8&amp;number=0.00017358&amp;sourceID=54","0.00017358")</f>
        <v>0.00017358</v>
      </c>
      <c r="I931" s="4" t="str">
        <f>HYPERLINK("http://141.218.60.56/~jnz1568/getInfo.php?workbook=16_15.xlsx&amp;sheet=A0&amp;row=931&amp;col=9&amp;number=&amp;sourceID=54","")</f>
        <v/>
      </c>
      <c r="J931" s="4" t="str">
        <f>HYPERLINK("http://141.218.60.56/~jnz1568/getInfo.php?workbook=16_15.xlsx&amp;sheet=A0&amp;row=931&amp;col=10&amp;number=1.3895e-07&amp;sourceID=54","1.3895e-07")</f>
        <v>1.3895e-07</v>
      </c>
      <c r="K931" s="4" t="str">
        <f>HYPERLINK("http://141.218.60.56/~jnz1568/getInfo.php?workbook=16_15.xlsx&amp;sheet=A0&amp;row=931&amp;col=11&amp;number=0.0001656&amp;sourceID=54","0.0001656")</f>
        <v>0.0001656</v>
      </c>
      <c r="L931" s="4" t="str">
        <f>HYPERLINK("http://141.218.60.56/~jnz1568/getInfo.php?workbook=16_15.xlsx&amp;sheet=A0&amp;row=931&amp;col=12&amp;number=&amp;sourceID=53","")</f>
        <v/>
      </c>
      <c r="M931" s="4" t="str">
        <f>HYPERLINK("http://141.218.60.56/~jnz1568/getInfo.php?workbook=16_15.xlsx&amp;sheet=A0&amp;row=931&amp;col=13&amp;number=&amp;sourceID=53","")</f>
        <v/>
      </c>
      <c r="N931" s="4" t="str">
        <f>HYPERLINK("http://141.218.60.56/~jnz1568/getInfo.php?workbook=16_15.xlsx&amp;sheet=A0&amp;row=931&amp;col=14&amp;number=&amp;sourceID=53","")</f>
        <v/>
      </c>
      <c r="O931" s="4" t="str">
        <f>HYPERLINK("http://141.218.60.56/~jnz1568/getInfo.php?workbook=16_15.xlsx&amp;sheet=A0&amp;row=931&amp;col=15&amp;number=&amp;sourceID=55","")</f>
        <v/>
      </c>
      <c r="P931" s="4" t="str">
        <f>HYPERLINK("http://141.218.60.56/~jnz1568/getInfo.php?workbook=16_15.xlsx&amp;sheet=A0&amp;row=931&amp;col=16&amp;number=&amp;sourceID=55","")</f>
        <v/>
      </c>
      <c r="Q931" s="4" t="str">
        <f>HYPERLINK("http://141.218.60.56/~jnz1568/getInfo.php?workbook=16_15.xlsx&amp;sheet=A0&amp;row=931&amp;col=17&amp;number=&amp;sourceID=56","")</f>
        <v/>
      </c>
      <c r="R931" s="4" t="str">
        <f>HYPERLINK("http://141.218.60.56/~jnz1568/getInfo.php?workbook=16_15.xlsx&amp;sheet=A0&amp;row=931&amp;col=18&amp;number=&amp;sourceID=56","")</f>
        <v/>
      </c>
      <c r="S931" s="4" t="str">
        <f>HYPERLINK("http://141.218.60.56/~jnz1568/getInfo.php?workbook=16_15.xlsx&amp;sheet=A0&amp;row=931&amp;col=19&amp;number=&amp;sourceID=57","")</f>
        <v/>
      </c>
      <c r="T931" s="4" t="str">
        <f>HYPERLINK("http://141.218.60.56/~jnz1568/getInfo.php?workbook=16_15.xlsx&amp;sheet=A0&amp;row=931&amp;col=20&amp;number=&amp;sourceID=57","")</f>
        <v/>
      </c>
      <c r="U931" s="4" t="str">
        <f>HYPERLINK("http://141.218.60.56/~jnz1568/getInfo.php?workbook=16_15.xlsx&amp;sheet=A0&amp;row=931&amp;col=21&amp;number=&amp;sourceID=47","")</f>
        <v/>
      </c>
      <c r="V931" s="4" t="str">
        <f>HYPERLINK("http://141.218.60.56/~jnz1568/getInfo.php?workbook=16_15.xlsx&amp;sheet=A0&amp;row=931&amp;col=22&amp;number=&amp;sourceID=47","")</f>
        <v/>
      </c>
    </row>
    <row r="932" spans="1:22">
      <c r="A932" s="3">
        <v>16</v>
      </c>
      <c r="B932" s="3">
        <v>15</v>
      </c>
      <c r="C932" s="3">
        <v>49</v>
      </c>
      <c r="D932" s="3">
        <v>39</v>
      </c>
      <c r="E932" s="3">
        <f>((1/(INDEX(E0!J$4:J$73,C932,1)-INDEX(E0!J$4:J$73,D932,1))))*100000000</f>
        <v>0</v>
      </c>
      <c r="F932" s="4" t="str">
        <f>HYPERLINK("http://141.218.60.56/~jnz1568/getInfo.php?workbook=16_15.xlsx&amp;sheet=A0&amp;row=932&amp;col=6&amp;number=&amp;sourceID=54","")</f>
        <v/>
      </c>
      <c r="G932" s="4" t="str">
        <f>HYPERLINK("http://141.218.60.56/~jnz1568/getInfo.php?workbook=16_15.xlsx&amp;sheet=A0&amp;row=932&amp;col=7&amp;number=6.9846e-05&amp;sourceID=54","6.9846e-05")</f>
        <v>6.9846e-05</v>
      </c>
      <c r="H932" s="4" t="str">
        <f>HYPERLINK("http://141.218.60.56/~jnz1568/getInfo.php?workbook=16_15.xlsx&amp;sheet=A0&amp;row=932&amp;col=8&amp;number=0.00047908&amp;sourceID=54","0.00047908")</f>
        <v>0.00047908</v>
      </c>
      <c r="I932" s="4" t="str">
        <f>HYPERLINK("http://141.218.60.56/~jnz1568/getInfo.php?workbook=16_15.xlsx&amp;sheet=A0&amp;row=932&amp;col=9&amp;number=&amp;sourceID=54","")</f>
        <v/>
      </c>
      <c r="J932" s="4" t="str">
        <f>HYPERLINK("http://141.218.60.56/~jnz1568/getInfo.php?workbook=16_15.xlsx&amp;sheet=A0&amp;row=932&amp;col=10&amp;number=7.1283e-05&amp;sourceID=54","7.1283e-05")</f>
        <v>7.1283e-05</v>
      </c>
      <c r="K932" s="4" t="str">
        <f>HYPERLINK("http://141.218.60.56/~jnz1568/getInfo.php?workbook=16_15.xlsx&amp;sheet=A0&amp;row=932&amp;col=11&amp;number=0.00044849&amp;sourceID=54","0.00044849")</f>
        <v>0.00044849</v>
      </c>
      <c r="L932" s="4" t="str">
        <f>HYPERLINK("http://141.218.60.56/~jnz1568/getInfo.php?workbook=16_15.xlsx&amp;sheet=A0&amp;row=932&amp;col=12&amp;number=&amp;sourceID=53","")</f>
        <v/>
      </c>
      <c r="M932" s="4" t="str">
        <f>HYPERLINK("http://141.218.60.56/~jnz1568/getInfo.php?workbook=16_15.xlsx&amp;sheet=A0&amp;row=932&amp;col=13&amp;number=&amp;sourceID=53","")</f>
        <v/>
      </c>
      <c r="N932" s="4" t="str">
        <f>HYPERLINK("http://141.218.60.56/~jnz1568/getInfo.php?workbook=16_15.xlsx&amp;sheet=A0&amp;row=932&amp;col=14&amp;number=&amp;sourceID=53","")</f>
        <v/>
      </c>
      <c r="O932" s="4" t="str">
        <f>HYPERLINK("http://141.218.60.56/~jnz1568/getInfo.php?workbook=16_15.xlsx&amp;sheet=A0&amp;row=932&amp;col=15&amp;number=&amp;sourceID=55","")</f>
        <v/>
      </c>
      <c r="P932" s="4" t="str">
        <f>HYPERLINK("http://141.218.60.56/~jnz1568/getInfo.php?workbook=16_15.xlsx&amp;sheet=A0&amp;row=932&amp;col=16&amp;number=&amp;sourceID=55","")</f>
        <v/>
      </c>
      <c r="Q932" s="4" t="str">
        <f>HYPERLINK("http://141.218.60.56/~jnz1568/getInfo.php?workbook=16_15.xlsx&amp;sheet=A0&amp;row=932&amp;col=17&amp;number=&amp;sourceID=56","")</f>
        <v/>
      </c>
      <c r="R932" s="4" t="str">
        <f>HYPERLINK("http://141.218.60.56/~jnz1568/getInfo.php?workbook=16_15.xlsx&amp;sheet=A0&amp;row=932&amp;col=18&amp;number=&amp;sourceID=56","")</f>
        <v/>
      </c>
      <c r="S932" s="4" t="str">
        <f>HYPERLINK("http://141.218.60.56/~jnz1568/getInfo.php?workbook=16_15.xlsx&amp;sheet=A0&amp;row=932&amp;col=19&amp;number=&amp;sourceID=57","")</f>
        <v/>
      </c>
      <c r="T932" s="4" t="str">
        <f>HYPERLINK("http://141.218.60.56/~jnz1568/getInfo.php?workbook=16_15.xlsx&amp;sheet=A0&amp;row=932&amp;col=20&amp;number=&amp;sourceID=57","")</f>
        <v/>
      </c>
      <c r="U932" s="4" t="str">
        <f>HYPERLINK("http://141.218.60.56/~jnz1568/getInfo.php?workbook=16_15.xlsx&amp;sheet=A0&amp;row=932&amp;col=21&amp;number=&amp;sourceID=47","")</f>
        <v/>
      </c>
      <c r="V932" s="4" t="str">
        <f>HYPERLINK("http://141.218.60.56/~jnz1568/getInfo.php?workbook=16_15.xlsx&amp;sheet=A0&amp;row=932&amp;col=22&amp;number=&amp;sourceID=47","")</f>
        <v/>
      </c>
    </row>
    <row r="933" spans="1:22">
      <c r="A933" s="3">
        <v>16</v>
      </c>
      <c r="B933" s="3">
        <v>15</v>
      </c>
      <c r="C933" s="3">
        <v>49</v>
      </c>
      <c r="D933" s="3">
        <v>40</v>
      </c>
      <c r="E933" s="3">
        <f>((1/(INDEX(E0!J$4:J$73,C933,1)-INDEX(E0!J$4:J$73,D933,1))))*100000000</f>
        <v>0</v>
      </c>
      <c r="F933" s="4" t="str">
        <f>HYPERLINK("http://141.218.60.56/~jnz1568/getInfo.php?workbook=16_15.xlsx&amp;sheet=A0&amp;row=933&amp;col=6&amp;number=&amp;sourceID=54","")</f>
        <v/>
      </c>
      <c r="G933" s="4" t="str">
        <f>HYPERLINK("http://141.218.60.56/~jnz1568/getInfo.php?workbook=16_15.xlsx&amp;sheet=A0&amp;row=933&amp;col=7&amp;number=0.00029724&amp;sourceID=54","0.00029724")</f>
        <v>0.00029724</v>
      </c>
      <c r="H933" s="4" t="str">
        <f>HYPERLINK("http://141.218.60.56/~jnz1568/getInfo.php?workbook=16_15.xlsx&amp;sheet=A0&amp;row=933&amp;col=8&amp;number=0.00091562&amp;sourceID=54","0.00091562")</f>
        <v>0.00091562</v>
      </c>
      <c r="I933" s="4" t="str">
        <f>HYPERLINK("http://141.218.60.56/~jnz1568/getInfo.php?workbook=16_15.xlsx&amp;sheet=A0&amp;row=933&amp;col=9&amp;number=&amp;sourceID=54","")</f>
        <v/>
      </c>
      <c r="J933" s="4" t="str">
        <f>HYPERLINK("http://141.218.60.56/~jnz1568/getInfo.php?workbook=16_15.xlsx&amp;sheet=A0&amp;row=933&amp;col=10&amp;number=0.0002936&amp;sourceID=54","0.0002936")</f>
        <v>0.0002936</v>
      </c>
      <c r="K933" s="4" t="str">
        <f>HYPERLINK("http://141.218.60.56/~jnz1568/getInfo.php?workbook=16_15.xlsx&amp;sheet=A0&amp;row=933&amp;col=11&amp;number=0.00087138&amp;sourceID=54","0.00087138")</f>
        <v>0.00087138</v>
      </c>
      <c r="L933" s="4" t="str">
        <f>HYPERLINK("http://141.218.60.56/~jnz1568/getInfo.php?workbook=16_15.xlsx&amp;sheet=A0&amp;row=933&amp;col=12&amp;number=&amp;sourceID=53","")</f>
        <v/>
      </c>
      <c r="M933" s="4" t="str">
        <f>HYPERLINK("http://141.218.60.56/~jnz1568/getInfo.php?workbook=16_15.xlsx&amp;sheet=A0&amp;row=933&amp;col=13&amp;number=&amp;sourceID=53","")</f>
        <v/>
      </c>
      <c r="N933" s="4" t="str">
        <f>HYPERLINK("http://141.218.60.56/~jnz1568/getInfo.php?workbook=16_15.xlsx&amp;sheet=A0&amp;row=933&amp;col=14&amp;number=&amp;sourceID=53","")</f>
        <v/>
      </c>
      <c r="O933" s="4" t="str">
        <f>HYPERLINK("http://141.218.60.56/~jnz1568/getInfo.php?workbook=16_15.xlsx&amp;sheet=A0&amp;row=933&amp;col=15&amp;number=&amp;sourceID=55","")</f>
        <v/>
      </c>
      <c r="P933" s="4" t="str">
        <f>HYPERLINK("http://141.218.60.56/~jnz1568/getInfo.php?workbook=16_15.xlsx&amp;sheet=A0&amp;row=933&amp;col=16&amp;number=&amp;sourceID=55","")</f>
        <v/>
      </c>
      <c r="Q933" s="4" t="str">
        <f>HYPERLINK("http://141.218.60.56/~jnz1568/getInfo.php?workbook=16_15.xlsx&amp;sheet=A0&amp;row=933&amp;col=17&amp;number=&amp;sourceID=56","")</f>
        <v/>
      </c>
      <c r="R933" s="4" t="str">
        <f>HYPERLINK("http://141.218.60.56/~jnz1568/getInfo.php?workbook=16_15.xlsx&amp;sheet=A0&amp;row=933&amp;col=18&amp;number=&amp;sourceID=56","")</f>
        <v/>
      </c>
      <c r="S933" s="4" t="str">
        <f>HYPERLINK("http://141.218.60.56/~jnz1568/getInfo.php?workbook=16_15.xlsx&amp;sheet=A0&amp;row=933&amp;col=19&amp;number=&amp;sourceID=57","")</f>
        <v/>
      </c>
      <c r="T933" s="4" t="str">
        <f>HYPERLINK("http://141.218.60.56/~jnz1568/getInfo.php?workbook=16_15.xlsx&amp;sheet=A0&amp;row=933&amp;col=20&amp;number=&amp;sourceID=57","")</f>
        <v/>
      </c>
      <c r="U933" s="4" t="str">
        <f>HYPERLINK("http://141.218.60.56/~jnz1568/getInfo.php?workbook=16_15.xlsx&amp;sheet=A0&amp;row=933&amp;col=21&amp;number=&amp;sourceID=47","")</f>
        <v/>
      </c>
      <c r="V933" s="4" t="str">
        <f>HYPERLINK("http://141.218.60.56/~jnz1568/getInfo.php?workbook=16_15.xlsx&amp;sheet=A0&amp;row=933&amp;col=22&amp;number=&amp;sourceID=47","")</f>
        <v/>
      </c>
    </row>
    <row r="934" spans="1:22">
      <c r="A934" s="3">
        <v>16</v>
      </c>
      <c r="B934" s="3">
        <v>15</v>
      </c>
      <c r="C934" s="3">
        <v>49</v>
      </c>
      <c r="D934" s="3">
        <v>41</v>
      </c>
      <c r="E934" s="3">
        <f>((1/(INDEX(E0!J$4:J$73,C934,1)-INDEX(E0!J$4:J$73,D934,1))))*100000000</f>
        <v>0</v>
      </c>
      <c r="F934" s="4" t="str">
        <f>HYPERLINK("http://141.218.60.56/~jnz1568/getInfo.php?workbook=16_15.xlsx&amp;sheet=A0&amp;row=934&amp;col=6&amp;number=10.57&amp;sourceID=54","10.57")</f>
        <v>10.57</v>
      </c>
      <c r="G934" s="4" t="str">
        <f>HYPERLINK("http://141.218.60.56/~jnz1568/getInfo.php?workbook=16_15.xlsx&amp;sheet=A0&amp;row=934&amp;col=7&amp;number=&amp;sourceID=54","")</f>
        <v/>
      </c>
      <c r="H934" s="4" t="str">
        <f>HYPERLINK("http://141.218.60.56/~jnz1568/getInfo.php?workbook=16_15.xlsx&amp;sheet=A0&amp;row=934&amp;col=8&amp;number=&amp;sourceID=54","")</f>
        <v/>
      </c>
      <c r="I934" s="4" t="str">
        <f>HYPERLINK("http://141.218.60.56/~jnz1568/getInfo.php?workbook=16_15.xlsx&amp;sheet=A0&amp;row=934&amp;col=9&amp;number=35.202&amp;sourceID=54","35.202")</f>
        <v>35.202</v>
      </c>
      <c r="J934" s="4" t="str">
        <f>HYPERLINK("http://141.218.60.56/~jnz1568/getInfo.php?workbook=16_15.xlsx&amp;sheet=A0&amp;row=934&amp;col=10&amp;number=&amp;sourceID=54","")</f>
        <v/>
      </c>
      <c r="K934" s="4" t="str">
        <f>HYPERLINK("http://141.218.60.56/~jnz1568/getInfo.php?workbook=16_15.xlsx&amp;sheet=A0&amp;row=934&amp;col=11&amp;number=&amp;sourceID=54","")</f>
        <v/>
      </c>
      <c r="L934" s="4" t="str">
        <f>HYPERLINK("http://141.218.60.56/~jnz1568/getInfo.php?workbook=16_15.xlsx&amp;sheet=A0&amp;row=934&amp;col=12&amp;number=19.5231858767&amp;sourceID=53","19.5231858767")</f>
        <v>19.5231858767</v>
      </c>
      <c r="M934" s="4" t="str">
        <f>HYPERLINK("http://141.218.60.56/~jnz1568/getInfo.php?workbook=16_15.xlsx&amp;sheet=A0&amp;row=934&amp;col=13&amp;number=&amp;sourceID=53","")</f>
        <v/>
      </c>
      <c r="N934" s="4" t="str">
        <f>HYPERLINK("http://141.218.60.56/~jnz1568/getInfo.php?workbook=16_15.xlsx&amp;sheet=A0&amp;row=934&amp;col=14&amp;number=&amp;sourceID=53","")</f>
        <v/>
      </c>
      <c r="O934" s="4" t="str">
        <f>HYPERLINK("http://141.218.60.56/~jnz1568/getInfo.php?workbook=16_15.xlsx&amp;sheet=A0&amp;row=934&amp;col=15&amp;number=&amp;sourceID=55","")</f>
        <v/>
      </c>
      <c r="P934" s="4" t="str">
        <f>HYPERLINK("http://141.218.60.56/~jnz1568/getInfo.php?workbook=16_15.xlsx&amp;sheet=A0&amp;row=934&amp;col=16&amp;number=&amp;sourceID=55","")</f>
        <v/>
      </c>
      <c r="Q934" s="4" t="str">
        <f>HYPERLINK("http://141.218.60.56/~jnz1568/getInfo.php?workbook=16_15.xlsx&amp;sheet=A0&amp;row=934&amp;col=17&amp;number=&amp;sourceID=56","")</f>
        <v/>
      </c>
      <c r="R934" s="4" t="str">
        <f>HYPERLINK("http://141.218.60.56/~jnz1568/getInfo.php?workbook=16_15.xlsx&amp;sheet=A0&amp;row=934&amp;col=18&amp;number=&amp;sourceID=56","")</f>
        <v/>
      </c>
      <c r="S934" s="4" t="str">
        <f>HYPERLINK("http://141.218.60.56/~jnz1568/getInfo.php?workbook=16_15.xlsx&amp;sheet=A0&amp;row=934&amp;col=19&amp;number=&amp;sourceID=57","")</f>
        <v/>
      </c>
      <c r="T934" s="4" t="str">
        <f>HYPERLINK("http://141.218.60.56/~jnz1568/getInfo.php?workbook=16_15.xlsx&amp;sheet=A0&amp;row=934&amp;col=20&amp;number=&amp;sourceID=57","")</f>
        <v/>
      </c>
      <c r="U934" s="4" t="str">
        <f>HYPERLINK("http://141.218.60.56/~jnz1568/getInfo.php?workbook=16_15.xlsx&amp;sheet=A0&amp;row=934&amp;col=21&amp;number=&amp;sourceID=47","")</f>
        <v/>
      </c>
      <c r="V934" s="4" t="str">
        <f>HYPERLINK("http://141.218.60.56/~jnz1568/getInfo.php?workbook=16_15.xlsx&amp;sheet=A0&amp;row=934&amp;col=22&amp;number=&amp;sourceID=47","")</f>
        <v/>
      </c>
    </row>
    <row r="935" spans="1:22">
      <c r="A935" s="3">
        <v>16</v>
      </c>
      <c r="B935" s="3">
        <v>15</v>
      </c>
      <c r="C935" s="3">
        <v>49</v>
      </c>
      <c r="D935" s="3">
        <v>42</v>
      </c>
      <c r="E935" s="3">
        <f>((1/(INDEX(E0!J$4:J$73,C935,1)-INDEX(E0!J$4:J$73,D935,1))))*100000000</f>
        <v>0</v>
      </c>
      <c r="F935" s="4" t="str">
        <f>HYPERLINK("http://141.218.60.56/~jnz1568/getInfo.php?workbook=16_15.xlsx&amp;sheet=A0&amp;row=935&amp;col=6&amp;number=&amp;sourceID=54","")</f>
        <v/>
      </c>
      <c r="G935" s="4" t="str">
        <f>HYPERLINK("http://141.218.60.56/~jnz1568/getInfo.php?workbook=16_15.xlsx&amp;sheet=A0&amp;row=935&amp;col=7&amp;number=0.0017923&amp;sourceID=54","0.0017923")</f>
        <v>0.0017923</v>
      </c>
      <c r="H935" s="4" t="str">
        <f>HYPERLINK("http://141.218.60.56/~jnz1568/getInfo.php?workbook=16_15.xlsx&amp;sheet=A0&amp;row=935&amp;col=8&amp;number=0.00034682&amp;sourceID=54","0.00034682")</f>
        <v>0.00034682</v>
      </c>
      <c r="I935" s="4" t="str">
        <f>HYPERLINK("http://141.218.60.56/~jnz1568/getInfo.php?workbook=16_15.xlsx&amp;sheet=A0&amp;row=935&amp;col=9&amp;number=&amp;sourceID=54","")</f>
        <v/>
      </c>
      <c r="J935" s="4" t="str">
        <f>HYPERLINK("http://141.218.60.56/~jnz1568/getInfo.php?workbook=16_15.xlsx&amp;sheet=A0&amp;row=935&amp;col=10&amp;number=0.0016482&amp;sourceID=54","0.0016482")</f>
        <v>0.0016482</v>
      </c>
      <c r="K935" s="4" t="str">
        <f>HYPERLINK("http://141.218.60.56/~jnz1568/getInfo.php?workbook=16_15.xlsx&amp;sheet=A0&amp;row=935&amp;col=11&amp;number=0.00033457&amp;sourceID=54","0.00033457")</f>
        <v>0.00033457</v>
      </c>
      <c r="L935" s="4" t="str">
        <f>HYPERLINK("http://141.218.60.56/~jnz1568/getInfo.php?workbook=16_15.xlsx&amp;sheet=A0&amp;row=935&amp;col=12&amp;number=&amp;sourceID=53","")</f>
        <v/>
      </c>
      <c r="M935" s="4" t="str">
        <f>HYPERLINK("http://141.218.60.56/~jnz1568/getInfo.php?workbook=16_15.xlsx&amp;sheet=A0&amp;row=935&amp;col=13&amp;number=&amp;sourceID=53","")</f>
        <v/>
      </c>
      <c r="N935" s="4" t="str">
        <f>HYPERLINK("http://141.218.60.56/~jnz1568/getInfo.php?workbook=16_15.xlsx&amp;sheet=A0&amp;row=935&amp;col=14&amp;number=&amp;sourceID=53","")</f>
        <v/>
      </c>
      <c r="O935" s="4" t="str">
        <f>HYPERLINK("http://141.218.60.56/~jnz1568/getInfo.php?workbook=16_15.xlsx&amp;sheet=A0&amp;row=935&amp;col=15&amp;number=&amp;sourceID=55","")</f>
        <v/>
      </c>
      <c r="P935" s="4" t="str">
        <f>HYPERLINK("http://141.218.60.56/~jnz1568/getInfo.php?workbook=16_15.xlsx&amp;sheet=A0&amp;row=935&amp;col=16&amp;number=&amp;sourceID=55","")</f>
        <v/>
      </c>
      <c r="Q935" s="4" t="str">
        <f>HYPERLINK("http://141.218.60.56/~jnz1568/getInfo.php?workbook=16_15.xlsx&amp;sheet=A0&amp;row=935&amp;col=17&amp;number=&amp;sourceID=56","")</f>
        <v/>
      </c>
      <c r="R935" s="4" t="str">
        <f>HYPERLINK("http://141.218.60.56/~jnz1568/getInfo.php?workbook=16_15.xlsx&amp;sheet=A0&amp;row=935&amp;col=18&amp;number=&amp;sourceID=56","")</f>
        <v/>
      </c>
      <c r="S935" s="4" t="str">
        <f>HYPERLINK("http://141.218.60.56/~jnz1568/getInfo.php?workbook=16_15.xlsx&amp;sheet=A0&amp;row=935&amp;col=19&amp;number=&amp;sourceID=57","")</f>
        <v/>
      </c>
      <c r="T935" s="4" t="str">
        <f>HYPERLINK("http://141.218.60.56/~jnz1568/getInfo.php?workbook=16_15.xlsx&amp;sheet=A0&amp;row=935&amp;col=20&amp;number=&amp;sourceID=57","")</f>
        <v/>
      </c>
      <c r="U935" s="4" t="str">
        <f>HYPERLINK("http://141.218.60.56/~jnz1568/getInfo.php?workbook=16_15.xlsx&amp;sheet=A0&amp;row=935&amp;col=21&amp;number=&amp;sourceID=47","")</f>
        <v/>
      </c>
      <c r="V935" s="4" t="str">
        <f>HYPERLINK("http://141.218.60.56/~jnz1568/getInfo.php?workbook=16_15.xlsx&amp;sheet=A0&amp;row=935&amp;col=22&amp;number=&amp;sourceID=47","")</f>
        <v/>
      </c>
    </row>
    <row r="936" spans="1:22">
      <c r="A936" s="3">
        <v>16</v>
      </c>
      <c r="B936" s="3">
        <v>15</v>
      </c>
      <c r="C936" s="3">
        <v>49</v>
      </c>
      <c r="D936" s="3">
        <v>43</v>
      </c>
      <c r="E936" s="3">
        <f>((1/(INDEX(E0!J$4:J$73,C936,1)-INDEX(E0!J$4:J$73,D936,1))))*100000000</f>
        <v>0</v>
      </c>
      <c r="F936" s="4" t="str">
        <f>HYPERLINK("http://141.218.60.56/~jnz1568/getInfo.php?workbook=16_15.xlsx&amp;sheet=A0&amp;row=936&amp;col=6&amp;number=0.002451&amp;sourceID=54","0.002451")</f>
        <v>0.002451</v>
      </c>
      <c r="G936" s="4" t="str">
        <f>HYPERLINK("http://141.218.60.56/~jnz1568/getInfo.php?workbook=16_15.xlsx&amp;sheet=A0&amp;row=936&amp;col=7&amp;number=&amp;sourceID=54","")</f>
        <v/>
      </c>
      <c r="H936" s="4" t="str">
        <f>HYPERLINK("http://141.218.60.56/~jnz1568/getInfo.php?workbook=16_15.xlsx&amp;sheet=A0&amp;row=936&amp;col=8&amp;number=&amp;sourceID=54","")</f>
        <v/>
      </c>
      <c r="I936" s="4" t="str">
        <f>HYPERLINK("http://141.218.60.56/~jnz1568/getInfo.php?workbook=16_15.xlsx&amp;sheet=A0&amp;row=936&amp;col=9&amp;number=0.024496&amp;sourceID=54","0.024496")</f>
        <v>0.024496</v>
      </c>
      <c r="J936" s="4" t="str">
        <f>HYPERLINK("http://141.218.60.56/~jnz1568/getInfo.php?workbook=16_15.xlsx&amp;sheet=A0&amp;row=936&amp;col=10&amp;number=&amp;sourceID=54","")</f>
        <v/>
      </c>
      <c r="K936" s="4" t="str">
        <f>HYPERLINK("http://141.218.60.56/~jnz1568/getInfo.php?workbook=16_15.xlsx&amp;sheet=A0&amp;row=936&amp;col=11&amp;number=&amp;sourceID=54","")</f>
        <v/>
      </c>
      <c r="L936" s="4" t="str">
        <f>HYPERLINK("http://141.218.60.56/~jnz1568/getInfo.php?workbook=16_15.xlsx&amp;sheet=A0&amp;row=936&amp;col=12&amp;number=7.63890013677&amp;sourceID=53","7.63890013677")</f>
        <v>7.63890013677</v>
      </c>
      <c r="M936" s="4" t="str">
        <f>HYPERLINK("http://141.218.60.56/~jnz1568/getInfo.php?workbook=16_15.xlsx&amp;sheet=A0&amp;row=936&amp;col=13&amp;number=&amp;sourceID=53","")</f>
        <v/>
      </c>
      <c r="N936" s="4" t="str">
        <f>HYPERLINK("http://141.218.60.56/~jnz1568/getInfo.php?workbook=16_15.xlsx&amp;sheet=A0&amp;row=936&amp;col=14&amp;number=&amp;sourceID=53","")</f>
        <v/>
      </c>
      <c r="O936" s="4" t="str">
        <f>HYPERLINK("http://141.218.60.56/~jnz1568/getInfo.php?workbook=16_15.xlsx&amp;sheet=A0&amp;row=936&amp;col=15&amp;number=&amp;sourceID=55","")</f>
        <v/>
      </c>
      <c r="P936" s="4" t="str">
        <f>HYPERLINK("http://141.218.60.56/~jnz1568/getInfo.php?workbook=16_15.xlsx&amp;sheet=A0&amp;row=936&amp;col=16&amp;number=&amp;sourceID=55","")</f>
        <v/>
      </c>
      <c r="Q936" s="4" t="str">
        <f>HYPERLINK("http://141.218.60.56/~jnz1568/getInfo.php?workbook=16_15.xlsx&amp;sheet=A0&amp;row=936&amp;col=17&amp;number=&amp;sourceID=56","")</f>
        <v/>
      </c>
      <c r="R936" s="4" t="str">
        <f>HYPERLINK("http://141.218.60.56/~jnz1568/getInfo.php?workbook=16_15.xlsx&amp;sheet=A0&amp;row=936&amp;col=18&amp;number=&amp;sourceID=56","")</f>
        <v/>
      </c>
      <c r="S936" s="4" t="str">
        <f>HYPERLINK("http://141.218.60.56/~jnz1568/getInfo.php?workbook=16_15.xlsx&amp;sheet=A0&amp;row=936&amp;col=19&amp;number=&amp;sourceID=57","")</f>
        <v/>
      </c>
      <c r="T936" s="4" t="str">
        <f>HYPERLINK("http://141.218.60.56/~jnz1568/getInfo.php?workbook=16_15.xlsx&amp;sheet=A0&amp;row=936&amp;col=20&amp;number=&amp;sourceID=57","")</f>
        <v/>
      </c>
      <c r="U936" s="4" t="str">
        <f>HYPERLINK("http://141.218.60.56/~jnz1568/getInfo.php?workbook=16_15.xlsx&amp;sheet=A0&amp;row=936&amp;col=21&amp;number=&amp;sourceID=47","")</f>
        <v/>
      </c>
      <c r="V936" s="4" t="str">
        <f>HYPERLINK("http://141.218.60.56/~jnz1568/getInfo.php?workbook=16_15.xlsx&amp;sheet=A0&amp;row=936&amp;col=22&amp;number=&amp;sourceID=47","")</f>
        <v/>
      </c>
    </row>
    <row r="937" spans="1:22">
      <c r="A937" s="3">
        <v>16</v>
      </c>
      <c r="B937" s="3">
        <v>15</v>
      </c>
      <c r="C937" s="3">
        <v>49</v>
      </c>
      <c r="D937" s="3">
        <v>44</v>
      </c>
      <c r="E937" s="3">
        <f>((1/(INDEX(E0!J$4:J$73,C937,1)-INDEX(E0!J$4:J$73,D937,1))))*100000000</f>
        <v>0</v>
      </c>
      <c r="F937" s="4" t="str">
        <f>HYPERLINK("http://141.218.60.56/~jnz1568/getInfo.php?workbook=16_15.xlsx&amp;sheet=A0&amp;row=937&amp;col=6&amp;number=0.66092&amp;sourceID=54","0.66092")</f>
        <v>0.66092</v>
      </c>
      <c r="G937" s="4" t="str">
        <f>HYPERLINK("http://141.218.60.56/~jnz1568/getInfo.php?workbook=16_15.xlsx&amp;sheet=A0&amp;row=937&amp;col=7&amp;number=&amp;sourceID=54","")</f>
        <v/>
      </c>
      <c r="H937" s="4" t="str">
        <f>HYPERLINK("http://141.218.60.56/~jnz1568/getInfo.php?workbook=16_15.xlsx&amp;sheet=A0&amp;row=937&amp;col=8&amp;number=&amp;sourceID=54","")</f>
        <v/>
      </c>
      <c r="I937" s="4" t="str">
        <f>HYPERLINK("http://141.218.60.56/~jnz1568/getInfo.php?workbook=16_15.xlsx&amp;sheet=A0&amp;row=937&amp;col=9&amp;number=2.1135&amp;sourceID=54","2.1135")</f>
        <v>2.1135</v>
      </c>
      <c r="J937" s="4" t="str">
        <f>HYPERLINK("http://141.218.60.56/~jnz1568/getInfo.php?workbook=16_15.xlsx&amp;sheet=A0&amp;row=937&amp;col=10&amp;number=&amp;sourceID=54","")</f>
        <v/>
      </c>
      <c r="K937" s="4" t="str">
        <f>HYPERLINK("http://141.218.60.56/~jnz1568/getInfo.php?workbook=16_15.xlsx&amp;sheet=A0&amp;row=937&amp;col=11&amp;number=&amp;sourceID=54","")</f>
        <v/>
      </c>
      <c r="L937" s="4" t="str">
        <f>HYPERLINK("http://141.218.60.56/~jnz1568/getInfo.php?workbook=16_15.xlsx&amp;sheet=A0&amp;row=937&amp;col=12&amp;number=10.3673397778&amp;sourceID=53","10.3673397778")</f>
        <v>10.3673397778</v>
      </c>
      <c r="M937" s="4" t="str">
        <f>HYPERLINK("http://141.218.60.56/~jnz1568/getInfo.php?workbook=16_15.xlsx&amp;sheet=A0&amp;row=937&amp;col=13&amp;number=&amp;sourceID=53","")</f>
        <v/>
      </c>
      <c r="N937" s="4" t="str">
        <f>HYPERLINK("http://141.218.60.56/~jnz1568/getInfo.php?workbook=16_15.xlsx&amp;sheet=A0&amp;row=937&amp;col=14&amp;number=&amp;sourceID=53","")</f>
        <v/>
      </c>
      <c r="O937" s="4" t="str">
        <f>HYPERLINK("http://141.218.60.56/~jnz1568/getInfo.php?workbook=16_15.xlsx&amp;sheet=A0&amp;row=937&amp;col=15&amp;number=&amp;sourceID=55","")</f>
        <v/>
      </c>
      <c r="P937" s="4" t="str">
        <f>HYPERLINK("http://141.218.60.56/~jnz1568/getInfo.php?workbook=16_15.xlsx&amp;sheet=A0&amp;row=937&amp;col=16&amp;number=&amp;sourceID=55","")</f>
        <v/>
      </c>
      <c r="Q937" s="4" t="str">
        <f>HYPERLINK("http://141.218.60.56/~jnz1568/getInfo.php?workbook=16_15.xlsx&amp;sheet=A0&amp;row=937&amp;col=17&amp;number=&amp;sourceID=56","")</f>
        <v/>
      </c>
      <c r="R937" s="4" t="str">
        <f>HYPERLINK("http://141.218.60.56/~jnz1568/getInfo.php?workbook=16_15.xlsx&amp;sheet=A0&amp;row=937&amp;col=18&amp;number=&amp;sourceID=56","")</f>
        <v/>
      </c>
      <c r="S937" s="4" t="str">
        <f>HYPERLINK("http://141.218.60.56/~jnz1568/getInfo.php?workbook=16_15.xlsx&amp;sheet=A0&amp;row=937&amp;col=19&amp;number=&amp;sourceID=57","")</f>
        <v/>
      </c>
      <c r="T937" s="4" t="str">
        <f>HYPERLINK("http://141.218.60.56/~jnz1568/getInfo.php?workbook=16_15.xlsx&amp;sheet=A0&amp;row=937&amp;col=20&amp;number=&amp;sourceID=57","")</f>
        <v/>
      </c>
      <c r="U937" s="4" t="str">
        <f>HYPERLINK("http://141.218.60.56/~jnz1568/getInfo.php?workbook=16_15.xlsx&amp;sheet=A0&amp;row=937&amp;col=21&amp;number=&amp;sourceID=47","")</f>
        <v/>
      </c>
      <c r="V937" s="4" t="str">
        <f>HYPERLINK("http://141.218.60.56/~jnz1568/getInfo.php?workbook=16_15.xlsx&amp;sheet=A0&amp;row=937&amp;col=22&amp;number=&amp;sourceID=47","")</f>
        <v/>
      </c>
    </row>
    <row r="938" spans="1:22">
      <c r="A938" s="3">
        <v>16</v>
      </c>
      <c r="B938" s="3">
        <v>15</v>
      </c>
      <c r="C938" s="3">
        <v>49</v>
      </c>
      <c r="D938" s="3">
        <v>45</v>
      </c>
      <c r="E938" s="3">
        <f>((1/(INDEX(E0!J$4:J$73,C938,1)-INDEX(E0!J$4:J$73,D938,1))))*100000000</f>
        <v>0</v>
      </c>
      <c r="F938" s="4" t="str">
        <f>HYPERLINK("http://141.218.60.56/~jnz1568/getInfo.php?workbook=16_15.xlsx&amp;sheet=A0&amp;row=938&amp;col=6&amp;number=&amp;sourceID=54","")</f>
        <v/>
      </c>
      <c r="G938" s="4" t="str">
        <f>HYPERLINK("http://141.218.60.56/~jnz1568/getInfo.php?workbook=16_15.xlsx&amp;sheet=A0&amp;row=938&amp;col=7&amp;number=8.9883e-06&amp;sourceID=54","8.9883e-06")</f>
        <v>8.9883e-06</v>
      </c>
      <c r="H938" s="4" t="str">
        <f>HYPERLINK("http://141.218.60.56/~jnz1568/getInfo.php?workbook=16_15.xlsx&amp;sheet=A0&amp;row=938&amp;col=8&amp;number=7.8359e-05&amp;sourceID=54","7.8359e-05")</f>
        <v>7.8359e-05</v>
      </c>
      <c r="I938" s="4" t="str">
        <f>HYPERLINK("http://141.218.60.56/~jnz1568/getInfo.php?workbook=16_15.xlsx&amp;sheet=A0&amp;row=938&amp;col=9&amp;number=&amp;sourceID=54","")</f>
        <v/>
      </c>
      <c r="J938" s="4" t="str">
        <f>HYPERLINK("http://141.218.60.56/~jnz1568/getInfo.php?workbook=16_15.xlsx&amp;sheet=A0&amp;row=938&amp;col=10&amp;number=1.7498e-06&amp;sourceID=54","1.7498e-06")</f>
        <v>1.7498e-06</v>
      </c>
      <c r="K938" s="4" t="str">
        <f>HYPERLINK("http://141.218.60.56/~jnz1568/getInfo.php?workbook=16_15.xlsx&amp;sheet=A0&amp;row=938&amp;col=11&amp;number=8.6931e-05&amp;sourceID=54","8.6931e-05")</f>
        <v>8.6931e-05</v>
      </c>
      <c r="L938" s="4" t="str">
        <f>HYPERLINK("http://141.218.60.56/~jnz1568/getInfo.php?workbook=16_15.xlsx&amp;sheet=A0&amp;row=938&amp;col=12&amp;number=&amp;sourceID=53","")</f>
        <v/>
      </c>
      <c r="M938" s="4" t="str">
        <f>HYPERLINK("http://141.218.60.56/~jnz1568/getInfo.php?workbook=16_15.xlsx&amp;sheet=A0&amp;row=938&amp;col=13&amp;number=&amp;sourceID=53","")</f>
        <v/>
      </c>
      <c r="N938" s="4" t="str">
        <f>HYPERLINK("http://141.218.60.56/~jnz1568/getInfo.php?workbook=16_15.xlsx&amp;sheet=A0&amp;row=938&amp;col=14&amp;number=&amp;sourceID=53","")</f>
        <v/>
      </c>
      <c r="O938" s="4" t="str">
        <f>HYPERLINK("http://141.218.60.56/~jnz1568/getInfo.php?workbook=16_15.xlsx&amp;sheet=A0&amp;row=938&amp;col=15&amp;number=&amp;sourceID=55","")</f>
        <v/>
      </c>
      <c r="P938" s="4" t="str">
        <f>HYPERLINK("http://141.218.60.56/~jnz1568/getInfo.php?workbook=16_15.xlsx&amp;sheet=A0&amp;row=938&amp;col=16&amp;number=&amp;sourceID=55","")</f>
        <v/>
      </c>
      <c r="Q938" s="4" t="str">
        <f>HYPERLINK("http://141.218.60.56/~jnz1568/getInfo.php?workbook=16_15.xlsx&amp;sheet=A0&amp;row=938&amp;col=17&amp;number=&amp;sourceID=56","")</f>
        <v/>
      </c>
      <c r="R938" s="4" t="str">
        <f>HYPERLINK("http://141.218.60.56/~jnz1568/getInfo.php?workbook=16_15.xlsx&amp;sheet=A0&amp;row=938&amp;col=18&amp;number=&amp;sourceID=56","")</f>
        <v/>
      </c>
      <c r="S938" s="4" t="str">
        <f>HYPERLINK("http://141.218.60.56/~jnz1568/getInfo.php?workbook=16_15.xlsx&amp;sheet=A0&amp;row=938&amp;col=19&amp;number=&amp;sourceID=57","")</f>
        <v/>
      </c>
      <c r="T938" s="4" t="str">
        <f>HYPERLINK("http://141.218.60.56/~jnz1568/getInfo.php?workbook=16_15.xlsx&amp;sheet=A0&amp;row=938&amp;col=20&amp;number=&amp;sourceID=57","")</f>
        <v/>
      </c>
      <c r="U938" s="4" t="str">
        <f>HYPERLINK("http://141.218.60.56/~jnz1568/getInfo.php?workbook=16_15.xlsx&amp;sheet=A0&amp;row=938&amp;col=21&amp;number=&amp;sourceID=47","")</f>
        <v/>
      </c>
      <c r="V938" s="4" t="str">
        <f>HYPERLINK("http://141.218.60.56/~jnz1568/getInfo.php?workbook=16_15.xlsx&amp;sheet=A0&amp;row=938&amp;col=22&amp;number=&amp;sourceID=47","")</f>
        <v/>
      </c>
    </row>
    <row r="939" spans="1:22">
      <c r="A939" s="3">
        <v>16</v>
      </c>
      <c r="B939" s="3">
        <v>15</v>
      </c>
      <c r="C939" s="3">
        <v>49</v>
      </c>
      <c r="D939" s="3">
        <v>46</v>
      </c>
      <c r="E939" s="3">
        <f>((1/(INDEX(E0!J$4:J$73,C939,1)-INDEX(E0!J$4:J$73,D939,1))))*100000000</f>
        <v>0</v>
      </c>
      <c r="F939" s="4" t="str">
        <f>HYPERLINK("http://141.218.60.56/~jnz1568/getInfo.php?workbook=16_15.xlsx&amp;sheet=A0&amp;row=939&amp;col=6&amp;number=&amp;sourceID=54","")</f>
        <v/>
      </c>
      <c r="G939" s="4" t="str">
        <f>HYPERLINK("http://141.218.60.56/~jnz1568/getInfo.php?workbook=16_15.xlsx&amp;sheet=A0&amp;row=939&amp;col=7&amp;number=0.0016291&amp;sourceID=54","0.0016291")</f>
        <v>0.0016291</v>
      </c>
      <c r="H939" s="4" t="str">
        <f>HYPERLINK("http://141.218.60.56/~jnz1568/getInfo.php?workbook=16_15.xlsx&amp;sheet=A0&amp;row=939&amp;col=8&amp;number=4.4725e-05&amp;sourceID=54","4.4725e-05")</f>
        <v>4.4725e-05</v>
      </c>
      <c r="I939" s="4" t="str">
        <f>HYPERLINK("http://141.218.60.56/~jnz1568/getInfo.php?workbook=16_15.xlsx&amp;sheet=A0&amp;row=939&amp;col=9&amp;number=&amp;sourceID=54","")</f>
        <v/>
      </c>
      <c r="J939" s="4" t="str">
        <f>HYPERLINK("http://141.218.60.56/~jnz1568/getInfo.php?workbook=16_15.xlsx&amp;sheet=A0&amp;row=939&amp;col=10&amp;number=0.0014578&amp;sourceID=54","0.0014578")</f>
        <v>0.0014578</v>
      </c>
      <c r="K939" s="4" t="str">
        <f>HYPERLINK("http://141.218.60.56/~jnz1568/getInfo.php?workbook=16_15.xlsx&amp;sheet=A0&amp;row=939&amp;col=11&amp;number=3.939e-05&amp;sourceID=54","3.939e-05")</f>
        <v>3.939e-05</v>
      </c>
      <c r="L939" s="4" t="str">
        <f>HYPERLINK("http://141.218.60.56/~jnz1568/getInfo.php?workbook=16_15.xlsx&amp;sheet=A0&amp;row=939&amp;col=12&amp;number=&amp;sourceID=53","")</f>
        <v/>
      </c>
      <c r="M939" s="4" t="str">
        <f>HYPERLINK("http://141.218.60.56/~jnz1568/getInfo.php?workbook=16_15.xlsx&amp;sheet=A0&amp;row=939&amp;col=13&amp;number=&amp;sourceID=53","")</f>
        <v/>
      </c>
      <c r="N939" s="4" t="str">
        <f>HYPERLINK("http://141.218.60.56/~jnz1568/getInfo.php?workbook=16_15.xlsx&amp;sheet=A0&amp;row=939&amp;col=14&amp;number=&amp;sourceID=53","")</f>
        <v/>
      </c>
      <c r="O939" s="4" t="str">
        <f>HYPERLINK("http://141.218.60.56/~jnz1568/getInfo.php?workbook=16_15.xlsx&amp;sheet=A0&amp;row=939&amp;col=15&amp;number=&amp;sourceID=55","")</f>
        <v/>
      </c>
      <c r="P939" s="4" t="str">
        <f>HYPERLINK("http://141.218.60.56/~jnz1568/getInfo.php?workbook=16_15.xlsx&amp;sheet=A0&amp;row=939&amp;col=16&amp;number=&amp;sourceID=55","")</f>
        <v/>
      </c>
      <c r="Q939" s="4" t="str">
        <f>HYPERLINK("http://141.218.60.56/~jnz1568/getInfo.php?workbook=16_15.xlsx&amp;sheet=A0&amp;row=939&amp;col=17&amp;number=&amp;sourceID=56","")</f>
        <v/>
      </c>
      <c r="R939" s="4" t="str">
        <f>HYPERLINK("http://141.218.60.56/~jnz1568/getInfo.php?workbook=16_15.xlsx&amp;sheet=A0&amp;row=939&amp;col=18&amp;number=&amp;sourceID=56","")</f>
        <v/>
      </c>
      <c r="S939" s="4" t="str">
        <f>HYPERLINK("http://141.218.60.56/~jnz1568/getInfo.php?workbook=16_15.xlsx&amp;sheet=A0&amp;row=939&amp;col=19&amp;number=&amp;sourceID=57","")</f>
        <v/>
      </c>
      <c r="T939" s="4" t="str">
        <f>HYPERLINK("http://141.218.60.56/~jnz1568/getInfo.php?workbook=16_15.xlsx&amp;sheet=A0&amp;row=939&amp;col=20&amp;number=&amp;sourceID=57","")</f>
        <v/>
      </c>
      <c r="U939" s="4" t="str">
        <f>HYPERLINK("http://141.218.60.56/~jnz1568/getInfo.php?workbook=16_15.xlsx&amp;sheet=A0&amp;row=939&amp;col=21&amp;number=&amp;sourceID=47","")</f>
        <v/>
      </c>
      <c r="V939" s="4" t="str">
        <f>HYPERLINK("http://141.218.60.56/~jnz1568/getInfo.php?workbook=16_15.xlsx&amp;sheet=A0&amp;row=939&amp;col=22&amp;number=&amp;sourceID=47","")</f>
        <v/>
      </c>
    </row>
    <row r="940" spans="1:22">
      <c r="A940" s="3">
        <v>16</v>
      </c>
      <c r="B940" s="3">
        <v>15</v>
      </c>
      <c r="C940" s="3">
        <v>49</v>
      </c>
      <c r="D940" s="3">
        <v>47</v>
      </c>
      <c r="E940" s="3">
        <f>((1/(INDEX(E0!J$4:J$73,C940,1)-INDEX(E0!J$4:J$73,D940,1))))*100000000</f>
        <v>0</v>
      </c>
      <c r="F940" s="4" t="str">
        <f>HYPERLINK("http://141.218.60.56/~jnz1568/getInfo.php?workbook=16_15.xlsx&amp;sheet=A0&amp;row=940&amp;col=6&amp;number=&amp;sourceID=54","")</f>
        <v/>
      </c>
      <c r="G940" s="4" t="str">
        <f>HYPERLINK("http://141.218.60.56/~jnz1568/getInfo.php?workbook=16_15.xlsx&amp;sheet=A0&amp;row=940&amp;col=7&amp;number=9.3057e-11&amp;sourceID=54","9.3057e-11")</f>
        <v>9.3057e-11</v>
      </c>
      <c r="H940" s="4" t="str">
        <f>HYPERLINK("http://141.218.60.56/~jnz1568/getInfo.php?workbook=16_15.xlsx&amp;sheet=A0&amp;row=940&amp;col=8&amp;number=1.4935e-05&amp;sourceID=54","1.4935e-05")</f>
        <v>1.4935e-05</v>
      </c>
      <c r="I940" s="4" t="str">
        <f>HYPERLINK("http://141.218.60.56/~jnz1568/getInfo.php?workbook=16_15.xlsx&amp;sheet=A0&amp;row=940&amp;col=9&amp;number=&amp;sourceID=54","")</f>
        <v/>
      </c>
      <c r="J940" s="4" t="str">
        <f>HYPERLINK("http://141.218.60.56/~jnz1568/getInfo.php?workbook=16_15.xlsx&amp;sheet=A0&amp;row=940&amp;col=10&amp;number=9.2355e-11&amp;sourceID=54","9.2355e-11")</f>
        <v>9.2355e-11</v>
      </c>
      <c r="K940" s="4" t="str">
        <f>HYPERLINK("http://141.218.60.56/~jnz1568/getInfo.php?workbook=16_15.xlsx&amp;sheet=A0&amp;row=940&amp;col=11&amp;number=1.4878e-05&amp;sourceID=54","1.4878e-05")</f>
        <v>1.4878e-05</v>
      </c>
      <c r="L940" s="4" t="str">
        <f>HYPERLINK("http://141.218.60.56/~jnz1568/getInfo.php?workbook=16_15.xlsx&amp;sheet=A0&amp;row=940&amp;col=12&amp;number=&amp;sourceID=53","")</f>
        <v/>
      </c>
      <c r="M940" s="4" t="str">
        <f>HYPERLINK("http://141.218.60.56/~jnz1568/getInfo.php?workbook=16_15.xlsx&amp;sheet=A0&amp;row=940&amp;col=13&amp;number=&amp;sourceID=53","")</f>
        <v/>
      </c>
      <c r="N940" s="4" t="str">
        <f>HYPERLINK("http://141.218.60.56/~jnz1568/getInfo.php?workbook=16_15.xlsx&amp;sheet=A0&amp;row=940&amp;col=14&amp;number=&amp;sourceID=53","")</f>
        <v/>
      </c>
      <c r="O940" s="4" t="str">
        <f>HYPERLINK("http://141.218.60.56/~jnz1568/getInfo.php?workbook=16_15.xlsx&amp;sheet=A0&amp;row=940&amp;col=15&amp;number=&amp;sourceID=55","")</f>
        <v/>
      </c>
      <c r="P940" s="4" t="str">
        <f>HYPERLINK("http://141.218.60.56/~jnz1568/getInfo.php?workbook=16_15.xlsx&amp;sheet=A0&amp;row=940&amp;col=16&amp;number=&amp;sourceID=55","")</f>
        <v/>
      </c>
      <c r="Q940" s="4" t="str">
        <f>HYPERLINK("http://141.218.60.56/~jnz1568/getInfo.php?workbook=16_15.xlsx&amp;sheet=A0&amp;row=940&amp;col=17&amp;number=&amp;sourceID=56","")</f>
        <v/>
      </c>
      <c r="R940" s="4" t="str">
        <f>HYPERLINK("http://141.218.60.56/~jnz1568/getInfo.php?workbook=16_15.xlsx&amp;sheet=A0&amp;row=940&amp;col=18&amp;number=&amp;sourceID=56","")</f>
        <v/>
      </c>
      <c r="S940" s="4" t="str">
        <f>HYPERLINK("http://141.218.60.56/~jnz1568/getInfo.php?workbook=16_15.xlsx&amp;sheet=A0&amp;row=940&amp;col=19&amp;number=&amp;sourceID=57","")</f>
        <v/>
      </c>
      <c r="T940" s="4" t="str">
        <f>HYPERLINK("http://141.218.60.56/~jnz1568/getInfo.php?workbook=16_15.xlsx&amp;sheet=A0&amp;row=940&amp;col=20&amp;number=&amp;sourceID=57","")</f>
        <v/>
      </c>
      <c r="U940" s="4" t="str">
        <f>HYPERLINK("http://141.218.60.56/~jnz1568/getInfo.php?workbook=16_15.xlsx&amp;sheet=A0&amp;row=940&amp;col=21&amp;number=&amp;sourceID=47","")</f>
        <v/>
      </c>
      <c r="V940" s="4" t="str">
        <f>HYPERLINK("http://141.218.60.56/~jnz1568/getInfo.php?workbook=16_15.xlsx&amp;sheet=A0&amp;row=940&amp;col=22&amp;number=&amp;sourceID=47","")</f>
        <v/>
      </c>
    </row>
    <row r="941" spans="1:22">
      <c r="A941" s="3">
        <v>16</v>
      </c>
      <c r="B941" s="3">
        <v>15</v>
      </c>
      <c r="C941" s="3">
        <v>49</v>
      </c>
      <c r="D941" s="3">
        <v>48</v>
      </c>
      <c r="E941" s="3">
        <f>((1/(INDEX(E0!J$4:J$73,C941,1)-INDEX(E0!J$4:J$73,D941,1))))*100000000</f>
        <v>0</v>
      </c>
      <c r="F941" s="4" t="str">
        <f>HYPERLINK("http://141.218.60.56/~jnz1568/getInfo.php?workbook=16_15.xlsx&amp;sheet=A0&amp;row=941&amp;col=6&amp;number=&amp;sourceID=54","")</f>
        <v/>
      </c>
      <c r="G941" s="4" t="str">
        <f>HYPERLINK("http://141.218.60.56/~jnz1568/getInfo.php?workbook=16_15.xlsx&amp;sheet=A0&amp;row=941&amp;col=7&amp;number=&amp;sourceID=54","")</f>
        <v/>
      </c>
      <c r="H941" s="4" t="str">
        <f>HYPERLINK("http://141.218.60.56/~jnz1568/getInfo.php?workbook=16_15.xlsx&amp;sheet=A0&amp;row=941&amp;col=8&amp;number=&amp;sourceID=54","")</f>
        <v/>
      </c>
      <c r="I941" s="4" t="str">
        <f>HYPERLINK("http://141.218.60.56/~jnz1568/getInfo.php?workbook=16_15.xlsx&amp;sheet=A0&amp;row=941&amp;col=9&amp;number=0.0029314&amp;sourceID=54","0.0029314")</f>
        <v>0.0029314</v>
      </c>
      <c r="J941" s="4" t="str">
        <f>HYPERLINK("http://141.218.60.56/~jnz1568/getInfo.php?workbook=16_15.xlsx&amp;sheet=A0&amp;row=941&amp;col=10&amp;number=&amp;sourceID=54","")</f>
        <v/>
      </c>
      <c r="K941" s="4" t="str">
        <f>HYPERLINK("http://141.218.60.56/~jnz1568/getInfo.php?workbook=16_15.xlsx&amp;sheet=A0&amp;row=941&amp;col=11&amp;number=&amp;sourceID=54","")</f>
        <v/>
      </c>
      <c r="L941" s="4" t="str">
        <f>HYPERLINK("http://141.218.60.56/~jnz1568/getInfo.php?workbook=16_15.xlsx&amp;sheet=A0&amp;row=941&amp;col=12&amp;number=3.54532424632&amp;sourceID=53","3.54532424632")</f>
        <v>3.54532424632</v>
      </c>
      <c r="M941" s="4" t="str">
        <f>HYPERLINK("http://141.218.60.56/~jnz1568/getInfo.php?workbook=16_15.xlsx&amp;sheet=A0&amp;row=941&amp;col=13&amp;number=&amp;sourceID=53","")</f>
        <v/>
      </c>
      <c r="N941" s="4" t="str">
        <f>HYPERLINK("http://141.218.60.56/~jnz1568/getInfo.php?workbook=16_15.xlsx&amp;sheet=A0&amp;row=941&amp;col=14&amp;number=&amp;sourceID=53","")</f>
        <v/>
      </c>
      <c r="O941" s="4" t="str">
        <f>HYPERLINK("http://141.218.60.56/~jnz1568/getInfo.php?workbook=16_15.xlsx&amp;sheet=A0&amp;row=941&amp;col=15&amp;number=&amp;sourceID=55","")</f>
        <v/>
      </c>
      <c r="P941" s="4" t="str">
        <f>HYPERLINK("http://141.218.60.56/~jnz1568/getInfo.php?workbook=16_15.xlsx&amp;sheet=A0&amp;row=941&amp;col=16&amp;number=&amp;sourceID=55","")</f>
        <v/>
      </c>
      <c r="Q941" s="4" t="str">
        <f>HYPERLINK("http://141.218.60.56/~jnz1568/getInfo.php?workbook=16_15.xlsx&amp;sheet=A0&amp;row=941&amp;col=17&amp;number=&amp;sourceID=56","")</f>
        <v/>
      </c>
      <c r="R941" s="4" t="str">
        <f>HYPERLINK("http://141.218.60.56/~jnz1568/getInfo.php?workbook=16_15.xlsx&amp;sheet=A0&amp;row=941&amp;col=18&amp;number=&amp;sourceID=56","")</f>
        <v/>
      </c>
      <c r="S941" s="4" t="str">
        <f>HYPERLINK("http://141.218.60.56/~jnz1568/getInfo.php?workbook=16_15.xlsx&amp;sheet=A0&amp;row=941&amp;col=19&amp;number=&amp;sourceID=57","")</f>
        <v/>
      </c>
      <c r="T941" s="4" t="str">
        <f>HYPERLINK("http://141.218.60.56/~jnz1568/getInfo.php?workbook=16_15.xlsx&amp;sheet=A0&amp;row=941&amp;col=20&amp;number=&amp;sourceID=57","")</f>
        <v/>
      </c>
      <c r="U941" s="4" t="str">
        <f>HYPERLINK("http://141.218.60.56/~jnz1568/getInfo.php?workbook=16_15.xlsx&amp;sheet=A0&amp;row=941&amp;col=21&amp;number=&amp;sourceID=47","")</f>
        <v/>
      </c>
      <c r="V941" s="4" t="str">
        <f>HYPERLINK("http://141.218.60.56/~jnz1568/getInfo.php?workbook=16_15.xlsx&amp;sheet=A0&amp;row=941&amp;col=22&amp;number=&amp;sourceID=47","")</f>
        <v/>
      </c>
    </row>
    <row r="942" spans="1:22">
      <c r="A942" s="3">
        <v>16</v>
      </c>
      <c r="B942" s="3">
        <v>15</v>
      </c>
      <c r="C942" s="3">
        <v>50</v>
      </c>
      <c r="D942" s="3">
        <v>1</v>
      </c>
      <c r="E942" s="3">
        <f>((1/(INDEX(E0!J$4:J$73,C942,1)-INDEX(E0!J$4:J$73,D942,1))))*100000000</f>
        <v>0</v>
      </c>
      <c r="F942" s="4" t="str">
        <f>HYPERLINK("http://141.218.60.56/~jnz1568/getInfo.php?workbook=16_15.xlsx&amp;sheet=A0&amp;row=942&amp;col=6&amp;number=91421&amp;sourceID=54","91421")</f>
        <v>91421</v>
      </c>
      <c r="G942" s="4" t="str">
        <f>HYPERLINK("http://141.218.60.56/~jnz1568/getInfo.php?workbook=16_15.xlsx&amp;sheet=A0&amp;row=942&amp;col=7&amp;number=&amp;sourceID=54","")</f>
        <v/>
      </c>
      <c r="H942" s="4" t="str">
        <f>HYPERLINK("http://141.218.60.56/~jnz1568/getInfo.php?workbook=16_15.xlsx&amp;sheet=A0&amp;row=942&amp;col=8&amp;number=&amp;sourceID=54","")</f>
        <v/>
      </c>
      <c r="I942" s="4" t="str">
        <f>HYPERLINK("http://141.218.60.56/~jnz1568/getInfo.php?workbook=16_15.xlsx&amp;sheet=A0&amp;row=942&amp;col=9&amp;number=91866&amp;sourceID=54","91866")</f>
        <v>91866</v>
      </c>
      <c r="J942" s="4" t="str">
        <f>HYPERLINK("http://141.218.60.56/~jnz1568/getInfo.php?workbook=16_15.xlsx&amp;sheet=A0&amp;row=942&amp;col=10&amp;number=&amp;sourceID=54","")</f>
        <v/>
      </c>
      <c r="K942" s="4" t="str">
        <f>HYPERLINK("http://141.218.60.56/~jnz1568/getInfo.php?workbook=16_15.xlsx&amp;sheet=A0&amp;row=942&amp;col=11&amp;number=&amp;sourceID=54","")</f>
        <v/>
      </c>
      <c r="L942" s="4" t="str">
        <f>HYPERLINK("http://141.218.60.56/~jnz1568/getInfo.php?workbook=16_15.xlsx&amp;sheet=A0&amp;row=942&amp;col=12&amp;number=530801.411373&amp;sourceID=53","530801.411373")</f>
        <v>530801.411373</v>
      </c>
      <c r="M942" s="4" t="str">
        <f>HYPERLINK("http://141.218.60.56/~jnz1568/getInfo.php?workbook=16_15.xlsx&amp;sheet=A0&amp;row=942&amp;col=13&amp;number=&amp;sourceID=53","")</f>
        <v/>
      </c>
      <c r="N942" s="4" t="str">
        <f>HYPERLINK("http://141.218.60.56/~jnz1568/getInfo.php?workbook=16_15.xlsx&amp;sheet=A0&amp;row=942&amp;col=14&amp;number=&amp;sourceID=53","")</f>
        <v/>
      </c>
      <c r="O942" s="4" t="str">
        <f>HYPERLINK("http://141.218.60.56/~jnz1568/getInfo.php?workbook=16_15.xlsx&amp;sheet=A0&amp;row=942&amp;col=15&amp;number=&amp;sourceID=55","")</f>
        <v/>
      </c>
      <c r="P942" s="4" t="str">
        <f>HYPERLINK("http://141.218.60.56/~jnz1568/getInfo.php?workbook=16_15.xlsx&amp;sheet=A0&amp;row=942&amp;col=16&amp;number=&amp;sourceID=55","")</f>
        <v/>
      </c>
      <c r="Q942" s="4" t="str">
        <f>HYPERLINK("http://141.218.60.56/~jnz1568/getInfo.php?workbook=16_15.xlsx&amp;sheet=A0&amp;row=942&amp;col=17&amp;number=&amp;sourceID=56","")</f>
        <v/>
      </c>
      <c r="R942" s="4" t="str">
        <f>HYPERLINK("http://141.218.60.56/~jnz1568/getInfo.php?workbook=16_15.xlsx&amp;sheet=A0&amp;row=942&amp;col=18&amp;number=&amp;sourceID=56","")</f>
        <v/>
      </c>
      <c r="S942" s="4" t="str">
        <f>HYPERLINK("http://141.218.60.56/~jnz1568/getInfo.php?workbook=16_15.xlsx&amp;sheet=A0&amp;row=942&amp;col=19&amp;number=&amp;sourceID=57","")</f>
        <v/>
      </c>
      <c r="T942" s="4" t="str">
        <f>HYPERLINK("http://141.218.60.56/~jnz1568/getInfo.php?workbook=16_15.xlsx&amp;sheet=A0&amp;row=942&amp;col=20&amp;number=&amp;sourceID=57","")</f>
        <v/>
      </c>
      <c r="U942" s="4" t="str">
        <f>HYPERLINK("http://141.218.60.56/~jnz1568/getInfo.php?workbook=16_15.xlsx&amp;sheet=A0&amp;row=942&amp;col=21&amp;number=&amp;sourceID=47","")</f>
        <v/>
      </c>
      <c r="V942" s="4" t="str">
        <f>HYPERLINK("http://141.218.60.56/~jnz1568/getInfo.php?workbook=16_15.xlsx&amp;sheet=A0&amp;row=942&amp;col=22&amp;number=&amp;sourceID=47","")</f>
        <v/>
      </c>
    </row>
    <row r="943" spans="1:22">
      <c r="A943" s="3">
        <v>16</v>
      </c>
      <c r="B943" s="3">
        <v>15</v>
      </c>
      <c r="C943" s="3">
        <v>50</v>
      </c>
      <c r="D943" s="3">
        <v>2</v>
      </c>
      <c r="E943" s="3">
        <f>((1/(INDEX(E0!J$4:J$73,C943,1)-INDEX(E0!J$4:J$73,D943,1))))*100000000</f>
        <v>0</v>
      </c>
      <c r="F943" s="4" t="str">
        <f>HYPERLINK("http://141.218.60.56/~jnz1568/getInfo.php?workbook=16_15.xlsx&amp;sheet=A0&amp;row=943&amp;col=6&amp;number=215360000&amp;sourceID=54","215360000")</f>
        <v>215360000</v>
      </c>
      <c r="G943" s="4" t="str">
        <f>HYPERLINK("http://141.218.60.56/~jnz1568/getInfo.php?workbook=16_15.xlsx&amp;sheet=A0&amp;row=943&amp;col=7&amp;number=&amp;sourceID=54","")</f>
        <v/>
      </c>
      <c r="H943" s="4" t="str">
        <f>HYPERLINK("http://141.218.60.56/~jnz1568/getInfo.php?workbook=16_15.xlsx&amp;sheet=A0&amp;row=943&amp;col=8&amp;number=&amp;sourceID=54","")</f>
        <v/>
      </c>
      <c r="I943" s="4" t="str">
        <f>HYPERLINK("http://141.218.60.56/~jnz1568/getInfo.php?workbook=16_15.xlsx&amp;sheet=A0&amp;row=943&amp;col=9&amp;number=231440000&amp;sourceID=54","231440000")</f>
        <v>231440000</v>
      </c>
      <c r="J943" s="4" t="str">
        <f>HYPERLINK("http://141.218.60.56/~jnz1568/getInfo.php?workbook=16_15.xlsx&amp;sheet=A0&amp;row=943&amp;col=10&amp;number=&amp;sourceID=54","")</f>
        <v/>
      </c>
      <c r="K943" s="4" t="str">
        <f>HYPERLINK("http://141.218.60.56/~jnz1568/getInfo.php?workbook=16_15.xlsx&amp;sheet=A0&amp;row=943&amp;col=11&amp;number=&amp;sourceID=54","")</f>
        <v/>
      </c>
      <c r="L943" s="4" t="str">
        <f>HYPERLINK("http://141.218.60.56/~jnz1568/getInfo.php?workbook=16_15.xlsx&amp;sheet=A0&amp;row=943&amp;col=12&amp;number=227973013.716&amp;sourceID=53","227973013.716")</f>
        <v>227973013.716</v>
      </c>
      <c r="M943" s="4" t="str">
        <f>HYPERLINK("http://141.218.60.56/~jnz1568/getInfo.php?workbook=16_15.xlsx&amp;sheet=A0&amp;row=943&amp;col=13&amp;number=&amp;sourceID=53","")</f>
        <v/>
      </c>
      <c r="N943" s="4" t="str">
        <f>HYPERLINK("http://141.218.60.56/~jnz1568/getInfo.php?workbook=16_15.xlsx&amp;sheet=A0&amp;row=943&amp;col=14&amp;number=&amp;sourceID=53","")</f>
        <v/>
      </c>
      <c r="O943" s="4" t="str">
        <f>HYPERLINK("http://141.218.60.56/~jnz1568/getInfo.php?workbook=16_15.xlsx&amp;sheet=A0&amp;row=943&amp;col=15&amp;number=&amp;sourceID=55","")</f>
        <v/>
      </c>
      <c r="P943" s="4" t="str">
        <f>HYPERLINK("http://141.218.60.56/~jnz1568/getInfo.php?workbook=16_15.xlsx&amp;sheet=A0&amp;row=943&amp;col=16&amp;number=&amp;sourceID=55","")</f>
        <v/>
      </c>
      <c r="Q943" s="4" t="str">
        <f>HYPERLINK("http://141.218.60.56/~jnz1568/getInfo.php?workbook=16_15.xlsx&amp;sheet=A0&amp;row=943&amp;col=17&amp;number=&amp;sourceID=56","")</f>
        <v/>
      </c>
      <c r="R943" s="4" t="str">
        <f>HYPERLINK("http://141.218.60.56/~jnz1568/getInfo.php?workbook=16_15.xlsx&amp;sheet=A0&amp;row=943&amp;col=18&amp;number=&amp;sourceID=56","")</f>
        <v/>
      </c>
      <c r="S943" s="4" t="str">
        <f>HYPERLINK("http://141.218.60.56/~jnz1568/getInfo.php?workbook=16_15.xlsx&amp;sheet=A0&amp;row=943&amp;col=19&amp;number=&amp;sourceID=57","")</f>
        <v/>
      </c>
      <c r="T943" s="4" t="str">
        <f>HYPERLINK("http://141.218.60.56/~jnz1568/getInfo.php?workbook=16_15.xlsx&amp;sheet=A0&amp;row=943&amp;col=20&amp;number=&amp;sourceID=57","")</f>
        <v/>
      </c>
      <c r="U943" s="4" t="str">
        <f>HYPERLINK("http://141.218.60.56/~jnz1568/getInfo.php?workbook=16_15.xlsx&amp;sheet=A0&amp;row=943&amp;col=21&amp;number=&amp;sourceID=47","")</f>
        <v/>
      </c>
      <c r="V943" s="4" t="str">
        <f>HYPERLINK("http://141.218.60.56/~jnz1568/getInfo.php?workbook=16_15.xlsx&amp;sheet=A0&amp;row=943&amp;col=22&amp;number=&amp;sourceID=47","")</f>
        <v/>
      </c>
    </row>
    <row r="944" spans="1:22">
      <c r="A944" s="3">
        <v>16</v>
      </c>
      <c r="B944" s="3">
        <v>15</v>
      </c>
      <c r="C944" s="3">
        <v>50</v>
      </c>
      <c r="D944" s="3">
        <v>3</v>
      </c>
      <c r="E944" s="3">
        <f>((1/(INDEX(E0!J$4:J$73,C944,1)-INDEX(E0!J$4:J$73,D944,1))))*100000000</f>
        <v>0</v>
      </c>
      <c r="F944" s="4" t="str">
        <f>HYPERLINK("http://141.218.60.56/~jnz1568/getInfo.php?workbook=16_15.xlsx&amp;sheet=A0&amp;row=944&amp;col=6&amp;number=1220200000&amp;sourceID=54","1220200000")</f>
        <v>1220200000</v>
      </c>
      <c r="G944" s="4" t="str">
        <f>HYPERLINK("http://141.218.60.56/~jnz1568/getInfo.php?workbook=16_15.xlsx&amp;sheet=A0&amp;row=944&amp;col=7&amp;number=&amp;sourceID=54","")</f>
        <v/>
      </c>
      <c r="H944" s="4" t="str">
        <f>HYPERLINK("http://141.218.60.56/~jnz1568/getInfo.php?workbook=16_15.xlsx&amp;sheet=A0&amp;row=944&amp;col=8&amp;number=&amp;sourceID=54","")</f>
        <v/>
      </c>
      <c r="I944" s="4" t="str">
        <f>HYPERLINK("http://141.218.60.56/~jnz1568/getInfo.php?workbook=16_15.xlsx&amp;sheet=A0&amp;row=944&amp;col=9&amp;number=1205300000&amp;sourceID=54","1205300000")</f>
        <v>1205300000</v>
      </c>
      <c r="J944" s="4" t="str">
        <f>HYPERLINK("http://141.218.60.56/~jnz1568/getInfo.php?workbook=16_15.xlsx&amp;sheet=A0&amp;row=944&amp;col=10&amp;number=&amp;sourceID=54","")</f>
        <v/>
      </c>
      <c r="K944" s="4" t="str">
        <f>HYPERLINK("http://141.218.60.56/~jnz1568/getInfo.php?workbook=16_15.xlsx&amp;sheet=A0&amp;row=944&amp;col=11&amp;number=&amp;sourceID=54","")</f>
        <v/>
      </c>
      <c r="L944" s="4" t="str">
        <f>HYPERLINK("http://141.218.60.56/~jnz1568/getInfo.php?workbook=16_15.xlsx&amp;sheet=A0&amp;row=944&amp;col=12&amp;number=1187236226.67&amp;sourceID=53","1187236226.67")</f>
        <v>1187236226.67</v>
      </c>
      <c r="M944" s="4" t="str">
        <f>HYPERLINK("http://141.218.60.56/~jnz1568/getInfo.php?workbook=16_15.xlsx&amp;sheet=A0&amp;row=944&amp;col=13&amp;number=&amp;sourceID=53","")</f>
        <v/>
      </c>
      <c r="N944" s="4" t="str">
        <f>HYPERLINK("http://141.218.60.56/~jnz1568/getInfo.php?workbook=16_15.xlsx&amp;sheet=A0&amp;row=944&amp;col=14&amp;number=&amp;sourceID=53","")</f>
        <v/>
      </c>
      <c r="O944" s="4" t="str">
        <f>HYPERLINK("http://141.218.60.56/~jnz1568/getInfo.php?workbook=16_15.xlsx&amp;sheet=A0&amp;row=944&amp;col=15&amp;number=&amp;sourceID=55","")</f>
        <v/>
      </c>
      <c r="P944" s="4" t="str">
        <f>HYPERLINK("http://141.218.60.56/~jnz1568/getInfo.php?workbook=16_15.xlsx&amp;sheet=A0&amp;row=944&amp;col=16&amp;number=&amp;sourceID=55","")</f>
        <v/>
      </c>
      <c r="Q944" s="4" t="str">
        <f>HYPERLINK("http://141.218.60.56/~jnz1568/getInfo.php?workbook=16_15.xlsx&amp;sheet=A0&amp;row=944&amp;col=17&amp;number=&amp;sourceID=56","")</f>
        <v/>
      </c>
      <c r="R944" s="4" t="str">
        <f>HYPERLINK("http://141.218.60.56/~jnz1568/getInfo.php?workbook=16_15.xlsx&amp;sheet=A0&amp;row=944&amp;col=18&amp;number=&amp;sourceID=56","")</f>
        <v/>
      </c>
      <c r="S944" s="4" t="str">
        <f>HYPERLINK("http://141.218.60.56/~jnz1568/getInfo.php?workbook=16_15.xlsx&amp;sheet=A0&amp;row=944&amp;col=19&amp;number=&amp;sourceID=57","")</f>
        <v/>
      </c>
      <c r="T944" s="4" t="str">
        <f>HYPERLINK("http://141.218.60.56/~jnz1568/getInfo.php?workbook=16_15.xlsx&amp;sheet=A0&amp;row=944&amp;col=20&amp;number=&amp;sourceID=57","")</f>
        <v/>
      </c>
      <c r="U944" s="4" t="str">
        <f>HYPERLINK("http://141.218.60.56/~jnz1568/getInfo.php?workbook=16_15.xlsx&amp;sheet=A0&amp;row=944&amp;col=21&amp;number=&amp;sourceID=47","")</f>
        <v/>
      </c>
      <c r="V944" s="4" t="str">
        <f>HYPERLINK("http://141.218.60.56/~jnz1568/getInfo.php?workbook=16_15.xlsx&amp;sheet=A0&amp;row=944&amp;col=22&amp;number=&amp;sourceID=47","")</f>
        <v/>
      </c>
    </row>
    <row r="945" spans="1:22">
      <c r="A945" s="3">
        <v>16</v>
      </c>
      <c r="B945" s="3">
        <v>15</v>
      </c>
      <c r="C945" s="3">
        <v>50</v>
      </c>
      <c r="D945" s="3">
        <v>5</v>
      </c>
      <c r="E945" s="3">
        <f>((1/(INDEX(E0!J$4:J$73,C945,1)-INDEX(E0!J$4:J$73,D945,1))))*100000000</f>
        <v>0</v>
      </c>
      <c r="F945" s="4" t="str">
        <f>HYPERLINK("http://141.218.60.56/~jnz1568/getInfo.php?workbook=16_15.xlsx&amp;sheet=A0&amp;row=945&amp;col=6&amp;number=1224100000&amp;sourceID=54","1224100000")</f>
        <v>1224100000</v>
      </c>
      <c r="G945" s="4" t="str">
        <f>HYPERLINK("http://141.218.60.56/~jnz1568/getInfo.php?workbook=16_15.xlsx&amp;sheet=A0&amp;row=945&amp;col=7&amp;number=&amp;sourceID=54","")</f>
        <v/>
      </c>
      <c r="H945" s="4" t="str">
        <f>HYPERLINK("http://141.218.60.56/~jnz1568/getInfo.php?workbook=16_15.xlsx&amp;sheet=A0&amp;row=945&amp;col=8&amp;number=&amp;sourceID=54","")</f>
        <v/>
      </c>
      <c r="I945" s="4" t="str">
        <f>HYPERLINK("http://141.218.60.56/~jnz1568/getInfo.php?workbook=16_15.xlsx&amp;sheet=A0&amp;row=945&amp;col=9&amp;number=1214400000&amp;sourceID=54","1214400000")</f>
        <v>1214400000</v>
      </c>
      <c r="J945" s="4" t="str">
        <f>HYPERLINK("http://141.218.60.56/~jnz1568/getInfo.php?workbook=16_15.xlsx&amp;sheet=A0&amp;row=945&amp;col=10&amp;number=&amp;sourceID=54","")</f>
        <v/>
      </c>
      <c r="K945" s="4" t="str">
        <f>HYPERLINK("http://141.218.60.56/~jnz1568/getInfo.php?workbook=16_15.xlsx&amp;sheet=A0&amp;row=945&amp;col=11&amp;number=&amp;sourceID=54","")</f>
        <v/>
      </c>
      <c r="L945" s="4" t="str">
        <f>HYPERLINK("http://141.218.60.56/~jnz1568/getInfo.php?workbook=16_15.xlsx&amp;sheet=A0&amp;row=945&amp;col=12&amp;number=1272323846.89&amp;sourceID=53","1272323846.89")</f>
        <v>1272323846.89</v>
      </c>
      <c r="M945" s="4" t="str">
        <f>HYPERLINK("http://141.218.60.56/~jnz1568/getInfo.php?workbook=16_15.xlsx&amp;sheet=A0&amp;row=945&amp;col=13&amp;number=&amp;sourceID=53","")</f>
        <v/>
      </c>
      <c r="N945" s="4" t="str">
        <f>HYPERLINK("http://141.218.60.56/~jnz1568/getInfo.php?workbook=16_15.xlsx&amp;sheet=A0&amp;row=945&amp;col=14&amp;number=&amp;sourceID=53","")</f>
        <v/>
      </c>
      <c r="O945" s="4" t="str">
        <f>HYPERLINK("http://141.218.60.56/~jnz1568/getInfo.php?workbook=16_15.xlsx&amp;sheet=A0&amp;row=945&amp;col=15&amp;number=&amp;sourceID=55","")</f>
        <v/>
      </c>
      <c r="P945" s="4" t="str">
        <f>HYPERLINK("http://141.218.60.56/~jnz1568/getInfo.php?workbook=16_15.xlsx&amp;sheet=A0&amp;row=945&amp;col=16&amp;number=&amp;sourceID=55","")</f>
        <v/>
      </c>
      <c r="Q945" s="4" t="str">
        <f>HYPERLINK("http://141.218.60.56/~jnz1568/getInfo.php?workbook=16_15.xlsx&amp;sheet=A0&amp;row=945&amp;col=17&amp;number=&amp;sourceID=56","")</f>
        <v/>
      </c>
      <c r="R945" s="4" t="str">
        <f>HYPERLINK("http://141.218.60.56/~jnz1568/getInfo.php?workbook=16_15.xlsx&amp;sheet=A0&amp;row=945&amp;col=18&amp;number=&amp;sourceID=56","")</f>
        <v/>
      </c>
      <c r="S945" s="4" t="str">
        <f>HYPERLINK("http://141.218.60.56/~jnz1568/getInfo.php?workbook=16_15.xlsx&amp;sheet=A0&amp;row=945&amp;col=19&amp;number=&amp;sourceID=57","")</f>
        <v/>
      </c>
      <c r="T945" s="4" t="str">
        <f>HYPERLINK("http://141.218.60.56/~jnz1568/getInfo.php?workbook=16_15.xlsx&amp;sheet=A0&amp;row=945&amp;col=20&amp;number=&amp;sourceID=57","")</f>
        <v/>
      </c>
      <c r="U945" s="4" t="str">
        <f>HYPERLINK("http://141.218.60.56/~jnz1568/getInfo.php?workbook=16_15.xlsx&amp;sheet=A0&amp;row=945&amp;col=21&amp;number=&amp;sourceID=47","")</f>
        <v/>
      </c>
      <c r="V945" s="4" t="str">
        <f>HYPERLINK("http://141.218.60.56/~jnz1568/getInfo.php?workbook=16_15.xlsx&amp;sheet=A0&amp;row=945&amp;col=22&amp;number=&amp;sourceID=47","")</f>
        <v/>
      </c>
    </row>
    <row r="946" spans="1:22">
      <c r="A946" s="3">
        <v>16</v>
      </c>
      <c r="B946" s="3">
        <v>15</v>
      </c>
      <c r="C946" s="3">
        <v>50</v>
      </c>
      <c r="D946" s="3">
        <v>6</v>
      </c>
      <c r="E946" s="3">
        <f>((1/(INDEX(E0!J$4:J$73,C946,1)-INDEX(E0!J$4:J$73,D946,1))))*100000000</f>
        <v>0</v>
      </c>
      <c r="F946" s="4" t="str">
        <f>HYPERLINK("http://141.218.60.56/~jnz1568/getInfo.php?workbook=16_15.xlsx&amp;sheet=A0&amp;row=946&amp;col=6&amp;number=&amp;sourceID=54","")</f>
        <v/>
      </c>
      <c r="G946" s="4" t="str">
        <f>HYPERLINK("http://141.218.60.56/~jnz1568/getInfo.php?workbook=16_15.xlsx&amp;sheet=A0&amp;row=946&amp;col=7&amp;number=8.9416e-05&amp;sourceID=54","8.9416e-05")</f>
        <v>8.9416e-05</v>
      </c>
      <c r="H946" s="4" t="str">
        <f>HYPERLINK("http://141.218.60.56/~jnz1568/getInfo.php?workbook=16_15.xlsx&amp;sheet=A0&amp;row=946&amp;col=8&amp;number=0.0039772&amp;sourceID=54","0.0039772")</f>
        <v>0.0039772</v>
      </c>
      <c r="I946" s="4" t="str">
        <f>HYPERLINK("http://141.218.60.56/~jnz1568/getInfo.php?workbook=16_15.xlsx&amp;sheet=A0&amp;row=946&amp;col=9&amp;number=&amp;sourceID=54","")</f>
        <v/>
      </c>
      <c r="J946" s="4" t="str">
        <f>HYPERLINK("http://141.218.60.56/~jnz1568/getInfo.php?workbook=16_15.xlsx&amp;sheet=A0&amp;row=946&amp;col=10&amp;number=7.8635e-05&amp;sourceID=54","7.8635e-05")</f>
        <v>7.8635e-05</v>
      </c>
      <c r="K946" s="4" t="str">
        <f>HYPERLINK("http://141.218.60.56/~jnz1568/getInfo.php?workbook=16_15.xlsx&amp;sheet=A0&amp;row=946&amp;col=11&amp;number=0.0035126&amp;sourceID=54","0.0035126")</f>
        <v>0.0035126</v>
      </c>
      <c r="L946" s="4" t="str">
        <f>HYPERLINK("http://141.218.60.56/~jnz1568/getInfo.php?workbook=16_15.xlsx&amp;sheet=A0&amp;row=946&amp;col=12&amp;number=&amp;sourceID=53","")</f>
        <v/>
      </c>
      <c r="M946" s="4" t="str">
        <f>HYPERLINK("http://141.218.60.56/~jnz1568/getInfo.php?workbook=16_15.xlsx&amp;sheet=A0&amp;row=946&amp;col=13&amp;number=&amp;sourceID=53","")</f>
        <v/>
      </c>
      <c r="N946" s="4" t="str">
        <f>HYPERLINK("http://141.218.60.56/~jnz1568/getInfo.php?workbook=16_15.xlsx&amp;sheet=A0&amp;row=946&amp;col=14&amp;number=&amp;sourceID=53","")</f>
        <v/>
      </c>
      <c r="O946" s="4" t="str">
        <f>HYPERLINK("http://141.218.60.56/~jnz1568/getInfo.php?workbook=16_15.xlsx&amp;sheet=A0&amp;row=946&amp;col=15&amp;number=&amp;sourceID=55","")</f>
        <v/>
      </c>
      <c r="P946" s="4" t="str">
        <f>HYPERLINK("http://141.218.60.56/~jnz1568/getInfo.php?workbook=16_15.xlsx&amp;sheet=A0&amp;row=946&amp;col=16&amp;number=&amp;sourceID=55","")</f>
        <v/>
      </c>
      <c r="Q946" s="4" t="str">
        <f>HYPERLINK("http://141.218.60.56/~jnz1568/getInfo.php?workbook=16_15.xlsx&amp;sheet=A0&amp;row=946&amp;col=17&amp;number=&amp;sourceID=56","")</f>
        <v/>
      </c>
      <c r="R946" s="4" t="str">
        <f>HYPERLINK("http://141.218.60.56/~jnz1568/getInfo.php?workbook=16_15.xlsx&amp;sheet=A0&amp;row=946&amp;col=18&amp;number=&amp;sourceID=56","")</f>
        <v/>
      </c>
      <c r="S946" s="4" t="str">
        <f>HYPERLINK("http://141.218.60.56/~jnz1568/getInfo.php?workbook=16_15.xlsx&amp;sheet=A0&amp;row=946&amp;col=19&amp;number=&amp;sourceID=57","")</f>
        <v/>
      </c>
      <c r="T946" s="4" t="str">
        <f>HYPERLINK("http://141.218.60.56/~jnz1568/getInfo.php?workbook=16_15.xlsx&amp;sheet=A0&amp;row=946&amp;col=20&amp;number=&amp;sourceID=57","")</f>
        <v/>
      </c>
      <c r="U946" s="4" t="str">
        <f>HYPERLINK("http://141.218.60.56/~jnz1568/getInfo.php?workbook=16_15.xlsx&amp;sheet=A0&amp;row=946&amp;col=21&amp;number=&amp;sourceID=47","")</f>
        <v/>
      </c>
      <c r="V946" s="4" t="str">
        <f>HYPERLINK("http://141.218.60.56/~jnz1568/getInfo.php?workbook=16_15.xlsx&amp;sheet=A0&amp;row=946&amp;col=22&amp;number=&amp;sourceID=47","")</f>
        <v/>
      </c>
    </row>
    <row r="947" spans="1:22">
      <c r="A947" s="3">
        <v>16</v>
      </c>
      <c r="B947" s="3">
        <v>15</v>
      </c>
      <c r="C947" s="3">
        <v>50</v>
      </c>
      <c r="D947" s="3">
        <v>7</v>
      </c>
      <c r="E947" s="3">
        <f>((1/(INDEX(E0!J$4:J$73,C947,1)-INDEX(E0!J$4:J$73,D947,1))))*100000000</f>
        <v>0</v>
      </c>
      <c r="F947" s="4" t="str">
        <f>HYPERLINK("http://141.218.60.56/~jnz1568/getInfo.php?workbook=16_15.xlsx&amp;sheet=A0&amp;row=947&amp;col=6&amp;number=&amp;sourceID=54","")</f>
        <v/>
      </c>
      <c r="G947" s="4" t="str">
        <f>HYPERLINK("http://141.218.60.56/~jnz1568/getInfo.php?workbook=16_15.xlsx&amp;sheet=A0&amp;row=947&amp;col=7&amp;number=0.0016343&amp;sourceID=54","0.0016343")</f>
        <v>0.0016343</v>
      </c>
      <c r="H947" s="4" t="str">
        <f>HYPERLINK("http://141.218.60.56/~jnz1568/getInfo.php?workbook=16_15.xlsx&amp;sheet=A0&amp;row=947&amp;col=8&amp;number=0.00056885&amp;sourceID=54","0.00056885")</f>
        <v>0.00056885</v>
      </c>
      <c r="I947" s="4" t="str">
        <f>HYPERLINK("http://141.218.60.56/~jnz1568/getInfo.php?workbook=16_15.xlsx&amp;sheet=A0&amp;row=947&amp;col=9&amp;number=&amp;sourceID=54","")</f>
        <v/>
      </c>
      <c r="J947" s="4" t="str">
        <f>HYPERLINK("http://141.218.60.56/~jnz1568/getInfo.php?workbook=16_15.xlsx&amp;sheet=A0&amp;row=947&amp;col=10&amp;number=0.0016003&amp;sourceID=54","0.0016003")</f>
        <v>0.0016003</v>
      </c>
      <c r="K947" s="4" t="str">
        <f>HYPERLINK("http://141.218.60.56/~jnz1568/getInfo.php?workbook=16_15.xlsx&amp;sheet=A0&amp;row=947&amp;col=11&amp;number=0.00052165&amp;sourceID=54","0.00052165")</f>
        <v>0.00052165</v>
      </c>
      <c r="L947" s="4" t="str">
        <f>HYPERLINK("http://141.218.60.56/~jnz1568/getInfo.php?workbook=16_15.xlsx&amp;sheet=A0&amp;row=947&amp;col=12&amp;number=&amp;sourceID=53","")</f>
        <v/>
      </c>
      <c r="M947" s="4" t="str">
        <f>HYPERLINK("http://141.218.60.56/~jnz1568/getInfo.php?workbook=16_15.xlsx&amp;sheet=A0&amp;row=947&amp;col=13&amp;number=&amp;sourceID=53","")</f>
        <v/>
      </c>
      <c r="N947" s="4" t="str">
        <f>HYPERLINK("http://141.218.60.56/~jnz1568/getInfo.php?workbook=16_15.xlsx&amp;sheet=A0&amp;row=947&amp;col=14&amp;number=&amp;sourceID=53","")</f>
        <v/>
      </c>
      <c r="O947" s="4" t="str">
        <f>HYPERLINK("http://141.218.60.56/~jnz1568/getInfo.php?workbook=16_15.xlsx&amp;sheet=A0&amp;row=947&amp;col=15&amp;number=&amp;sourceID=55","")</f>
        <v/>
      </c>
      <c r="P947" s="4" t="str">
        <f>HYPERLINK("http://141.218.60.56/~jnz1568/getInfo.php?workbook=16_15.xlsx&amp;sheet=A0&amp;row=947&amp;col=16&amp;number=&amp;sourceID=55","")</f>
        <v/>
      </c>
      <c r="Q947" s="4" t="str">
        <f>HYPERLINK("http://141.218.60.56/~jnz1568/getInfo.php?workbook=16_15.xlsx&amp;sheet=A0&amp;row=947&amp;col=17&amp;number=&amp;sourceID=56","")</f>
        <v/>
      </c>
      <c r="R947" s="4" t="str">
        <f>HYPERLINK("http://141.218.60.56/~jnz1568/getInfo.php?workbook=16_15.xlsx&amp;sheet=A0&amp;row=947&amp;col=18&amp;number=&amp;sourceID=56","")</f>
        <v/>
      </c>
      <c r="S947" s="4" t="str">
        <f>HYPERLINK("http://141.218.60.56/~jnz1568/getInfo.php?workbook=16_15.xlsx&amp;sheet=A0&amp;row=947&amp;col=19&amp;number=&amp;sourceID=57","")</f>
        <v/>
      </c>
      <c r="T947" s="4" t="str">
        <f>HYPERLINK("http://141.218.60.56/~jnz1568/getInfo.php?workbook=16_15.xlsx&amp;sheet=A0&amp;row=947&amp;col=20&amp;number=&amp;sourceID=57","")</f>
        <v/>
      </c>
      <c r="U947" s="4" t="str">
        <f>HYPERLINK("http://141.218.60.56/~jnz1568/getInfo.php?workbook=16_15.xlsx&amp;sheet=A0&amp;row=947&amp;col=21&amp;number=&amp;sourceID=47","")</f>
        <v/>
      </c>
      <c r="V947" s="4" t="str">
        <f>HYPERLINK("http://141.218.60.56/~jnz1568/getInfo.php?workbook=16_15.xlsx&amp;sheet=A0&amp;row=947&amp;col=22&amp;number=&amp;sourceID=47","")</f>
        <v/>
      </c>
    </row>
    <row r="948" spans="1:22">
      <c r="A948" s="3">
        <v>16</v>
      </c>
      <c r="B948" s="3">
        <v>15</v>
      </c>
      <c r="C948" s="3">
        <v>50</v>
      </c>
      <c r="D948" s="3">
        <v>8</v>
      </c>
      <c r="E948" s="3">
        <f>((1/(INDEX(E0!J$4:J$73,C948,1)-INDEX(E0!J$4:J$73,D948,1))))*100000000</f>
        <v>0</v>
      </c>
      <c r="F948" s="4" t="str">
        <f>HYPERLINK("http://141.218.60.56/~jnz1568/getInfo.php?workbook=16_15.xlsx&amp;sheet=A0&amp;row=948&amp;col=6&amp;number=&amp;sourceID=54","")</f>
        <v/>
      </c>
      <c r="G948" s="4" t="str">
        <f>HYPERLINK("http://141.218.60.56/~jnz1568/getInfo.php?workbook=16_15.xlsx&amp;sheet=A0&amp;row=948&amp;col=7&amp;number=0.0012829&amp;sourceID=54","0.0012829")</f>
        <v>0.0012829</v>
      </c>
      <c r="H948" s="4" t="str">
        <f>HYPERLINK("http://141.218.60.56/~jnz1568/getInfo.php?workbook=16_15.xlsx&amp;sheet=A0&amp;row=948&amp;col=8&amp;number=&amp;sourceID=54","")</f>
        <v/>
      </c>
      <c r="I948" s="4" t="str">
        <f>HYPERLINK("http://141.218.60.56/~jnz1568/getInfo.php?workbook=16_15.xlsx&amp;sheet=A0&amp;row=948&amp;col=9&amp;number=&amp;sourceID=54","")</f>
        <v/>
      </c>
      <c r="J948" s="4" t="str">
        <f>HYPERLINK("http://141.218.60.56/~jnz1568/getInfo.php?workbook=16_15.xlsx&amp;sheet=A0&amp;row=948&amp;col=10&amp;number=0.0012415&amp;sourceID=54","0.0012415")</f>
        <v>0.0012415</v>
      </c>
      <c r="K948" s="4" t="str">
        <f>HYPERLINK("http://141.218.60.56/~jnz1568/getInfo.php?workbook=16_15.xlsx&amp;sheet=A0&amp;row=948&amp;col=11&amp;number=&amp;sourceID=54","")</f>
        <v/>
      </c>
      <c r="L948" s="4" t="str">
        <f>HYPERLINK("http://141.218.60.56/~jnz1568/getInfo.php?workbook=16_15.xlsx&amp;sheet=A0&amp;row=948&amp;col=12&amp;number=&amp;sourceID=53","")</f>
        <v/>
      </c>
      <c r="M948" s="4" t="str">
        <f>HYPERLINK("http://141.218.60.56/~jnz1568/getInfo.php?workbook=16_15.xlsx&amp;sheet=A0&amp;row=948&amp;col=13&amp;number=&amp;sourceID=53","")</f>
        <v/>
      </c>
      <c r="N948" s="4" t="str">
        <f>HYPERLINK("http://141.218.60.56/~jnz1568/getInfo.php?workbook=16_15.xlsx&amp;sheet=A0&amp;row=948&amp;col=14&amp;number=&amp;sourceID=53","")</f>
        <v/>
      </c>
      <c r="O948" s="4" t="str">
        <f>HYPERLINK("http://141.218.60.56/~jnz1568/getInfo.php?workbook=16_15.xlsx&amp;sheet=A0&amp;row=948&amp;col=15&amp;number=&amp;sourceID=55","")</f>
        <v/>
      </c>
      <c r="P948" s="4" t="str">
        <f>HYPERLINK("http://141.218.60.56/~jnz1568/getInfo.php?workbook=16_15.xlsx&amp;sheet=A0&amp;row=948&amp;col=16&amp;number=&amp;sourceID=55","")</f>
        <v/>
      </c>
      <c r="Q948" s="4" t="str">
        <f>HYPERLINK("http://141.218.60.56/~jnz1568/getInfo.php?workbook=16_15.xlsx&amp;sheet=A0&amp;row=948&amp;col=17&amp;number=&amp;sourceID=56","")</f>
        <v/>
      </c>
      <c r="R948" s="4" t="str">
        <f>HYPERLINK("http://141.218.60.56/~jnz1568/getInfo.php?workbook=16_15.xlsx&amp;sheet=A0&amp;row=948&amp;col=18&amp;number=&amp;sourceID=56","")</f>
        <v/>
      </c>
      <c r="S948" s="4" t="str">
        <f>HYPERLINK("http://141.218.60.56/~jnz1568/getInfo.php?workbook=16_15.xlsx&amp;sheet=A0&amp;row=948&amp;col=19&amp;number=&amp;sourceID=57","")</f>
        <v/>
      </c>
      <c r="T948" s="4" t="str">
        <f>HYPERLINK("http://141.218.60.56/~jnz1568/getInfo.php?workbook=16_15.xlsx&amp;sheet=A0&amp;row=948&amp;col=20&amp;number=&amp;sourceID=57","")</f>
        <v/>
      </c>
      <c r="U948" s="4" t="str">
        <f>HYPERLINK("http://141.218.60.56/~jnz1568/getInfo.php?workbook=16_15.xlsx&amp;sheet=A0&amp;row=948&amp;col=21&amp;number=&amp;sourceID=47","")</f>
        <v/>
      </c>
      <c r="V948" s="4" t="str">
        <f>HYPERLINK("http://141.218.60.56/~jnz1568/getInfo.php?workbook=16_15.xlsx&amp;sheet=A0&amp;row=948&amp;col=22&amp;number=&amp;sourceID=47","")</f>
        <v/>
      </c>
    </row>
    <row r="949" spans="1:22">
      <c r="A949" s="3">
        <v>16</v>
      </c>
      <c r="B949" s="3">
        <v>15</v>
      </c>
      <c r="C949" s="3">
        <v>50</v>
      </c>
      <c r="D949" s="3">
        <v>9</v>
      </c>
      <c r="E949" s="3">
        <f>((1/(INDEX(E0!J$4:J$73,C949,1)-INDEX(E0!J$4:J$73,D949,1))))*100000000</f>
        <v>0</v>
      </c>
      <c r="F949" s="4" t="str">
        <f>HYPERLINK("http://141.218.60.56/~jnz1568/getInfo.php?workbook=16_15.xlsx&amp;sheet=A0&amp;row=949&amp;col=6&amp;number=&amp;sourceID=54","")</f>
        <v/>
      </c>
      <c r="G949" s="4" t="str">
        <f>HYPERLINK("http://141.218.60.56/~jnz1568/getInfo.php?workbook=16_15.xlsx&amp;sheet=A0&amp;row=949&amp;col=7&amp;number=0.14306&amp;sourceID=54","0.14306")</f>
        <v>0.14306</v>
      </c>
      <c r="H949" s="4" t="str">
        <f>HYPERLINK("http://141.218.60.56/~jnz1568/getInfo.php?workbook=16_15.xlsx&amp;sheet=A0&amp;row=949&amp;col=8&amp;number=0.0034835&amp;sourceID=54","0.0034835")</f>
        <v>0.0034835</v>
      </c>
      <c r="I949" s="4" t="str">
        <f>HYPERLINK("http://141.218.60.56/~jnz1568/getInfo.php?workbook=16_15.xlsx&amp;sheet=A0&amp;row=949&amp;col=9&amp;number=&amp;sourceID=54","")</f>
        <v/>
      </c>
      <c r="J949" s="4" t="str">
        <f>HYPERLINK("http://141.218.60.56/~jnz1568/getInfo.php?workbook=16_15.xlsx&amp;sheet=A0&amp;row=949&amp;col=10&amp;number=0.10766&amp;sourceID=54","0.10766")</f>
        <v>0.10766</v>
      </c>
      <c r="K949" s="4" t="str">
        <f>HYPERLINK("http://141.218.60.56/~jnz1568/getInfo.php?workbook=16_15.xlsx&amp;sheet=A0&amp;row=949&amp;col=11&amp;number=0.0031661&amp;sourceID=54","0.0031661")</f>
        <v>0.0031661</v>
      </c>
      <c r="L949" s="4" t="str">
        <f>HYPERLINK("http://141.218.60.56/~jnz1568/getInfo.php?workbook=16_15.xlsx&amp;sheet=A0&amp;row=949&amp;col=12&amp;number=&amp;sourceID=53","")</f>
        <v/>
      </c>
      <c r="M949" s="4" t="str">
        <f>HYPERLINK("http://141.218.60.56/~jnz1568/getInfo.php?workbook=16_15.xlsx&amp;sheet=A0&amp;row=949&amp;col=13&amp;number=&amp;sourceID=53","")</f>
        <v/>
      </c>
      <c r="N949" s="4" t="str">
        <f>HYPERLINK("http://141.218.60.56/~jnz1568/getInfo.php?workbook=16_15.xlsx&amp;sheet=A0&amp;row=949&amp;col=14&amp;number=&amp;sourceID=53","")</f>
        <v/>
      </c>
      <c r="O949" s="4" t="str">
        <f>HYPERLINK("http://141.218.60.56/~jnz1568/getInfo.php?workbook=16_15.xlsx&amp;sheet=A0&amp;row=949&amp;col=15&amp;number=&amp;sourceID=55","")</f>
        <v/>
      </c>
      <c r="P949" s="4" t="str">
        <f>HYPERLINK("http://141.218.60.56/~jnz1568/getInfo.php?workbook=16_15.xlsx&amp;sheet=A0&amp;row=949&amp;col=16&amp;number=&amp;sourceID=55","")</f>
        <v/>
      </c>
      <c r="Q949" s="4" t="str">
        <f>HYPERLINK("http://141.218.60.56/~jnz1568/getInfo.php?workbook=16_15.xlsx&amp;sheet=A0&amp;row=949&amp;col=17&amp;number=&amp;sourceID=56","")</f>
        <v/>
      </c>
      <c r="R949" s="4" t="str">
        <f>HYPERLINK("http://141.218.60.56/~jnz1568/getInfo.php?workbook=16_15.xlsx&amp;sheet=A0&amp;row=949&amp;col=18&amp;number=&amp;sourceID=56","")</f>
        <v/>
      </c>
      <c r="S949" s="4" t="str">
        <f>HYPERLINK("http://141.218.60.56/~jnz1568/getInfo.php?workbook=16_15.xlsx&amp;sheet=A0&amp;row=949&amp;col=19&amp;number=&amp;sourceID=57","")</f>
        <v/>
      </c>
      <c r="T949" s="4" t="str">
        <f>HYPERLINK("http://141.218.60.56/~jnz1568/getInfo.php?workbook=16_15.xlsx&amp;sheet=A0&amp;row=949&amp;col=20&amp;number=&amp;sourceID=57","")</f>
        <v/>
      </c>
      <c r="U949" s="4" t="str">
        <f>HYPERLINK("http://141.218.60.56/~jnz1568/getInfo.php?workbook=16_15.xlsx&amp;sheet=A0&amp;row=949&amp;col=21&amp;number=&amp;sourceID=47","")</f>
        <v/>
      </c>
      <c r="V949" s="4" t="str">
        <f>HYPERLINK("http://141.218.60.56/~jnz1568/getInfo.php?workbook=16_15.xlsx&amp;sheet=A0&amp;row=949&amp;col=22&amp;number=&amp;sourceID=47","")</f>
        <v/>
      </c>
    </row>
    <row r="950" spans="1:22">
      <c r="A950" s="3">
        <v>16</v>
      </c>
      <c r="B950" s="3">
        <v>15</v>
      </c>
      <c r="C950" s="3">
        <v>50</v>
      </c>
      <c r="D950" s="3">
        <v>10</v>
      </c>
      <c r="E950" s="3">
        <f>((1/(INDEX(E0!J$4:J$73,C950,1)-INDEX(E0!J$4:J$73,D950,1))))*100000000</f>
        <v>0</v>
      </c>
      <c r="F950" s="4" t="str">
        <f>HYPERLINK("http://141.218.60.56/~jnz1568/getInfo.php?workbook=16_15.xlsx&amp;sheet=A0&amp;row=950&amp;col=6&amp;number=&amp;sourceID=54","")</f>
        <v/>
      </c>
      <c r="G950" s="4" t="str">
        <f>HYPERLINK("http://141.218.60.56/~jnz1568/getInfo.php?workbook=16_15.xlsx&amp;sheet=A0&amp;row=950&amp;col=7&amp;number=1.3804&amp;sourceID=54","1.3804")</f>
        <v>1.3804</v>
      </c>
      <c r="H950" s="4" t="str">
        <f>HYPERLINK("http://141.218.60.56/~jnz1568/getInfo.php?workbook=16_15.xlsx&amp;sheet=A0&amp;row=950&amp;col=8&amp;number=0.070842&amp;sourceID=54","0.070842")</f>
        <v>0.070842</v>
      </c>
      <c r="I950" s="4" t="str">
        <f>HYPERLINK("http://141.218.60.56/~jnz1568/getInfo.php?workbook=16_15.xlsx&amp;sheet=A0&amp;row=950&amp;col=9&amp;number=&amp;sourceID=54","")</f>
        <v/>
      </c>
      <c r="J950" s="4" t="str">
        <f>HYPERLINK("http://141.218.60.56/~jnz1568/getInfo.php?workbook=16_15.xlsx&amp;sheet=A0&amp;row=950&amp;col=10&amp;number=1.2167&amp;sourceID=54","1.2167")</f>
        <v>1.2167</v>
      </c>
      <c r="K950" s="4" t="str">
        <f>HYPERLINK("http://141.218.60.56/~jnz1568/getInfo.php?workbook=16_15.xlsx&amp;sheet=A0&amp;row=950&amp;col=11&amp;number=0.065116&amp;sourceID=54","0.065116")</f>
        <v>0.065116</v>
      </c>
      <c r="L950" s="4" t="str">
        <f>HYPERLINK("http://141.218.60.56/~jnz1568/getInfo.php?workbook=16_15.xlsx&amp;sheet=A0&amp;row=950&amp;col=12&amp;number=&amp;sourceID=53","")</f>
        <v/>
      </c>
      <c r="M950" s="4" t="str">
        <f>HYPERLINK("http://141.218.60.56/~jnz1568/getInfo.php?workbook=16_15.xlsx&amp;sheet=A0&amp;row=950&amp;col=13&amp;number=&amp;sourceID=53","")</f>
        <v/>
      </c>
      <c r="N950" s="4" t="str">
        <f>HYPERLINK("http://141.218.60.56/~jnz1568/getInfo.php?workbook=16_15.xlsx&amp;sheet=A0&amp;row=950&amp;col=14&amp;number=&amp;sourceID=53","")</f>
        <v/>
      </c>
      <c r="O950" s="4" t="str">
        <f>HYPERLINK("http://141.218.60.56/~jnz1568/getInfo.php?workbook=16_15.xlsx&amp;sheet=A0&amp;row=950&amp;col=15&amp;number=&amp;sourceID=55","")</f>
        <v/>
      </c>
      <c r="P950" s="4" t="str">
        <f>HYPERLINK("http://141.218.60.56/~jnz1568/getInfo.php?workbook=16_15.xlsx&amp;sheet=A0&amp;row=950&amp;col=16&amp;number=&amp;sourceID=55","")</f>
        <v/>
      </c>
      <c r="Q950" s="4" t="str">
        <f>HYPERLINK("http://141.218.60.56/~jnz1568/getInfo.php?workbook=16_15.xlsx&amp;sheet=A0&amp;row=950&amp;col=17&amp;number=&amp;sourceID=56","")</f>
        <v/>
      </c>
      <c r="R950" s="4" t="str">
        <f>HYPERLINK("http://141.218.60.56/~jnz1568/getInfo.php?workbook=16_15.xlsx&amp;sheet=A0&amp;row=950&amp;col=18&amp;number=&amp;sourceID=56","")</f>
        <v/>
      </c>
      <c r="S950" s="4" t="str">
        <f>HYPERLINK("http://141.218.60.56/~jnz1568/getInfo.php?workbook=16_15.xlsx&amp;sheet=A0&amp;row=950&amp;col=19&amp;number=&amp;sourceID=57","")</f>
        <v/>
      </c>
      <c r="T950" s="4" t="str">
        <f>HYPERLINK("http://141.218.60.56/~jnz1568/getInfo.php?workbook=16_15.xlsx&amp;sheet=A0&amp;row=950&amp;col=20&amp;number=&amp;sourceID=57","")</f>
        <v/>
      </c>
      <c r="U950" s="4" t="str">
        <f>HYPERLINK("http://141.218.60.56/~jnz1568/getInfo.php?workbook=16_15.xlsx&amp;sheet=A0&amp;row=950&amp;col=21&amp;number=&amp;sourceID=47","")</f>
        <v/>
      </c>
      <c r="V950" s="4" t="str">
        <f>HYPERLINK("http://141.218.60.56/~jnz1568/getInfo.php?workbook=16_15.xlsx&amp;sheet=A0&amp;row=950&amp;col=22&amp;number=&amp;sourceID=47","")</f>
        <v/>
      </c>
    </row>
    <row r="951" spans="1:22">
      <c r="A951" s="3">
        <v>16</v>
      </c>
      <c r="B951" s="3">
        <v>15</v>
      </c>
      <c r="C951" s="3">
        <v>50</v>
      </c>
      <c r="D951" s="3">
        <v>11</v>
      </c>
      <c r="E951" s="3">
        <f>((1/(INDEX(E0!J$4:J$73,C951,1)-INDEX(E0!J$4:J$73,D951,1))))*100000000</f>
        <v>0</v>
      </c>
      <c r="F951" s="4" t="str">
        <f>HYPERLINK("http://141.218.60.56/~jnz1568/getInfo.php?workbook=16_15.xlsx&amp;sheet=A0&amp;row=951&amp;col=6&amp;number=&amp;sourceID=54","")</f>
        <v/>
      </c>
      <c r="G951" s="4" t="str">
        <f>HYPERLINK("http://141.218.60.56/~jnz1568/getInfo.php?workbook=16_15.xlsx&amp;sheet=A0&amp;row=951&amp;col=7&amp;number=11.062&amp;sourceID=54","11.062")</f>
        <v>11.062</v>
      </c>
      <c r="H951" s="4" t="str">
        <f>HYPERLINK("http://141.218.60.56/~jnz1568/getInfo.php?workbook=16_15.xlsx&amp;sheet=A0&amp;row=951&amp;col=8&amp;number=0.01139&amp;sourceID=54","0.01139")</f>
        <v>0.01139</v>
      </c>
      <c r="I951" s="4" t="str">
        <f>HYPERLINK("http://141.218.60.56/~jnz1568/getInfo.php?workbook=16_15.xlsx&amp;sheet=A0&amp;row=951&amp;col=9&amp;number=&amp;sourceID=54","")</f>
        <v/>
      </c>
      <c r="J951" s="4" t="str">
        <f>HYPERLINK("http://141.218.60.56/~jnz1568/getInfo.php?workbook=16_15.xlsx&amp;sheet=A0&amp;row=951&amp;col=10&amp;number=9.8305&amp;sourceID=54","9.8305")</f>
        <v>9.8305</v>
      </c>
      <c r="K951" s="4" t="str">
        <f>HYPERLINK("http://141.218.60.56/~jnz1568/getInfo.php?workbook=16_15.xlsx&amp;sheet=A0&amp;row=951&amp;col=11&amp;number=0.010517&amp;sourceID=54","0.010517")</f>
        <v>0.010517</v>
      </c>
      <c r="L951" s="4" t="str">
        <f>HYPERLINK("http://141.218.60.56/~jnz1568/getInfo.php?workbook=16_15.xlsx&amp;sheet=A0&amp;row=951&amp;col=12&amp;number=&amp;sourceID=53","")</f>
        <v/>
      </c>
      <c r="M951" s="4" t="str">
        <f>HYPERLINK("http://141.218.60.56/~jnz1568/getInfo.php?workbook=16_15.xlsx&amp;sheet=A0&amp;row=951&amp;col=13&amp;number=&amp;sourceID=53","")</f>
        <v/>
      </c>
      <c r="N951" s="4" t="str">
        <f>HYPERLINK("http://141.218.60.56/~jnz1568/getInfo.php?workbook=16_15.xlsx&amp;sheet=A0&amp;row=951&amp;col=14&amp;number=&amp;sourceID=53","")</f>
        <v/>
      </c>
      <c r="O951" s="4" t="str">
        <f>HYPERLINK("http://141.218.60.56/~jnz1568/getInfo.php?workbook=16_15.xlsx&amp;sheet=A0&amp;row=951&amp;col=15&amp;number=&amp;sourceID=55","")</f>
        <v/>
      </c>
      <c r="P951" s="4" t="str">
        <f>HYPERLINK("http://141.218.60.56/~jnz1568/getInfo.php?workbook=16_15.xlsx&amp;sheet=A0&amp;row=951&amp;col=16&amp;number=&amp;sourceID=55","")</f>
        <v/>
      </c>
      <c r="Q951" s="4" t="str">
        <f>HYPERLINK("http://141.218.60.56/~jnz1568/getInfo.php?workbook=16_15.xlsx&amp;sheet=A0&amp;row=951&amp;col=17&amp;number=&amp;sourceID=56","")</f>
        <v/>
      </c>
      <c r="R951" s="4" t="str">
        <f>HYPERLINK("http://141.218.60.56/~jnz1568/getInfo.php?workbook=16_15.xlsx&amp;sheet=A0&amp;row=951&amp;col=18&amp;number=&amp;sourceID=56","")</f>
        <v/>
      </c>
      <c r="S951" s="4" t="str">
        <f>HYPERLINK("http://141.218.60.56/~jnz1568/getInfo.php?workbook=16_15.xlsx&amp;sheet=A0&amp;row=951&amp;col=19&amp;number=&amp;sourceID=57","")</f>
        <v/>
      </c>
      <c r="T951" s="4" t="str">
        <f>HYPERLINK("http://141.218.60.56/~jnz1568/getInfo.php?workbook=16_15.xlsx&amp;sheet=A0&amp;row=951&amp;col=20&amp;number=&amp;sourceID=57","")</f>
        <v/>
      </c>
      <c r="U951" s="4" t="str">
        <f>HYPERLINK("http://141.218.60.56/~jnz1568/getInfo.php?workbook=16_15.xlsx&amp;sheet=A0&amp;row=951&amp;col=21&amp;number=&amp;sourceID=47","")</f>
        <v/>
      </c>
      <c r="V951" s="4" t="str">
        <f>HYPERLINK("http://141.218.60.56/~jnz1568/getInfo.php?workbook=16_15.xlsx&amp;sheet=A0&amp;row=951&amp;col=22&amp;number=&amp;sourceID=47","")</f>
        <v/>
      </c>
    </row>
    <row r="952" spans="1:22">
      <c r="A952" s="3">
        <v>16</v>
      </c>
      <c r="B952" s="3">
        <v>15</v>
      </c>
      <c r="C952" s="3">
        <v>50</v>
      </c>
      <c r="D952" s="3">
        <v>12</v>
      </c>
      <c r="E952" s="3">
        <f>((1/(INDEX(E0!J$4:J$73,C952,1)-INDEX(E0!J$4:J$73,D952,1))))*100000000</f>
        <v>0</v>
      </c>
      <c r="F952" s="4" t="str">
        <f>HYPERLINK("http://141.218.60.56/~jnz1568/getInfo.php?workbook=16_15.xlsx&amp;sheet=A0&amp;row=952&amp;col=6&amp;number=&amp;sourceID=54","")</f>
        <v/>
      </c>
      <c r="G952" s="4" t="str">
        <f>HYPERLINK("http://141.218.60.56/~jnz1568/getInfo.php?workbook=16_15.xlsx&amp;sheet=A0&amp;row=952&amp;col=7&amp;number=2.7208&amp;sourceID=54","2.7208")</f>
        <v>2.7208</v>
      </c>
      <c r="H952" s="4" t="str">
        <f>HYPERLINK("http://141.218.60.56/~jnz1568/getInfo.php?workbook=16_15.xlsx&amp;sheet=A0&amp;row=952&amp;col=8&amp;number=&amp;sourceID=54","")</f>
        <v/>
      </c>
      <c r="I952" s="4" t="str">
        <f>HYPERLINK("http://141.218.60.56/~jnz1568/getInfo.php?workbook=16_15.xlsx&amp;sheet=A0&amp;row=952&amp;col=9&amp;number=&amp;sourceID=54","")</f>
        <v/>
      </c>
      <c r="J952" s="4" t="str">
        <f>HYPERLINK("http://141.218.60.56/~jnz1568/getInfo.php?workbook=16_15.xlsx&amp;sheet=A0&amp;row=952&amp;col=10&amp;number=2.3866&amp;sourceID=54","2.3866")</f>
        <v>2.3866</v>
      </c>
      <c r="K952" s="4" t="str">
        <f>HYPERLINK("http://141.218.60.56/~jnz1568/getInfo.php?workbook=16_15.xlsx&amp;sheet=A0&amp;row=952&amp;col=11&amp;number=&amp;sourceID=54","")</f>
        <v/>
      </c>
      <c r="L952" s="4" t="str">
        <f>HYPERLINK("http://141.218.60.56/~jnz1568/getInfo.php?workbook=16_15.xlsx&amp;sheet=A0&amp;row=952&amp;col=12&amp;number=&amp;sourceID=53","")</f>
        <v/>
      </c>
      <c r="M952" s="4" t="str">
        <f>HYPERLINK("http://141.218.60.56/~jnz1568/getInfo.php?workbook=16_15.xlsx&amp;sheet=A0&amp;row=952&amp;col=13&amp;number=&amp;sourceID=53","")</f>
        <v/>
      </c>
      <c r="N952" s="4" t="str">
        <f>HYPERLINK("http://141.218.60.56/~jnz1568/getInfo.php?workbook=16_15.xlsx&amp;sheet=A0&amp;row=952&amp;col=14&amp;number=&amp;sourceID=53","")</f>
        <v/>
      </c>
      <c r="O952" s="4" t="str">
        <f>HYPERLINK("http://141.218.60.56/~jnz1568/getInfo.php?workbook=16_15.xlsx&amp;sheet=A0&amp;row=952&amp;col=15&amp;number=&amp;sourceID=55","")</f>
        <v/>
      </c>
      <c r="P952" s="4" t="str">
        <f>HYPERLINK("http://141.218.60.56/~jnz1568/getInfo.php?workbook=16_15.xlsx&amp;sheet=A0&amp;row=952&amp;col=16&amp;number=&amp;sourceID=55","")</f>
        <v/>
      </c>
      <c r="Q952" s="4" t="str">
        <f>HYPERLINK("http://141.218.60.56/~jnz1568/getInfo.php?workbook=16_15.xlsx&amp;sheet=A0&amp;row=952&amp;col=17&amp;number=&amp;sourceID=56","")</f>
        <v/>
      </c>
      <c r="R952" s="4" t="str">
        <f>HYPERLINK("http://141.218.60.56/~jnz1568/getInfo.php?workbook=16_15.xlsx&amp;sheet=A0&amp;row=952&amp;col=18&amp;number=&amp;sourceID=56","")</f>
        <v/>
      </c>
      <c r="S952" s="4" t="str">
        <f>HYPERLINK("http://141.218.60.56/~jnz1568/getInfo.php?workbook=16_15.xlsx&amp;sheet=A0&amp;row=952&amp;col=19&amp;number=&amp;sourceID=57","")</f>
        <v/>
      </c>
      <c r="T952" s="4" t="str">
        <f>HYPERLINK("http://141.218.60.56/~jnz1568/getInfo.php?workbook=16_15.xlsx&amp;sheet=A0&amp;row=952&amp;col=20&amp;number=&amp;sourceID=57","")</f>
        <v/>
      </c>
      <c r="U952" s="4" t="str">
        <f>HYPERLINK("http://141.218.60.56/~jnz1568/getInfo.php?workbook=16_15.xlsx&amp;sheet=A0&amp;row=952&amp;col=21&amp;number=&amp;sourceID=47","")</f>
        <v/>
      </c>
      <c r="V952" s="4" t="str">
        <f>HYPERLINK("http://141.218.60.56/~jnz1568/getInfo.php?workbook=16_15.xlsx&amp;sheet=A0&amp;row=952&amp;col=22&amp;number=&amp;sourceID=47","")</f>
        <v/>
      </c>
    </row>
    <row r="953" spans="1:22">
      <c r="A953" s="3">
        <v>16</v>
      </c>
      <c r="B953" s="3">
        <v>15</v>
      </c>
      <c r="C953" s="3">
        <v>50</v>
      </c>
      <c r="D953" s="3">
        <v>13</v>
      </c>
      <c r="E953" s="3">
        <f>((1/(INDEX(E0!J$4:J$73,C953,1)-INDEX(E0!J$4:J$73,D953,1))))*100000000</f>
        <v>0</v>
      </c>
      <c r="F953" s="4" t="str">
        <f>HYPERLINK("http://141.218.60.56/~jnz1568/getInfo.php?workbook=16_15.xlsx&amp;sheet=A0&amp;row=953&amp;col=6&amp;number=&amp;sourceID=54","")</f>
        <v/>
      </c>
      <c r="G953" s="4" t="str">
        <f>HYPERLINK("http://141.218.60.56/~jnz1568/getInfo.php?workbook=16_15.xlsx&amp;sheet=A0&amp;row=953&amp;col=7&amp;number=0.011014&amp;sourceID=54","0.011014")</f>
        <v>0.011014</v>
      </c>
      <c r="H953" s="4" t="str">
        <f>HYPERLINK("http://141.218.60.56/~jnz1568/getInfo.php?workbook=16_15.xlsx&amp;sheet=A0&amp;row=953&amp;col=8&amp;number=&amp;sourceID=54","")</f>
        <v/>
      </c>
      <c r="I953" s="4" t="str">
        <f>HYPERLINK("http://141.218.60.56/~jnz1568/getInfo.php?workbook=16_15.xlsx&amp;sheet=A0&amp;row=953&amp;col=9&amp;number=&amp;sourceID=54","")</f>
        <v/>
      </c>
      <c r="J953" s="4" t="str">
        <f>HYPERLINK("http://141.218.60.56/~jnz1568/getInfo.php?workbook=16_15.xlsx&amp;sheet=A0&amp;row=953&amp;col=10&amp;number=0.013904&amp;sourceID=54","0.013904")</f>
        <v>0.013904</v>
      </c>
      <c r="K953" s="4" t="str">
        <f>HYPERLINK("http://141.218.60.56/~jnz1568/getInfo.php?workbook=16_15.xlsx&amp;sheet=A0&amp;row=953&amp;col=11&amp;number=&amp;sourceID=54","")</f>
        <v/>
      </c>
      <c r="L953" s="4" t="str">
        <f>HYPERLINK("http://141.218.60.56/~jnz1568/getInfo.php?workbook=16_15.xlsx&amp;sheet=A0&amp;row=953&amp;col=12&amp;number=&amp;sourceID=53","")</f>
        <v/>
      </c>
      <c r="M953" s="4" t="str">
        <f>HYPERLINK("http://141.218.60.56/~jnz1568/getInfo.php?workbook=16_15.xlsx&amp;sheet=A0&amp;row=953&amp;col=13&amp;number=&amp;sourceID=53","")</f>
        <v/>
      </c>
      <c r="N953" s="4" t="str">
        <f>HYPERLINK("http://141.218.60.56/~jnz1568/getInfo.php?workbook=16_15.xlsx&amp;sheet=A0&amp;row=953&amp;col=14&amp;number=&amp;sourceID=53","")</f>
        <v/>
      </c>
      <c r="O953" s="4" t="str">
        <f>HYPERLINK("http://141.218.60.56/~jnz1568/getInfo.php?workbook=16_15.xlsx&amp;sheet=A0&amp;row=953&amp;col=15&amp;number=&amp;sourceID=55","")</f>
        <v/>
      </c>
      <c r="P953" s="4" t="str">
        <f>HYPERLINK("http://141.218.60.56/~jnz1568/getInfo.php?workbook=16_15.xlsx&amp;sheet=A0&amp;row=953&amp;col=16&amp;number=&amp;sourceID=55","")</f>
        <v/>
      </c>
      <c r="Q953" s="4" t="str">
        <f>HYPERLINK("http://141.218.60.56/~jnz1568/getInfo.php?workbook=16_15.xlsx&amp;sheet=A0&amp;row=953&amp;col=17&amp;number=&amp;sourceID=56","")</f>
        <v/>
      </c>
      <c r="R953" s="4" t="str">
        <f>HYPERLINK("http://141.218.60.56/~jnz1568/getInfo.php?workbook=16_15.xlsx&amp;sheet=A0&amp;row=953&amp;col=18&amp;number=&amp;sourceID=56","")</f>
        <v/>
      </c>
      <c r="S953" s="4" t="str">
        <f>HYPERLINK("http://141.218.60.56/~jnz1568/getInfo.php?workbook=16_15.xlsx&amp;sheet=A0&amp;row=953&amp;col=19&amp;number=&amp;sourceID=57","")</f>
        <v/>
      </c>
      <c r="T953" s="4" t="str">
        <f>HYPERLINK("http://141.218.60.56/~jnz1568/getInfo.php?workbook=16_15.xlsx&amp;sheet=A0&amp;row=953&amp;col=20&amp;number=&amp;sourceID=57","")</f>
        <v/>
      </c>
      <c r="U953" s="4" t="str">
        <f>HYPERLINK("http://141.218.60.56/~jnz1568/getInfo.php?workbook=16_15.xlsx&amp;sheet=A0&amp;row=953&amp;col=21&amp;number=&amp;sourceID=47","")</f>
        <v/>
      </c>
      <c r="V953" s="4" t="str">
        <f>HYPERLINK("http://141.218.60.56/~jnz1568/getInfo.php?workbook=16_15.xlsx&amp;sheet=A0&amp;row=953&amp;col=22&amp;number=&amp;sourceID=47","")</f>
        <v/>
      </c>
    </row>
    <row r="954" spans="1:22">
      <c r="A954" s="3">
        <v>16</v>
      </c>
      <c r="B954" s="3">
        <v>15</v>
      </c>
      <c r="C954" s="3">
        <v>50</v>
      </c>
      <c r="D954" s="3">
        <v>14</v>
      </c>
      <c r="E954" s="3">
        <f>((1/(INDEX(E0!J$4:J$73,C954,1)-INDEX(E0!J$4:J$73,D954,1))))*100000000</f>
        <v>0</v>
      </c>
      <c r="F954" s="4" t="str">
        <f>HYPERLINK("http://141.218.60.56/~jnz1568/getInfo.php?workbook=16_15.xlsx&amp;sheet=A0&amp;row=954&amp;col=6&amp;number=&amp;sourceID=54","")</f>
        <v/>
      </c>
      <c r="G954" s="4" t="str">
        <f>HYPERLINK("http://141.218.60.56/~jnz1568/getInfo.php?workbook=16_15.xlsx&amp;sheet=A0&amp;row=954&amp;col=7&amp;number=0.07285&amp;sourceID=54","0.07285")</f>
        <v>0.07285</v>
      </c>
      <c r="H954" s="4" t="str">
        <f>HYPERLINK("http://141.218.60.56/~jnz1568/getInfo.php?workbook=16_15.xlsx&amp;sheet=A0&amp;row=954&amp;col=8&amp;number=0.0001221&amp;sourceID=54","0.0001221")</f>
        <v>0.0001221</v>
      </c>
      <c r="I954" s="4" t="str">
        <f>HYPERLINK("http://141.218.60.56/~jnz1568/getInfo.php?workbook=16_15.xlsx&amp;sheet=A0&amp;row=954&amp;col=9&amp;number=&amp;sourceID=54","")</f>
        <v/>
      </c>
      <c r="J954" s="4" t="str">
        <f>HYPERLINK("http://141.218.60.56/~jnz1568/getInfo.php?workbook=16_15.xlsx&amp;sheet=A0&amp;row=954&amp;col=10&amp;number=0.080446&amp;sourceID=54","0.080446")</f>
        <v>0.080446</v>
      </c>
      <c r="K954" s="4" t="str">
        <f>HYPERLINK("http://141.218.60.56/~jnz1568/getInfo.php?workbook=16_15.xlsx&amp;sheet=A0&amp;row=954&amp;col=11&amp;number=0.00010199&amp;sourceID=54","0.00010199")</f>
        <v>0.00010199</v>
      </c>
      <c r="L954" s="4" t="str">
        <f>HYPERLINK("http://141.218.60.56/~jnz1568/getInfo.php?workbook=16_15.xlsx&amp;sheet=A0&amp;row=954&amp;col=12&amp;number=&amp;sourceID=53","")</f>
        <v/>
      </c>
      <c r="M954" s="4" t="str">
        <f>HYPERLINK("http://141.218.60.56/~jnz1568/getInfo.php?workbook=16_15.xlsx&amp;sheet=A0&amp;row=954&amp;col=13&amp;number=&amp;sourceID=53","")</f>
        <v/>
      </c>
      <c r="N954" s="4" t="str">
        <f>HYPERLINK("http://141.218.60.56/~jnz1568/getInfo.php?workbook=16_15.xlsx&amp;sheet=A0&amp;row=954&amp;col=14&amp;number=&amp;sourceID=53","")</f>
        <v/>
      </c>
      <c r="O954" s="4" t="str">
        <f>HYPERLINK("http://141.218.60.56/~jnz1568/getInfo.php?workbook=16_15.xlsx&amp;sheet=A0&amp;row=954&amp;col=15&amp;number=&amp;sourceID=55","")</f>
        <v/>
      </c>
      <c r="P954" s="4" t="str">
        <f>HYPERLINK("http://141.218.60.56/~jnz1568/getInfo.php?workbook=16_15.xlsx&amp;sheet=A0&amp;row=954&amp;col=16&amp;number=&amp;sourceID=55","")</f>
        <v/>
      </c>
      <c r="Q954" s="4" t="str">
        <f>HYPERLINK("http://141.218.60.56/~jnz1568/getInfo.php?workbook=16_15.xlsx&amp;sheet=A0&amp;row=954&amp;col=17&amp;number=&amp;sourceID=56","")</f>
        <v/>
      </c>
      <c r="R954" s="4" t="str">
        <f>HYPERLINK("http://141.218.60.56/~jnz1568/getInfo.php?workbook=16_15.xlsx&amp;sheet=A0&amp;row=954&amp;col=18&amp;number=&amp;sourceID=56","")</f>
        <v/>
      </c>
      <c r="S954" s="4" t="str">
        <f>HYPERLINK("http://141.218.60.56/~jnz1568/getInfo.php?workbook=16_15.xlsx&amp;sheet=A0&amp;row=954&amp;col=19&amp;number=&amp;sourceID=57","")</f>
        <v/>
      </c>
      <c r="T954" s="4" t="str">
        <f>HYPERLINK("http://141.218.60.56/~jnz1568/getInfo.php?workbook=16_15.xlsx&amp;sheet=A0&amp;row=954&amp;col=20&amp;number=&amp;sourceID=57","")</f>
        <v/>
      </c>
      <c r="U954" s="4" t="str">
        <f>HYPERLINK("http://141.218.60.56/~jnz1568/getInfo.php?workbook=16_15.xlsx&amp;sheet=A0&amp;row=954&amp;col=21&amp;number=&amp;sourceID=47","")</f>
        <v/>
      </c>
      <c r="V954" s="4" t="str">
        <f>HYPERLINK("http://141.218.60.56/~jnz1568/getInfo.php?workbook=16_15.xlsx&amp;sheet=A0&amp;row=954&amp;col=22&amp;number=&amp;sourceID=47","")</f>
        <v/>
      </c>
    </row>
    <row r="955" spans="1:22">
      <c r="A955" s="3">
        <v>16</v>
      </c>
      <c r="B955" s="3">
        <v>15</v>
      </c>
      <c r="C955" s="3">
        <v>50</v>
      </c>
      <c r="D955" s="3">
        <v>15</v>
      </c>
      <c r="E955" s="3">
        <f>((1/(INDEX(E0!J$4:J$73,C955,1)-INDEX(E0!J$4:J$73,D955,1))))*100000000</f>
        <v>0</v>
      </c>
      <c r="F955" s="4" t="str">
        <f>HYPERLINK("http://141.218.60.56/~jnz1568/getInfo.php?workbook=16_15.xlsx&amp;sheet=A0&amp;row=955&amp;col=6&amp;number=&amp;sourceID=54","")</f>
        <v/>
      </c>
      <c r="G955" s="4" t="str">
        <f>HYPERLINK("http://141.218.60.56/~jnz1568/getInfo.php?workbook=16_15.xlsx&amp;sheet=A0&amp;row=955&amp;col=7&amp;number=0.00013753&amp;sourceID=54","0.00013753")</f>
        <v>0.00013753</v>
      </c>
      <c r="H955" s="4" t="str">
        <f>HYPERLINK("http://141.218.60.56/~jnz1568/getInfo.php?workbook=16_15.xlsx&amp;sheet=A0&amp;row=955&amp;col=8&amp;number=0.001392&amp;sourceID=54","0.001392")</f>
        <v>0.001392</v>
      </c>
      <c r="I955" s="4" t="str">
        <f>HYPERLINK("http://141.218.60.56/~jnz1568/getInfo.php?workbook=16_15.xlsx&amp;sheet=A0&amp;row=955&amp;col=9&amp;number=&amp;sourceID=54","")</f>
        <v/>
      </c>
      <c r="J955" s="4" t="str">
        <f>HYPERLINK("http://141.218.60.56/~jnz1568/getInfo.php?workbook=16_15.xlsx&amp;sheet=A0&amp;row=955&amp;col=10&amp;number=0.00010881&amp;sourceID=54","0.00010881")</f>
        <v>0.00010881</v>
      </c>
      <c r="K955" s="4" t="str">
        <f>HYPERLINK("http://141.218.60.56/~jnz1568/getInfo.php?workbook=16_15.xlsx&amp;sheet=A0&amp;row=955&amp;col=11&amp;number=0.0015975&amp;sourceID=54","0.0015975")</f>
        <v>0.0015975</v>
      </c>
      <c r="L955" s="4" t="str">
        <f>HYPERLINK("http://141.218.60.56/~jnz1568/getInfo.php?workbook=16_15.xlsx&amp;sheet=A0&amp;row=955&amp;col=12&amp;number=&amp;sourceID=53","")</f>
        <v/>
      </c>
      <c r="M955" s="4" t="str">
        <f>HYPERLINK("http://141.218.60.56/~jnz1568/getInfo.php?workbook=16_15.xlsx&amp;sheet=A0&amp;row=955&amp;col=13&amp;number=&amp;sourceID=53","")</f>
        <v/>
      </c>
      <c r="N955" s="4" t="str">
        <f>HYPERLINK("http://141.218.60.56/~jnz1568/getInfo.php?workbook=16_15.xlsx&amp;sheet=A0&amp;row=955&amp;col=14&amp;number=&amp;sourceID=53","")</f>
        <v/>
      </c>
      <c r="O955" s="4" t="str">
        <f>HYPERLINK("http://141.218.60.56/~jnz1568/getInfo.php?workbook=16_15.xlsx&amp;sheet=A0&amp;row=955&amp;col=15&amp;number=&amp;sourceID=55","")</f>
        <v/>
      </c>
      <c r="P955" s="4" t="str">
        <f>HYPERLINK("http://141.218.60.56/~jnz1568/getInfo.php?workbook=16_15.xlsx&amp;sheet=A0&amp;row=955&amp;col=16&amp;number=&amp;sourceID=55","")</f>
        <v/>
      </c>
      <c r="Q955" s="4" t="str">
        <f>HYPERLINK("http://141.218.60.56/~jnz1568/getInfo.php?workbook=16_15.xlsx&amp;sheet=A0&amp;row=955&amp;col=17&amp;number=&amp;sourceID=56","")</f>
        <v/>
      </c>
      <c r="R955" s="4" t="str">
        <f>HYPERLINK("http://141.218.60.56/~jnz1568/getInfo.php?workbook=16_15.xlsx&amp;sheet=A0&amp;row=955&amp;col=18&amp;number=&amp;sourceID=56","")</f>
        <v/>
      </c>
      <c r="S955" s="4" t="str">
        <f>HYPERLINK("http://141.218.60.56/~jnz1568/getInfo.php?workbook=16_15.xlsx&amp;sheet=A0&amp;row=955&amp;col=19&amp;number=&amp;sourceID=57","")</f>
        <v/>
      </c>
      <c r="T955" s="4" t="str">
        <f>HYPERLINK("http://141.218.60.56/~jnz1568/getInfo.php?workbook=16_15.xlsx&amp;sheet=A0&amp;row=955&amp;col=20&amp;number=&amp;sourceID=57","")</f>
        <v/>
      </c>
      <c r="U955" s="4" t="str">
        <f>HYPERLINK("http://141.218.60.56/~jnz1568/getInfo.php?workbook=16_15.xlsx&amp;sheet=A0&amp;row=955&amp;col=21&amp;number=&amp;sourceID=47","")</f>
        <v/>
      </c>
      <c r="V955" s="4" t="str">
        <f>HYPERLINK("http://141.218.60.56/~jnz1568/getInfo.php?workbook=16_15.xlsx&amp;sheet=A0&amp;row=955&amp;col=22&amp;number=&amp;sourceID=47","")</f>
        <v/>
      </c>
    </row>
    <row r="956" spans="1:22">
      <c r="A956" s="3">
        <v>16</v>
      </c>
      <c r="B956" s="3">
        <v>15</v>
      </c>
      <c r="C956" s="3">
        <v>50</v>
      </c>
      <c r="D956" s="3">
        <v>16</v>
      </c>
      <c r="E956" s="3">
        <f>((1/(INDEX(E0!J$4:J$73,C956,1)-INDEX(E0!J$4:J$73,D956,1))))*100000000</f>
        <v>0</v>
      </c>
      <c r="F956" s="4" t="str">
        <f>HYPERLINK("http://141.218.60.56/~jnz1568/getInfo.php?workbook=16_15.xlsx&amp;sheet=A0&amp;row=956&amp;col=6&amp;number=&amp;sourceID=54","")</f>
        <v/>
      </c>
      <c r="G956" s="4" t="str">
        <f>HYPERLINK("http://141.218.60.56/~jnz1568/getInfo.php?workbook=16_15.xlsx&amp;sheet=A0&amp;row=956&amp;col=7&amp;number=0.0013739&amp;sourceID=54","0.0013739")</f>
        <v>0.0013739</v>
      </c>
      <c r="H956" s="4" t="str">
        <f>HYPERLINK("http://141.218.60.56/~jnz1568/getInfo.php?workbook=16_15.xlsx&amp;sheet=A0&amp;row=956&amp;col=8&amp;number=0.00060662&amp;sourceID=54","0.00060662")</f>
        <v>0.00060662</v>
      </c>
      <c r="I956" s="4" t="str">
        <f>HYPERLINK("http://141.218.60.56/~jnz1568/getInfo.php?workbook=16_15.xlsx&amp;sheet=A0&amp;row=956&amp;col=9&amp;number=&amp;sourceID=54","")</f>
        <v/>
      </c>
      <c r="J956" s="4" t="str">
        <f>HYPERLINK("http://141.218.60.56/~jnz1568/getInfo.php?workbook=16_15.xlsx&amp;sheet=A0&amp;row=956&amp;col=10&amp;number=0.0010593&amp;sourceID=54","0.0010593")</f>
        <v>0.0010593</v>
      </c>
      <c r="K956" s="4" t="str">
        <f>HYPERLINK("http://141.218.60.56/~jnz1568/getInfo.php?workbook=16_15.xlsx&amp;sheet=A0&amp;row=956&amp;col=11&amp;number=0.00048648&amp;sourceID=54","0.00048648")</f>
        <v>0.00048648</v>
      </c>
      <c r="L956" s="4" t="str">
        <f>HYPERLINK("http://141.218.60.56/~jnz1568/getInfo.php?workbook=16_15.xlsx&amp;sheet=A0&amp;row=956&amp;col=12&amp;number=&amp;sourceID=53","")</f>
        <v/>
      </c>
      <c r="M956" s="4" t="str">
        <f>HYPERLINK("http://141.218.60.56/~jnz1568/getInfo.php?workbook=16_15.xlsx&amp;sheet=A0&amp;row=956&amp;col=13&amp;number=&amp;sourceID=53","")</f>
        <v/>
      </c>
      <c r="N956" s="4" t="str">
        <f>HYPERLINK("http://141.218.60.56/~jnz1568/getInfo.php?workbook=16_15.xlsx&amp;sheet=A0&amp;row=956&amp;col=14&amp;number=&amp;sourceID=53","")</f>
        <v/>
      </c>
      <c r="O956" s="4" t="str">
        <f>HYPERLINK("http://141.218.60.56/~jnz1568/getInfo.php?workbook=16_15.xlsx&amp;sheet=A0&amp;row=956&amp;col=15&amp;number=&amp;sourceID=55","")</f>
        <v/>
      </c>
      <c r="P956" s="4" t="str">
        <f>HYPERLINK("http://141.218.60.56/~jnz1568/getInfo.php?workbook=16_15.xlsx&amp;sheet=A0&amp;row=956&amp;col=16&amp;number=&amp;sourceID=55","")</f>
        <v/>
      </c>
      <c r="Q956" s="4" t="str">
        <f>HYPERLINK("http://141.218.60.56/~jnz1568/getInfo.php?workbook=16_15.xlsx&amp;sheet=A0&amp;row=956&amp;col=17&amp;number=&amp;sourceID=56","")</f>
        <v/>
      </c>
      <c r="R956" s="4" t="str">
        <f>HYPERLINK("http://141.218.60.56/~jnz1568/getInfo.php?workbook=16_15.xlsx&amp;sheet=A0&amp;row=956&amp;col=18&amp;number=&amp;sourceID=56","")</f>
        <v/>
      </c>
      <c r="S956" s="4" t="str">
        <f>HYPERLINK("http://141.218.60.56/~jnz1568/getInfo.php?workbook=16_15.xlsx&amp;sheet=A0&amp;row=956&amp;col=19&amp;number=&amp;sourceID=57","")</f>
        <v/>
      </c>
      <c r="T956" s="4" t="str">
        <f>HYPERLINK("http://141.218.60.56/~jnz1568/getInfo.php?workbook=16_15.xlsx&amp;sheet=A0&amp;row=956&amp;col=20&amp;number=&amp;sourceID=57","")</f>
        <v/>
      </c>
      <c r="U956" s="4" t="str">
        <f>HYPERLINK("http://141.218.60.56/~jnz1568/getInfo.php?workbook=16_15.xlsx&amp;sheet=A0&amp;row=956&amp;col=21&amp;number=&amp;sourceID=47","")</f>
        <v/>
      </c>
      <c r="V956" s="4" t="str">
        <f>HYPERLINK("http://141.218.60.56/~jnz1568/getInfo.php?workbook=16_15.xlsx&amp;sheet=A0&amp;row=956&amp;col=22&amp;number=&amp;sourceID=47","")</f>
        <v/>
      </c>
    </row>
    <row r="957" spans="1:22">
      <c r="A957" s="3">
        <v>16</v>
      </c>
      <c r="B957" s="3">
        <v>15</v>
      </c>
      <c r="C957" s="3">
        <v>50</v>
      </c>
      <c r="D957" s="3">
        <v>17</v>
      </c>
      <c r="E957" s="3">
        <f>((1/(INDEX(E0!J$4:J$73,C957,1)-INDEX(E0!J$4:J$73,D957,1))))*100000000</f>
        <v>0</v>
      </c>
      <c r="F957" s="4" t="str">
        <f>HYPERLINK("http://141.218.60.56/~jnz1568/getInfo.php?workbook=16_15.xlsx&amp;sheet=A0&amp;row=957&amp;col=6&amp;number=&amp;sourceID=54","")</f>
        <v/>
      </c>
      <c r="G957" s="4" t="str">
        <f>HYPERLINK("http://141.218.60.56/~jnz1568/getInfo.php?workbook=16_15.xlsx&amp;sheet=A0&amp;row=957&amp;col=7&amp;number=6.8451e-06&amp;sourceID=54","6.8451e-06")</f>
        <v>6.8451e-06</v>
      </c>
      <c r="H957" s="4" t="str">
        <f>HYPERLINK("http://141.218.60.56/~jnz1568/getInfo.php?workbook=16_15.xlsx&amp;sheet=A0&amp;row=957&amp;col=8&amp;number=0.0049239&amp;sourceID=54","0.0049239")</f>
        <v>0.0049239</v>
      </c>
      <c r="I957" s="4" t="str">
        <f>HYPERLINK("http://141.218.60.56/~jnz1568/getInfo.php?workbook=16_15.xlsx&amp;sheet=A0&amp;row=957&amp;col=9&amp;number=&amp;sourceID=54","")</f>
        <v/>
      </c>
      <c r="J957" s="4" t="str">
        <f>HYPERLINK("http://141.218.60.56/~jnz1568/getInfo.php?workbook=16_15.xlsx&amp;sheet=A0&amp;row=957&amp;col=10&amp;number=1.3237e-06&amp;sourceID=54","1.3237e-06")</f>
        <v>1.3237e-06</v>
      </c>
      <c r="K957" s="4" t="str">
        <f>HYPERLINK("http://141.218.60.56/~jnz1568/getInfo.php?workbook=16_15.xlsx&amp;sheet=A0&amp;row=957&amp;col=11&amp;number=0.0029462&amp;sourceID=54","0.0029462")</f>
        <v>0.0029462</v>
      </c>
      <c r="L957" s="4" t="str">
        <f>HYPERLINK("http://141.218.60.56/~jnz1568/getInfo.php?workbook=16_15.xlsx&amp;sheet=A0&amp;row=957&amp;col=12&amp;number=&amp;sourceID=53","")</f>
        <v/>
      </c>
      <c r="M957" s="4" t="str">
        <f>HYPERLINK("http://141.218.60.56/~jnz1568/getInfo.php?workbook=16_15.xlsx&amp;sheet=A0&amp;row=957&amp;col=13&amp;number=&amp;sourceID=53","")</f>
        <v/>
      </c>
      <c r="N957" s="4" t="str">
        <f>HYPERLINK("http://141.218.60.56/~jnz1568/getInfo.php?workbook=16_15.xlsx&amp;sheet=A0&amp;row=957&amp;col=14&amp;number=&amp;sourceID=53","")</f>
        <v/>
      </c>
      <c r="O957" s="4" t="str">
        <f>HYPERLINK("http://141.218.60.56/~jnz1568/getInfo.php?workbook=16_15.xlsx&amp;sheet=A0&amp;row=957&amp;col=15&amp;number=&amp;sourceID=55","")</f>
        <v/>
      </c>
      <c r="P957" s="4" t="str">
        <f>HYPERLINK("http://141.218.60.56/~jnz1568/getInfo.php?workbook=16_15.xlsx&amp;sheet=A0&amp;row=957&amp;col=16&amp;number=&amp;sourceID=55","")</f>
        <v/>
      </c>
      <c r="Q957" s="4" t="str">
        <f>HYPERLINK("http://141.218.60.56/~jnz1568/getInfo.php?workbook=16_15.xlsx&amp;sheet=A0&amp;row=957&amp;col=17&amp;number=&amp;sourceID=56","")</f>
        <v/>
      </c>
      <c r="R957" s="4" t="str">
        <f>HYPERLINK("http://141.218.60.56/~jnz1568/getInfo.php?workbook=16_15.xlsx&amp;sheet=A0&amp;row=957&amp;col=18&amp;number=&amp;sourceID=56","")</f>
        <v/>
      </c>
      <c r="S957" s="4" t="str">
        <f>HYPERLINK("http://141.218.60.56/~jnz1568/getInfo.php?workbook=16_15.xlsx&amp;sheet=A0&amp;row=957&amp;col=19&amp;number=&amp;sourceID=57","")</f>
        <v/>
      </c>
      <c r="T957" s="4" t="str">
        <f>HYPERLINK("http://141.218.60.56/~jnz1568/getInfo.php?workbook=16_15.xlsx&amp;sheet=A0&amp;row=957&amp;col=20&amp;number=&amp;sourceID=57","")</f>
        <v/>
      </c>
      <c r="U957" s="4" t="str">
        <f>HYPERLINK("http://141.218.60.56/~jnz1568/getInfo.php?workbook=16_15.xlsx&amp;sheet=A0&amp;row=957&amp;col=21&amp;number=&amp;sourceID=47","")</f>
        <v/>
      </c>
      <c r="V957" s="4" t="str">
        <f>HYPERLINK("http://141.218.60.56/~jnz1568/getInfo.php?workbook=16_15.xlsx&amp;sheet=A0&amp;row=957&amp;col=22&amp;number=&amp;sourceID=47","")</f>
        <v/>
      </c>
    </row>
    <row r="958" spans="1:22">
      <c r="A958" s="3">
        <v>16</v>
      </c>
      <c r="B958" s="3">
        <v>15</v>
      </c>
      <c r="C958" s="3">
        <v>50</v>
      </c>
      <c r="D958" s="3">
        <v>18</v>
      </c>
      <c r="E958" s="3">
        <f>((1/(INDEX(E0!J$4:J$73,C958,1)-INDEX(E0!J$4:J$73,D958,1))))*100000000</f>
        <v>0</v>
      </c>
      <c r="F958" s="4" t="str">
        <f>HYPERLINK("http://141.218.60.56/~jnz1568/getInfo.php?workbook=16_15.xlsx&amp;sheet=A0&amp;row=958&amp;col=6&amp;number=&amp;sourceID=54","")</f>
        <v/>
      </c>
      <c r="G958" s="4" t="str">
        <f>HYPERLINK("http://141.218.60.56/~jnz1568/getInfo.php?workbook=16_15.xlsx&amp;sheet=A0&amp;row=958&amp;col=7&amp;number=0.00039207&amp;sourceID=54","0.00039207")</f>
        <v>0.00039207</v>
      </c>
      <c r="H958" s="4" t="str">
        <f>HYPERLINK("http://141.218.60.56/~jnz1568/getInfo.php?workbook=16_15.xlsx&amp;sheet=A0&amp;row=958&amp;col=8&amp;number=0.04184&amp;sourceID=54","0.04184")</f>
        <v>0.04184</v>
      </c>
      <c r="I958" s="4" t="str">
        <f>HYPERLINK("http://141.218.60.56/~jnz1568/getInfo.php?workbook=16_15.xlsx&amp;sheet=A0&amp;row=958&amp;col=9&amp;number=&amp;sourceID=54","")</f>
        <v/>
      </c>
      <c r="J958" s="4" t="str">
        <f>HYPERLINK("http://141.218.60.56/~jnz1568/getInfo.php?workbook=16_15.xlsx&amp;sheet=A0&amp;row=958&amp;col=10&amp;number=0.00032542&amp;sourceID=54","0.00032542")</f>
        <v>0.00032542</v>
      </c>
      <c r="K958" s="4" t="str">
        <f>HYPERLINK("http://141.218.60.56/~jnz1568/getInfo.php?workbook=16_15.xlsx&amp;sheet=A0&amp;row=958&amp;col=11&amp;number=0.040391&amp;sourceID=54","0.040391")</f>
        <v>0.040391</v>
      </c>
      <c r="L958" s="4" t="str">
        <f>HYPERLINK("http://141.218.60.56/~jnz1568/getInfo.php?workbook=16_15.xlsx&amp;sheet=A0&amp;row=958&amp;col=12&amp;number=&amp;sourceID=53","")</f>
        <v/>
      </c>
      <c r="M958" s="4" t="str">
        <f>HYPERLINK("http://141.218.60.56/~jnz1568/getInfo.php?workbook=16_15.xlsx&amp;sheet=A0&amp;row=958&amp;col=13&amp;number=&amp;sourceID=53","")</f>
        <v/>
      </c>
      <c r="N958" s="4" t="str">
        <f>HYPERLINK("http://141.218.60.56/~jnz1568/getInfo.php?workbook=16_15.xlsx&amp;sheet=A0&amp;row=958&amp;col=14&amp;number=&amp;sourceID=53","")</f>
        <v/>
      </c>
      <c r="O958" s="4" t="str">
        <f>HYPERLINK("http://141.218.60.56/~jnz1568/getInfo.php?workbook=16_15.xlsx&amp;sheet=A0&amp;row=958&amp;col=15&amp;number=&amp;sourceID=55","")</f>
        <v/>
      </c>
      <c r="P958" s="4" t="str">
        <f>HYPERLINK("http://141.218.60.56/~jnz1568/getInfo.php?workbook=16_15.xlsx&amp;sheet=A0&amp;row=958&amp;col=16&amp;number=&amp;sourceID=55","")</f>
        <v/>
      </c>
      <c r="Q958" s="4" t="str">
        <f>HYPERLINK("http://141.218.60.56/~jnz1568/getInfo.php?workbook=16_15.xlsx&amp;sheet=A0&amp;row=958&amp;col=17&amp;number=&amp;sourceID=56","")</f>
        <v/>
      </c>
      <c r="R958" s="4" t="str">
        <f>HYPERLINK("http://141.218.60.56/~jnz1568/getInfo.php?workbook=16_15.xlsx&amp;sheet=A0&amp;row=958&amp;col=18&amp;number=&amp;sourceID=56","")</f>
        <v/>
      </c>
      <c r="S958" s="4" t="str">
        <f>HYPERLINK("http://141.218.60.56/~jnz1568/getInfo.php?workbook=16_15.xlsx&amp;sheet=A0&amp;row=958&amp;col=19&amp;number=&amp;sourceID=57","")</f>
        <v/>
      </c>
      <c r="T958" s="4" t="str">
        <f>HYPERLINK("http://141.218.60.56/~jnz1568/getInfo.php?workbook=16_15.xlsx&amp;sheet=A0&amp;row=958&amp;col=20&amp;number=&amp;sourceID=57","")</f>
        <v/>
      </c>
      <c r="U958" s="4" t="str">
        <f>HYPERLINK("http://141.218.60.56/~jnz1568/getInfo.php?workbook=16_15.xlsx&amp;sheet=A0&amp;row=958&amp;col=21&amp;number=&amp;sourceID=47","")</f>
        <v/>
      </c>
      <c r="V958" s="4" t="str">
        <f>HYPERLINK("http://141.218.60.56/~jnz1568/getInfo.php?workbook=16_15.xlsx&amp;sheet=A0&amp;row=958&amp;col=22&amp;number=&amp;sourceID=47","")</f>
        <v/>
      </c>
    </row>
    <row r="959" spans="1:22">
      <c r="A959" s="3">
        <v>16</v>
      </c>
      <c r="B959" s="3">
        <v>15</v>
      </c>
      <c r="C959" s="3">
        <v>50</v>
      </c>
      <c r="D959" s="3">
        <v>19</v>
      </c>
      <c r="E959" s="3">
        <f>((1/(INDEX(E0!J$4:J$73,C959,1)-INDEX(E0!J$4:J$73,D959,1))))*100000000</f>
        <v>0</v>
      </c>
      <c r="F959" s="4" t="str">
        <f>HYPERLINK("http://141.218.60.56/~jnz1568/getInfo.php?workbook=16_15.xlsx&amp;sheet=A0&amp;row=959&amp;col=6&amp;number=&amp;sourceID=54","")</f>
        <v/>
      </c>
      <c r="G959" s="4" t="str">
        <f>HYPERLINK("http://141.218.60.56/~jnz1568/getInfo.php?workbook=16_15.xlsx&amp;sheet=A0&amp;row=959&amp;col=7&amp;number=0.00037699&amp;sourceID=54","0.00037699")</f>
        <v>0.00037699</v>
      </c>
      <c r="H959" s="4" t="str">
        <f>HYPERLINK("http://141.218.60.56/~jnz1568/getInfo.php?workbook=16_15.xlsx&amp;sheet=A0&amp;row=959&amp;col=8&amp;number=&amp;sourceID=54","")</f>
        <v/>
      </c>
      <c r="I959" s="4" t="str">
        <f>HYPERLINK("http://141.218.60.56/~jnz1568/getInfo.php?workbook=16_15.xlsx&amp;sheet=A0&amp;row=959&amp;col=9&amp;number=&amp;sourceID=54","")</f>
        <v/>
      </c>
      <c r="J959" s="4" t="str">
        <f>HYPERLINK("http://141.218.60.56/~jnz1568/getInfo.php?workbook=16_15.xlsx&amp;sheet=A0&amp;row=959&amp;col=10&amp;number=0.00037024&amp;sourceID=54","0.00037024")</f>
        <v>0.00037024</v>
      </c>
      <c r="K959" s="4" t="str">
        <f>HYPERLINK("http://141.218.60.56/~jnz1568/getInfo.php?workbook=16_15.xlsx&amp;sheet=A0&amp;row=959&amp;col=11&amp;number=&amp;sourceID=54","")</f>
        <v/>
      </c>
      <c r="L959" s="4" t="str">
        <f>HYPERLINK("http://141.218.60.56/~jnz1568/getInfo.php?workbook=16_15.xlsx&amp;sheet=A0&amp;row=959&amp;col=12&amp;number=&amp;sourceID=53","")</f>
        <v/>
      </c>
      <c r="M959" s="4" t="str">
        <f>HYPERLINK("http://141.218.60.56/~jnz1568/getInfo.php?workbook=16_15.xlsx&amp;sheet=A0&amp;row=959&amp;col=13&amp;number=&amp;sourceID=53","")</f>
        <v/>
      </c>
      <c r="N959" s="4" t="str">
        <f>HYPERLINK("http://141.218.60.56/~jnz1568/getInfo.php?workbook=16_15.xlsx&amp;sheet=A0&amp;row=959&amp;col=14&amp;number=&amp;sourceID=53","")</f>
        <v/>
      </c>
      <c r="O959" s="4" t="str">
        <f>HYPERLINK("http://141.218.60.56/~jnz1568/getInfo.php?workbook=16_15.xlsx&amp;sheet=A0&amp;row=959&amp;col=15&amp;number=&amp;sourceID=55","")</f>
        <v/>
      </c>
      <c r="P959" s="4" t="str">
        <f>HYPERLINK("http://141.218.60.56/~jnz1568/getInfo.php?workbook=16_15.xlsx&amp;sheet=A0&amp;row=959&amp;col=16&amp;number=&amp;sourceID=55","")</f>
        <v/>
      </c>
      <c r="Q959" s="4" t="str">
        <f>HYPERLINK("http://141.218.60.56/~jnz1568/getInfo.php?workbook=16_15.xlsx&amp;sheet=A0&amp;row=959&amp;col=17&amp;number=&amp;sourceID=56","")</f>
        <v/>
      </c>
      <c r="R959" s="4" t="str">
        <f>HYPERLINK("http://141.218.60.56/~jnz1568/getInfo.php?workbook=16_15.xlsx&amp;sheet=A0&amp;row=959&amp;col=18&amp;number=&amp;sourceID=56","")</f>
        <v/>
      </c>
      <c r="S959" s="4" t="str">
        <f>HYPERLINK("http://141.218.60.56/~jnz1568/getInfo.php?workbook=16_15.xlsx&amp;sheet=A0&amp;row=959&amp;col=19&amp;number=&amp;sourceID=57","")</f>
        <v/>
      </c>
      <c r="T959" s="4" t="str">
        <f>HYPERLINK("http://141.218.60.56/~jnz1568/getInfo.php?workbook=16_15.xlsx&amp;sheet=A0&amp;row=959&amp;col=20&amp;number=&amp;sourceID=57","")</f>
        <v/>
      </c>
      <c r="U959" s="4" t="str">
        <f>HYPERLINK("http://141.218.60.56/~jnz1568/getInfo.php?workbook=16_15.xlsx&amp;sheet=A0&amp;row=959&amp;col=21&amp;number=&amp;sourceID=47","")</f>
        <v/>
      </c>
      <c r="V959" s="4" t="str">
        <f>HYPERLINK("http://141.218.60.56/~jnz1568/getInfo.php?workbook=16_15.xlsx&amp;sheet=A0&amp;row=959&amp;col=22&amp;number=&amp;sourceID=47","")</f>
        <v/>
      </c>
    </row>
    <row r="960" spans="1:22">
      <c r="A960" s="3">
        <v>16</v>
      </c>
      <c r="B960" s="3">
        <v>15</v>
      </c>
      <c r="C960" s="3">
        <v>50</v>
      </c>
      <c r="D960" s="3">
        <v>20</v>
      </c>
      <c r="E960" s="3">
        <f>((1/(INDEX(E0!J$4:J$73,C960,1)-INDEX(E0!J$4:J$73,D960,1))))*100000000</f>
        <v>0</v>
      </c>
      <c r="F960" s="4" t="str">
        <f>HYPERLINK("http://141.218.60.56/~jnz1568/getInfo.php?workbook=16_15.xlsx&amp;sheet=A0&amp;row=960&amp;col=6&amp;number=&amp;sourceID=54","")</f>
        <v/>
      </c>
      <c r="G960" s="4" t="str">
        <f>HYPERLINK("http://141.218.60.56/~jnz1568/getInfo.php?workbook=16_15.xlsx&amp;sheet=A0&amp;row=960&amp;col=7&amp;number=8.8539&amp;sourceID=54","8.8539")</f>
        <v>8.8539</v>
      </c>
      <c r="H960" s="4" t="str">
        <f>HYPERLINK("http://141.218.60.56/~jnz1568/getInfo.php?workbook=16_15.xlsx&amp;sheet=A0&amp;row=960&amp;col=8&amp;number=&amp;sourceID=54","")</f>
        <v/>
      </c>
      <c r="I960" s="4" t="str">
        <f>HYPERLINK("http://141.218.60.56/~jnz1568/getInfo.php?workbook=16_15.xlsx&amp;sheet=A0&amp;row=960&amp;col=9&amp;number=&amp;sourceID=54","")</f>
        <v/>
      </c>
      <c r="J960" s="4" t="str">
        <f>HYPERLINK("http://141.218.60.56/~jnz1568/getInfo.php?workbook=16_15.xlsx&amp;sheet=A0&amp;row=960&amp;col=10&amp;number=7.0954&amp;sourceID=54","7.0954")</f>
        <v>7.0954</v>
      </c>
      <c r="K960" s="4" t="str">
        <f>HYPERLINK("http://141.218.60.56/~jnz1568/getInfo.php?workbook=16_15.xlsx&amp;sheet=A0&amp;row=960&amp;col=11&amp;number=&amp;sourceID=54","")</f>
        <v/>
      </c>
      <c r="L960" s="4" t="str">
        <f>HYPERLINK("http://141.218.60.56/~jnz1568/getInfo.php?workbook=16_15.xlsx&amp;sheet=A0&amp;row=960&amp;col=12&amp;number=&amp;sourceID=53","")</f>
        <v/>
      </c>
      <c r="M960" s="4" t="str">
        <f>HYPERLINK("http://141.218.60.56/~jnz1568/getInfo.php?workbook=16_15.xlsx&amp;sheet=A0&amp;row=960&amp;col=13&amp;number=&amp;sourceID=53","")</f>
        <v/>
      </c>
      <c r="N960" s="4" t="str">
        <f>HYPERLINK("http://141.218.60.56/~jnz1568/getInfo.php?workbook=16_15.xlsx&amp;sheet=A0&amp;row=960&amp;col=14&amp;number=&amp;sourceID=53","")</f>
        <v/>
      </c>
      <c r="O960" s="4" t="str">
        <f>HYPERLINK("http://141.218.60.56/~jnz1568/getInfo.php?workbook=16_15.xlsx&amp;sheet=A0&amp;row=960&amp;col=15&amp;number=&amp;sourceID=55","")</f>
        <v/>
      </c>
      <c r="P960" s="4" t="str">
        <f>HYPERLINK("http://141.218.60.56/~jnz1568/getInfo.php?workbook=16_15.xlsx&amp;sheet=A0&amp;row=960&amp;col=16&amp;number=&amp;sourceID=55","")</f>
        <v/>
      </c>
      <c r="Q960" s="4" t="str">
        <f>HYPERLINK("http://141.218.60.56/~jnz1568/getInfo.php?workbook=16_15.xlsx&amp;sheet=A0&amp;row=960&amp;col=17&amp;number=&amp;sourceID=56","")</f>
        <v/>
      </c>
      <c r="R960" s="4" t="str">
        <f>HYPERLINK("http://141.218.60.56/~jnz1568/getInfo.php?workbook=16_15.xlsx&amp;sheet=A0&amp;row=960&amp;col=18&amp;number=&amp;sourceID=56","")</f>
        <v/>
      </c>
      <c r="S960" s="4" t="str">
        <f>HYPERLINK("http://141.218.60.56/~jnz1568/getInfo.php?workbook=16_15.xlsx&amp;sheet=A0&amp;row=960&amp;col=19&amp;number=&amp;sourceID=57","")</f>
        <v/>
      </c>
      <c r="T960" s="4" t="str">
        <f>HYPERLINK("http://141.218.60.56/~jnz1568/getInfo.php?workbook=16_15.xlsx&amp;sheet=A0&amp;row=960&amp;col=20&amp;number=&amp;sourceID=57","")</f>
        <v/>
      </c>
      <c r="U960" s="4" t="str">
        <f>HYPERLINK("http://141.218.60.56/~jnz1568/getInfo.php?workbook=16_15.xlsx&amp;sheet=A0&amp;row=960&amp;col=21&amp;number=&amp;sourceID=47","")</f>
        <v/>
      </c>
      <c r="V960" s="4" t="str">
        <f>HYPERLINK("http://141.218.60.56/~jnz1568/getInfo.php?workbook=16_15.xlsx&amp;sheet=A0&amp;row=960&amp;col=22&amp;number=&amp;sourceID=47","")</f>
        <v/>
      </c>
    </row>
    <row r="961" spans="1:22">
      <c r="A961" s="3">
        <v>16</v>
      </c>
      <c r="B961" s="3">
        <v>15</v>
      </c>
      <c r="C961" s="3">
        <v>50</v>
      </c>
      <c r="D961" s="3">
        <v>21</v>
      </c>
      <c r="E961" s="3">
        <f>((1/(INDEX(E0!J$4:J$73,C961,1)-INDEX(E0!J$4:J$73,D961,1))))*100000000</f>
        <v>0</v>
      </c>
      <c r="F961" s="4" t="str">
        <f>HYPERLINK("http://141.218.60.56/~jnz1568/getInfo.php?workbook=16_15.xlsx&amp;sheet=A0&amp;row=961&amp;col=6&amp;number=&amp;sourceID=54","")</f>
        <v/>
      </c>
      <c r="G961" s="4" t="str">
        <f>HYPERLINK("http://141.218.60.56/~jnz1568/getInfo.php?workbook=16_15.xlsx&amp;sheet=A0&amp;row=961&amp;col=7&amp;number=23.514&amp;sourceID=54","23.514")</f>
        <v>23.514</v>
      </c>
      <c r="H961" s="4" t="str">
        <f>HYPERLINK("http://141.218.60.56/~jnz1568/getInfo.php?workbook=16_15.xlsx&amp;sheet=A0&amp;row=961&amp;col=8&amp;number=7.8018e-07&amp;sourceID=54","7.8018e-07")</f>
        <v>7.8018e-07</v>
      </c>
      <c r="I961" s="4" t="str">
        <f>HYPERLINK("http://141.218.60.56/~jnz1568/getInfo.php?workbook=16_15.xlsx&amp;sheet=A0&amp;row=961&amp;col=9&amp;number=&amp;sourceID=54","")</f>
        <v/>
      </c>
      <c r="J961" s="4" t="str">
        <f>HYPERLINK("http://141.218.60.56/~jnz1568/getInfo.php?workbook=16_15.xlsx&amp;sheet=A0&amp;row=961&amp;col=10&amp;number=18.2&amp;sourceID=54","18.2")</f>
        <v>18.2</v>
      </c>
      <c r="K961" s="4" t="str">
        <f>HYPERLINK("http://141.218.60.56/~jnz1568/getInfo.php?workbook=16_15.xlsx&amp;sheet=A0&amp;row=961&amp;col=11&amp;number=9.0408e-07&amp;sourceID=54","9.0408e-07")</f>
        <v>9.0408e-07</v>
      </c>
      <c r="L961" s="4" t="str">
        <f>HYPERLINK("http://141.218.60.56/~jnz1568/getInfo.php?workbook=16_15.xlsx&amp;sheet=A0&amp;row=961&amp;col=12&amp;number=&amp;sourceID=53","")</f>
        <v/>
      </c>
      <c r="M961" s="4" t="str">
        <f>HYPERLINK("http://141.218.60.56/~jnz1568/getInfo.php?workbook=16_15.xlsx&amp;sheet=A0&amp;row=961&amp;col=13&amp;number=&amp;sourceID=53","")</f>
        <v/>
      </c>
      <c r="N961" s="4" t="str">
        <f>HYPERLINK("http://141.218.60.56/~jnz1568/getInfo.php?workbook=16_15.xlsx&amp;sheet=A0&amp;row=961&amp;col=14&amp;number=&amp;sourceID=53","")</f>
        <v/>
      </c>
      <c r="O961" s="4" t="str">
        <f>HYPERLINK("http://141.218.60.56/~jnz1568/getInfo.php?workbook=16_15.xlsx&amp;sheet=A0&amp;row=961&amp;col=15&amp;number=&amp;sourceID=55","")</f>
        <v/>
      </c>
      <c r="P961" s="4" t="str">
        <f>HYPERLINK("http://141.218.60.56/~jnz1568/getInfo.php?workbook=16_15.xlsx&amp;sheet=A0&amp;row=961&amp;col=16&amp;number=&amp;sourceID=55","")</f>
        <v/>
      </c>
      <c r="Q961" s="4" t="str">
        <f>HYPERLINK("http://141.218.60.56/~jnz1568/getInfo.php?workbook=16_15.xlsx&amp;sheet=A0&amp;row=961&amp;col=17&amp;number=&amp;sourceID=56","")</f>
        <v/>
      </c>
      <c r="R961" s="4" t="str">
        <f>HYPERLINK("http://141.218.60.56/~jnz1568/getInfo.php?workbook=16_15.xlsx&amp;sheet=A0&amp;row=961&amp;col=18&amp;number=&amp;sourceID=56","")</f>
        <v/>
      </c>
      <c r="S961" s="4" t="str">
        <f>HYPERLINK("http://141.218.60.56/~jnz1568/getInfo.php?workbook=16_15.xlsx&amp;sheet=A0&amp;row=961&amp;col=19&amp;number=&amp;sourceID=57","")</f>
        <v/>
      </c>
      <c r="T961" s="4" t="str">
        <f>HYPERLINK("http://141.218.60.56/~jnz1568/getInfo.php?workbook=16_15.xlsx&amp;sheet=A0&amp;row=961&amp;col=20&amp;number=&amp;sourceID=57","")</f>
        <v/>
      </c>
      <c r="U961" s="4" t="str">
        <f>HYPERLINK("http://141.218.60.56/~jnz1568/getInfo.php?workbook=16_15.xlsx&amp;sheet=A0&amp;row=961&amp;col=21&amp;number=&amp;sourceID=47","")</f>
        <v/>
      </c>
      <c r="V961" s="4" t="str">
        <f>HYPERLINK("http://141.218.60.56/~jnz1568/getInfo.php?workbook=16_15.xlsx&amp;sheet=A0&amp;row=961&amp;col=22&amp;number=&amp;sourceID=47","")</f>
        <v/>
      </c>
    </row>
    <row r="962" spans="1:22">
      <c r="A962" s="3">
        <v>16</v>
      </c>
      <c r="B962" s="3">
        <v>15</v>
      </c>
      <c r="C962" s="3">
        <v>50</v>
      </c>
      <c r="D962" s="3">
        <v>22</v>
      </c>
      <c r="E962" s="3">
        <f>((1/(INDEX(E0!J$4:J$73,C962,1)-INDEX(E0!J$4:J$73,D962,1))))*100000000</f>
        <v>0</v>
      </c>
      <c r="F962" s="4" t="str">
        <f>HYPERLINK("http://141.218.60.56/~jnz1568/getInfo.php?workbook=16_15.xlsx&amp;sheet=A0&amp;row=962&amp;col=6&amp;number=&amp;sourceID=54","")</f>
        <v/>
      </c>
      <c r="G962" s="4" t="str">
        <f>HYPERLINK("http://141.218.60.56/~jnz1568/getInfo.php?workbook=16_15.xlsx&amp;sheet=A0&amp;row=962&amp;col=7&amp;number=0.00070524&amp;sourceID=54","0.00070524")</f>
        <v>0.00070524</v>
      </c>
      <c r="H962" s="4" t="str">
        <f>HYPERLINK("http://141.218.60.56/~jnz1568/getInfo.php?workbook=16_15.xlsx&amp;sheet=A0&amp;row=962&amp;col=8&amp;number=&amp;sourceID=54","")</f>
        <v/>
      </c>
      <c r="I962" s="4" t="str">
        <f>HYPERLINK("http://141.218.60.56/~jnz1568/getInfo.php?workbook=16_15.xlsx&amp;sheet=A0&amp;row=962&amp;col=9&amp;number=&amp;sourceID=54","")</f>
        <v/>
      </c>
      <c r="J962" s="4" t="str">
        <f>HYPERLINK("http://141.218.60.56/~jnz1568/getInfo.php?workbook=16_15.xlsx&amp;sheet=A0&amp;row=962&amp;col=10&amp;number=0.00059114&amp;sourceID=54","0.00059114")</f>
        <v>0.00059114</v>
      </c>
      <c r="K962" s="4" t="str">
        <f>HYPERLINK("http://141.218.60.56/~jnz1568/getInfo.php?workbook=16_15.xlsx&amp;sheet=A0&amp;row=962&amp;col=11&amp;number=&amp;sourceID=54","")</f>
        <v/>
      </c>
      <c r="L962" s="4" t="str">
        <f>HYPERLINK("http://141.218.60.56/~jnz1568/getInfo.php?workbook=16_15.xlsx&amp;sheet=A0&amp;row=962&amp;col=12&amp;number=&amp;sourceID=53","")</f>
        <v/>
      </c>
      <c r="M962" s="4" t="str">
        <f>HYPERLINK("http://141.218.60.56/~jnz1568/getInfo.php?workbook=16_15.xlsx&amp;sheet=A0&amp;row=962&amp;col=13&amp;number=&amp;sourceID=53","")</f>
        <v/>
      </c>
      <c r="N962" s="4" t="str">
        <f>HYPERLINK("http://141.218.60.56/~jnz1568/getInfo.php?workbook=16_15.xlsx&amp;sheet=A0&amp;row=962&amp;col=14&amp;number=&amp;sourceID=53","")</f>
        <v/>
      </c>
      <c r="O962" s="4" t="str">
        <f>HYPERLINK("http://141.218.60.56/~jnz1568/getInfo.php?workbook=16_15.xlsx&amp;sheet=A0&amp;row=962&amp;col=15&amp;number=&amp;sourceID=55","")</f>
        <v/>
      </c>
      <c r="P962" s="4" t="str">
        <f>HYPERLINK("http://141.218.60.56/~jnz1568/getInfo.php?workbook=16_15.xlsx&amp;sheet=A0&amp;row=962&amp;col=16&amp;number=&amp;sourceID=55","")</f>
        <v/>
      </c>
      <c r="Q962" s="4" t="str">
        <f>HYPERLINK("http://141.218.60.56/~jnz1568/getInfo.php?workbook=16_15.xlsx&amp;sheet=A0&amp;row=962&amp;col=17&amp;number=&amp;sourceID=56","")</f>
        <v/>
      </c>
      <c r="R962" s="4" t="str">
        <f>HYPERLINK("http://141.218.60.56/~jnz1568/getInfo.php?workbook=16_15.xlsx&amp;sheet=A0&amp;row=962&amp;col=18&amp;number=&amp;sourceID=56","")</f>
        <v/>
      </c>
      <c r="S962" s="4" t="str">
        <f>HYPERLINK("http://141.218.60.56/~jnz1568/getInfo.php?workbook=16_15.xlsx&amp;sheet=A0&amp;row=962&amp;col=19&amp;number=&amp;sourceID=57","")</f>
        <v/>
      </c>
      <c r="T962" s="4" t="str">
        <f>HYPERLINK("http://141.218.60.56/~jnz1568/getInfo.php?workbook=16_15.xlsx&amp;sheet=A0&amp;row=962&amp;col=20&amp;number=&amp;sourceID=57","")</f>
        <v/>
      </c>
      <c r="U962" s="4" t="str">
        <f>HYPERLINK("http://141.218.60.56/~jnz1568/getInfo.php?workbook=16_15.xlsx&amp;sheet=A0&amp;row=962&amp;col=21&amp;number=&amp;sourceID=47","")</f>
        <v/>
      </c>
      <c r="V962" s="4" t="str">
        <f>HYPERLINK("http://141.218.60.56/~jnz1568/getInfo.php?workbook=16_15.xlsx&amp;sheet=A0&amp;row=962&amp;col=22&amp;number=&amp;sourceID=47","")</f>
        <v/>
      </c>
    </row>
    <row r="963" spans="1:22">
      <c r="A963" s="3">
        <v>16</v>
      </c>
      <c r="B963" s="3">
        <v>15</v>
      </c>
      <c r="C963" s="3">
        <v>50</v>
      </c>
      <c r="D963" s="3">
        <v>23</v>
      </c>
      <c r="E963" s="3">
        <f>((1/(INDEX(E0!J$4:J$73,C963,1)-INDEX(E0!J$4:J$73,D963,1))))*100000000</f>
        <v>0</v>
      </c>
      <c r="F963" s="4" t="str">
        <f>HYPERLINK("http://141.218.60.56/~jnz1568/getInfo.php?workbook=16_15.xlsx&amp;sheet=A0&amp;row=963&amp;col=6&amp;number=&amp;sourceID=54","")</f>
        <v/>
      </c>
      <c r="G963" s="4" t="str">
        <f>HYPERLINK("http://141.218.60.56/~jnz1568/getInfo.php?workbook=16_15.xlsx&amp;sheet=A0&amp;row=963&amp;col=7&amp;number=0.0011752&amp;sourceID=54","0.0011752")</f>
        <v>0.0011752</v>
      </c>
      <c r="H963" s="4" t="str">
        <f>HYPERLINK("http://141.218.60.56/~jnz1568/getInfo.php?workbook=16_15.xlsx&amp;sheet=A0&amp;row=963&amp;col=8&amp;number=0.0023805&amp;sourceID=54","0.0023805")</f>
        <v>0.0023805</v>
      </c>
      <c r="I963" s="4" t="str">
        <f>HYPERLINK("http://141.218.60.56/~jnz1568/getInfo.php?workbook=16_15.xlsx&amp;sheet=A0&amp;row=963&amp;col=9&amp;number=&amp;sourceID=54","")</f>
        <v/>
      </c>
      <c r="J963" s="4" t="str">
        <f>HYPERLINK("http://141.218.60.56/~jnz1568/getInfo.php?workbook=16_15.xlsx&amp;sheet=A0&amp;row=963&amp;col=10&amp;number=0.00097769&amp;sourceID=54","0.00097769")</f>
        <v>0.00097769</v>
      </c>
      <c r="K963" s="4" t="str">
        <f>HYPERLINK("http://141.218.60.56/~jnz1568/getInfo.php?workbook=16_15.xlsx&amp;sheet=A0&amp;row=963&amp;col=11&amp;number=0.0024494&amp;sourceID=54","0.0024494")</f>
        <v>0.0024494</v>
      </c>
      <c r="L963" s="4" t="str">
        <f>HYPERLINK("http://141.218.60.56/~jnz1568/getInfo.php?workbook=16_15.xlsx&amp;sheet=A0&amp;row=963&amp;col=12&amp;number=&amp;sourceID=53","")</f>
        <v/>
      </c>
      <c r="M963" s="4" t="str">
        <f>HYPERLINK("http://141.218.60.56/~jnz1568/getInfo.php?workbook=16_15.xlsx&amp;sheet=A0&amp;row=963&amp;col=13&amp;number=&amp;sourceID=53","")</f>
        <v/>
      </c>
      <c r="N963" s="4" t="str">
        <f>HYPERLINK("http://141.218.60.56/~jnz1568/getInfo.php?workbook=16_15.xlsx&amp;sheet=A0&amp;row=963&amp;col=14&amp;number=&amp;sourceID=53","")</f>
        <v/>
      </c>
      <c r="O963" s="4" t="str">
        <f>HYPERLINK("http://141.218.60.56/~jnz1568/getInfo.php?workbook=16_15.xlsx&amp;sheet=A0&amp;row=963&amp;col=15&amp;number=&amp;sourceID=55","")</f>
        <v/>
      </c>
      <c r="P963" s="4" t="str">
        <f>HYPERLINK("http://141.218.60.56/~jnz1568/getInfo.php?workbook=16_15.xlsx&amp;sheet=A0&amp;row=963&amp;col=16&amp;number=&amp;sourceID=55","")</f>
        <v/>
      </c>
      <c r="Q963" s="4" t="str">
        <f>HYPERLINK("http://141.218.60.56/~jnz1568/getInfo.php?workbook=16_15.xlsx&amp;sheet=A0&amp;row=963&amp;col=17&amp;number=&amp;sourceID=56","")</f>
        <v/>
      </c>
      <c r="R963" s="4" t="str">
        <f>HYPERLINK("http://141.218.60.56/~jnz1568/getInfo.php?workbook=16_15.xlsx&amp;sheet=A0&amp;row=963&amp;col=18&amp;number=&amp;sourceID=56","")</f>
        <v/>
      </c>
      <c r="S963" s="4" t="str">
        <f>HYPERLINK("http://141.218.60.56/~jnz1568/getInfo.php?workbook=16_15.xlsx&amp;sheet=A0&amp;row=963&amp;col=19&amp;number=&amp;sourceID=57","")</f>
        <v/>
      </c>
      <c r="T963" s="4" t="str">
        <f>HYPERLINK("http://141.218.60.56/~jnz1568/getInfo.php?workbook=16_15.xlsx&amp;sheet=A0&amp;row=963&amp;col=20&amp;number=&amp;sourceID=57","")</f>
        <v/>
      </c>
      <c r="U963" s="4" t="str">
        <f>HYPERLINK("http://141.218.60.56/~jnz1568/getInfo.php?workbook=16_15.xlsx&amp;sheet=A0&amp;row=963&amp;col=21&amp;number=&amp;sourceID=47","")</f>
        <v/>
      </c>
      <c r="V963" s="4" t="str">
        <f>HYPERLINK("http://141.218.60.56/~jnz1568/getInfo.php?workbook=16_15.xlsx&amp;sheet=A0&amp;row=963&amp;col=22&amp;number=&amp;sourceID=47","")</f>
        <v/>
      </c>
    </row>
    <row r="964" spans="1:22">
      <c r="A964" s="3">
        <v>16</v>
      </c>
      <c r="B964" s="3">
        <v>15</v>
      </c>
      <c r="C964" s="3">
        <v>50</v>
      </c>
      <c r="D964" s="3">
        <v>24</v>
      </c>
      <c r="E964" s="3">
        <f>((1/(INDEX(E0!J$4:J$73,C964,1)-INDEX(E0!J$4:J$73,D964,1))))*100000000</f>
        <v>0</v>
      </c>
      <c r="F964" s="4" t="str">
        <f>HYPERLINK("http://141.218.60.56/~jnz1568/getInfo.php?workbook=16_15.xlsx&amp;sheet=A0&amp;row=964&amp;col=6&amp;number=&amp;sourceID=54","")</f>
        <v/>
      </c>
      <c r="G964" s="4" t="str">
        <f>HYPERLINK("http://141.218.60.56/~jnz1568/getInfo.php?workbook=16_15.xlsx&amp;sheet=A0&amp;row=964&amp;col=7&amp;number=0.015643&amp;sourceID=54","0.015643")</f>
        <v>0.015643</v>
      </c>
      <c r="H964" s="4" t="str">
        <f>HYPERLINK("http://141.218.60.56/~jnz1568/getInfo.php?workbook=16_15.xlsx&amp;sheet=A0&amp;row=964&amp;col=8&amp;number=0.00077912&amp;sourceID=54","0.00077912")</f>
        <v>0.00077912</v>
      </c>
      <c r="I964" s="4" t="str">
        <f>HYPERLINK("http://141.218.60.56/~jnz1568/getInfo.php?workbook=16_15.xlsx&amp;sheet=A0&amp;row=964&amp;col=9&amp;number=&amp;sourceID=54","")</f>
        <v/>
      </c>
      <c r="J964" s="4" t="str">
        <f>HYPERLINK("http://141.218.60.56/~jnz1568/getInfo.php?workbook=16_15.xlsx&amp;sheet=A0&amp;row=964&amp;col=10&amp;number=0.035195&amp;sourceID=54","0.035195")</f>
        <v>0.035195</v>
      </c>
      <c r="K964" s="4" t="str">
        <f>HYPERLINK("http://141.218.60.56/~jnz1568/getInfo.php?workbook=16_15.xlsx&amp;sheet=A0&amp;row=964&amp;col=11&amp;number=0.00089798&amp;sourceID=54","0.00089798")</f>
        <v>0.00089798</v>
      </c>
      <c r="L964" s="4" t="str">
        <f>HYPERLINK("http://141.218.60.56/~jnz1568/getInfo.php?workbook=16_15.xlsx&amp;sheet=A0&amp;row=964&amp;col=12&amp;number=&amp;sourceID=53","")</f>
        <v/>
      </c>
      <c r="M964" s="4" t="str">
        <f>HYPERLINK("http://141.218.60.56/~jnz1568/getInfo.php?workbook=16_15.xlsx&amp;sheet=A0&amp;row=964&amp;col=13&amp;number=&amp;sourceID=53","")</f>
        <v/>
      </c>
      <c r="N964" s="4" t="str">
        <f>HYPERLINK("http://141.218.60.56/~jnz1568/getInfo.php?workbook=16_15.xlsx&amp;sheet=A0&amp;row=964&amp;col=14&amp;number=&amp;sourceID=53","")</f>
        <v/>
      </c>
      <c r="O964" s="4" t="str">
        <f>HYPERLINK("http://141.218.60.56/~jnz1568/getInfo.php?workbook=16_15.xlsx&amp;sheet=A0&amp;row=964&amp;col=15&amp;number=&amp;sourceID=55","")</f>
        <v/>
      </c>
      <c r="P964" s="4" t="str">
        <f>HYPERLINK("http://141.218.60.56/~jnz1568/getInfo.php?workbook=16_15.xlsx&amp;sheet=A0&amp;row=964&amp;col=16&amp;number=&amp;sourceID=55","")</f>
        <v/>
      </c>
      <c r="Q964" s="4" t="str">
        <f>HYPERLINK("http://141.218.60.56/~jnz1568/getInfo.php?workbook=16_15.xlsx&amp;sheet=A0&amp;row=964&amp;col=17&amp;number=&amp;sourceID=56","")</f>
        <v/>
      </c>
      <c r="R964" s="4" t="str">
        <f>HYPERLINK("http://141.218.60.56/~jnz1568/getInfo.php?workbook=16_15.xlsx&amp;sheet=A0&amp;row=964&amp;col=18&amp;number=&amp;sourceID=56","")</f>
        <v/>
      </c>
      <c r="S964" s="4" t="str">
        <f>HYPERLINK("http://141.218.60.56/~jnz1568/getInfo.php?workbook=16_15.xlsx&amp;sheet=A0&amp;row=964&amp;col=19&amp;number=&amp;sourceID=57","")</f>
        <v/>
      </c>
      <c r="T964" s="4" t="str">
        <f>HYPERLINK("http://141.218.60.56/~jnz1568/getInfo.php?workbook=16_15.xlsx&amp;sheet=A0&amp;row=964&amp;col=20&amp;number=&amp;sourceID=57","")</f>
        <v/>
      </c>
      <c r="U964" s="4" t="str">
        <f>HYPERLINK("http://141.218.60.56/~jnz1568/getInfo.php?workbook=16_15.xlsx&amp;sheet=A0&amp;row=964&amp;col=21&amp;number=&amp;sourceID=47","")</f>
        <v/>
      </c>
      <c r="V964" s="4" t="str">
        <f>HYPERLINK("http://141.218.60.56/~jnz1568/getInfo.php?workbook=16_15.xlsx&amp;sheet=A0&amp;row=964&amp;col=22&amp;number=&amp;sourceID=47","")</f>
        <v/>
      </c>
    </row>
    <row r="965" spans="1:22">
      <c r="A965" s="3">
        <v>16</v>
      </c>
      <c r="B965" s="3">
        <v>15</v>
      </c>
      <c r="C965" s="3">
        <v>50</v>
      </c>
      <c r="D965" s="3">
        <v>25</v>
      </c>
      <c r="E965" s="3">
        <f>((1/(INDEX(E0!J$4:J$73,C965,1)-INDEX(E0!J$4:J$73,D965,1))))*100000000</f>
        <v>0</v>
      </c>
      <c r="F965" s="4" t="str">
        <f>HYPERLINK("http://141.218.60.56/~jnz1568/getInfo.php?workbook=16_15.xlsx&amp;sheet=A0&amp;row=965&amp;col=6&amp;number=&amp;sourceID=54","")</f>
        <v/>
      </c>
      <c r="G965" s="4" t="str">
        <f>HYPERLINK("http://141.218.60.56/~jnz1568/getInfo.php?workbook=16_15.xlsx&amp;sheet=A0&amp;row=965&amp;col=7&amp;number=0.20895&amp;sourceID=54","0.20895")</f>
        <v>0.20895</v>
      </c>
      <c r="H965" s="4" t="str">
        <f>HYPERLINK("http://141.218.60.56/~jnz1568/getInfo.php?workbook=16_15.xlsx&amp;sheet=A0&amp;row=965&amp;col=8&amp;number=0.0064708&amp;sourceID=54","0.0064708")</f>
        <v>0.0064708</v>
      </c>
      <c r="I965" s="4" t="str">
        <f>HYPERLINK("http://141.218.60.56/~jnz1568/getInfo.php?workbook=16_15.xlsx&amp;sheet=A0&amp;row=965&amp;col=9&amp;number=&amp;sourceID=54","")</f>
        <v/>
      </c>
      <c r="J965" s="4" t="str">
        <f>HYPERLINK("http://141.218.60.56/~jnz1568/getInfo.php?workbook=16_15.xlsx&amp;sheet=A0&amp;row=965&amp;col=10&amp;number=0.32344&amp;sourceID=54","0.32344")</f>
        <v>0.32344</v>
      </c>
      <c r="K965" s="4" t="str">
        <f>HYPERLINK("http://141.218.60.56/~jnz1568/getInfo.php?workbook=16_15.xlsx&amp;sheet=A0&amp;row=965&amp;col=11&amp;number=0.006522&amp;sourceID=54","0.006522")</f>
        <v>0.006522</v>
      </c>
      <c r="L965" s="4" t="str">
        <f>HYPERLINK("http://141.218.60.56/~jnz1568/getInfo.php?workbook=16_15.xlsx&amp;sheet=A0&amp;row=965&amp;col=12&amp;number=&amp;sourceID=53","")</f>
        <v/>
      </c>
      <c r="M965" s="4" t="str">
        <f>HYPERLINK("http://141.218.60.56/~jnz1568/getInfo.php?workbook=16_15.xlsx&amp;sheet=A0&amp;row=965&amp;col=13&amp;number=&amp;sourceID=53","")</f>
        <v/>
      </c>
      <c r="N965" s="4" t="str">
        <f>HYPERLINK("http://141.218.60.56/~jnz1568/getInfo.php?workbook=16_15.xlsx&amp;sheet=A0&amp;row=965&amp;col=14&amp;number=&amp;sourceID=53","")</f>
        <v/>
      </c>
      <c r="O965" s="4" t="str">
        <f>HYPERLINK("http://141.218.60.56/~jnz1568/getInfo.php?workbook=16_15.xlsx&amp;sheet=A0&amp;row=965&amp;col=15&amp;number=&amp;sourceID=55","")</f>
        <v/>
      </c>
      <c r="P965" s="4" t="str">
        <f>HYPERLINK("http://141.218.60.56/~jnz1568/getInfo.php?workbook=16_15.xlsx&amp;sheet=A0&amp;row=965&amp;col=16&amp;number=&amp;sourceID=55","")</f>
        <v/>
      </c>
      <c r="Q965" s="4" t="str">
        <f>HYPERLINK("http://141.218.60.56/~jnz1568/getInfo.php?workbook=16_15.xlsx&amp;sheet=A0&amp;row=965&amp;col=17&amp;number=&amp;sourceID=56","")</f>
        <v/>
      </c>
      <c r="R965" s="4" t="str">
        <f>HYPERLINK("http://141.218.60.56/~jnz1568/getInfo.php?workbook=16_15.xlsx&amp;sheet=A0&amp;row=965&amp;col=18&amp;number=&amp;sourceID=56","")</f>
        <v/>
      </c>
      <c r="S965" s="4" t="str">
        <f>HYPERLINK("http://141.218.60.56/~jnz1568/getInfo.php?workbook=16_15.xlsx&amp;sheet=A0&amp;row=965&amp;col=19&amp;number=&amp;sourceID=57","")</f>
        <v/>
      </c>
      <c r="T965" s="4" t="str">
        <f>HYPERLINK("http://141.218.60.56/~jnz1568/getInfo.php?workbook=16_15.xlsx&amp;sheet=A0&amp;row=965&amp;col=20&amp;number=&amp;sourceID=57","")</f>
        <v/>
      </c>
      <c r="U965" s="4" t="str">
        <f>HYPERLINK("http://141.218.60.56/~jnz1568/getInfo.php?workbook=16_15.xlsx&amp;sheet=A0&amp;row=965&amp;col=21&amp;number=&amp;sourceID=47","")</f>
        <v/>
      </c>
      <c r="V965" s="4" t="str">
        <f>HYPERLINK("http://141.218.60.56/~jnz1568/getInfo.php?workbook=16_15.xlsx&amp;sheet=A0&amp;row=965&amp;col=22&amp;number=&amp;sourceID=47","")</f>
        <v/>
      </c>
    </row>
    <row r="966" spans="1:22">
      <c r="A966" s="3">
        <v>16</v>
      </c>
      <c r="B966" s="3">
        <v>15</v>
      </c>
      <c r="C966" s="3">
        <v>50</v>
      </c>
      <c r="D966" s="3">
        <v>26</v>
      </c>
      <c r="E966" s="3">
        <f>((1/(INDEX(E0!J$4:J$73,C966,1)-INDEX(E0!J$4:J$73,D966,1))))*100000000</f>
        <v>0</v>
      </c>
      <c r="F966" s="4" t="str">
        <f>HYPERLINK("http://141.218.60.56/~jnz1568/getInfo.php?workbook=16_15.xlsx&amp;sheet=A0&amp;row=966&amp;col=6&amp;number=&amp;sourceID=54","")</f>
        <v/>
      </c>
      <c r="G966" s="4" t="str">
        <f>HYPERLINK("http://141.218.60.56/~jnz1568/getInfo.php?workbook=16_15.xlsx&amp;sheet=A0&amp;row=966&amp;col=7&amp;number=0.84849&amp;sourceID=54","0.84849")</f>
        <v>0.84849</v>
      </c>
      <c r="H966" s="4" t="str">
        <f>HYPERLINK("http://141.218.60.56/~jnz1568/getInfo.php?workbook=16_15.xlsx&amp;sheet=A0&amp;row=966&amp;col=8&amp;number=0.0065829&amp;sourceID=54","0.0065829")</f>
        <v>0.0065829</v>
      </c>
      <c r="I966" s="4" t="str">
        <f>HYPERLINK("http://141.218.60.56/~jnz1568/getInfo.php?workbook=16_15.xlsx&amp;sheet=A0&amp;row=966&amp;col=9&amp;number=&amp;sourceID=54","")</f>
        <v/>
      </c>
      <c r="J966" s="4" t="str">
        <f>HYPERLINK("http://141.218.60.56/~jnz1568/getInfo.php?workbook=16_15.xlsx&amp;sheet=A0&amp;row=966&amp;col=10&amp;number=0.7639&amp;sourceID=54","0.7639")</f>
        <v>0.7639</v>
      </c>
      <c r="K966" s="4" t="str">
        <f>HYPERLINK("http://141.218.60.56/~jnz1568/getInfo.php?workbook=16_15.xlsx&amp;sheet=A0&amp;row=966&amp;col=11&amp;number=0.0073123&amp;sourceID=54","0.0073123")</f>
        <v>0.0073123</v>
      </c>
      <c r="L966" s="4" t="str">
        <f>HYPERLINK("http://141.218.60.56/~jnz1568/getInfo.php?workbook=16_15.xlsx&amp;sheet=A0&amp;row=966&amp;col=12&amp;number=&amp;sourceID=53","")</f>
        <v/>
      </c>
      <c r="M966" s="4" t="str">
        <f>HYPERLINK("http://141.218.60.56/~jnz1568/getInfo.php?workbook=16_15.xlsx&amp;sheet=A0&amp;row=966&amp;col=13&amp;number=&amp;sourceID=53","")</f>
        <v/>
      </c>
      <c r="N966" s="4" t="str">
        <f>HYPERLINK("http://141.218.60.56/~jnz1568/getInfo.php?workbook=16_15.xlsx&amp;sheet=A0&amp;row=966&amp;col=14&amp;number=&amp;sourceID=53","")</f>
        <v/>
      </c>
      <c r="O966" s="4" t="str">
        <f>HYPERLINK("http://141.218.60.56/~jnz1568/getInfo.php?workbook=16_15.xlsx&amp;sheet=A0&amp;row=966&amp;col=15&amp;number=&amp;sourceID=55","")</f>
        <v/>
      </c>
      <c r="P966" s="4" t="str">
        <f>HYPERLINK("http://141.218.60.56/~jnz1568/getInfo.php?workbook=16_15.xlsx&amp;sheet=A0&amp;row=966&amp;col=16&amp;number=&amp;sourceID=55","")</f>
        <v/>
      </c>
      <c r="Q966" s="4" t="str">
        <f>HYPERLINK("http://141.218.60.56/~jnz1568/getInfo.php?workbook=16_15.xlsx&amp;sheet=A0&amp;row=966&amp;col=17&amp;number=&amp;sourceID=56","")</f>
        <v/>
      </c>
      <c r="R966" s="4" t="str">
        <f>HYPERLINK("http://141.218.60.56/~jnz1568/getInfo.php?workbook=16_15.xlsx&amp;sheet=A0&amp;row=966&amp;col=18&amp;number=&amp;sourceID=56","")</f>
        <v/>
      </c>
      <c r="S966" s="4" t="str">
        <f>HYPERLINK("http://141.218.60.56/~jnz1568/getInfo.php?workbook=16_15.xlsx&amp;sheet=A0&amp;row=966&amp;col=19&amp;number=&amp;sourceID=57","")</f>
        <v/>
      </c>
      <c r="T966" s="4" t="str">
        <f>HYPERLINK("http://141.218.60.56/~jnz1568/getInfo.php?workbook=16_15.xlsx&amp;sheet=A0&amp;row=966&amp;col=20&amp;number=&amp;sourceID=57","")</f>
        <v/>
      </c>
      <c r="U966" s="4" t="str">
        <f>HYPERLINK("http://141.218.60.56/~jnz1568/getInfo.php?workbook=16_15.xlsx&amp;sheet=A0&amp;row=966&amp;col=21&amp;number=&amp;sourceID=47","")</f>
        <v/>
      </c>
      <c r="V966" s="4" t="str">
        <f>HYPERLINK("http://141.218.60.56/~jnz1568/getInfo.php?workbook=16_15.xlsx&amp;sheet=A0&amp;row=966&amp;col=22&amp;number=&amp;sourceID=47","")</f>
        <v/>
      </c>
    </row>
    <row r="967" spans="1:22">
      <c r="A967" s="3">
        <v>16</v>
      </c>
      <c r="B967" s="3">
        <v>15</v>
      </c>
      <c r="C967" s="3">
        <v>50</v>
      </c>
      <c r="D967" s="3">
        <v>27</v>
      </c>
      <c r="E967" s="3">
        <f>((1/(INDEX(E0!J$4:J$73,C967,1)-INDEX(E0!J$4:J$73,D967,1))))*100000000</f>
        <v>0</v>
      </c>
      <c r="F967" s="4" t="str">
        <f>HYPERLINK("http://141.218.60.56/~jnz1568/getInfo.php?workbook=16_15.xlsx&amp;sheet=A0&amp;row=967&amp;col=6&amp;number=&amp;sourceID=54","")</f>
        <v/>
      </c>
      <c r="G967" s="4" t="str">
        <f>HYPERLINK("http://141.218.60.56/~jnz1568/getInfo.php?workbook=16_15.xlsx&amp;sheet=A0&amp;row=967&amp;col=7&amp;number=4.0146&amp;sourceID=54","4.0146")</f>
        <v>4.0146</v>
      </c>
      <c r="H967" s="4" t="str">
        <f>HYPERLINK("http://141.218.60.56/~jnz1568/getInfo.php?workbook=16_15.xlsx&amp;sheet=A0&amp;row=967&amp;col=8&amp;number=0.0015405&amp;sourceID=54","0.0015405")</f>
        <v>0.0015405</v>
      </c>
      <c r="I967" s="4" t="str">
        <f>HYPERLINK("http://141.218.60.56/~jnz1568/getInfo.php?workbook=16_15.xlsx&amp;sheet=A0&amp;row=967&amp;col=9&amp;number=&amp;sourceID=54","")</f>
        <v/>
      </c>
      <c r="J967" s="4" t="str">
        <f>HYPERLINK("http://141.218.60.56/~jnz1568/getInfo.php?workbook=16_15.xlsx&amp;sheet=A0&amp;row=967&amp;col=10&amp;number=3.5012&amp;sourceID=54","3.5012")</f>
        <v>3.5012</v>
      </c>
      <c r="K967" s="4" t="str">
        <f>HYPERLINK("http://141.218.60.56/~jnz1568/getInfo.php?workbook=16_15.xlsx&amp;sheet=A0&amp;row=967&amp;col=11&amp;number=0.00087933&amp;sourceID=54","0.00087933")</f>
        <v>0.00087933</v>
      </c>
      <c r="L967" s="4" t="str">
        <f>HYPERLINK("http://141.218.60.56/~jnz1568/getInfo.php?workbook=16_15.xlsx&amp;sheet=A0&amp;row=967&amp;col=12&amp;number=&amp;sourceID=53","")</f>
        <v/>
      </c>
      <c r="M967" s="4" t="str">
        <f>HYPERLINK("http://141.218.60.56/~jnz1568/getInfo.php?workbook=16_15.xlsx&amp;sheet=A0&amp;row=967&amp;col=13&amp;number=&amp;sourceID=53","")</f>
        <v/>
      </c>
      <c r="N967" s="4" t="str">
        <f>HYPERLINK("http://141.218.60.56/~jnz1568/getInfo.php?workbook=16_15.xlsx&amp;sheet=A0&amp;row=967&amp;col=14&amp;number=&amp;sourceID=53","")</f>
        <v/>
      </c>
      <c r="O967" s="4" t="str">
        <f>HYPERLINK("http://141.218.60.56/~jnz1568/getInfo.php?workbook=16_15.xlsx&amp;sheet=A0&amp;row=967&amp;col=15&amp;number=&amp;sourceID=55","")</f>
        <v/>
      </c>
      <c r="P967" s="4" t="str">
        <f>HYPERLINK("http://141.218.60.56/~jnz1568/getInfo.php?workbook=16_15.xlsx&amp;sheet=A0&amp;row=967&amp;col=16&amp;number=&amp;sourceID=55","")</f>
        <v/>
      </c>
      <c r="Q967" s="4" t="str">
        <f>HYPERLINK("http://141.218.60.56/~jnz1568/getInfo.php?workbook=16_15.xlsx&amp;sheet=A0&amp;row=967&amp;col=17&amp;number=&amp;sourceID=56","")</f>
        <v/>
      </c>
      <c r="R967" s="4" t="str">
        <f>HYPERLINK("http://141.218.60.56/~jnz1568/getInfo.php?workbook=16_15.xlsx&amp;sheet=A0&amp;row=967&amp;col=18&amp;number=&amp;sourceID=56","")</f>
        <v/>
      </c>
      <c r="S967" s="4" t="str">
        <f>HYPERLINK("http://141.218.60.56/~jnz1568/getInfo.php?workbook=16_15.xlsx&amp;sheet=A0&amp;row=967&amp;col=19&amp;number=&amp;sourceID=57","")</f>
        <v/>
      </c>
      <c r="T967" s="4" t="str">
        <f>HYPERLINK("http://141.218.60.56/~jnz1568/getInfo.php?workbook=16_15.xlsx&amp;sheet=A0&amp;row=967&amp;col=20&amp;number=&amp;sourceID=57","")</f>
        <v/>
      </c>
      <c r="U967" s="4" t="str">
        <f>HYPERLINK("http://141.218.60.56/~jnz1568/getInfo.php?workbook=16_15.xlsx&amp;sheet=A0&amp;row=967&amp;col=21&amp;number=&amp;sourceID=47","")</f>
        <v/>
      </c>
      <c r="V967" s="4" t="str">
        <f>HYPERLINK("http://141.218.60.56/~jnz1568/getInfo.php?workbook=16_15.xlsx&amp;sheet=A0&amp;row=967&amp;col=22&amp;number=&amp;sourceID=47","")</f>
        <v/>
      </c>
    </row>
    <row r="968" spans="1:22">
      <c r="A968" s="3">
        <v>16</v>
      </c>
      <c r="B968" s="3">
        <v>15</v>
      </c>
      <c r="C968" s="3">
        <v>50</v>
      </c>
      <c r="D968" s="3">
        <v>28</v>
      </c>
      <c r="E968" s="3">
        <f>((1/(INDEX(E0!J$4:J$73,C968,1)-INDEX(E0!J$4:J$73,D968,1))))*100000000</f>
        <v>0</v>
      </c>
      <c r="F968" s="4" t="str">
        <f>HYPERLINK("http://141.218.60.56/~jnz1568/getInfo.php?workbook=16_15.xlsx&amp;sheet=A0&amp;row=968&amp;col=6&amp;number=&amp;sourceID=54","")</f>
        <v/>
      </c>
      <c r="G968" s="4" t="str">
        <f>HYPERLINK("http://141.218.60.56/~jnz1568/getInfo.php?workbook=16_15.xlsx&amp;sheet=A0&amp;row=968&amp;col=7&amp;number=0.060443&amp;sourceID=54","0.060443")</f>
        <v>0.060443</v>
      </c>
      <c r="H968" s="4" t="str">
        <f>HYPERLINK("http://141.218.60.56/~jnz1568/getInfo.php?workbook=16_15.xlsx&amp;sheet=A0&amp;row=968&amp;col=8&amp;number=&amp;sourceID=54","")</f>
        <v/>
      </c>
      <c r="I968" s="4" t="str">
        <f>HYPERLINK("http://141.218.60.56/~jnz1568/getInfo.php?workbook=16_15.xlsx&amp;sheet=A0&amp;row=968&amp;col=9&amp;number=&amp;sourceID=54","")</f>
        <v/>
      </c>
      <c r="J968" s="4" t="str">
        <f>HYPERLINK("http://141.218.60.56/~jnz1568/getInfo.php?workbook=16_15.xlsx&amp;sheet=A0&amp;row=968&amp;col=10&amp;number=0.050724&amp;sourceID=54","0.050724")</f>
        <v>0.050724</v>
      </c>
      <c r="K968" s="4" t="str">
        <f>HYPERLINK("http://141.218.60.56/~jnz1568/getInfo.php?workbook=16_15.xlsx&amp;sheet=A0&amp;row=968&amp;col=11&amp;number=&amp;sourceID=54","")</f>
        <v/>
      </c>
      <c r="L968" s="4" t="str">
        <f>HYPERLINK("http://141.218.60.56/~jnz1568/getInfo.php?workbook=16_15.xlsx&amp;sheet=A0&amp;row=968&amp;col=12&amp;number=&amp;sourceID=53","")</f>
        <v/>
      </c>
      <c r="M968" s="4" t="str">
        <f>HYPERLINK("http://141.218.60.56/~jnz1568/getInfo.php?workbook=16_15.xlsx&amp;sheet=A0&amp;row=968&amp;col=13&amp;number=&amp;sourceID=53","")</f>
        <v/>
      </c>
      <c r="N968" s="4" t="str">
        <f>HYPERLINK("http://141.218.60.56/~jnz1568/getInfo.php?workbook=16_15.xlsx&amp;sheet=A0&amp;row=968&amp;col=14&amp;number=&amp;sourceID=53","")</f>
        <v/>
      </c>
      <c r="O968" s="4" t="str">
        <f>HYPERLINK("http://141.218.60.56/~jnz1568/getInfo.php?workbook=16_15.xlsx&amp;sheet=A0&amp;row=968&amp;col=15&amp;number=&amp;sourceID=55","")</f>
        <v/>
      </c>
      <c r="P968" s="4" t="str">
        <f>HYPERLINK("http://141.218.60.56/~jnz1568/getInfo.php?workbook=16_15.xlsx&amp;sheet=A0&amp;row=968&amp;col=16&amp;number=&amp;sourceID=55","")</f>
        <v/>
      </c>
      <c r="Q968" s="4" t="str">
        <f>HYPERLINK("http://141.218.60.56/~jnz1568/getInfo.php?workbook=16_15.xlsx&amp;sheet=A0&amp;row=968&amp;col=17&amp;number=&amp;sourceID=56","")</f>
        <v/>
      </c>
      <c r="R968" s="4" t="str">
        <f>HYPERLINK("http://141.218.60.56/~jnz1568/getInfo.php?workbook=16_15.xlsx&amp;sheet=A0&amp;row=968&amp;col=18&amp;number=&amp;sourceID=56","")</f>
        <v/>
      </c>
      <c r="S968" s="4" t="str">
        <f>HYPERLINK("http://141.218.60.56/~jnz1568/getInfo.php?workbook=16_15.xlsx&amp;sheet=A0&amp;row=968&amp;col=19&amp;number=&amp;sourceID=57","")</f>
        <v/>
      </c>
      <c r="T968" s="4" t="str">
        <f>HYPERLINK("http://141.218.60.56/~jnz1568/getInfo.php?workbook=16_15.xlsx&amp;sheet=A0&amp;row=968&amp;col=20&amp;number=&amp;sourceID=57","")</f>
        <v/>
      </c>
      <c r="U968" s="4" t="str">
        <f>HYPERLINK("http://141.218.60.56/~jnz1568/getInfo.php?workbook=16_15.xlsx&amp;sheet=A0&amp;row=968&amp;col=21&amp;number=&amp;sourceID=47","")</f>
        <v/>
      </c>
      <c r="V968" s="4" t="str">
        <f>HYPERLINK("http://141.218.60.56/~jnz1568/getInfo.php?workbook=16_15.xlsx&amp;sheet=A0&amp;row=968&amp;col=22&amp;number=&amp;sourceID=47","")</f>
        <v/>
      </c>
    </row>
    <row r="969" spans="1:22">
      <c r="A969" s="3">
        <v>16</v>
      </c>
      <c r="B969" s="3">
        <v>15</v>
      </c>
      <c r="C969" s="3">
        <v>50</v>
      </c>
      <c r="D969" s="3">
        <v>29</v>
      </c>
      <c r="E969" s="3">
        <f>((1/(INDEX(E0!J$4:J$73,C969,1)-INDEX(E0!J$4:J$73,D969,1))))*100000000</f>
        <v>0</v>
      </c>
      <c r="F969" s="4" t="str">
        <f>HYPERLINK("http://141.218.60.56/~jnz1568/getInfo.php?workbook=16_15.xlsx&amp;sheet=A0&amp;row=969&amp;col=6&amp;number=&amp;sourceID=54","")</f>
        <v/>
      </c>
      <c r="G969" s="4" t="str">
        <f>HYPERLINK("http://141.218.60.56/~jnz1568/getInfo.php?workbook=16_15.xlsx&amp;sheet=A0&amp;row=969&amp;col=7&amp;number=0.0010683&amp;sourceID=54","0.0010683")</f>
        <v>0.0010683</v>
      </c>
      <c r="H969" s="4" t="str">
        <f>HYPERLINK("http://141.218.60.56/~jnz1568/getInfo.php?workbook=16_15.xlsx&amp;sheet=A0&amp;row=969&amp;col=8&amp;number=0.00088495&amp;sourceID=54","0.00088495")</f>
        <v>0.00088495</v>
      </c>
      <c r="I969" s="4" t="str">
        <f>HYPERLINK("http://141.218.60.56/~jnz1568/getInfo.php?workbook=16_15.xlsx&amp;sheet=A0&amp;row=969&amp;col=9&amp;number=&amp;sourceID=54","")</f>
        <v/>
      </c>
      <c r="J969" s="4" t="str">
        <f>HYPERLINK("http://141.218.60.56/~jnz1568/getInfo.php?workbook=16_15.xlsx&amp;sheet=A0&amp;row=969&amp;col=10&amp;number=0.00046384&amp;sourceID=54","0.00046384")</f>
        <v>0.00046384</v>
      </c>
      <c r="K969" s="4" t="str">
        <f>HYPERLINK("http://141.218.60.56/~jnz1568/getInfo.php?workbook=16_15.xlsx&amp;sheet=A0&amp;row=969&amp;col=11&amp;number=0.00073967&amp;sourceID=54","0.00073967")</f>
        <v>0.00073967</v>
      </c>
      <c r="L969" s="4" t="str">
        <f>HYPERLINK("http://141.218.60.56/~jnz1568/getInfo.php?workbook=16_15.xlsx&amp;sheet=A0&amp;row=969&amp;col=12&amp;number=&amp;sourceID=53","")</f>
        <v/>
      </c>
      <c r="M969" s="4" t="str">
        <f>HYPERLINK("http://141.218.60.56/~jnz1568/getInfo.php?workbook=16_15.xlsx&amp;sheet=A0&amp;row=969&amp;col=13&amp;number=&amp;sourceID=53","")</f>
        <v/>
      </c>
      <c r="N969" s="4" t="str">
        <f>HYPERLINK("http://141.218.60.56/~jnz1568/getInfo.php?workbook=16_15.xlsx&amp;sheet=A0&amp;row=969&amp;col=14&amp;number=&amp;sourceID=53","")</f>
        <v/>
      </c>
      <c r="O969" s="4" t="str">
        <f>HYPERLINK("http://141.218.60.56/~jnz1568/getInfo.php?workbook=16_15.xlsx&amp;sheet=A0&amp;row=969&amp;col=15&amp;number=&amp;sourceID=55","")</f>
        <v/>
      </c>
      <c r="P969" s="4" t="str">
        <f>HYPERLINK("http://141.218.60.56/~jnz1568/getInfo.php?workbook=16_15.xlsx&amp;sheet=A0&amp;row=969&amp;col=16&amp;number=&amp;sourceID=55","")</f>
        <v/>
      </c>
      <c r="Q969" s="4" t="str">
        <f>HYPERLINK("http://141.218.60.56/~jnz1568/getInfo.php?workbook=16_15.xlsx&amp;sheet=A0&amp;row=969&amp;col=17&amp;number=&amp;sourceID=56","")</f>
        <v/>
      </c>
      <c r="R969" s="4" t="str">
        <f>HYPERLINK("http://141.218.60.56/~jnz1568/getInfo.php?workbook=16_15.xlsx&amp;sheet=A0&amp;row=969&amp;col=18&amp;number=&amp;sourceID=56","")</f>
        <v/>
      </c>
      <c r="S969" s="4" t="str">
        <f>HYPERLINK("http://141.218.60.56/~jnz1568/getInfo.php?workbook=16_15.xlsx&amp;sheet=A0&amp;row=969&amp;col=19&amp;number=&amp;sourceID=57","")</f>
        <v/>
      </c>
      <c r="T969" s="4" t="str">
        <f>HYPERLINK("http://141.218.60.56/~jnz1568/getInfo.php?workbook=16_15.xlsx&amp;sheet=A0&amp;row=969&amp;col=20&amp;number=&amp;sourceID=57","")</f>
        <v/>
      </c>
      <c r="U969" s="4" t="str">
        <f>HYPERLINK("http://141.218.60.56/~jnz1568/getInfo.php?workbook=16_15.xlsx&amp;sheet=A0&amp;row=969&amp;col=21&amp;number=&amp;sourceID=47","")</f>
        <v/>
      </c>
      <c r="V969" s="4" t="str">
        <f>HYPERLINK("http://141.218.60.56/~jnz1568/getInfo.php?workbook=16_15.xlsx&amp;sheet=A0&amp;row=969&amp;col=22&amp;number=&amp;sourceID=47","")</f>
        <v/>
      </c>
    </row>
    <row r="970" spans="1:22">
      <c r="A970" s="3">
        <v>16</v>
      </c>
      <c r="B970" s="3">
        <v>15</v>
      </c>
      <c r="C970" s="3">
        <v>50</v>
      </c>
      <c r="D970" s="3">
        <v>30</v>
      </c>
      <c r="E970" s="3">
        <f>((1/(INDEX(E0!J$4:J$73,C970,1)-INDEX(E0!J$4:J$73,D970,1))))*100000000</f>
        <v>0</v>
      </c>
      <c r="F970" s="4" t="str">
        <f>HYPERLINK("http://141.218.60.56/~jnz1568/getInfo.php?workbook=16_15.xlsx&amp;sheet=A0&amp;row=970&amp;col=6&amp;number=&amp;sourceID=54","")</f>
        <v/>
      </c>
      <c r="G970" s="4" t="str">
        <f>HYPERLINK("http://141.218.60.56/~jnz1568/getInfo.php?workbook=16_15.xlsx&amp;sheet=A0&amp;row=970&amp;col=7&amp;number=0.0033429&amp;sourceID=54","0.0033429")</f>
        <v>0.0033429</v>
      </c>
      <c r="H970" s="4" t="str">
        <f>HYPERLINK("http://141.218.60.56/~jnz1568/getInfo.php?workbook=16_15.xlsx&amp;sheet=A0&amp;row=970&amp;col=8&amp;number=2.9586e-07&amp;sourceID=54","2.9586e-07")</f>
        <v>2.9586e-07</v>
      </c>
      <c r="I970" s="4" t="str">
        <f>HYPERLINK("http://141.218.60.56/~jnz1568/getInfo.php?workbook=16_15.xlsx&amp;sheet=A0&amp;row=970&amp;col=9&amp;number=&amp;sourceID=54","")</f>
        <v/>
      </c>
      <c r="J970" s="4" t="str">
        <f>HYPERLINK("http://141.218.60.56/~jnz1568/getInfo.php?workbook=16_15.xlsx&amp;sheet=A0&amp;row=970&amp;col=10&amp;number=0.0027875&amp;sourceID=54","0.0027875")</f>
        <v>0.0027875</v>
      </c>
      <c r="K970" s="4" t="str">
        <f>HYPERLINK("http://141.218.60.56/~jnz1568/getInfo.php?workbook=16_15.xlsx&amp;sheet=A0&amp;row=970&amp;col=11&amp;number=1.4515e-07&amp;sourceID=54","1.4515e-07")</f>
        <v>1.4515e-07</v>
      </c>
      <c r="L970" s="4" t="str">
        <f>HYPERLINK("http://141.218.60.56/~jnz1568/getInfo.php?workbook=16_15.xlsx&amp;sheet=A0&amp;row=970&amp;col=12&amp;number=&amp;sourceID=53","")</f>
        <v/>
      </c>
      <c r="M970" s="4" t="str">
        <f>HYPERLINK("http://141.218.60.56/~jnz1568/getInfo.php?workbook=16_15.xlsx&amp;sheet=A0&amp;row=970&amp;col=13&amp;number=&amp;sourceID=53","")</f>
        <v/>
      </c>
      <c r="N970" s="4" t="str">
        <f>HYPERLINK("http://141.218.60.56/~jnz1568/getInfo.php?workbook=16_15.xlsx&amp;sheet=A0&amp;row=970&amp;col=14&amp;number=&amp;sourceID=53","")</f>
        <v/>
      </c>
      <c r="O970" s="4" t="str">
        <f>HYPERLINK("http://141.218.60.56/~jnz1568/getInfo.php?workbook=16_15.xlsx&amp;sheet=A0&amp;row=970&amp;col=15&amp;number=&amp;sourceID=55","")</f>
        <v/>
      </c>
      <c r="P970" s="4" t="str">
        <f>HYPERLINK("http://141.218.60.56/~jnz1568/getInfo.php?workbook=16_15.xlsx&amp;sheet=A0&amp;row=970&amp;col=16&amp;number=&amp;sourceID=55","")</f>
        <v/>
      </c>
      <c r="Q970" s="4" t="str">
        <f>HYPERLINK("http://141.218.60.56/~jnz1568/getInfo.php?workbook=16_15.xlsx&amp;sheet=A0&amp;row=970&amp;col=17&amp;number=&amp;sourceID=56","")</f>
        <v/>
      </c>
      <c r="R970" s="4" t="str">
        <f>HYPERLINK("http://141.218.60.56/~jnz1568/getInfo.php?workbook=16_15.xlsx&amp;sheet=A0&amp;row=970&amp;col=18&amp;number=&amp;sourceID=56","")</f>
        <v/>
      </c>
      <c r="S970" s="4" t="str">
        <f>HYPERLINK("http://141.218.60.56/~jnz1568/getInfo.php?workbook=16_15.xlsx&amp;sheet=A0&amp;row=970&amp;col=19&amp;number=&amp;sourceID=57","")</f>
        <v/>
      </c>
      <c r="T970" s="4" t="str">
        <f>HYPERLINK("http://141.218.60.56/~jnz1568/getInfo.php?workbook=16_15.xlsx&amp;sheet=A0&amp;row=970&amp;col=20&amp;number=&amp;sourceID=57","")</f>
        <v/>
      </c>
      <c r="U970" s="4" t="str">
        <f>HYPERLINK("http://141.218.60.56/~jnz1568/getInfo.php?workbook=16_15.xlsx&amp;sheet=A0&amp;row=970&amp;col=21&amp;number=&amp;sourceID=47","")</f>
        <v/>
      </c>
      <c r="V970" s="4" t="str">
        <f>HYPERLINK("http://141.218.60.56/~jnz1568/getInfo.php?workbook=16_15.xlsx&amp;sheet=A0&amp;row=970&amp;col=22&amp;number=&amp;sourceID=47","")</f>
        <v/>
      </c>
    </row>
    <row r="971" spans="1:22">
      <c r="A971" s="3">
        <v>16</v>
      </c>
      <c r="B971" s="3">
        <v>15</v>
      </c>
      <c r="C971" s="3">
        <v>50</v>
      </c>
      <c r="D971" s="3">
        <v>32</v>
      </c>
      <c r="E971" s="3">
        <f>((1/(INDEX(E0!J$4:J$73,C971,1)-INDEX(E0!J$4:J$73,D971,1))))*100000000</f>
        <v>0</v>
      </c>
      <c r="F971" s="4" t="str">
        <f>HYPERLINK("http://141.218.60.56/~jnz1568/getInfo.php?workbook=16_15.xlsx&amp;sheet=A0&amp;row=971&amp;col=6&amp;number=&amp;sourceID=54","")</f>
        <v/>
      </c>
      <c r="G971" s="4" t="str">
        <f>HYPERLINK("http://141.218.60.56/~jnz1568/getInfo.php?workbook=16_15.xlsx&amp;sheet=A0&amp;row=971&amp;col=7&amp;number=0.0002293&amp;sourceID=54","0.0002293")</f>
        <v>0.0002293</v>
      </c>
      <c r="H971" s="4" t="str">
        <f>HYPERLINK("http://141.218.60.56/~jnz1568/getInfo.php?workbook=16_15.xlsx&amp;sheet=A0&amp;row=971&amp;col=8&amp;number=1.6952e-06&amp;sourceID=54","1.6952e-06")</f>
        <v>1.6952e-06</v>
      </c>
      <c r="I971" s="4" t="str">
        <f>HYPERLINK("http://141.218.60.56/~jnz1568/getInfo.php?workbook=16_15.xlsx&amp;sheet=A0&amp;row=971&amp;col=9&amp;number=&amp;sourceID=54","")</f>
        <v/>
      </c>
      <c r="J971" s="4" t="str">
        <f>HYPERLINK("http://141.218.60.56/~jnz1568/getInfo.php?workbook=16_15.xlsx&amp;sheet=A0&amp;row=971&amp;col=10&amp;number=0.00023951&amp;sourceID=54","0.00023951")</f>
        <v>0.00023951</v>
      </c>
      <c r="K971" s="4" t="str">
        <f>HYPERLINK("http://141.218.60.56/~jnz1568/getInfo.php?workbook=16_15.xlsx&amp;sheet=A0&amp;row=971&amp;col=11&amp;number=2.3585e-06&amp;sourceID=54","2.3585e-06")</f>
        <v>2.3585e-06</v>
      </c>
      <c r="L971" s="4" t="str">
        <f>HYPERLINK("http://141.218.60.56/~jnz1568/getInfo.php?workbook=16_15.xlsx&amp;sheet=A0&amp;row=971&amp;col=12&amp;number=&amp;sourceID=53","")</f>
        <v/>
      </c>
      <c r="M971" s="4" t="str">
        <f>HYPERLINK("http://141.218.60.56/~jnz1568/getInfo.php?workbook=16_15.xlsx&amp;sheet=A0&amp;row=971&amp;col=13&amp;number=&amp;sourceID=53","")</f>
        <v/>
      </c>
      <c r="N971" s="4" t="str">
        <f>HYPERLINK("http://141.218.60.56/~jnz1568/getInfo.php?workbook=16_15.xlsx&amp;sheet=A0&amp;row=971&amp;col=14&amp;number=&amp;sourceID=53","")</f>
        <v/>
      </c>
      <c r="O971" s="4" t="str">
        <f>HYPERLINK("http://141.218.60.56/~jnz1568/getInfo.php?workbook=16_15.xlsx&amp;sheet=A0&amp;row=971&amp;col=15&amp;number=&amp;sourceID=55","")</f>
        <v/>
      </c>
      <c r="P971" s="4" t="str">
        <f>HYPERLINK("http://141.218.60.56/~jnz1568/getInfo.php?workbook=16_15.xlsx&amp;sheet=A0&amp;row=971&amp;col=16&amp;number=&amp;sourceID=55","")</f>
        <v/>
      </c>
      <c r="Q971" s="4" t="str">
        <f>HYPERLINK("http://141.218.60.56/~jnz1568/getInfo.php?workbook=16_15.xlsx&amp;sheet=A0&amp;row=971&amp;col=17&amp;number=&amp;sourceID=56","")</f>
        <v/>
      </c>
      <c r="R971" s="4" t="str">
        <f>HYPERLINK("http://141.218.60.56/~jnz1568/getInfo.php?workbook=16_15.xlsx&amp;sheet=A0&amp;row=971&amp;col=18&amp;number=&amp;sourceID=56","")</f>
        <v/>
      </c>
      <c r="S971" s="4" t="str">
        <f>HYPERLINK("http://141.218.60.56/~jnz1568/getInfo.php?workbook=16_15.xlsx&amp;sheet=A0&amp;row=971&amp;col=19&amp;number=&amp;sourceID=57","")</f>
        <v/>
      </c>
      <c r="T971" s="4" t="str">
        <f>HYPERLINK("http://141.218.60.56/~jnz1568/getInfo.php?workbook=16_15.xlsx&amp;sheet=A0&amp;row=971&amp;col=20&amp;number=&amp;sourceID=57","")</f>
        <v/>
      </c>
      <c r="U971" s="4" t="str">
        <f>HYPERLINK("http://141.218.60.56/~jnz1568/getInfo.php?workbook=16_15.xlsx&amp;sheet=A0&amp;row=971&amp;col=21&amp;number=&amp;sourceID=47","")</f>
        <v/>
      </c>
      <c r="V971" s="4" t="str">
        <f>HYPERLINK("http://141.218.60.56/~jnz1568/getInfo.php?workbook=16_15.xlsx&amp;sheet=A0&amp;row=971&amp;col=22&amp;number=&amp;sourceID=47","")</f>
        <v/>
      </c>
    </row>
    <row r="972" spans="1:22">
      <c r="A972" s="3">
        <v>16</v>
      </c>
      <c r="B972" s="3">
        <v>15</v>
      </c>
      <c r="C972" s="3">
        <v>50</v>
      </c>
      <c r="D972" s="3">
        <v>33</v>
      </c>
      <c r="E972" s="3">
        <f>((1/(INDEX(E0!J$4:J$73,C972,1)-INDEX(E0!J$4:J$73,D972,1))))*100000000</f>
        <v>0</v>
      </c>
      <c r="F972" s="4" t="str">
        <f>HYPERLINK("http://141.218.60.56/~jnz1568/getInfo.php?workbook=16_15.xlsx&amp;sheet=A0&amp;row=972&amp;col=6&amp;number=&amp;sourceID=54","")</f>
        <v/>
      </c>
      <c r="G972" s="4" t="str">
        <f>HYPERLINK("http://141.218.60.56/~jnz1568/getInfo.php?workbook=16_15.xlsx&amp;sheet=A0&amp;row=972&amp;col=7&amp;number=0.0043127&amp;sourceID=54","0.0043127")</f>
        <v>0.0043127</v>
      </c>
      <c r="H972" s="4" t="str">
        <f>HYPERLINK("http://141.218.60.56/~jnz1568/getInfo.php?workbook=16_15.xlsx&amp;sheet=A0&amp;row=972&amp;col=8&amp;number=&amp;sourceID=54","")</f>
        <v/>
      </c>
      <c r="I972" s="4" t="str">
        <f>HYPERLINK("http://141.218.60.56/~jnz1568/getInfo.php?workbook=16_15.xlsx&amp;sheet=A0&amp;row=972&amp;col=9&amp;number=&amp;sourceID=54","")</f>
        <v/>
      </c>
      <c r="J972" s="4" t="str">
        <f>HYPERLINK("http://141.218.60.56/~jnz1568/getInfo.php?workbook=16_15.xlsx&amp;sheet=A0&amp;row=972&amp;col=10&amp;number=0.0047148&amp;sourceID=54","0.0047148")</f>
        <v>0.0047148</v>
      </c>
      <c r="K972" s="4" t="str">
        <f>HYPERLINK("http://141.218.60.56/~jnz1568/getInfo.php?workbook=16_15.xlsx&amp;sheet=A0&amp;row=972&amp;col=11&amp;number=&amp;sourceID=54","")</f>
        <v/>
      </c>
      <c r="L972" s="4" t="str">
        <f>HYPERLINK("http://141.218.60.56/~jnz1568/getInfo.php?workbook=16_15.xlsx&amp;sheet=A0&amp;row=972&amp;col=12&amp;number=&amp;sourceID=53","")</f>
        <v/>
      </c>
      <c r="M972" s="4" t="str">
        <f>HYPERLINK("http://141.218.60.56/~jnz1568/getInfo.php?workbook=16_15.xlsx&amp;sheet=A0&amp;row=972&amp;col=13&amp;number=&amp;sourceID=53","")</f>
        <v/>
      </c>
      <c r="N972" s="4" t="str">
        <f>HYPERLINK("http://141.218.60.56/~jnz1568/getInfo.php?workbook=16_15.xlsx&amp;sheet=A0&amp;row=972&amp;col=14&amp;number=&amp;sourceID=53","")</f>
        <v/>
      </c>
      <c r="O972" s="4" t="str">
        <f>HYPERLINK("http://141.218.60.56/~jnz1568/getInfo.php?workbook=16_15.xlsx&amp;sheet=A0&amp;row=972&amp;col=15&amp;number=&amp;sourceID=55","")</f>
        <v/>
      </c>
      <c r="P972" s="4" t="str">
        <f>HYPERLINK("http://141.218.60.56/~jnz1568/getInfo.php?workbook=16_15.xlsx&amp;sheet=A0&amp;row=972&amp;col=16&amp;number=&amp;sourceID=55","")</f>
        <v/>
      </c>
      <c r="Q972" s="4" t="str">
        <f>HYPERLINK("http://141.218.60.56/~jnz1568/getInfo.php?workbook=16_15.xlsx&amp;sheet=A0&amp;row=972&amp;col=17&amp;number=&amp;sourceID=56","")</f>
        <v/>
      </c>
      <c r="R972" s="4" t="str">
        <f>HYPERLINK("http://141.218.60.56/~jnz1568/getInfo.php?workbook=16_15.xlsx&amp;sheet=A0&amp;row=972&amp;col=18&amp;number=&amp;sourceID=56","")</f>
        <v/>
      </c>
      <c r="S972" s="4" t="str">
        <f>HYPERLINK("http://141.218.60.56/~jnz1568/getInfo.php?workbook=16_15.xlsx&amp;sheet=A0&amp;row=972&amp;col=19&amp;number=&amp;sourceID=57","")</f>
        <v/>
      </c>
      <c r="T972" s="4" t="str">
        <f>HYPERLINK("http://141.218.60.56/~jnz1568/getInfo.php?workbook=16_15.xlsx&amp;sheet=A0&amp;row=972&amp;col=20&amp;number=&amp;sourceID=57","")</f>
        <v/>
      </c>
      <c r="U972" s="4" t="str">
        <f>HYPERLINK("http://141.218.60.56/~jnz1568/getInfo.php?workbook=16_15.xlsx&amp;sheet=A0&amp;row=972&amp;col=21&amp;number=&amp;sourceID=47","")</f>
        <v/>
      </c>
      <c r="V972" s="4" t="str">
        <f>HYPERLINK("http://141.218.60.56/~jnz1568/getInfo.php?workbook=16_15.xlsx&amp;sheet=A0&amp;row=972&amp;col=22&amp;number=&amp;sourceID=47","")</f>
        <v/>
      </c>
    </row>
    <row r="973" spans="1:22">
      <c r="A973" s="3">
        <v>16</v>
      </c>
      <c r="B973" s="3">
        <v>15</v>
      </c>
      <c r="C973" s="3">
        <v>50</v>
      </c>
      <c r="D973" s="3">
        <v>35</v>
      </c>
      <c r="E973" s="3">
        <f>((1/(INDEX(E0!J$4:J$73,C973,1)-INDEX(E0!J$4:J$73,D973,1))))*100000000</f>
        <v>0</v>
      </c>
      <c r="F973" s="4" t="str">
        <f>HYPERLINK("http://141.218.60.56/~jnz1568/getInfo.php?workbook=16_15.xlsx&amp;sheet=A0&amp;row=973&amp;col=6&amp;number=678.23&amp;sourceID=54","678.23")</f>
        <v>678.23</v>
      </c>
      <c r="G973" s="4" t="str">
        <f>HYPERLINK("http://141.218.60.56/~jnz1568/getInfo.php?workbook=16_15.xlsx&amp;sheet=A0&amp;row=973&amp;col=7&amp;number=&amp;sourceID=54","")</f>
        <v/>
      </c>
      <c r="H973" s="4" t="str">
        <f>HYPERLINK("http://141.218.60.56/~jnz1568/getInfo.php?workbook=16_15.xlsx&amp;sheet=A0&amp;row=973&amp;col=8&amp;number=&amp;sourceID=54","")</f>
        <v/>
      </c>
      <c r="I973" s="4" t="str">
        <f>HYPERLINK("http://141.218.60.56/~jnz1568/getInfo.php?workbook=16_15.xlsx&amp;sheet=A0&amp;row=973&amp;col=9&amp;number=435.82&amp;sourceID=54","435.82")</f>
        <v>435.82</v>
      </c>
      <c r="J973" s="4" t="str">
        <f>HYPERLINK("http://141.218.60.56/~jnz1568/getInfo.php?workbook=16_15.xlsx&amp;sheet=A0&amp;row=973&amp;col=10&amp;number=&amp;sourceID=54","")</f>
        <v/>
      </c>
      <c r="K973" s="4" t="str">
        <f>HYPERLINK("http://141.218.60.56/~jnz1568/getInfo.php?workbook=16_15.xlsx&amp;sheet=A0&amp;row=973&amp;col=11&amp;number=&amp;sourceID=54","")</f>
        <v/>
      </c>
      <c r="L973" s="4" t="str">
        <f>HYPERLINK("http://141.218.60.56/~jnz1568/getInfo.php?workbook=16_15.xlsx&amp;sheet=A0&amp;row=973&amp;col=12&amp;number=793.051248337&amp;sourceID=53","793.051248337")</f>
        <v>793.051248337</v>
      </c>
      <c r="M973" s="4" t="str">
        <f>HYPERLINK("http://141.218.60.56/~jnz1568/getInfo.php?workbook=16_15.xlsx&amp;sheet=A0&amp;row=973&amp;col=13&amp;number=&amp;sourceID=53","")</f>
        <v/>
      </c>
      <c r="N973" s="4" t="str">
        <f>HYPERLINK("http://141.218.60.56/~jnz1568/getInfo.php?workbook=16_15.xlsx&amp;sheet=A0&amp;row=973&amp;col=14&amp;number=&amp;sourceID=53","")</f>
        <v/>
      </c>
      <c r="O973" s="4" t="str">
        <f>HYPERLINK("http://141.218.60.56/~jnz1568/getInfo.php?workbook=16_15.xlsx&amp;sheet=A0&amp;row=973&amp;col=15&amp;number=&amp;sourceID=55","")</f>
        <v/>
      </c>
      <c r="P973" s="4" t="str">
        <f>HYPERLINK("http://141.218.60.56/~jnz1568/getInfo.php?workbook=16_15.xlsx&amp;sheet=A0&amp;row=973&amp;col=16&amp;number=&amp;sourceID=55","")</f>
        <v/>
      </c>
      <c r="Q973" s="4" t="str">
        <f>HYPERLINK("http://141.218.60.56/~jnz1568/getInfo.php?workbook=16_15.xlsx&amp;sheet=A0&amp;row=973&amp;col=17&amp;number=&amp;sourceID=56","")</f>
        <v/>
      </c>
      <c r="R973" s="4" t="str">
        <f>HYPERLINK("http://141.218.60.56/~jnz1568/getInfo.php?workbook=16_15.xlsx&amp;sheet=A0&amp;row=973&amp;col=18&amp;number=&amp;sourceID=56","")</f>
        <v/>
      </c>
      <c r="S973" s="4" t="str">
        <f>HYPERLINK("http://141.218.60.56/~jnz1568/getInfo.php?workbook=16_15.xlsx&amp;sheet=A0&amp;row=973&amp;col=19&amp;number=&amp;sourceID=57","")</f>
        <v/>
      </c>
      <c r="T973" s="4" t="str">
        <f>HYPERLINK("http://141.218.60.56/~jnz1568/getInfo.php?workbook=16_15.xlsx&amp;sheet=A0&amp;row=973&amp;col=20&amp;number=&amp;sourceID=57","")</f>
        <v/>
      </c>
      <c r="U973" s="4" t="str">
        <f>HYPERLINK("http://141.218.60.56/~jnz1568/getInfo.php?workbook=16_15.xlsx&amp;sheet=A0&amp;row=973&amp;col=21&amp;number=&amp;sourceID=47","")</f>
        <v/>
      </c>
      <c r="V973" s="4" t="str">
        <f>HYPERLINK("http://141.218.60.56/~jnz1568/getInfo.php?workbook=16_15.xlsx&amp;sheet=A0&amp;row=973&amp;col=22&amp;number=&amp;sourceID=47","")</f>
        <v/>
      </c>
    </row>
    <row r="974" spans="1:22">
      <c r="A974" s="3">
        <v>16</v>
      </c>
      <c r="B974" s="3">
        <v>15</v>
      </c>
      <c r="C974" s="3">
        <v>50</v>
      </c>
      <c r="D974" s="3">
        <v>36</v>
      </c>
      <c r="E974" s="3">
        <f>((1/(INDEX(E0!J$4:J$73,C974,1)-INDEX(E0!J$4:J$73,D974,1))))*100000000</f>
        <v>0</v>
      </c>
      <c r="F974" s="4" t="str">
        <f>HYPERLINK("http://141.218.60.56/~jnz1568/getInfo.php?workbook=16_15.xlsx&amp;sheet=A0&amp;row=974&amp;col=6&amp;number=337.44&amp;sourceID=54","337.44")</f>
        <v>337.44</v>
      </c>
      <c r="G974" s="4" t="str">
        <f>HYPERLINK("http://141.218.60.56/~jnz1568/getInfo.php?workbook=16_15.xlsx&amp;sheet=A0&amp;row=974&amp;col=7&amp;number=&amp;sourceID=54","")</f>
        <v/>
      </c>
      <c r="H974" s="4" t="str">
        <f>HYPERLINK("http://141.218.60.56/~jnz1568/getInfo.php?workbook=16_15.xlsx&amp;sheet=A0&amp;row=974&amp;col=8&amp;number=&amp;sourceID=54","")</f>
        <v/>
      </c>
      <c r="I974" s="4" t="str">
        <f>HYPERLINK("http://141.218.60.56/~jnz1568/getInfo.php?workbook=16_15.xlsx&amp;sheet=A0&amp;row=974&amp;col=9&amp;number=213.32&amp;sourceID=54","213.32")</f>
        <v>213.32</v>
      </c>
      <c r="J974" s="4" t="str">
        <f>HYPERLINK("http://141.218.60.56/~jnz1568/getInfo.php?workbook=16_15.xlsx&amp;sheet=A0&amp;row=974&amp;col=10&amp;number=&amp;sourceID=54","")</f>
        <v/>
      </c>
      <c r="K974" s="4" t="str">
        <f>HYPERLINK("http://141.218.60.56/~jnz1568/getInfo.php?workbook=16_15.xlsx&amp;sheet=A0&amp;row=974&amp;col=11&amp;number=&amp;sourceID=54","")</f>
        <v/>
      </c>
      <c r="L974" s="4" t="str">
        <f>HYPERLINK("http://141.218.60.56/~jnz1568/getInfo.php?workbook=16_15.xlsx&amp;sheet=A0&amp;row=974&amp;col=12&amp;number=72.2280633777&amp;sourceID=53","72.2280633777")</f>
        <v>72.2280633777</v>
      </c>
      <c r="M974" s="4" t="str">
        <f>HYPERLINK("http://141.218.60.56/~jnz1568/getInfo.php?workbook=16_15.xlsx&amp;sheet=A0&amp;row=974&amp;col=13&amp;number=&amp;sourceID=53","")</f>
        <v/>
      </c>
      <c r="N974" s="4" t="str">
        <f>HYPERLINK("http://141.218.60.56/~jnz1568/getInfo.php?workbook=16_15.xlsx&amp;sheet=A0&amp;row=974&amp;col=14&amp;number=&amp;sourceID=53","")</f>
        <v/>
      </c>
      <c r="O974" s="4" t="str">
        <f>HYPERLINK("http://141.218.60.56/~jnz1568/getInfo.php?workbook=16_15.xlsx&amp;sheet=A0&amp;row=974&amp;col=15&amp;number=&amp;sourceID=55","")</f>
        <v/>
      </c>
      <c r="P974" s="4" t="str">
        <f>HYPERLINK("http://141.218.60.56/~jnz1568/getInfo.php?workbook=16_15.xlsx&amp;sheet=A0&amp;row=974&amp;col=16&amp;number=&amp;sourceID=55","")</f>
        <v/>
      </c>
      <c r="Q974" s="4" t="str">
        <f>HYPERLINK("http://141.218.60.56/~jnz1568/getInfo.php?workbook=16_15.xlsx&amp;sheet=A0&amp;row=974&amp;col=17&amp;number=&amp;sourceID=56","")</f>
        <v/>
      </c>
      <c r="R974" s="4" t="str">
        <f>HYPERLINK("http://141.218.60.56/~jnz1568/getInfo.php?workbook=16_15.xlsx&amp;sheet=A0&amp;row=974&amp;col=18&amp;number=&amp;sourceID=56","")</f>
        <v/>
      </c>
      <c r="S974" s="4" t="str">
        <f>HYPERLINK("http://141.218.60.56/~jnz1568/getInfo.php?workbook=16_15.xlsx&amp;sheet=A0&amp;row=974&amp;col=19&amp;number=&amp;sourceID=57","")</f>
        <v/>
      </c>
      <c r="T974" s="4" t="str">
        <f>HYPERLINK("http://141.218.60.56/~jnz1568/getInfo.php?workbook=16_15.xlsx&amp;sheet=A0&amp;row=974&amp;col=20&amp;number=&amp;sourceID=57","")</f>
        <v/>
      </c>
      <c r="U974" s="4" t="str">
        <f>HYPERLINK("http://141.218.60.56/~jnz1568/getInfo.php?workbook=16_15.xlsx&amp;sheet=A0&amp;row=974&amp;col=21&amp;number=&amp;sourceID=47","")</f>
        <v/>
      </c>
      <c r="V974" s="4" t="str">
        <f>HYPERLINK("http://141.218.60.56/~jnz1568/getInfo.php?workbook=16_15.xlsx&amp;sheet=A0&amp;row=974&amp;col=22&amp;number=&amp;sourceID=47","")</f>
        <v/>
      </c>
    </row>
    <row r="975" spans="1:22">
      <c r="A975" s="3">
        <v>16</v>
      </c>
      <c r="B975" s="3">
        <v>15</v>
      </c>
      <c r="C975" s="3">
        <v>50</v>
      </c>
      <c r="D975" s="3">
        <v>37</v>
      </c>
      <c r="E975" s="3">
        <f>((1/(INDEX(E0!J$4:J$73,C975,1)-INDEX(E0!J$4:J$73,D975,1))))*100000000</f>
        <v>0</v>
      </c>
      <c r="F975" s="4" t="str">
        <f>HYPERLINK("http://141.218.60.56/~jnz1568/getInfo.php?workbook=16_15.xlsx&amp;sheet=A0&amp;row=975&amp;col=6&amp;number=0.46967&amp;sourceID=54","0.46967")</f>
        <v>0.46967</v>
      </c>
      <c r="G975" s="4" t="str">
        <f>HYPERLINK("http://141.218.60.56/~jnz1568/getInfo.php?workbook=16_15.xlsx&amp;sheet=A0&amp;row=975&amp;col=7&amp;number=&amp;sourceID=54","")</f>
        <v/>
      </c>
      <c r="H975" s="4" t="str">
        <f>HYPERLINK("http://141.218.60.56/~jnz1568/getInfo.php?workbook=16_15.xlsx&amp;sheet=A0&amp;row=975&amp;col=8&amp;number=&amp;sourceID=54","")</f>
        <v/>
      </c>
      <c r="I975" s="4" t="str">
        <f>HYPERLINK("http://141.218.60.56/~jnz1568/getInfo.php?workbook=16_15.xlsx&amp;sheet=A0&amp;row=975&amp;col=9&amp;number=0.43775&amp;sourceID=54","0.43775")</f>
        <v>0.43775</v>
      </c>
      <c r="J975" s="4" t="str">
        <f>HYPERLINK("http://141.218.60.56/~jnz1568/getInfo.php?workbook=16_15.xlsx&amp;sheet=A0&amp;row=975&amp;col=10&amp;number=&amp;sourceID=54","")</f>
        <v/>
      </c>
      <c r="K975" s="4" t="str">
        <f>HYPERLINK("http://141.218.60.56/~jnz1568/getInfo.php?workbook=16_15.xlsx&amp;sheet=A0&amp;row=975&amp;col=11&amp;number=&amp;sourceID=54","")</f>
        <v/>
      </c>
      <c r="L975" s="4" t="str">
        <f>HYPERLINK("http://141.218.60.56/~jnz1568/getInfo.php?workbook=16_15.xlsx&amp;sheet=A0&amp;row=975&amp;col=12&amp;number=16.8172632632&amp;sourceID=53","16.8172632632")</f>
        <v>16.8172632632</v>
      </c>
      <c r="M975" s="4" t="str">
        <f>HYPERLINK("http://141.218.60.56/~jnz1568/getInfo.php?workbook=16_15.xlsx&amp;sheet=A0&amp;row=975&amp;col=13&amp;number=&amp;sourceID=53","")</f>
        <v/>
      </c>
      <c r="N975" s="4" t="str">
        <f>HYPERLINK("http://141.218.60.56/~jnz1568/getInfo.php?workbook=16_15.xlsx&amp;sheet=A0&amp;row=975&amp;col=14&amp;number=&amp;sourceID=53","")</f>
        <v/>
      </c>
      <c r="O975" s="4" t="str">
        <f>HYPERLINK("http://141.218.60.56/~jnz1568/getInfo.php?workbook=16_15.xlsx&amp;sheet=A0&amp;row=975&amp;col=15&amp;number=&amp;sourceID=55","")</f>
        <v/>
      </c>
      <c r="P975" s="4" t="str">
        <f>HYPERLINK("http://141.218.60.56/~jnz1568/getInfo.php?workbook=16_15.xlsx&amp;sheet=A0&amp;row=975&amp;col=16&amp;number=&amp;sourceID=55","")</f>
        <v/>
      </c>
      <c r="Q975" s="4" t="str">
        <f>HYPERLINK("http://141.218.60.56/~jnz1568/getInfo.php?workbook=16_15.xlsx&amp;sheet=A0&amp;row=975&amp;col=17&amp;number=&amp;sourceID=56","")</f>
        <v/>
      </c>
      <c r="R975" s="4" t="str">
        <f>HYPERLINK("http://141.218.60.56/~jnz1568/getInfo.php?workbook=16_15.xlsx&amp;sheet=A0&amp;row=975&amp;col=18&amp;number=&amp;sourceID=56","")</f>
        <v/>
      </c>
      <c r="S975" s="4" t="str">
        <f>HYPERLINK("http://141.218.60.56/~jnz1568/getInfo.php?workbook=16_15.xlsx&amp;sheet=A0&amp;row=975&amp;col=19&amp;number=&amp;sourceID=57","")</f>
        <v/>
      </c>
      <c r="T975" s="4" t="str">
        <f>HYPERLINK("http://141.218.60.56/~jnz1568/getInfo.php?workbook=16_15.xlsx&amp;sheet=A0&amp;row=975&amp;col=20&amp;number=&amp;sourceID=57","")</f>
        <v/>
      </c>
      <c r="U975" s="4" t="str">
        <f>HYPERLINK("http://141.218.60.56/~jnz1568/getInfo.php?workbook=16_15.xlsx&amp;sheet=A0&amp;row=975&amp;col=21&amp;number=&amp;sourceID=47","")</f>
        <v/>
      </c>
      <c r="V975" s="4" t="str">
        <f>HYPERLINK("http://141.218.60.56/~jnz1568/getInfo.php?workbook=16_15.xlsx&amp;sheet=A0&amp;row=975&amp;col=22&amp;number=&amp;sourceID=47","")</f>
        <v/>
      </c>
    </row>
    <row r="976" spans="1:22">
      <c r="A976" s="3">
        <v>16</v>
      </c>
      <c r="B976" s="3">
        <v>15</v>
      </c>
      <c r="C976" s="3">
        <v>50</v>
      </c>
      <c r="D976" s="3">
        <v>39</v>
      </c>
      <c r="E976" s="3">
        <f>((1/(INDEX(E0!J$4:J$73,C976,1)-INDEX(E0!J$4:J$73,D976,1))))*100000000</f>
        <v>0</v>
      </c>
      <c r="F976" s="4" t="str">
        <f>HYPERLINK("http://141.218.60.56/~jnz1568/getInfo.php?workbook=16_15.xlsx&amp;sheet=A0&amp;row=976&amp;col=6&amp;number=1247&amp;sourceID=54","1247")</f>
        <v>1247</v>
      </c>
      <c r="G976" s="4" t="str">
        <f>HYPERLINK("http://141.218.60.56/~jnz1568/getInfo.php?workbook=16_15.xlsx&amp;sheet=A0&amp;row=976&amp;col=7&amp;number=&amp;sourceID=54","")</f>
        <v/>
      </c>
      <c r="H976" s="4" t="str">
        <f>HYPERLINK("http://141.218.60.56/~jnz1568/getInfo.php?workbook=16_15.xlsx&amp;sheet=A0&amp;row=976&amp;col=8&amp;number=&amp;sourceID=54","")</f>
        <v/>
      </c>
      <c r="I976" s="4" t="str">
        <f>HYPERLINK("http://141.218.60.56/~jnz1568/getInfo.php?workbook=16_15.xlsx&amp;sheet=A0&amp;row=976&amp;col=9&amp;number=775.36&amp;sourceID=54","775.36")</f>
        <v>775.36</v>
      </c>
      <c r="J976" s="4" t="str">
        <f>HYPERLINK("http://141.218.60.56/~jnz1568/getInfo.php?workbook=16_15.xlsx&amp;sheet=A0&amp;row=976&amp;col=10&amp;number=&amp;sourceID=54","")</f>
        <v/>
      </c>
      <c r="K976" s="4" t="str">
        <f>HYPERLINK("http://141.218.60.56/~jnz1568/getInfo.php?workbook=16_15.xlsx&amp;sheet=A0&amp;row=976&amp;col=11&amp;number=&amp;sourceID=54","")</f>
        <v/>
      </c>
      <c r="L976" s="4" t="str">
        <f>HYPERLINK("http://141.218.60.56/~jnz1568/getInfo.php?workbook=16_15.xlsx&amp;sheet=A0&amp;row=976&amp;col=12&amp;number=853.417909747&amp;sourceID=53","853.417909747")</f>
        <v>853.417909747</v>
      </c>
      <c r="M976" s="4" t="str">
        <f>HYPERLINK("http://141.218.60.56/~jnz1568/getInfo.php?workbook=16_15.xlsx&amp;sheet=A0&amp;row=976&amp;col=13&amp;number=&amp;sourceID=53","")</f>
        <v/>
      </c>
      <c r="N976" s="4" t="str">
        <f>HYPERLINK("http://141.218.60.56/~jnz1568/getInfo.php?workbook=16_15.xlsx&amp;sheet=A0&amp;row=976&amp;col=14&amp;number=&amp;sourceID=53","")</f>
        <v/>
      </c>
      <c r="O976" s="4" t="str">
        <f>HYPERLINK("http://141.218.60.56/~jnz1568/getInfo.php?workbook=16_15.xlsx&amp;sheet=A0&amp;row=976&amp;col=15&amp;number=&amp;sourceID=55","")</f>
        <v/>
      </c>
      <c r="P976" s="4" t="str">
        <f>HYPERLINK("http://141.218.60.56/~jnz1568/getInfo.php?workbook=16_15.xlsx&amp;sheet=A0&amp;row=976&amp;col=16&amp;number=&amp;sourceID=55","")</f>
        <v/>
      </c>
      <c r="Q976" s="4" t="str">
        <f>HYPERLINK("http://141.218.60.56/~jnz1568/getInfo.php?workbook=16_15.xlsx&amp;sheet=A0&amp;row=976&amp;col=17&amp;number=&amp;sourceID=56","")</f>
        <v/>
      </c>
      <c r="R976" s="4" t="str">
        <f>HYPERLINK("http://141.218.60.56/~jnz1568/getInfo.php?workbook=16_15.xlsx&amp;sheet=A0&amp;row=976&amp;col=18&amp;number=&amp;sourceID=56","")</f>
        <v/>
      </c>
      <c r="S976" s="4" t="str">
        <f>HYPERLINK("http://141.218.60.56/~jnz1568/getInfo.php?workbook=16_15.xlsx&amp;sheet=A0&amp;row=976&amp;col=19&amp;number=&amp;sourceID=57","")</f>
        <v/>
      </c>
      <c r="T976" s="4" t="str">
        <f>HYPERLINK("http://141.218.60.56/~jnz1568/getInfo.php?workbook=16_15.xlsx&amp;sheet=A0&amp;row=976&amp;col=20&amp;number=&amp;sourceID=57","")</f>
        <v/>
      </c>
      <c r="U976" s="4" t="str">
        <f>HYPERLINK("http://141.218.60.56/~jnz1568/getInfo.php?workbook=16_15.xlsx&amp;sheet=A0&amp;row=976&amp;col=21&amp;number=&amp;sourceID=47","")</f>
        <v/>
      </c>
      <c r="V976" s="4" t="str">
        <f>HYPERLINK("http://141.218.60.56/~jnz1568/getInfo.php?workbook=16_15.xlsx&amp;sheet=A0&amp;row=976&amp;col=22&amp;number=&amp;sourceID=47","")</f>
        <v/>
      </c>
    </row>
    <row r="977" spans="1:22">
      <c r="A977" s="3">
        <v>16</v>
      </c>
      <c r="B977" s="3">
        <v>15</v>
      </c>
      <c r="C977" s="3">
        <v>50</v>
      </c>
      <c r="D977" s="3">
        <v>40</v>
      </c>
      <c r="E977" s="3">
        <f>((1/(INDEX(E0!J$4:J$73,C977,1)-INDEX(E0!J$4:J$73,D977,1))))*100000000</f>
        <v>0</v>
      </c>
      <c r="F977" s="4" t="str">
        <f>HYPERLINK("http://141.218.60.56/~jnz1568/getInfo.php?workbook=16_15.xlsx&amp;sheet=A0&amp;row=977&amp;col=6&amp;number=4722.5&amp;sourceID=54","4722.5")</f>
        <v>4722.5</v>
      </c>
      <c r="G977" s="4" t="str">
        <f>HYPERLINK("http://141.218.60.56/~jnz1568/getInfo.php?workbook=16_15.xlsx&amp;sheet=A0&amp;row=977&amp;col=7&amp;number=&amp;sourceID=54","")</f>
        <v/>
      </c>
      <c r="H977" s="4" t="str">
        <f>HYPERLINK("http://141.218.60.56/~jnz1568/getInfo.php?workbook=16_15.xlsx&amp;sheet=A0&amp;row=977&amp;col=8&amp;number=&amp;sourceID=54","")</f>
        <v/>
      </c>
      <c r="I977" s="4" t="str">
        <f>HYPERLINK("http://141.218.60.56/~jnz1568/getInfo.php?workbook=16_15.xlsx&amp;sheet=A0&amp;row=977&amp;col=9&amp;number=2822.9&amp;sourceID=54","2822.9")</f>
        <v>2822.9</v>
      </c>
      <c r="J977" s="4" t="str">
        <f>HYPERLINK("http://141.218.60.56/~jnz1568/getInfo.php?workbook=16_15.xlsx&amp;sheet=A0&amp;row=977&amp;col=10&amp;number=&amp;sourceID=54","")</f>
        <v/>
      </c>
      <c r="K977" s="4" t="str">
        <f>HYPERLINK("http://141.218.60.56/~jnz1568/getInfo.php?workbook=16_15.xlsx&amp;sheet=A0&amp;row=977&amp;col=11&amp;number=&amp;sourceID=54","")</f>
        <v/>
      </c>
      <c r="L977" s="4" t="str">
        <f>HYPERLINK("http://141.218.60.56/~jnz1568/getInfo.php?workbook=16_15.xlsx&amp;sheet=A0&amp;row=977&amp;col=12&amp;number=2155.30901664&amp;sourceID=53","2155.30901664")</f>
        <v>2155.30901664</v>
      </c>
      <c r="M977" s="4" t="str">
        <f>HYPERLINK("http://141.218.60.56/~jnz1568/getInfo.php?workbook=16_15.xlsx&amp;sheet=A0&amp;row=977&amp;col=13&amp;number=&amp;sourceID=53","")</f>
        <v/>
      </c>
      <c r="N977" s="4" t="str">
        <f>HYPERLINK("http://141.218.60.56/~jnz1568/getInfo.php?workbook=16_15.xlsx&amp;sheet=A0&amp;row=977&amp;col=14&amp;number=&amp;sourceID=53","")</f>
        <v/>
      </c>
      <c r="O977" s="4" t="str">
        <f>HYPERLINK("http://141.218.60.56/~jnz1568/getInfo.php?workbook=16_15.xlsx&amp;sheet=A0&amp;row=977&amp;col=15&amp;number=&amp;sourceID=55","")</f>
        <v/>
      </c>
      <c r="P977" s="4" t="str">
        <f>HYPERLINK("http://141.218.60.56/~jnz1568/getInfo.php?workbook=16_15.xlsx&amp;sheet=A0&amp;row=977&amp;col=16&amp;number=&amp;sourceID=55","")</f>
        <v/>
      </c>
      <c r="Q977" s="4" t="str">
        <f>HYPERLINK("http://141.218.60.56/~jnz1568/getInfo.php?workbook=16_15.xlsx&amp;sheet=A0&amp;row=977&amp;col=17&amp;number=&amp;sourceID=56","")</f>
        <v/>
      </c>
      <c r="R977" s="4" t="str">
        <f>HYPERLINK("http://141.218.60.56/~jnz1568/getInfo.php?workbook=16_15.xlsx&amp;sheet=A0&amp;row=977&amp;col=18&amp;number=&amp;sourceID=56","")</f>
        <v/>
      </c>
      <c r="S977" s="4" t="str">
        <f>HYPERLINK("http://141.218.60.56/~jnz1568/getInfo.php?workbook=16_15.xlsx&amp;sheet=A0&amp;row=977&amp;col=19&amp;number=&amp;sourceID=57","")</f>
        <v/>
      </c>
      <c r="T977" s="4" t="str">
        <f>HYPERLINK("http://141.218.60.56/~jnz1568/getInfo.php?workbook=16_15.xlsx&amp;sheet=A0&amp;row=977&amp;col=20&amp;number=&amp;sourceID=57","")</f>
        <v/>
      </c>
      <c r="U977" s="4" t="str">
        <f>HYPERLINK("http://141.218.60.56/~jnz1568/getInfo.php?workbook=16_15.xlsx&amp;sheet=A0&amp;row=977&amp;col=21&amp;number=&amp;sourceID=47","")</f>
        <v/>
      </c>
      <c r="V977" s="4" t="str">
        <f>HYPERLINK("http://141.218.60.56/~jnz1568/getInfo.php?workbook=16_15.xlsx&amp;sheet=A0&amp;row=977&amp;col=22&amp;number=&amp;sourceID=47","")</f>
        <v/>
      </c>
    </row>
    <row r="978" spans="1:22">
      <c r="A978" s="3">
        <v>16</v>
      </c>
      <c r="B978" s="3">
        <v>15</v>
      </c>
      <c r="C978" s="3">
        <v>50</v>
      </c>
      <c r="D978" s="3">
        <v>41</v>
      </c>
      <c r="E978" s="3">
        <f>((1/(INDEX(E0!J$4:J$73,C978,1)-INDEX(E0!J$4:J$73,D978,1))))*100000000</f>
        <v>0</v>
      </c>
      <c r="F978" s="4" t="str">
        <f>HYPERLINK("http://141.218.60.56/~jnz1568/getInfo.php?workbook=16_15.xlsx&amp;sheet=A0&amp;row=978&amp;col=6&amp;number=&amp;sourceID=54","")</f>
        <v/>
      </c>
      <c r="G978" s="4" t="str">
        <f>HYPERLINK("http://141.218.60.56/~jnz1568/getInfo.php?workbook=16_15.xlsx&amp;sheet=A0&amp;row=978&amp;col=7&amp;number=1.916e-07&amp;sourceID=54","1.916e-07")</f>
        <v>1.916e-07</v>
      </c>
      <c r="H978" s="4" t="str">
        <f>HYPERLINK("http://141.218.60.56/~jnz1568/getInfo.php?workbook=16_15.xlsx&amp;sheet=A0&amp;row=978&amp;col=8&amp;number=0.00011191&amp;sourceID=54","0.00011191")</f>
        <v>0.00011191</v>
      </c>
      <c r="I978" s="4" t="str">
        <f>HYPERLINK("http://141.218.60.56/~jnz1568/getInfo.php?workbook=16_15.xlsx&amp;sheet=A0&amp;row=978&amp;col=9&amp;number=&amp;sourceID=54","")</f>
        <v/>
      </c>
      <c r="J978" s="4" t="str">
        <f>HYPERLINK("http://141.218.60.56/~jnz1568/getInfo.php?workbook=16_15.xlsx&amp;sheet=A0&amp;row=978&amp;col=10&amp;number=1.9024e-07&amp;sourceID=54","1.9024e-07")</f>
        <v>1.9024e-07</v>
      </c>
      <c r="K978" s="4" t="str">
        <f>HYPERLINK("http://141.218.60.56/~jnz1568/getInfo.php?workbook=16_15.xlsx&amp;sheet=A0&amp;row=978&amp;col=11&amp;number=0.00011163&amp;sourceID=54","0.00011163")</f>
        <v>0.00011163</v>
      </c>
      <c r="L978" s="4" t="str">
        <f>HYPERLINK("http://141.218.60.56/~jnz1568/getInfo.php?workbook=16_15.xlsx&amp;sheet=A0&amp;row=978&amp;col=12&amp;number=&amp;sourceID=53","")</f>
        <v/>
      </c>
      <c r="M978" s="4" t="str">
        <f>HYPERLINK("http://141.218.60.56/~jnz1568/getInfo.php?workbook=16_15.xlsx&amp;sheet=A0&amp;row=978&amp;col=13&amp;number=&amp;sourceID=53","")</f>
        <v/>
      </c>
      <c r="N978" s="4" t="str">
        <f>HYPERLINK("http://141.218.60.56/~jnz1568/getInfo.php?workbook=16_15.xlsx&amp;sheet=A0&amp;row=978&amp;col=14&amp;number=&amp;sourceID=53","")</f>
        <v/>
      </c>
      <c r="O978" s="4" t="str">
        <f>HYPERLINK("http://141.218.60.56/~jnz1568/getInfo.php?workbook=16_15.xlsx&amp;sheet=A0&amp;row=978&amp;col=15&amp;number=&amp;sourceID=55","")</f>
        <v/>
      </c>
      <c r="P978" s="4" t="str">
        <f>HYPERLINK("http://141.218.60.56/~jnz1568/getInfo.php?workbook=16_15.xlsx&amp;sheet=A0&amp;row=978&amp;col=16&amp;number=&amp;sourceID=55","")</f>
        <v/>
      </c>
      <c r="Q978" s="4" t="str">
        <f>HYPERLINK("http://141.218.60.56/~jnz1568/getInfo.php?workbook=16_15.xlsx&amp;sheet=A0&amp;row=978&amp;col=17&amp;number=&amp;sourceID=56","")</f>
        <v/>
      </c>
      <c r="R978" s="4" t="str">
        <f>HYPERLINK("http://141.218.60.56/~jnz1568/getInfo.php?workbook=16_15.xlsx&amp;sheet=A0&amp;row=978&amp;col=18&amp;number=&amp;sourceID=56","")</f>
        <v/>
      </c>
      <c r="S978" s="4" t="str">
        <f>HYPERLINK("http://141.218.60.56/~jnz1568/getInfo.php?workbook=16_15.xlsx&amp;sheet=A0&amp;row=978&amp;col=19&amp;number=&amp;sourceID=57","")</f>
        <v/>
      </c>
      <c r="T978" s="4" t="str">
        <f>HYPERLINK("http://141.218.60.56/~jnz1568/getInfo.php?workbook=16_15.xlsx&amp;sheet=A0&amp;row=978&amp;col=20&amp;number=&amp;sourceID=57","")</f>
        <v/>
      </c>
      <c r="U978" s="4" t="str">
        <f>HYPERLINK("http://141.218.60.56/~jnz1568/getInfo.php?workbook=16_15.xlsx&amp;sheet=A0&amp;row=978&amp;col=21&amp;number=&amp;sourceID=47","")</f>
        <v/>
      </c>
      <c r="V978" s="4" t="str">
        <f>HYPERLINK("http://141.218.60.56/~jnz1568/getInfo.php?workbook=16_15.xlsx&amp;sheet=A0&amp;row=978&amp;col=22&amp;number=&amp;sourceID=47","")</f>
        <v/>
      </c>
    </row>
    <row r="979" spans="1:22">
      <c r="A979" s="3">
        <v>16</v>
      </c>
      <c r="B979" s="3">
        <v>15</v>
      </c>
      <c r="C979" s="3">
        <v>50</v>
      </c>
      <c r="D979" s="3">
        <v>42</v>
      </c>
      <c r="E979" s="3">
        <f>((1/(INDEX(E0!J$4:J$73,C979,1)-INDEX(E0!J$4:J$73,D979,1))))*100000000</f>
        <v>0</v>
      </c>
      <c r="F979" s="4" t="str">
        <f>HYPERLINK("http://141.218.60.56/~jnz1568/getInfo.php?workbook=16_15.xlsx&amp;sheet=A0&amp;row=979&amp;col=6&amp;number=16165&amp;sourceID=54","16165")</f>
        <v>16165</v>
      </c>
      <c r="G979" s="4" t="str">
        <f>HYPERLINK("http://141.218.60.56/~jnz1568/getInfo.php?workbook=16_15.xlsx&amp;sheet=A0&amp;row=979&amp;col=7&amp;number=&amp;sourceID=54","")</f>
        <v/>
      </c>
      <c r="H979" s="4" t="str">
        <f>HYPERLINK("http://141.218.60.56/~jnz1568/getInfo.php?workbook=16_15.xlsx&amp;sheet=A0&amp;row=979&amp;col=8&amp;number=&amp;sourceID=54","")</f>
        <v/>
      </c>
      <c r="I979" s="4" t="str">
        <f>HYPERLINK("http://141.218.60.56/~jnz1568/getInfo.php?workbook=16_15.xlsx&amp;sheet=A0&amp;row=979&amp;col=9&amp;number=8209&amp;sourceID=54","8209")</f>
        <v>8209</v>
      </c>
      <c r="J979" s="4" t="str">
        <f>HYPERLINK("http://141.218.60.56/~jnz1568/getInfo.php?workbook=16_15.xlsx&amp;sheet=A0&amp;row=979&amp;col=10&amp;number=&amp;sourceID=54","")</f>
        <v/>
      </c>
      <c r="K979" s="4" t="str">
        <f>HYPERLINK("http://141.218.60.56/~jnz1568/getInfo.php?workbook=16_15.xlsx&amp;sheet=A0&amp;row=979&amp;col=11&amp;number=&amp;sourceID=54","")</f>
        <v/>
      </c>
      <c r="L979" s="4" t="str">
        <f>HYPERLINK("http://141.218.60.56/~jnz1568/getInfo.php?workbook=16_15.xlsx&amp;sheet=A0&amp;row=979&amp;col=12&amp;number=8344.58643066&amp;sourceID=53","8344.58643066")</f>
        <v>8344.58643066</v>
      </c>
      <c r="M979" s="4" t="str">
        <f>HYPERLINK("http://141.218.60.56/~jnz1568/getInfo.php?workbook=16_15.xlsx&amp;sheet=A0&amp;row=979&amp;col=13&amp;number=&amp;sourceID=53","")</f>
        <v/>
      </c>
      <c r="N979" s="4" t="str">
        <f>HYPERLINK("http://141.218.60.56/~jnz1568/getInfo.php?workbook=16_15.xlsx&amp;sheet=A0&amp;row=979&amp;col=14&amp;number=&amp;sourceID=53","")</f>
        <v/>
      </c>
      <c r="O979" s="4" t="str">
        <f>HYPERLINK("http://141.218.60.56/~jnz1568/getInfo.php?workbook=16_15.xlsx&amp;sheet=A0&amp;row=979&amp;col=15&amp;number=&amp;sourceID=55","")</f>
        <v/>
      </c>
      <c r="P979" s="4" t="str">
        <f>HYPERLINK("http://141.218.60.56/~jnz1568/getInfo.php?workbook=16_15.xlsx&amp;sheet=A0&amp;row=979&amp;col=16&amp;number=&amp;sourceID=55","")</f>
        <v/>
      </c>
      <c r="Q979" s="4" t="str">
        <f>HYPERLINK("http://141.218.60.56/~jnz1568/getInfo.php?workbook=16_15.xlsx&amp;sheet=A0&amp;row=979&amp;col=17&amp;number=&amp;sourceID=56","")</f>
        <v/>
      </c>
      <c r="R979" s="4" t="str">
        <f>HYPERLINK("http://141.218.60.56/~jnz1568/getInfo.php?workbook=16_15.xlsx&amp;sheet=A0&amp;row=979&amp;col=18&amp;number=&amp;sourceID=56","")</f>
        <v/>
      </c>
      <c r="S979" s="4" t="str">
        <f>HYPERLINK("http://141.218.60.56/~jnz1568/getInfo.php?workbook=16_15.xlsx&amp;sheet=A0&amp;row=979&amp;col=19&amp;number=&amp;sourceID=57","")</f>
        <v/>
      </c>
      <c r="T979" s="4" t="str">
        <f>HYPERLINK("http://141.218.60.56/~jnz1568/getInfo.php?workbook=16_15.xlsx&amp;sheet=A0&amp;row=979&amp;col=20&amp;number=&amp;sourceID=57","")</f>
        <v/>
      </c>
      <c r="U979" s="4" t="str">
        <f>HYPERLINK("http://141.218.60.56/~jnz1568/getInfo.php?workbook=16_15.xlsx&amp;sheet=A0&amp;row=979&amp;col=21&amp;number=&amp;sourceID=47","")</f>
        <v/>
      </c>
      <c r="V979" s="4" t="str">
        <f>HYPERLINK("http://141.218.60.56/~jnz1568/getInfo.php?workbook=16_15.xlsx&amp;sheet=A0&amp;row=979&amp;col=22&amp;number=&amp;sourceID=47","")</f>
        <v/>
      </c>
    </row>
    <row r="980" spans="1:22">
      <c r="A980" s="3">
        <v>16</v>
      </c>
      <c r="B980" s="3">
        <v>15</v>
      </c>
      <c r="C980" s="3">
        <v>50</v>
      </c>
      <c r="D980" s="3">
        <v>43</v>
      </c>
      <c r="E980" s="3">
        <f>((1/(INDEX(E0!J$4:J$73,C980,1)-INDEX(E0!J$4:J$73,D980,1))))*100000000</f>
        <v>0</v>
      </c>
      <c r="F980" s="4" t="str">
        <f>HYPERLINK("http://141.218.60.56/~jnz1568/getInfo.php?workbook=16_15.xlsx&amp;sheet=A0&amp;row=980&amp;col=6&amp;number=&amp;sourceID=54","")</f>
        <v/>
      </c>
      <c r="G980" s="4" t="str">
        <f>HYPERLINK("http://141.218.60.56/~jnz1568/getInfo.php?workbook=16_15.xlsx&amp;sheet=A0&amp;row=980&amp;col=7&amp;number=8.6292e-08&amp;sourceID=54","8.6292e-08")</f>
        <v>8.6292e-08</v>
      </c>
      <c r="H980" s="4" t="str">
        <f>HYPERLINK("http://141.218.60.56/~jnz1568/getInfo.php?workbook=16_15.xlsx&amp;sheet=A0&amp;row=980&amp;col=8&amp;number=2.5848e-05&amp;sourceID=54","2.5848e-05")</f>
        <v>2.5848e-05</v>
      </c>
      <c r="I980" s="4" t="str">
        <f>HYPERLINK("http://141.218.60.56/~jnz1568/getInfo.php?workbook=16_15.xlsx&amp;sheet=A0&amp;row=980&amp;col=9&amp;number=&amp;sourceID=54","")</f>
        <v/>
      </c>
      <c r="J980" s="4" t="str">
        <f>HYPERLINK("http://141.218.60.56/~jnz1568/getInfo.php?workbook=16_15.xlsx&amp;sheet=A0&amp;row=980&amp;col=10&amp;number=6.5347e-08&amp;sourceID=54","6.5347e-08")</f>
        <v>6.5347e-08</v>
      </c>
      <c r="K980" s="4" t="str">
        <f>HYPERLINK("http://141.218.60.56/~jnz1568/getInfo.php?workbook=16_15.xlsx&amp;sheet=A0&amp;row=980&amp;col=11&amp;number=2.4622e-05&amp;sourceID=54","2.4622e-05")</f>
        <v>2.4622e-05</v>
      </c>
      <c r="L980" s="4" t="str">
        <f>HYPERLINK("http://141.218.60.56/~jnz1568/getInfo.php?workbook=16_15.xlsx&amp;sheet=A0&amp;row=980&amp;col=12&amp;number=&amp;sourceID=53","")</f>
        <v/>
      </c>
      <c r="M980" s="4" t="str">
        <f>HYPERLINK("http://141.218.60.56/~jnz1568/getInfo.php?workbook=16_15.xlsx&amp;sheet=A0&amp;row=980&amp;col=13&amp;number=&amp;sourceID=53","")</f>
        <v/>
      </c>
      <c r="N980" s="4" t="str">
        <f>HYPERLINK("http://141.218.60.56/~jnz1568/getInfo.php?workbook=16_15.xlsx&amp;sheet=A0&amp;row=980&amp;col=14&amp;number=&amp;sourceID=53","")</f>
        <v/>
      </c>
      <c r="O980" s="4" t="str">
        <f>HYPERLINK("http://141.218.60.56/~jnz1568/getInfo.php?workbook=16_15.xlsx&amp;sheet=A0&amp;row=980&amp;col=15&amp;number=&amp;sourceID=55","")</f>
        <v/>
      </c>
      <c r="P980" s="4" t="str">
        <f>HYPERLINK("http://141.218.60.56/~jnz1568/getInfo.php?workbook=16_15.xlsx&amp;sheet=A0&amp;row=980&amp;col=16&amp;number=&amp;sourceID=55","")</f>
        <v/>
      </c>
      <c r="Q980" s="4" t="str">
        <f>HYPERLINK("http://141.218.60.56/~jnz1568/getInfo.php?workbook=16_15.xlsx&amp;sheet=A0&amp;row=980&amp;col=17&amp;number=&amp;sourceID=56","")</f>
        <v/>
      </c>
      <c r="R980" s="4" t="str">
        <f>HYPERLINK("http://141.218.60.56/~jnz1568/getInfo.php?workbook=16_15.xlsx&amp;sheet=A0&amp;row=980&amp;col=18&amp;number=&amp;sourceID=56","")</f>
        <v/>
      </c>
      <c r="S980" s="4" t="str">
        <f>HYPERLINK("http://141.218.60.56/~jnz1568/getInfo.php?workbook=16_15.xlsx&amp;sheet=A0&amp;row=980&amp;col=19&amp;number=&amp;sourceID=57","")</f>
        <v/>
      </c>
      <c r="T980" s="4" t="str">
        <f>HYPERLINK("http://141.218.60.56/~jnz1568/getInfo.php?workbook=16_15.xlsx&amp;sheet=A0&amp;row=980&amp;col=20&amp;number=&amp;sourceID=57","")</f>
        <v/>
      </c>
      <c r="U980" s="4" t="str">
        <f>HYPERLINK("http://141.218.60.56/~jnz1568/getInfo.php?workbook=16_15.xlsx&amp;sheet=A0&amp;row=980&amp;col=21&amp;number=&amp;sourceID=47","")</f>
        <v/>
      </c>
      <c r="V980" s="4" t="str">
        <f>HYPERLINK("http://141.218.60.56/~jnz1568/getInfo.php?workbook=16_15.xlsx&amp;sheet=A0&amp;row=980&amp;col=22&amp;number=&amp;sourceID=47","")</f>
        <v/>
      </c>
    </row>
    <row r="981" spans="1:22">
      <c r="A981" s="3">
        <v>16</v>
      </c>
      <c r="B981" s="3">
        <v>15</v>
      </c>
      <c r="C981" s="3">
        <v>50</v>
      </c>
      <c r="D981" s="3">
        <v>44</v>
      </c>
      <c r="E981" s="3">
        <f>((1/(INDEX(E0!J$4:J$73,C981,1)-INDEX(E0!J$4:J$73,D981,1))))*100000000</f>
        <v>0</v>
      </c>
      <c r="F981" s="4" t="str">
        <f>HYPERLINK("http://141.218.60.56/~jnz1568/getInfo.php?workbook=16_15.xlsx&amp;sheet=A0&amp;row=981&amp;col=6&amp;number=&amp;sourceID=54","")</f>
        <v/>
      </c>
      <c r="G981" s="4" t="str">
        <f>HYPERLINK("http://141.218.60.56/~jnz1568/getInfo.php?workbook=16_15.xlsx&amp;sheet=A0&amp;row=981&amp;col=7&amp;number=3.9059e-09&amp;sourceID=54","3.9059e-09")</f>
        <v>3.9059e-09</v>
      </c>
      <c r="H981" s="4" t="str">
        <f>HYPERLINK("http://141.218.60.56/~jnz1568/getInfo.php?workbook=16_15.xlsx&amp;sheet=A0&amp;row=981&amp;col=8&amp;number=&amp;sourceID=54","")</f>
        <v/>
      </c>
      <c r="I981" s="4" t="str">
        <f>HYPERLINK("http://141.218.60.56/~jnz1568/getInfo.php?workbook=16_15.xlsx&amp;sheet=A0&amp;row=981&amp;col=9&amp;number=&amp;sourceID=54","")</f>
        <v/>
      </c>
      <c r="J981" s="4" t="str">
        <f>HYPERLINK("http://141.218.60.56/~jnz1568/getInfo.php?workbook=16_15.xlsx&amp;sheet=A0&amp;row=981&amp;col=10&amp;number=4.4782e-09&amp;sourceID=54","4.4782e-09")</f>
        <v>4.4782e-09</v>
      </c>
      <c r="K981" s="4" t="str">
        <f>HYPERLINK("http://141.218.60.56/~jnz1568/getInfo.php?workbook=16_15.xlsx&amp;sheet=A0&amp;row=981&amp;col=11&amp;number=&amp;sourceID=54","")</f>
        <v/>
      </c>
      <c r="L981" s="4" t="str">
        <f>HYPERLINK("http://141.218.60.56/~jnz1568/getInfo.php?workbook=16_15.xlsx&amp;sheet=A0&amp;row=981&amp;col=12&amp;number=&amp;sourceID=53","")</f>
        <v/>
      </c>
      <c r="M981" s="4" t="str">
        <f>HYPERLINK("http://141.218.60.56/~jnz1568/getInfo.php?workbook=16_15.xlsx&amp;sheet=A0&amp;row=981&amp;col=13&amp;number=&amp;sourceID=53","")</f>
        <v/>
      </c>
      <c r="N981" s="4" t="str">
        <f>HYPERLINK("http://141.218.60.56/~jnz1568/getInfo.php?workbook=16_15.xlsx&amp;sheet=A0&amp;row=981&amp;col=14&amp;number=&amp;sourceID=53","")</f>
        <v/>
      </c>
      <c r="O981" s="4" t="str">
        <f>HYPERLINK("http://141.218.60.56/~jnz1568/getInfo.php?workbook=16_15.xlsx&amp;sheet=A0&amp;row=981&amp;col=15&amp;number=&amp;sourceID=55","")</f>
        <v/>
      </c>
      <c r="P981" s="4" t="str">
        <f>HYPERLINK("http://141.218.60.56/~jnz1568/getInfo.php?workbook=16_15.xlsx&amp;sheet=A0&amp;row=981&amp;col=16&amp;number=&amp;sourceID=55","")</f>
        <v/>
      </c>
      <c r="Q981" s="4" t="str">
        <f>HYPERLINK("http://141.218.60.56/~jnz1568/getInfo.php?workbook=16_15.xlsx&amp;sheet=A0&amp;row=981&amp;col=17&amp;number=&amp;sourceID=56","")</f>
        <v/>
      </c>
      <c r="R981" s="4" t="str">
        <f>HYPERLINK("http://141.218.60.56/~jnz1568/getInfo.php?workbook=16_15.xlsx&amp;sheet=A0&amp;row=981&amp;col=18&amp;number=&amp;sourceID=56","")</f>
        <v/>
      </c>
      <c r="S981" s="4" t="str">
        <f>HYPERLINK("http://141.218.60.56/~jnz1568/getInfo.php?workbook=16_15.xlsx&amp;sheet=A0&amp;row=981&amp;col=19&amp;number=&amp;sourceID=57","")</f>
        <v/>
      </c>
      <c r="T981" s="4" t="str">
        <f>HYPERLINK("http://141.218.60.56/~jnz1568/getInfo.php?workbook=16_15.xlsx&amp;sheet=A0&amp;row=981&amp;col=20&amp;number=&amp;sourceID=57","")</f>
        <v/>
      </c>
      <c r="U981" s="4" t="str">
        <f>HYPERLINK("http://141.218.60.56/~jnz1568/getInfo.php?workbook=16_15.xlsx&amp;sheet=A0&amp;row=981&amp;col=21&amp;number=&amp;sourceID=47","")</f>
        <v/>
      </c>
      <c r="V981" s="4" t="str">
        <f>HYPERLINK("http://141.218.60.56/~jnz1568/getInfo.php?workbook=16_15.xlsx&amp;sheet=A0&amp;row=981&amp;col=22&amp;number=&amp;sourceID=47","")</f>
        <v/>
      </c>
    </row>
    <row r="982" spans="1:22">
      <c r="A982" s="3">
        <v>16</v>
      </c>
      <c r="B982" s="3">
        <v>15</v>
      </c>
      <c r="C982" s="3">
        <v>50</v>
      </c>
      <c r="D982" s="3">
        <v>45</v>
      </c>
      <c r="E982" s="3">
        <f>((1/(INDEX(E0!J$4:J$73,C982,1)-INDEX(E0!J$4:J$73,D982,1))))*100000000</f>
        <v>0</v>
      </c>
      <c r="F982" s="4" t="str">
        <f>HYPERLINK("http://141.218.60.56/~jnz1568/getInfo.php?workbook=16_15.xlsx&amp;sheet=A0&amp;row=982&amp;col=6&amp;number=247.54&amp;sourceID=54","247.54")</f>
        <v>247.54</v>
      </c>
      <c r="G982" s="4" t="str">
        <f>HYPERLINK("http://141.218.60.56/~jnz1568/getInfo.php?workbook=16_15.xlsx&amp;sheet=A0&amp;row=982&amp;col=7&amp;number=&amp;sourceID=54","")</f>
        <v/>
      </c>
      <c r="H982" s="4" t="str">
        <f>HYPERLINK("http://141.218.60.56/~jnz1568/getInfo.php?workbook=16_15.xlsx&amp;sheet=A0&amp;row=982&amp;col=8&amp;number=&amp;sourceID=54","")</f>
        <v/>
      </c>
      <c r="I982" s="4" t="str">
        <f>HYPERLINK("http://141.218.60.56/~jnz1568/getInfo.php?workbook=16_15.xlsx&amp;sheet=A0&amp;row=982&amp;col=9&amp;number=56.736&amp;sourceID=54","56.736")</f>
        <v>56.736</v>
      </c>
      <c r="J982" s="4" t="str">
        <f>HYPERLINK("http://141.218.60.56/~jnz1568/getInfo.php?workbook=16_15.xlsx&amp;sheet=A0&amp;row=982&amp;col=10&amp;number=&amp;sourceID=54","")</f>
        <v/>
      </c>
      <c r="K982" s="4" t="str">
        <f>HYPERLINK("http://141.218.60.56/~jnz1568/getInfo.php?workbook=16_15.xlsx&amp;sheet=A0&amp;row=982&amp;col=11&amp;number=&amp;sourceID=54","")</f>
        <v/>
      </c>
      <c r="L982" s="4" t="str">
        <f>HYPERLINK("http://141.218.60.56/~jnz1568/getInfo.php?workbook=16_15.xlsx&amp;sheet=A0&amp;row=982&amp;col=12&amp;number=60.31621758&amp;sourceID=53","60.31621758")</f>
        <v>60.31621758</v>
      </c>
      <c r="M982" s="4" t="str">
        <f>HYPERLINK("http://141.218.60.56/~jnz1568/getInfo.php?workbook=16_15.xlsx&amp;sheet=A0&amp;row=982&amp;col=13&amp;number=&amp;sourceID=53","")</f>
        <v/>
      </c>
      <c r="N982" s="4" t="str">
        <f>HYPERLINK("http://141.218.60.56/~jnz1568/getInfo.php?workbook=16_15.xlsx&amp;sheet=A0&amp;row=982&amp;col=14&amp;number=&amp;sourceID=53","")</f>
        <v/>
      </c>
      <c r="O982" s="4" t="str">
        <f>HYPERLINK("http://141.218.60.56/~jnz1568/getInfo.php?workbook=16_15.xlsx&amp;sheet=A0&amp;row=982&amp;col=15&amp;number=&amp;sourceID=55","")</f>
        <v/>
      </c>
      <c r="P982" s="4" t="str">
        <f>HYPERLINK("http://141.218.60.56/~jnz1568/getInfo.php?workbook=16_15.xlsx&amp;sheet=A0&amp;row=982&amp;col=16&amp;number=&amp;sourceID=55","")</f>
        <v/>
      </c>
      <c r="Q982" s="4" t="str">
        <f>HYPERLINK("http://141.218.60.56/~jnz1568/getInfo.php?workbook=16_15.xlsx&amp;sheet=A0&amp;row=982&amp;col=17&amp;number=&amp;sourceID=56","")</f>
        <v/>
      </c>
      <c r="R982" s="4" t="str">
        <f>HYPERLINK("http://141.218.60.56/~jnz1568/getInfo.php?workbook=16_15.xlsx&amp;sheet=A0&amp;row=982&amp;col=18&amp;number=&amp;sourceID=56","")</f>
        <v/>
      </c>
      <c r="S982" s="4" t="str">
        <f>HYPERLINK("http://141.218.60.56/~jnz1568/getInfo.php?workbook=16_15.xlsx&amp;sheet=A0&amp;row=982&amp;col=19&amp;number=&amp;sourceID=57","")</f>
        <v/>
      </c>
      <c r="T982" s="4" t="str">
        <f>HYPERLINK("http://141.218.60.56/~jnz1568/getInfo.php?workbook=16_15.xlsx&amp;sheet=A0&amp;row=982&amp;col=20&amp;number=&amp;sourceID=57","")</f>
        <v/>
      </c>
      <c r="U982" s="4" t="str">
        <f>HYPERLINK("http://141.218.60.56/~jnz1568/getInfo.php?workbook=16_15.xlsx&amp;sheet=A0&amp;row=982&amp;col=21&amp;number=&amp;sourceID=47","")</f>
        <v/>
      </c>
      <c r="V982" s="4" t="str">
        <f>HYPERLINK("http://141.218.60.56/~jnz1568/getInfo.php?workbook=16_15.xlsx&amp;sheet=A0&amp;row=982&amp;col=22&amp;number=&amp;sourceID=47","")</f>
        <v/>
      </c>
    </row>
    <row r="983" spans="1:22">
      <c r="A983" s="3">
        <v>16</v>
      </c>
      <c r="B983" s="3">
        <v>15</v>
      </c>
      <c r="C983" s="3">
        <v>50</v>
      </c>
      <c r="D983" s="3">
        <v>46</v>
      </c>
      <c r="E983" s="3">
        <f>((1/(INDEX(E0!J$4:J$73,C983,1)-INDEX(E0!J$4:J$73,D983,1))))*100000000</f>
        <v>0</v>
      </c>
      <c r="F983" s="4" t="str">
        <f>HYPERLINK("http://141.218.60.56/~jnz1568/getInfo.php?workbook=16_15.xlsx&amp;sheet=A0&amp;row=983&amp;col=6&amp;number=79381&amp;sourceID=54","79381")</f>
        <v>79381</v>
      </c>
      <c r="G983" s="4" t="str">
        <f>HYPERLINK("http://141.218.60.56/~jnz1568/getInfo.php?workbook=16_15.xlsx&amp;sheet=A0&amp;row=983&amp;col=7&amp;number=&amp;sourceID=54","")</f>
        <v/>
      </c>
      <c r="H983" s="4" t="str">
        <f>HYPERLINK("http://141.218.60.56/~jnz1568/getInfo.php?workbook=16_15.xlsx&amp;sheet=A0&amp;row=983&amp;col=8&amp;number=&amp;sourceID=54","")</f>
        <v/>
      </c>
      <c r="I983" s="4" t="str">
        <f>HYPERLINK("http://141.218.60.56/~jnz1568/getInfo.php?workbook=16_15.xlsx&amp;sheet=A0&amp;row=983&amp;col=9&amp;number=33166&amp;sourceID=54","33166")</f>
        <v>33166</v>
      </c>
      <c r="J983" s="4" t="str">
        <f>HYPERLINK("http://141.218.60.56/~jnz1568/getInfo.php?workbook=16_15.xlsx&amp;sheet=A0&amp;row=983&amp;col=10&amp;number=&amp;sourceID=54","")</f>
        <v/>
      </c>
      <c r="K983" s="4" t="str">
        <f>HYPERLINK("http://141.218.60.56/~jnz1568/getInfo.php?workbook=16_15.xlsx&amp;sheet=A0&amp;row=983&amp;col=11&amp;number=&amp;sourceID=54","")</f>
        <v/>
      </c>
      <c r="L983" s="4" t="str">
        <f>HYPERLINK("http://141.218.60.56/~jnz1568/getInfo.php?workbook=16_15.xlsx&amp;sheet=A0&amp;row=983&amp;col=12&amp;number=28549.8519483&amp;sourceID=53","28549.8519483")</f>
        <v>28549.8519483</v>
      </c>
      <c r="M983" s="4" t="str">
        <f>HYPERLINK("http://141.218.60.56/~jnz1568/getInfo.php?workbook=16_15.xlsx&amp;sheet=A0&amp;row=983&amp;col=13&amp;number=&amp;sourceID=53","")</f>
        <v/>
      </c>
      <c r="N983" s="4" t="str">
        <f>HYPERLINK("http://141.218.60.56/~jnz1568/getInfo.php?workbook=16_15.xlsx&amp;sheet=A0&amp;row=983&amp;col=14&amp;number=&amp;sourceID=53","")</f>
        <v/>
      </c>
      <c r="O983" s="4" t="str">
        <f>HYPERLINK("http://141.218.60.56/~jnz1568/getInfo.php?workbook=16_15.xlsx&amp;sheet=A0&amp;row=983&amp;col=15&amp;number=&amp;sourceID=55","")</f>
        <v/>
      </c>
      <c r="P983" s="4" t="str">
        <f>HYPERLINK("http://141.218.60.56/~jnz1568/getInfo.php?workbook=16_15.xlsx&amp;sheet=A0&amp;row=983&amp;col=16&amp;number=&amp;sourceID=55","")</f>
        <v/>
      </c>
      <c r="Q983" s="4" t="str">
        <f>HYPERLINK("http://141.218.60.56/~jnz1568/getInfo.php?workbook=16_15.xlsx&amp;sheet=A0&amp;row=983&amp;col=17&amp;number=&amp;sourceID=56","")</f>
        <v/>
      </c>
      <c r="R983" s="4" t="str">
        <f>HYPERLINK("http://141.218.60.56/~jnz1568/getInfo.php?workbook=16_15.xlsx&amp;sheet=A0&amp;row=983&amp;col=18&amp;number=&amp;sourceID=56","")</f>
        <v/>
      </c>
      <c r="S983" s="4" t="str">
        <f>HYPERLINK("http://141.218.60.56/~jnz1568/getInfo.php?workbook=16_15.xlsx&amp;sheet=A0&amp;row=983&amp;col=19&amp;number=&amp;sourceID=57","")</f>
        <v/>
      </c>
      <c r="T983" s="4" t="str">
        <f>HYPERLINK("http://141.218.60.56/~jnz1568/getInfo.php?workbook=16_15.xlsx&amp;sheet=A0&amp;row=983&amp;col=20&amp;number=&amp;sourceID=57","")</f>
        <v/>
      </c>
      <c r="U983" s="4" t="str">
        <f>HYPERLINK("http://141.218.60.56/~jnz1568/getInfo.php?workbook=16_15.xlsx&amp;sheet=A0&amp;row=983&amp;col=21&amp;number=&amp;sourceID=47","")</f>
        <v/>
      </c>
      <c r="V983" s="4" t="str">
        <f>HYPERLINK("http://141.218.60.56/~jnz1568/getInfo.php?workbook=16_15.xlsx&amp;sheet=A0&amp;row=983&amp;col=22&amp;number=&amp;sourceID=47","")</f>
        <v/>
      </c>
    </row>
    <row r="984" spans="1:22">
      <c r="A984" s="3">
        <v>16</v>
      </c>
      <c r="B984" s="3">
        <v>15</v>
      </c>
      <c r="C984" s="3">
        <v>50</v>
      </c>
      <c r="D984" s="3">
        <v>48</v>
      </c>
      <c r="E984" s="3">
        <f>((1/(INDEX(E0!J$4:J$73,C984,1)-INDEX(E0!J$4:J$73,D984,1))))*100000000</f>
        <v>0</v>
      </c>
      <c r="F984" s="4" t="str">
        <f>HYPERLINK("http://141.218.60.56/~jnz1568/getInfo.php?workbook=16_15.xlsx&amp;sheet=A0&amp;row=984&amp;col=6&amp;number=&amp;sourceID=54","")</f>
        <v/>
      </c>
      <c r="G984" s="4" t="str">
        <f>HYPERLINK("http://141.218.60.56/~jnz1568/getInfo.php?workbook=16_15.xlsx&amp;sheet=A0&amp;row=984&amp;col=7&amp;number=1.0936e-08&amp;sourceID=54","1.0936e-08")</f>
        <v>1.0936e-08</v>
      </c>
      <c r="H984" s="4" t="str">
        <f>HYPERLINK("http://141.218.60.56/~jnz1568/getInfo.php?workbook=16_15.xlsx&amp;sheet=A0&amp;row=984&amp;col=8&amp;number=0.00086268&amp;sourceID=54","0.00086268")</f>
        <v>0.00086268</v>
      </c>
      <c r="I984" s="4" t="str">
        <f>HYPERLINK("http://141.218.60.56/~jnz1568/getInfo.php?workbook=16_15.xlsx&amp;sheet=A0&amp;row=984&amp;col=9&amp;number=&amp;sourceID=54","")</f>
        <v/>
      </c>
      <c r="J984" s="4" t="str">
        <f>HYPERLINK("http://141.218.60.56/~jnz1568/getInfo.php?workbook=16_15.xlsx&amp;sheet=A0&amp;row=984&amp;col=10&amp;number=1.0484e-08&amp;sourceID=54","1.0484e-08")</f>
        <v>1.0484e-08</v>
      </c>
      <c r="K984" s="4" t="str">
        <f>HYPERLINK("http://141.218.60.56/~jnz1568/getInfo.php?workbook=16_15.xlsx&amp;sheet=A0&amp;row=984&amp;col=11&amp;number=0.00084853&amp;sourceID=54","0.00084853")</f>
        <v>0.00084853</v>
      </c>
      <c r="L984" s="4" t="str">
        <f>HYPERLINK("http://141.218.60.56/~jnz1568/getInfo.php?workbook=16_15.xlsx&amp;sheet=A0&amp;row=984&amp;col=12&amp;number=&amp;sourceID=53","")</f>
        <v/>
      </c>
      <c r="M984" s="4" t="str">
        <f>HYPERLINK("http://141.218.60.56/~jnz1568/getInfo.php?workbook=16_15.xlsx&amp;sheet=A0&amp;row=984&amp;col=13&amp;number=&amp;sourceID=53","")</f>
        <v/>
      </c>
      <c r="N984" s="4" t="str">
        <f>HYPERLINK("http://141.218.60.56/~jnz1568/getInfo.php?workbook=16_15.xlsx&amp;sheet=A0&amp;row=984&amp;col=14&amp;number=&amp;sourceID=53","")</f>
        <v/>
      </c>
      <c r="O984" s="4" t="str">
        <f>HYPERLINK("http://141.218.60.56/~jnz1568/getInfo.php?workbook=16_15.xlsx&amp;sheet=A0&amp;row=984&amp;col=15&amp;number=&amp;sourceID=55","")</f>
        <v/>
      </c>
      <c r="P984" s="4" t="str">
        <f>HYPERLINK("http://141.218.60.56/~jnz1568/getInfo.php?workbook=16_15.xlsx&amp;sheet=A0&amp;row=984&amp;col=16&amp;number=&amp;sourceID=55","")</f>
        <v/>
      </c>
      <c r="Q984" s="4" t="str">
        <f>HYPERLINK("http://141.218.60.56/~jnz1568/getInfo.php?workbook=16_15.xlsx&amp;sheet=A0&amp;row=984&amp;col=17&amp;number=&amp;sourceID=56","")</f>
        <v/>
      </c>
      <c r="R984" s="4" t="str">
        <f>HYPERLINK("http://141.218.60.56/~jnz1568/getInfo.php?workbook=16_15.xlsx&amp;sheet=A0&amp;row=984&amp;col=18&amp;number=&amp;sourceID=56","")</f>
        <v/>
      </c>
      <c r="S984" s="4" t="str">
        <f>HYPERLINK("http://141.218.60.56/~jnz1568/getInfo.php?workbook=16_15.xlsx&amp;sheet=A0&amp;row=984&amp;col=19&amp;number=&amp;sourceID=57","")</f>
        <v/>
      </c>
      <c r="T984" s="4" t="str">
        <f>HYPERLINK("http://141.218.60.56/~jnz1568/getInfo.php?workbook=16_15.xlsx&amp;sheet=A0&amp;row=984&amp;col=20&amp;number=&amp;sourceID=57","")</f>
        <v/>
      </c>
      <c r="U984" s="4" t="str">
        <f>HYPERLINK("http://141.218.60.56/~jnz1568/getInfo.php?workbook=16_15.xlsx&amp;sheet=A0&amp;row=984&amp;col=21&amp;number=&amp;sourceID=47","")</f>
        <v/>
      </c>
      <c r="V984" s="4" t="str">
        <f>HYPERLINK("http://141.218.60.56/~jnz1568/getInfo.php?workbook=16_15.xlsx&amp;sheet=A0&amp;row=984&amp;col=22&amp;number=&amp;sourceID=47","")</f>
        <v/>
      </c>
    </row>
    <row r="985" spans="1:22">
      <c r="A985" s="3">
        <v>16</v>
      </c>
      <c r="B985" s="3">
        <v>15</v>
      </c>
      <c r="C985" s="3">
        <v>50</v>
      </c>
      <c r="D985" s="3">
        <v>49</v>
      </c>
      <c r="E985" s="3">
        <f>((1/(INDEX(E0!J$4:J$73,C985,1)-INDEX(E0!J$4:J$73,D985,1))))*100000000</f>
        <v>0</v>
      </c>
      <c r="F985" s="4" t="str">
        <f>HYPERLINK("http://141.218.60.56/~jnz1568/getInfo.php?workbook=16_15.xlsx&amp;sheet=A0&amp;row=985&amp;col=6&amp;number=12784&amp;sourceID=54","12784")</f>
        <v>12784</v>
      </c>
      <c r="G985" s="4" t="str">
        <f>HYPERLINK("http://141.218.60.56/~jnz1568/getInfo.php?workbook=16_15.xlsx&amp;sheet=A0&amp;row=985&amp;col=7&amp;number=&amp;sourceID=54","")</f>
        <v/>
      </c>
      <c r="H985" s="4" t="str">
        <f>HYPERLINK("http://141.218.60.56/~jnz1568/getInfo.php?workbook=16_15.xlsx&amp;sheet=A0&amp;row=985&amp;col=8&amp;number=&amp;sourceID=54","")</f>
        <v/>
      </c>
      <c r="I985" s="4" t="str">
        <f>HYPERLINK("http://141.218.60.56/~jnz1568/getInfo.php?workbook=16_15.xlsx&amp;sheet=A0&amp;row=985&amp;col=9&amp;number=477.46&amp;sourceID=54","477.46")</f>
        <v>477.46</v>
      </c>
      <c r="J985" s="4" t="str">
        <f>HYPERLINK("http://141.218.60.56/~jnz1568/getInfo.php?workbook=16_15.xlsx&amp;sheet=A0&amp;row=985&amp;col=10&amp;number=&amp;sourceID=54","")</f>
        <v/>
      </c>
      <c r="K985" s="4" t="str">
        <f>HYPERLINK("http://141.218.60.56/~jnz1568/getInfo.php?workbook=16_15.xlsx&amp;sheet=A0&amp;row=985&amp;col=11&amp;number=&amp;sourceID=54","")</f>
        <v/>
      </c>
      <c r="L985" s="4" t="str">
        <f>HYPERLINK("http://141.218.60.56/~jnz1568/getInfo.php?workbook=16_15.xlsx&amp;sheet=A0&amp;row=985&amp;col=12&amp;number=2893.56159925&amp;sourceID=53","2893.56159925")</f>
        <v>2893.56159925</v>
      </c>
      <c r="M985" s="4" t="str">
        <f>HYPERLINK("http://141.218.60.56/~jnz1568/getInfo.php?workbook=16_15.xlsx&amp;sheet=A0&amp;row=985&amp;col=13&amp;number=&amp;sourceID=53","")</f>
        <v/>
      </c>
      <c r="N985" s="4" t="str">
        <f>HYPERLINK("http://141.218.60.56/~jnz1568/getInfo.php?workbook=16_15.xlsx&amp;sheet=A0&amp;row=985&amp;col=14&amp;number=&amp;sourceID=53","")</f>
        <v/>
      </c>
      <c r="O985" s="4" t="str">
        <f>HYPERLINK("http://141.218.60.56/~jnz1568/getInfo.php?workbook=16_15.xlsx&amp;sheet=A0&amp;row=985&amp;col=15&amp;number=&amp;sourceID=55","")</f>
        <v/>
      </c>
      <c r="P985" s="4" t="str">
        <f>HYPERLINK("http://141.218.60.56/~jnz1568/getInfo.php?workbook=16_15.xlsx&amp;sheet=A0&amp;row=985&amp;col=16&amp;number=&amp;sourceID=55","")</f>
        <v/>
      </c>
      <c r="Q985" s="4" t="str">
        <f>HYPERLINK("http://141.218.60.56/~jnz1568/getInfo.php?workbook=16_15.xlsx&amp;sheet=A0&amp;row=985&amp;col=17&amp;number=&amp;sourceID=56","")</f>
        <v/>
      </c>
      <c r="R985" s="4" t="str">
        <f>HYPERLINK("http://141.218.60.56/~jnz1568/getInfo.php?workbook=16_15.xlsx&amp;sheet=A0&amp;row=985&amp;col=18&amp;number=&amp;sourceID=56","")</f>
        <v/>
      </c>
      <c r="S985" s="4" t="str">
        <f>HYPERLINK("http://141.218.60.56/~jnz1568/getInfo.php?workbook=16_15.xlsx&amp;sheet=A0&amp;row=985&amp;col=19&amp;number=&amp;sourceID=57","")</f>
        <v/>
      </c>
      <c r="T985" s="4" t="str">
        <f>HYPERLINK("http://141.218.60.56/~jnz1568/getInfo.php?workbook=16_15.xlsx&amp;sheet=A0&amp;row=985&amp;col=20&amp;number=&amp;sourceID=57","")</f>
        <v/>
      </c>
      <c r="U985" s="4" t="str">
        <f>HYPERLINK("http://141.218.60.56/~jnz1568/getInfo.php?workbook=16_15.xlsx&amp;sheet=A0&amp;row=985&amp;col=21&amp;number=&amp;sourceID=47","")</f>
        <v/>
      </c>
      <c r="V985" s="4" t="str">
        <f>HYPERLINK("http://141.218.60.56/~jnz1568/getInfo.php?workbook=16_15.xlsx&amp;sheet=A0&amp;row=985&amp;col=22&amp;number=&amp;sourceID=47","")</f>
        <v/>
      </c>
    </row>
    <row r="986" spans="1:22">
      <c r="A986" s="3">
        <v>16</v>
      </c>
      <c r="B986" s="3">
        <v>15</v>
      </c>
      <c r="C986" s="3">
        <v>51</v>
      </c>
      <c r="D986" s="3">
        <v>1</v>
      </c>
      <c r="E986" s="3">
        <f>((1/(INDEX(E0!J$4:J$73,C986,1)-INDEX(E0!J$4:J$73,D986,1))))*100000000</f>
        <v>0</v>
      </c>
      <c r="F986" s="4" t="str">
        <f>HYPERLINK("http://141.218.60.56/~jnz1568/getInfo.php?workbook=16_15.xlsx&amp;sheet=A0&amp;row=986&amp;col=6&amp;number=553270&amp;sourceID=54","553270")</f>
        <v>553270</v>
      </c>
      <c r="G986" s="4" t="str">
        <f>HYPERLINK("http://141.218.60.56/~jnz1568/getInfo.php?workbook=16_15.xlsx&amp;sheet=A0&amp;row=986&amp;col=7&amp;number=&amp;sourceID=54","")</f>
        <v/>
      </c>
      <c r="H986" s="4" t="str">
        <f>HYPERLINK("http://141.218.60.56/~jnz1568/getInfo.php?workbook=16_15.xlsx&amp;sheet=A0&amp;row=986&amp;col=8&amp;number=&amp;sourceID=54","")</f>
        <v/>
      </c>
      <c r="I986" s="4" t="str">
        <f>HYPERLINK("http://141.218.60.56/~jnz1568/getInfo.php?workbook=16_15.xlsx&amp;sheet=A0&amp;row=986&amp;col=9&amp;number=686540&amp;sourceID=54","686540")</f>
        <v>686540</v>
      </c>
      <c r="J986" s="4" t="str">
        <f>HYPERLINK("http://141.218.60.56/~jnz1568/getInfo.php?workbook=16_15.xlsx&amp;sheet=A0&amp;row=986&amp;col=10&amp;number=&amp;sourceID=54","")</f>
        <v/>
      </c>
      <c r="K986" s="4" t="str">
        <f>HYPERLINK("http://141.218.60.56/~jnz1568/getInfo.php?workbook=16_15.xlsx&amp;sheet=A0&amp;row=986&amp;col=11&amp;number=&amp;sourceID=54","")</f>
        <v/>
      </c>
      <c r="L986" s="4" t="str">
        <f>HYPERLINK("http://141.218.60.56/~jnz1568/getInfo.php?workbook=16_15.xlsx&amp;sheet=A0&amp;row=986&amp;col=12&amp;number=598074.530753&amp;sourceID=53","598074.530753")</f>
        <v>598074.530753</v>
      </c>
      <c r="M986" s="4" t="str">
        <f>HYPERLINK("http://141.218.60.56/~jnz1568/getInfo.php?workbook=16_15.xlsx&amp;sheet=A0&amp;row=986&amp;col=13&amp;number=&amp;sourceID=53","")</f>
        <v/>
      </c>
      <c r="N986" s="4" t="str">
        <f>HYPERLINK("http://141.218.60.56/~jnz1568/getInfo.php?workbook=16_15.xlsx&amp;sheet=A0&amp;row=986&amp;col=14&amp;number=&amp;sourceID=53","")</f>
        <v/>
      </c>
      <c r="O986" s="4" t="str">
        <f>HYPERLINK("http://141.218.60.56/~jnz1568/getInfo.php?workbook=16_15.xlsx&amp;sheet=A0&amp;row=986&amp;col=15&amp;number=&amp;sourceID=55","")</f>
        <v/>
      </c>
      <c r="P986" s="4" t="str">
        <f>HYPERLINK("http://141.218.60.56/~jnz1568/getInfo.php?workbook=16_15.xlsx&amp;sheet=A0&amp;row=986&amp;col=16&amp;number=&amp;sourceID=55","")</f>
        <v/>
      </c>
      <c r="Q986" s="4" t="str">
        <f>HYPERLINK("http://141.218.60.56/~jnz1568/getInfo.php?workbook=16_15.xlsx&amp;sheet=A0&amp;row=986&amp;col=17&amp;number=&amp;sourceID=56","")</f>
        <v/>
      </c>
      <c r="R986" s="4" t="str">
        <f>HYPERLINK("http://141.218.60.56/~jnz1568/getInfo.php?workbook=16_15.xlsx&amp;sheet=A0&amp;row=986&amp;col=18&amp;number=&amp;sourceID=56","")</f>
        <v/>
      </c>
      <c r="S986" s="4" t="str">
        <f>HYPERLINK("http://141.218.60.56/~jnz1568/getInfo.php?workbook=16_15.xlsx&amp;sheet=A0&amp;row=986&amp;col=19&amp;number=&amp;sourceID=57","")</f>
        <v/>
      </c>
      <c r="T986" s="4" t="str">
        <f>HYPERLINK("http://141.218.60.56/~jnz1568/getInfo.php?workbook=16_15.xlsx&amp;sheet=A0&amp;row=986&amp;col=20&amp;number=&amp;sourceID=57","")</f>
        <v/>
      </c>
      <c r="U986" s="4" t="str">
        <f>HYPERLINK("http://141.218.60.56/~jnz1568/getInfo.php?workbook=16_15.xlsx&amp;sheet=A0&amp;row=986&amp;col=21&amp;number=&amp;sourceID=47","")</f>
        <v/>
      </c>
      <c r="V986" s="4" t="str">
        <f>HYPERLINK("http://141.218.60.56/~jnz1568/getInfo.php?workbook=16_15.xlsx&amp;sheet=A0&amp;row=986&amp;col=22&amp;number=&amp;sourceID=47","")</f>
        <v/>
      </c>
    </row>
    <row r="987" spans="1:22">
      <c r="A987" s="3">
        <v>16</v>
      </c>
      <c r="B987" s="3">
        <v>15</v>
      </c>
      <c r="C987" s="3">
        <v>51</v>
      </c>
      <c r="D987" s="3">
        <v>2</v>
      </c>
      <c r="E987" s="3">
        <f>((1/(INDEX(E0!J$4:J$73,C987,1)-INDEX(E0!J$4:J$73,D987,1))))*100000000</f>
        <v>0</v>
      </c>
      <c r="F987" s="4" t="str">
        <f>HYPERLINK("http://141.218.60.56/~jnz1568/getInfo.php?workbook=16_15.xlsx&amp;sheet=A0&amp;row=987&amp;col=6&amp;number=3312700&amp;sourceID=54","3312700")</f>
        <v>3312700</v>
      </c>
      <c r="G987" s="4" t="str">
        <f>HYPERLINK("http://141.218.60.56/~jnz1568/getInfo.php?workbook=16_15.xlsx&amp;sheet=A0&amp;row=987&amp;col=7&amp;number=&amp;sourceID=54","")</f>
        <v/>
      </c>
      <c r="H987" s="4" t="str">
        <f>HYPERLINK("http://141.218.60.56/~jnz1568/getInfo.php?workbook=16_15.xlsx&amp;sheet=A0&amp;row=987&amp;col=8&amp;number=&amp;sourceID=54","")</f>
        <v/>
      </c>
      <c r="I987" s="4" t="str">
        <f>HYPERLINK("http://141.218.60.56/~jnz1568/getInfo.php?workbook=16_15.xlsx&amp;sheet=A0&amp;row=987&amp;col=9&amp;number=3262000&amp;sourceID=54","3262000")</f>
        <v>3262000</v>
      </c>
      <c r="J987" s="4" t="str">
        <f>HYPERLINK("http://141.218.60.56/~jnz1568/getInfo.php?workbook=16_15.xlsx&amp;sheet=A0&amp;row=987&amp;col=10&amp;number=&amp;sourceID=54","")</f>
        <v/>
      </c>
      <c r="K987" s="4" t="str">
        <f>HYPERLINK("http://141.218.60.56/~jnz1568/getInfo.php?workbook=16_15.xlsx&amp;sheet=A0&amp;row=987&amp;col=11&amp;number=&amp;sourceID=54","")</f>
        <v/>
      </c>
      <c r="L987" s="4" t="str">
        <f>HYPERLINK("http://141.218.60.56/~jnz1568/getInfo.php?workbook=16_15.xlsx&amp;sheet=A0&amp;row=987&amp;col=12&amp;number=3468485.26608&amp;sourceID=53","3468485.26608")</f>
        <v>3468485.26608</v>
      </c>
      <c r="M987" s="4" t="str">
        <f>HYPERLINK("http://141.218.60.56/~jnz1568/getInfo.php?workbook=16_15.xlsx&amp;sheet=A0&amp;row=987&amp;col=13&amp;number=&amp;sourceID=53","")</f>
        <v/>
      </c>
      <c r="N987" s="4" t="str">
        <f>HYPERLINK("http://141.218.60.56/~jnz1568/getInfo.php?workbook=16_15.xlsx&amp;sheet=A0&amp;row=987&amp;col=14&amp;number=&amp;sourceID=53","")</f>
        <v/>
      </c>
      <c r="O987" s="4" t="str">
        <f>HYPERLINK("http://141.218.60.56/~jnz1568/getInfo.php?workbook=16_15.xlsx&amp;sheet=A0&amp;row=987&amp;col=15&amp;number=&amp;sourceID=55","")</f>
        <v/>
      </c>
      <c r="P987" s="4" t="str">
        <f>HYPERLINK("http://141.218.60.56/~jnz1568/getInfo.php?workbook=16_15.xlsx&amp;sheet=A0&amp;row=987&amp;col=16&amp;number=&amp;sourceID=55","")</f>
        <v/>
      </c>
      <c r="Q987" s="4" t="str">
        <f>HYPERLINK("http://141.218.60.56/~jnz1568/getInfo.php?workbook=16_15.xlsx&amp;sheet=A0&amp;row=987&amp;col=17&amp;number=&amp;sourceID=56","")</f>
        <v/>
      </c>
      <c r="R987" s="4" t="str">
        <f>HYPERLINK("http://141.218.60.56/~jnz1568/getInfo.php?workbook=16_15.xlsx&amp;sheet=A0&amp;row=987&amp;col=18&amp;number=&amp;sourceID=56","")</f>
        <v/>
      </c>
      <c r="S987" s="4" t="str">
        <f>HYPERLINK("http://141.218.60.56/~jnz1568/getInfo.php?workbook=16_15.xlsx&amp;sheet=A0&amp;row=987&amp;col=19&amp;number=&amp;sourceID=57","")</f>
        <v/>
      </c>
      <c r="T987" s="4" t="str">
        <f>HYPERLINK("http://141.218.60.56/~jnz1568/getInfo.php?workbook=16_15.xlsx&amp;sheet=A0&amp;row=987&amp;col=20&amp;number=&amp;sourceID=57","")</f>
        <v/>
      </c>
      <c r="U987" s="4" t="str">
        <f>HYPERLINK("http://141.218.60.56/~jnz1568/getInfo.php?workbook=16_15.xlsx&amp;sheet=A0&amp;row=987&amp;col=21&amp;number=&amp;sourceID=47","")</f>
        <v/>
      </c>
      <c r="V987" s="4" t="str">
        <f>HYPERLINK("http://141.218.60.56/~jnz1568/getInfo.php?workbook=16_15.xlsx&amp;sheet=A0&amp;row=987&amp;col=22&amp;number=&amp;sourceID=47","")</f>
        <v/>
      </c>
    </row>
    <row r="988" spans="1:22">
      <c r="A988" s="3">
        <v>16</v>
      </c>
      <c r="B988" s="3">
        <v>15</v>
      </c>
      <c r="C988" s="3">
        <v>51</v>
      </c>
      <c r="D988" s="3">
        <v>4</v>
      </c>
      <c r="E988" s="3">
        <f>((1/(INDEX(E0!J$4:J$73,C988,1)-INDEX(E0!J$4:J$73,D988,1))))*100000000</f>
        <v>0</v>
      </c>
      <c r="F988" s="4" t="str">
        <f>HYPERLINK("http://141.218.60.56/~jnz1568/getInfo.php?workbook=16_15.xlsx&amp;sheet=A0&amp;row=988&amp;col=6&amp;number=1007100000&amp;sourceID=54","1007100000")</f>
        <v>1007100000</v>
      </c>
      <c r="G988" s="4" t="str">
        <f>HYPERLINK("http://141.218.60.56/~jnz1568/getInfo.php?workbook=16_15.xlsx&amp;sheet=A0&amp;row=988&amp;col=7&amp;number=&amp;sourceID=54","")</f>
        <v/>
      </c>
      <c r="H988" s="4" t="str">
        <f>HYPERLINK("http://141.218.60.56/~jnz1568/getInfo.php?workbook=16_15.xlsx&amp;sheet=A0&amp;row=988&amp;col=8&amp;number=&amp;sourceID=54","")</f>
        <v/>
      </c>
      <c r="I988" s="4" t="str">
        <f>HYPERLINK("http://141.218.60.56/~jnz1568/getInfo.php?workbook=16_15.xlsx&amp;sheet=A0&amp;row=988&amp;col=9&amp;number=1022900000&amp;sourceID=54","1022900000")</f>
        <v>1022900000</v>
      </c>
      <c r="J988" s="4" t="str">
        <f>HYPERLINK("http://141.218.60.56/~jnz1568/getInfo.php?workbook=16_15.xlsx&amp;sheet=A0&amp;row=988&amp;col=10&amp;number=&amp;sourceID=54","")</f>
        <v/>
      </c>
      <c r="K988" s="4" t="str">
        <f>HYPERLINK("http://141.218.60.56/~jnz1568/getInfo.php?workbook=16_15.xlsx&amp;sheet=A0&amp;row=988&amp;col=11&amp;number=&amp;sourceID=54","")</f>
        <v/>
      </c>
      <c r="L988" s="4" t="str">
        <f>HYPERLINK("http://141.218.60.56/~jnz1568/getInfo.php?workbook=16_15.xlsx&amp;sheet=A0&amp;row=988&amp;col=12&amp;number=1034964807.07&amp;sourceID=53","1034964807.07")</f>
        <v>1034964807.07</v>
      </c>
      <c r="M988" s="4" t="str">
        <f>HYPERLINK("http://141.218.60.56/~jnz1568/getInfo.php?workbook=16_15.xlsx&amp;sheet=A0&amp;row=988&amp;col=13&amp;number=&amp;sourceID=53","")</f>
        <v/>
      </c>
      <c r="N988" s="4" t="str">
        <f>HYPERLINK("http://141.218.60.56/~jnz1568/getInfo.php?workbook=16_15.xlsx&amp;sheet=A0&amp;row=988&amp;col=14&amp;number=&amp;sourceID=53","")</f>
        <v/>
      </c>
      <c r="O988" s="4" t="str">
        <f>HYPERLINK("http://141.218.60.56/~jnz1568/getInfo.php?workbook=16_15.xlsx&amp;sheet=A0&amp;row=988&amp;col=15&amp;number=&amp;sourceID=55","")</f>
        <v/>
      </c>
      <c r="P988" s="4" t="str">
        <f>HYPERLINK("http://141.218.60.56/~jnz1568/getInfo.php?workbook=16_15.xlsx&amp;sheet=A0&amp;row=988&amp;col=16&amp;number=&amp;sourceID=55","")</f>
        <v/>
      </c>
      <c r="Q988" s="4" t="str">
        <f>HYPERLINK("http://141.218.60.56/~jnz1568/getInfo.php?workbook=16_15.xlsx&amp;sheet=A0&amp;row=988&amp;col=17&amp;number=&amp;sourceID=56","")</f>
        <v/>
      </c>
      <c r="R988" s="4" t="str">
        <f>HYPERLINK("http://141.218.60.56/~jnz1568/getInfo.php?workbook=16_15.xlsx&amp;sheet=A0&amp;row=988&amp;col=18&amp;number=&amp;sourceID=56","")</f>
        <v/>
      </c>
      <c r="S988" s="4" t="str">
        <f>HYPERLINK("http://141.218.60.56/~jnz1568/getInfo.php?workbook=16_15.xlsx&amp;sheet=A0&amp;row=988&amp;col=19&amp;number=&amp;sourceID=57","")</f>
        <v/>
      </c>
      <c r="T988" s="4" t="str">
        <f>HYPERLINK("http://141.218.60.56/~jnz1568/getInfo.php?workbook=16_15.xlsx&amp;sheet=A0&amp;row=988&amp;col=20&amp;number=&amp;sourceID=57","")</f>
        <v/>
      </c>
      <c r="U988" s="4" t="str">
        <f>HYPERLINK("http://141.218.60.56/~jnz1568/getInfo.php?workbook=16_15.xlsx&amp;sheet=A0&amp;row=988&amp;col=21&amp;number=&amp;sourceID=47","")</f>
        <v/>
      </c>
      <c r="V988" s="4" t="str">
        <f>HYPERLINK("http://141.218.60.56/~jnz1568/getInfo.php?workbook=16_15.xlsx&amp;sheet=A0&amp;row=988&amp;col=22&amp;number=&amp;sourceID=47","")</f>
        <v/>
      </c>
    </row>
    <row r="989" spans="1:22">
      <c r="A989" s="3">
        <v>16</v>
      </c>
      <c r="B989" s="3">
        <v>15</v>
      </c>
      <c r="C989" s="3">
        <v>51</v>
      </c>
      <c r="D989" s="3">
        <v>5</v>
      </c>
      <c r="E989" s="3">
        <f>((1/(INDEX(E0!J$4:J$73,C989,1)-INDEX(E0!J$4:J$73,D989,1))))*100000000</f>
        <v>0</v>
      </c>
      <c r="F989" s="4" t="str">
        <f>HYPERLINK("http://141.218.60.56/~jnz1568/getInfo.php?workbook=16_15.xlsx&amp;sheet=A0&amp;row=989&amp;col=6&amp;number=1926700000&amp;sourceID=54","1926700000")</f>
        <v>1926700000</v>
      </c>
      <c r="G989" s="4" t="str">
        <f>HYPERLINK("http://141.218.60.56/~jnz1568/getInfo.php?workbook=16_15.xlsx&amp;sheet=A0&amp;row=989&amp;col=7&amp;number=&amp;sourceID=54","")</f>
        <v/>
      </c>
      <c r="H989" s="4" t="str">
        <f>HYPERLINK("http://141.218.60.56/~jnz1568/getInfo.php?workbook=16_15.xlsx&amp;sheet=A0&amp;row=989&amp;col=8&amp;number=&amp;sourceID=54","")</f>
        <v/>
      </c>
      <c r="I989" s="4" t="str">
        <f>HYPERLINK("http://141.218.60.56/~jnz1568/getInfo.php?workbook=16_15.xlsx&amp;sheet=A0&amp;row=989&amp;col=9&amp;number=1957200000&amp;sourceID=54","1957200000")</f>
        <v>1957200000</v>
      </c>
      <c r="J989" s="4" t="str">
        <f>HYPERLINK("http://141.218.60.56/~jnz1568/getInfo.php?workbook=16_15.xlsx&amp;sheet=A0&amp;row=989&amp;col=10&amp;number=&amp;sourceID=54","")</f>
        <v/>
      </c>
      <c r="K989" s="4" t="str">
        <f>HYPERLINK("http://141.218.60.56/~jnz1568/getInfo.php?workbook=16_15.xlsx&amp;sheet=A0&amp;row=989&amp;col=11&amp;number=&amp;sourceID=54","")</f>
        <v/>
      </c>
      <c r="L989" s="4" t="str">
        <f>HYPERLINK("http://141.218.60.56/~jnz1568/getInfo.php?workbook=16_15.xlsx&amp;sheet=A0&amp;row=989&amp;col=12&amp;number=1979665443.97&amp;sourceID=53","1979665443.97")</f>
        <v>1979665443.97</v>
      </c>
      <c r="M989" s="4" t="str">
        <f>HYPERLINK("http://141.218.60.56/~jnz1568/getInfo.php?workbook=16_15.xlsx&amp;sheet=A0&amp;row=989&amp;col=13&amp;number=&amp;sourceID=53","")</f>
        <v/>
      </c>
      <c r="N989" s="4" t="str">
        <f>HYPERLINK("http://141.218.60.56/~jnz1568/getInfo.php?workbook=16_15.xlsx&amp;sheet=A0&amp;row=989&amp;col=14&amp;number=&amp;sourceID=53","")</f>
        <v/>
      </c>
      <c r="O989" s="4" t="str">
        <f>HYPERLINK("http://141.218.60.56/~jnz1568/getInfo.php?workbook=16_15.xlsx&amp;sheet=A0&amp;row=989&amp;col=15&amp;number=&amp;sourceID=55","")</f>
        <v/>
      </c>
      <c r="P989" s="4" t="str">
        <f>HYPERLINK("http://141.218.60.56/~jnz1568/getInfo.php?workbook=16_15.xlsx&amp;sheet=A0&amp;row=989&amp;col=16&amp;number=&amp;sourceID=55","")</f>
        <v/>
      </c>
      <c r="Q989" s="4" t="str">
        <f>HYPERLINK("http://141.218.60.56/~jnz1568/getInfo.php?workbook=16_15.xlsx&amp;sheet=A0&amp;row=989&amp;col=17&amp;number=&amp;sourceID=56","")</f>
        <v/>
      </c>
      <c r="R989" s="4" t="str">
        <f>HYPERLINK("http://141.218.60.56/~jnz1568/getInfo.php?workbook=16_15.xlsx&amp;sheet=A0&amp;row=989&amp;col=18&amp;number=&amp;sourceID=56","")</f>
        <v/>
      </c>
      <c r="S989" s="4" t="str">
        <f>HYPERLINK("http://141.218.60.56/~jnz1568/getInfo.php?workbook=16_15.xlsx&amp;sheet=A0&amp;row=989&amp;col=19&amp;number=&amp;sourceID=57","")</f>
        <v/>
      </c>
      <c r="T989" s="4" t="str">
        <f>HYPERLINK("http://141.218.60.56/~jnz1568/getInfo.php?workbook=16_15.xlsx&amp;sheet=A0&amp;row=989&amp;col=20&amp;number=&amp;sourceID=57","")</f>
        <v/>
      </c>
      <c r="U989" s="4" t="str">
        <f>HYPERLINK("http://141.218.60.56/~jnz1568/getInfo.php?workbook=16_15.xlsx&amp;sheet=A0&amp;row=989&amp;col=21&amp;number=&amp;sourceID=47","")</f>
        <v/>
      </c>
      <c r="V989" s="4" t="str">
        <f>HYPERLINK("http://141.218.60.56/~jnz1568/getInfo.php?workbook=16_15.xlsx&amp;sheet=A0&amp;row=989&amp;col=22&amp;number=&amp;sourceID=47","")</f>
        <v/>
      </c>
    </row>
    <row r="990" spans="1:22">
      <c r="A990" s="3">
        <v>16</v>
      </c>
      <c r="B990" s="3">
        <v>15</v>
      </c>
      <c r="C990" s="3">
        <v>51</v>
      </c>
      <c r="D990" s="3">
        <v>6</v>
      </c>
      <c r="E990" s="3">
        <f>((1/(INDEX(E0!J$4:J$73,C990,1)-INDEX(E0!J$4:J$73,D990,1))))*100000000</f>
        <v>0</v>
      </c>
      <c r="F990" s="4" t="str">
        <f>HYPERLINK("http://141.218.60.56/~jnz1568/getInfo.php?workbook=16_15.xlsx&amp;sheet=A0&amp;row=990&amp;col=6&amp;number=&amp;sourceID=54","")</f>
        <v/>
      </c>
      <c r="G990" s="4" t="str">
        <f>HYPERLINK("http://141.218.60.56/~jnz1568/getInfo.php?workbook=16_15.xlsx&amp;sheet=A0&amp;row=990&amp;col=7&amp;number=0.00054011&amp;sourceID=54","0.00054011")</f>
        <v>0.00054011</v>
      </c>
      <c r="H990" s="4" t="str">
        <f>HYPERLINK("http://141.218.60.56/~jnz1568/getInfo.php?workbook=16_15.xlsx&amp;sheet=A0&amp;row=990&amp;col=8&amp;number=&amp;sourceID=54","")</f>
        <v/>
      </c>
      <c r="I990" s="4" t="str">
        <f>HYPERLINK("http://141.218.60.56/~jnz1568/getInfo.php?workbook=16_15.xlsx&amp;sheet=A0&amp;row=990&amp;col=9&amp;number=&amp;sourceID=54","")</f>
        <v/>
      </c>
      <c r="J990" s="4" t="str">
        <f>HYPERLINK("http://141.218.60.56/~jnz1568/getInfo.php?workbook=16_15.xlsx&amp;sheet=A0&amp;row=990&amp;col=10&amp;number=0.00038622&amp;sourceID=54","0.00038622")</f>
        <v>0.00038622</v>
      </c>
      <c r="K990" s="4" t="str">
        <f>HYPERLINK("http://141.218.60.56/~jnz1568/getInfo.php?workbook=16_15.xlsx&amp;sheet=A0&amp;row=990&amp;col=11&amp;number=&amp;sourceID=54","")</f>
        <v/>
      </c>
      <c r="L990" s="4" t="str">
        <f>HYPERLINK("http://141.218.60.56/~jnz1568/getInfo.php?workbook=16_15.xlsx&amp;sheet=A0&amp;row=990&amp;col=12&amp;number=&amp;sourceID=53","")</f>
        <v/>
      </c>
      <c r="M990" s="4" t="str">
        <f>HYPERLINK("http://141.218.60.56/~jnz1568/getInfo.php?workbook=16_15.xlsx&amp;sheet=A0&amp;row=990&amp;col=13&amp;number=&amp;sourceID=53","")</f>
        <v/>
      </c>
      <c r="N990" s="4" t="str">
        <f>HYPERLINK("http://141.218.60.56/~jnz1568/getInfo.php?workbook=16_15.xlsx&amp;sheet=A0&amp;row=990&amp;col=14&amp;number=&amp;sourceID=53","")</f>
        <v/>
      </c>
      <c r="O990" s="4" t="str">
        <f>HYPERLINK("http://141.218.60.56/~jnz1568/getInfo.php?workbook=16_15.xlsx&amp;sheet=A0&amp;row=990&amp;col=15&amp;number=&amp;sourceID=55","")</f>
        <v/>
      </c>
      <c r="P990" s="4" t="str">
        <f>HYPERLINK("http://141.218.60.56/~jnz1568/getInfo.php?workbook=16_15.xlsx&amp;sheet=A0&amp;row=990&amp;col=16&amp;number=&amp;sourceID=55","")</f>
        <v/>
      </c>
      <c r="Q990" s="4" t="str">
        <f>HYPERLINK("http://141.218.60.56/~jnz1568/getInfo.php?workbook=16_15.xlsx&amp;sheet=A0&amp;row=990&amp;col=17&amp;number=&amp;sourceID=56","")</f>
        <v/>
      </c>
      <c r="R990" s="4" t="str">
        <f>HYPERLINK("http://141.218.60.56/~jnz1568/getInfo.php?workbook=16_15.xlsx&amp;sheet=A0&amp;row=990&amp;col=18&amp;number=&amp;sourceID=56","")</f>
        <v/>
      </c>
      <c r="S990" s="4" t="str">
        <f>HYPERLINK("http://141.218.60.56/~jnz1568/getInfo.php?workbook=16_15.xlsx&amp;sheet=A0&amp;row=990&amp;col=19&amp;number=&amp;sourceID=57","")</f>
        <v/>
      </c>
      <c r="T990" s="4" t="str">
        <f>HYPERLINK("http://141.218.60.56/~jnz1568/getInfo.php?workbook=16_15.xlsx&amp;sheet=A0&amp;row=990&amp;col=20&amp;number=&amp;sourceID=57","")</f>
        <v/>
      </c>
      <c r="U990" s="4" t="str">
        <f>HYPERLINK("http://141.218.60.56/~jnz1568/getInfo.php?workbook=16_15.xlsx&amp;sheet=A0&amp;row=990&amp;col=21&amp;number=&amp;sourceID=47","")</f>
        <v/>
      </c>
      <c r="V990" s="4" t="str">
        <f>HYPERLINK("http://141.218.60.56/~jnz1568/getInfo.php?workbook=16_15.xlsx&amp;sheet=A0&amp;row=990&amp;col=22&amp;number=&amp;sourceID=47","")</f>
        <v/>
      </c>
    </row>
    <row r="991" spans="1:22">
      <c r="A991" s="3">
        <v>16</v>
      </c>
      <c r="B991" s="3">
        <v>15</v>
      </c>
      <c r="C991" s="3">
        <v>51</v>
      </c>
      <c r="D991" s="3">
        <v>7</v>
      </c>
      <c r="E991" s="3">
        <f>((1/(INDEX(E0!J$4:J$73,C991,1)-INDEX(E0!J$4:J$73,D991,1))))*100000000</f>
        <v>0</v>
      </c>
      <c r="F991" s="4" t="str">
        <f>HYPERLINK("http://141.218.60.56/~jnz1568/getInfo.php?workbook=16_15.xlsx&amp;sheet=A0&amp;row=991&amp;col=6&amp;number=&amp;sourceID=54","")</f>
        <v/>
      </c>
      <c r="G991" s="4" t="str">
        <f>HYPERLINK("http://141.218.60.56/~jnz1568/getInfo.php?workbook=16_15.xlsx&amp;sheet=A0&amp;row=991&amp;col=7&amp;number=4.9691e-05&amp;sourceID=54","4.9691e-05")</f>
        <v>4.9691e-05</v>
      </c>
      <c r="H991" s="4" t="str">
        <f>HYPERLINK("http://141.218.60.56/~jnz1568/getInfo.php?workbook=16_15.xlsx&amp;sheet=A0&amp;row=991&amp;col=8&amp;number=0.0082472&amp;sourceID=54","0.0082472")</f>
        <v>0.0082472</v>
      </c>
      <c r="I991" s="4" t="str">
        <f>HYPERLINK("http://141.218.60.56/~jnz1568/getInfo.php?workbook=16_15.xlsx&amp;sheet=A0&amp;row=991&amp;col=9&amp;number=&amp;sourceID=54","")</f>
        <v/>
      </c>
      <c r="J991" s="4" t="str">
        <f>HYPERLINK("http://141.218.60.56/~jnz1568/getInfo.php?workbook=16_15.xlsx&amp;sheet=A0&amp;row=991&amp;col=10&amp;number=3.4341e-05&amp;sourceID=54","3.4341e-05")</f>
        <v>3.4341e-05</v>
      </c>
      <c r="K991" s="4" t="str">
        <f>HYPERLINK("http://141.218.60.56/~jnz1568/getInfo.php?workbook=16_15.xlsx&amp;sheet=A0&amp;row=991&amp;col=11&amp;number=0.0081701&amp;sourceID=54","0.0081701")</f>
        <v>0.0081701</v>
      </c>
      <c r="L991" s="4" t="str">
        <f>HYPERLINK("http://141.218.60.56/~jnz1568/getInfo.php?workbook=16_15.xlsx&amp;sheet=A0&amp;row=991&amp;col=12&amp;number=&amp;sourceID=53","")</f>
        <v/>
      </c>
      <c r="M991" s="4" t="str">
        <f>HYPERLINK("http://141.218.60.56/~jnz1568/getInfo.php?workbook=16_15.xlsx&amp;sheet=A0&amp;row=991&amp;col=13&amp;number=&amp;sourceID=53","")</f>
        <v/>
      </c>
      <c r="N991" s="4" t="str">
        <f>HYPERLINK("http://141.218.60.56/~jnz1568/getInfo.php?workbook=16_15.xlsx&amp;sheet=A0&amp;row=991&amp;col=14&amp;number=&amp;sourceID=53","")</f>
        <v/>
      </c>
      <c r="O991" s="4" t="str">
        <f>HYPERLINK("http://141.218.60.56/~jnz1568/getInfo.php?workbook=16_15.xlsx&amp;sheet=A0&amp;row=991&amp;col=15&amp;number=&amp;sourceID=55","")</f>
        <v/>
      </c>
      <c r="P991" s="4" t="str">
        <f>HYPERLINK("http://141.218.60.56/~jnz1568/getInfo.php?workbook=16_15.xlsx&amp;sheet=A0&amp;row=991&amp;col=16&amp;number=&amp;sourceID=55","")</f>
        <v/>
      </c>
      <c r="Q991" s="4" t="str">
        <f>HYPERLINK("http://141.218.60.56/~jnz1568/getInfo.php?workbook=16_15.xlsx&amp;sheet=A0&amp;row=991&amp;col=17&amp;number=&amp;sourceID=56","")</f>
        <v/>
      </c>
      <c r="R991" s="4" t="str">
        <f>HYPERLINK("http://141.218.60.56/~jnz1568/getInfo.php?workbook=16_15.xlsx&amp;sheet=A0&amp;row=991&amp;col=18&amp;number=&amp;sourceID=56","")</f>
        <v/>
      </c>
      <c r="S991" s="4" t="str">
        <f>HYPERLINK("http://141.218.60.56/~jnz1568/getInfo.php?workbook=16_15.xlsx&amp;sheet=A0&amp;row=991&amp;col=19&amp;number=&amp;sourceID=57","")</f>
        <v/>
      </c>
      <c r="T991" s="4" t="str">
        <f>HYPERLINK("http://141.218.60.56/~jnz1568/getInfo.php?workbook=16_15.xlsx&amp;sheet=A0&amp;row=991&amp;col=20&amp;number=&amp;sourceID=57","")</f>
        <v/>
      </c>
      <c r="U991" s="4" t="str">
        <f>HYPERLINK("http://141.218.60.56/~jnz1568/getInfo.php?workbook=16_15.xlsx&amp;sheet=A0&amp;row=991&amp;col=21&amp;number=&amp;sourceID=47","")</f>
        <v/>
      </c>
      <c r="V991" s="4" t="str">
        <f>HYPERLINK("http://141.218.60.56/~jnz1568/getInfo.php?workbook=16_15.xlsx&amp;sheet=A0&amp;row=991&amp;col=22&amp;number=&amp;sourceID=47","")</f>
        <v/>
      </c>
    </row>
    <row r="992" spans="1:22">
      <c r="A992" s="3">
        <v>16</v>
      </c>
      <c r="B992" s="3">
        <v>15</v>
      </c>
      <c r="C992" s="3">
        <v>51</v>
      </c>
      <c r="D992" s="3">
        <v>8</v>
      </c>
      <c r="E992" s="3">
        <f>((1/(INDEX(E0!J$4:J$73,C992,1)-INDEX(E0!J$4:J$73,D992,1))))*100000000</f>
        <v>0</v>
      </c>
      <c r="F992" s="4" t="str">
        <f>HYPERLINK("http://141.218.60.56/~jnz1568/getInfo.php?workbook=16_15.xlsx&amp;sheet=A0&amp;row=992&amp;col=6&amp;number=&amp;sourceID=54","")</f>
        <v/>
      </c>
      <c r="G992" s="4" t="str">
        <f>HYPERLINK("http://141.218.60.56/~jnz1568/getInfo.php?workbook=16_15.xlsx&amp;sheet=A0&amp;row=992&amp;col=7&amp;number=&amp;sourceID=54","")</f>
        <v/>
      </c>
      <c r="H992" s="4" t="str">
        <f>HYPERLINK("http://141.218.60.56/~jnz1568/getInfo.php?workbook=16_15.xlsx&amp;sheet=A0&amp;row=992&amp;col=8&amp;number=0.0029392&amp;sourceID=54","0.0029392")</f>
        <v>0.0029392</v>
      </c>
      <c r="I992" s="4" t="str">
        <f>HYPERLINK("http://141.218.60.56/~jnz1568/getInfo.php?workbook=16_15.xlsx&amp;sheet=A0&amp;row=992&amp;col=9&amp;number=&amp;sourceID=54","")</f>
        <v/>
      </c>
      <c r="J992" s="4" t="str">
        <f>HYPERLINK("http://141.218.60.56/~jnz1568/getInfo.php?workbook=16_15.xlsx&amp;sheet=A0&amp;row=992&amp;col=10&amp;number=&amp;sourceID=54","")</f>
        <v/>
      </c>
      <c r="K992" s="4" t="str">
        <f>HYPERLINK("http://141.218.60.56/~jnz1568/getInfo.php?workbook=16_15.xlsx&amp;sheet=A0&amp;row=992&amp;col=11&amp;number=0.0027874&amp;sourceID=54","0.0027874")</f>
        <v>0.0027874</v>
      </c>
      <c r="L992" s="4" t="str">
        <f>HYPERLINK("http://141.218.60.56/~jnz1568/getInfo.php?workbook=16_15.xlsx&amp;sheet=A0&amp;row=992&amp;col=12&amp;number=&amp;sourceID=53","")</f>
        <v/>
      </c>
      <c r="M992" s="4" t="str">
        <f>HYPERLINK("http://141.218.60.56/~jnz1568/getInfo.php?workbook=16_15.xlsx&amp;sheet=A0&amp;row=992&amp;col=13&amp;number=&amp;sourceID=53","")</f>
        <v/>
      </c>
      <c r="N992" s="4" t="str">
        <f>HYPERLINK("http://141.218.60.56/~jnz1568/getInfo.php?workbook=16_15.xlsx&amp;sheet=A0&amp;row=992&amp;col=14&amp;number=&amp;sourceID=53","")</f>
        <v/>
      </c>
      <c r="O992" s="4" t="str">
        <f>HYPERLINK("http://141.218.60.56/~jnz1568/getInfo.php?workbook=16_15.xlsx&amp;sheet=A0&amp;row=992&amp;col=15&amp;number=&amp;sourceID=55","")</f>
        <v/>
      </c>
      <c r="P992" s="4" t="str">
        <f>HYPERLINK("http://141.218.60.56/~jnz1568/getInfo.php?workbook=16_15.xlsx&amp;sheet=A0&amp;row=992&amp;col=16&amp;number=&amp;sourceID=55","")</f>
        <v/>
      </c>
      <c r="Q992" s="4" t="str">
        <f>HYPERLINK("http://141.218.60.56/~jnz1568/getInfo.php?workbook=16_15.xlsx&amp;sheet=A0&amp;row=992&amp;col=17&amp;number=&amp;sourceID=56","")</f>
        <v/>
      </c>
      <c r="R992" s="4" t="str">
        <f>HYPERLINK("http://141.218.60.56/~jnz1568/getInfo.php?workbook=16_15.xlsx&amp;sheet=A0&amp;row=992&amp;col=18&amp;number=&amp;sourceID=56","")</f>
        <v/>
      </c>
      <c r="S992" s="4" t="str">
        <f>HYPERLINK("http://141.218.60.56/~jnz1568/getInfo.php?workbook=16_15.xlsx&amp;sheet=A0&amp;row=992&amp;col=19&amp;number=&amp;sourceID=57","")</f>
        <v/>
      </c>
      <c r="T992" s="4" t="str">
        <f>HYPERLINK("http://141.218.60.56/~jnz1568/getInfo.php?workbook=16_15.xlsx&amp;sheet=A0&amp;row=992&amp;col=20&amp;number=&amp;sourceID=57","")</f>
        <v/>
      </c>
      <c r="U992" s="4" t="str">
        <f>HYPERLINK("http://141.218.60.56/~jnz1568/getInfo.php?workbook=16_15.xlsx&amp;sheet=A0&amp;row=992&amp;col=21&amp;number=&amp;sourceID=47","")</f>
        <v/>
      </c>
      <c r="V992" s="4" t="str">
        <f>HYPERLINK("http://141.218.60.56/~jnz1568/getInfo.php?workbook=16_15.xlsx&amp;sheet=A0&amp;row=992&amp;col=22&amp;number=&amp;sourceID=47","")</f>
        <v/>
      </c>
    </row>
    <row r="993" spans="1:22">
      <c r="A993" s="3">
        <v>16</v>
      </c>
      <c r="B993" s="3">
        <v>15</v>
      </c>
      <c r="C993" s="3">
        <v>51</v>
      </c>
      <c r="D993" s="3">
        <v>9</v>
      </c>
      <c r="E993" s="3">
        <f>((1/(INDEX(E0!J$4:J$73,C993,1)-INDEX(E0!J$4:J$73,D993,1))))*100000000</f>
        <v>0</v>
      </c>
      <c r="F993" s="4" t="str">
        <f>HYPERLINK("http://141.218.60.56/~jnz1568/getInfo.php?workbook=16_15.xlsx&amp;sheet=A0&amp;row=993&amp;col=6&amp;number=&amp;sourceID=54","")</f>
        <v/>
      </c>
      <c r="G993" s="4" t="str">
        <f>HYPERLINK("http://141.218.60.56/~jnz1568/getInfo.php?workbook=16_15.xlsx&amp;sheet=A0&amp;row=993&amp;col=7&amp;number=12.723&amp;sourceID=54","12.723")</f>
        <v>12.723</v>
      </c>
      <c r="H993" s="4" t="str">
        <f>HYPERLINK("http://141.218.60.56/~jnz1568/getInfo.php?workbook=16_15.xlsx&amp;sheet=A0&amp;row=993&amp;col=8&amp;number=1.3763e-07&amp;sourceID=54","1.3763e-07")</f>
        <v>1.3763e-07</v>
      </c>
      <c r="I993" s="4" t="str">
        <f>HYPERLINK("http://141.218.60.56/~jnz1568/getInfo.php?workbook=16_15.xlsx&amp;sheet=A0&amp;row=993&amp;col=9&amp;number=&amp;sourceID=54","")</f>
        <v/>
      </c>
      <c r="J993" s="4" t="str">
        <f>HYPERLINK("http://141.218.60.56/~jnz1568/getInfo.php?workbook=16_15.xlsx&amp;sheet=A0&amp;row=993&amp;col=10&amp;number=12.531&amp;sourceID=54","12.531")</f>
        <v>12.531</v>
      </c>
      <c r="K993" s="4" t="str">
        <f>HYPERLINK("http://141.218.60.56/~jnz1568/getInfo.php?workbook=16_15.xlsx&amp;sheet=A0&amp;row=993&amp;col=11&amp;number=1.3257e-07&amp;sourceID=54","1.3257e-07")</f>
        <v>1.3257e-07</v>
      </c>
      <c r="L993" s="4" t="str">
        <f>HYPERLINK("http://141.218.60.56/~jnz1568/getInfo.php?workbook=16_15.xlsx&amp;sheet=A0&amp;row=993&amp;col=12&amp;number=&amp;sourceID=53","")</f>
        <v/>
      </c>
      <c r="M993" s="4" t="str">
        <f>HYPERLINK("http://141.218.60.56/~jnz1568/getInfo.php?workbook=16_15.xlsx&amp;sheet=A0&amp;row=993&amp;col=13&amp;number=&amp;sourceID=53","")</f>
        <v/>
      </c>
      <c r="N993" s="4" t="str">
        <f>HYPERLINK("http://141.218.60.56/~jnz1568/getInfo.php?workbook=16_15.xlsx&amp;sheet=A0&amp;row=993&amp;col=14&amp;number=&amp;sourceID=53","")</f>
        <v/>
      </c>
      <c r="O993" s="4" t="str">
        <f>HYPERLINK("http://141.218.60.56/~jnz1568/getInfo.php?workbook=16_15.xlsx&amp;sheet=A0&amp;row=993&amp;col=15&amp;number=&amp;sourceID=55","")</f>
        <v/>
      </c>
      <c r="P993" s="4" t="str">
        <f>HYPERLINK("http://141.218.60.56/~jnz1568/getInfo.php?workbook=16_15.xlsx&amp;sheet=A0&amp;row=993&amp;col=16&amp;number=&amp;sourceID=55","")</f>
        <v/>
      </c>
      <c r="Q993" s="4" t="str">
        <f>HYPERLINK("http://141.218.60.56/~jnz1568/getInfo.php?workbook=16_15.xlsx&amp;sheet=A0&amp;row=993&amp;col=17&amp;number=&amp;sourceID=56","")</f>
        <v/>
      </c>
      <c r="R993" s="4" t="str">
        <f>HYPERLINK("http://141.218.60.56/~jnz1568/getInfo.php?workbook=16_15.xlsx&amp;sheet=A0&amp;row=993&amp;col=18&amp;number=&amp;sourceID=56","")</f>
        <v/>
      </c>
      <c r="S993" s="4" t="str">
        <f>HYPERLINK("http://141.218.60.56/~jnz1568/getInfo.php?workbook=16_15.xlsx&amp;sheet=A0&amp;row=993&amp;col=19&amp;number=&amp;sourceID=57","")</f>
        <v/>
      </c>
      <c r="T993" s="4" t="str">
        <f>HYPERLINK("http://141.218.60.56/~jnz1568/getInfo.php?workbook=16_15.xlsx&amp;sheet=A0&amp;row=993&amp;col=20&amp;number=&amp;sourceID=57","")</f>
        <v/>
      </c>
      <c r="U993" s="4" t="str">
        <f>HYPERLINK("http://141.218.60.56/~jnz1568/getInfo.php?workbook=16_15.xlsx&amp;sheet=A0&amp;row=993&amp;col=21&amp;number=&amp;sourceID=47","")</f>
        <v/>
      </c>
      <c r="V993" s="4" t="str">
        <f>HYPERLINK("http://141.218.60.56/~jnz1568/getInfo.php?workbook=16_15.xlsx&amp;sheet=A0&amp;row=993&amp;col=22&amp;number=&amp;sourceID=47","")</f>
        <v/>
      </c>
    </row>
    <row r="994" spans="1:22">
      <c r="A994" s="3">
        <v>16</v>
      </c>
      <c r="B994" s="3">
        <v>15</v>
      </c>
      <c r="C994" s="3">
        <v>51</v>
      </c>
      <c r="D994" s="3">
        <v>10</v>
      </c>
      <c r="E994" s="3">
        <f>((1/(INDEX(E0!J$4:J$73,C994,1)-INDEX(E0!J$4:J$73,D994,1))))*100000000</f>
        <v>0</v>
      </c>
      <c r="F994" s="4" t="str">
        <f>HYPERLINK("http://141.218.60.56/~jnz1568/getInfo.php?workbook=16_15.xlsx&amp;sheet=A0&amp;row=994&amp;col=6&amp;number=&amp;sourceID=54","")</f>
        <v/>
      </c>
      <c r="G994" s="4" t="str">
        <f>HYPERLINK("http://141.218.60.56/~jnz1568/getInfo.php?workbook=16_15.xlsx&amp;sheet=A0&amp;row=994&amp;col=7&amp;number=19.446&amp;sourceID=54","19.446")</f>
        <v>19.446</v>
      </c>
      <c r="H994" s="4" t="str">
        <f>HYPERLINK("http://141.218.60.56/~jnz1568/getInfo.php?workbook=16_15.xlsx&amp;sheet=A0&amp;row=994&amp;col=8&amp;number=&amp;sourceID=54","")</f>
        <v/>
      </c>
      <c r="I994" s="4" t="str">
        <f>HYPERLINK("http://141.218.60.56/~jnz1568/getInfo.php?workbook=16_15.xlsx&amp;sheet=A0&amp;row=994&amp;col=9&amp;number=&amp;sourceID=54","")</f>
        <v/>
      </c>
      <c r="J994" s="4" t="str">
        <f>HYPERLINK("http://141.218.60.56/~jnz1568/getInfo.php?workbook=16_15.xlsx&amp;sheet=A0&amp;row=994&amp;col=10&amp;number=19.156&amp;sourceID=54","19.156")</f>
        <v>19.156</v>
      </c>
      <c r="K994" s="4" t="str">
        <f>HYPERLINK("http://141.218.60.56/~jnz1568/getInfo.php?workbook=16_15.xlsx&amp;sheet=A0&amp;row=994&amp;col=11&amp;number=&amp;sourceID=54","")</f>
        <v/>
      </c>
      <c r="L994" s="4" t="str">
        <f>HYPERLINK("http://141.218.60.56/~jnz1568/getInfo.php?workbook=16_15.xlsx&amp;sheet=A0&amp;row=994&amp;col=12&amp;number=&amp;sourceID=53","")</f>
        <v/>
      </c>
      <c r="M994" s="4" t="str">
        <f>HYPERLINK("http://141.218.60.56/~jnz1568/getInfo.php?workbook=16_15.xlsx&amp;sheet=A0&amp;row=994&amp;col=13&amp;number=&amp;sourceID=53","")</f>
        <v/>
      </c>
      <c r="N994" s="4" t="str">
        <f>HYPERLINK("http://141.218.60.56/~jnz1568/getInfo.php?workbook=16_15.xlsx&amp;sheet=A0&amp;row=994&amp;col=14&amp;number=&amp;sourceID=53","")</f>
        <v/>
      </c>
      <c r="O994" s="4" t="str">
        <f>HYPERLINK("http://141.218.60.56/~jnz1568/getInfo.php?workbook=16_15.xlsx&amp;sheet=A0&amp;row=994&amp;col=15&amp;number=&amp;sourceID=55","")</f>
        <v/>
      </c>
      <c r="P994" s="4" t="str">
        <f>HYPERLINK("http://141.218.60.56/~jnz1568/getInfo.php?workbook=16_15.xlsx&amp;sheet=A0&amp;row=994&amp;col=16&amp;number=&amp;sourceID=55","")</f>
        <v/>
      </c>
      <c r="Q994" s="4" t="str">
        <f>HYPERLINK("http://141.218.60.56/~jnz1568/getInfo.php?workbook=16_15.xlsx&amp;sheet=A0&amp;row=994&amp;col=17&amp;number=&amp;sourceID=56","")</f>
        <v/>
      </c>
      <c r="R994" s="4" t="str">
        <f>HYPERLINK("http://141.218.60.56/~jnz1568/getInfo.php?workbook=16_15.xlsx&amp;sheet=A0&amp;row=994&amp;col=18&amp;number=&amp;sourceID=56","")</f>
        <v/>
      </c>
      <c r="S994" s="4" t="str">
        <f>HYPERLINK("http://141.218.60.56/~jnz1568/getInfo.php?workbook=16_15.xlsx&amp;sheet=A0&amp;row=994&amp;col=19&amp;number=&amp;sourceID=57","")</f>
        <v/>
      </c>
      <c r="T994" s="4" t="str">
        <f>HYPERLINK("http://141.218.60.56/~jnz1568/getInfo.php?workbook=16_15.xlsx&amp;sheet=A0&amp;row=994&amp;col=20&amp;number=&amp;sourceID=57","")</f>
        <v/>
      </c>
      <c r="U994" s="4" t="str">
        <f>HYPERLINK("http://141.218.60.56/~jnz1568/getInfo.php?workbook=16_15.xlsx&amp;sheet=A0&amp;row=994&amp;col=21&amp;number=&amp;sourceID=47","")</f>
        <v/>
      </c>
      <c r="V994" s="4" t="str">
        <f>HYPERLINK("http://141.218.60.56/~jnz1568/getInfo.php?workbook=16_15.xlsx&amp;sheet=A0&amp;row=994&amp;col=22&amp;number=&amp;sourceID=47","")</f>
        <v/>
      </c>
    </row>
    <row r="995" spans="1:22">
      <c r="A995" s="3">
        <v>16</v>
      </c>
      <c r="B995" s="3">
        <v>15</v>
      </c>
      <c r="C995" s="3">
        <v>51</v>
      </c>
      <c r="D995" s="3">
        <v>11</v>
      </c>
      <c r="E995" s="3">
        <f>((1/(INDEX(E0!J$4:J$73,C995,1)-INDEX(E0!J$4:J$73,D995,1))))*100000000</f>
        <v>0</v>
      </c>
      <c r="F995" s="4" t="str">
        <f>HYPERLINK("http://141.218.60.56/~jnz1568/getInfo.php?workbook=16_15.xlsx&amp;sheet=A0&amp;row=995&amp;col=6&amp;number=&amp;sourceID=54","")</f>
        <v/>
      </c>
      <c r="G995" s="4" t="str">
        <f>HYPERLINK("http://141.218.60.56/~jnz1568/getInfo.php?workbook=16_15.xlsx&amp;sheet=A0&amp;row=995&amp;col=7&amp;number=0.015773&amp;sourceID=54","0.015773")</f>
        <v>0.015773</v>
      </c>
      <c r="H995" s="4" t="str">
        <f>HYPERLINK("http://141.218.60.56/~jnz1568/getInfo.php?workbook=16_15.xlsx&amp;sheet=A0&amp;row=995&amp;col=8&amp;number=0.0001192&amp;sourceID=54","0.0001192")</f>
        <v>0.0001192</v>
      </c>
      <c r="I995" s="4" t="str">
        <f>HYPERLINK("http://141.218.60.56/~jnz1568/getInfo.php?workbook=16_15.xlsx&amp;sheet=A0&amp;row=995&amp;col=9&amp;number=&amp;sourceID=54","")</f>
        <v/>
      </c>
      <c r="J995" s="4" t="str">
        <f>HYPERLINK("http://141.218.60.56/~jnz1568/getInfo.php?workbook=16_15.xlsx&amp;sheet=A0&amp;row=995&amp;col=10&amp;number=0.016105&amp;sourceID=54","0.016105")</f>
        <v>0.016105</v>
      </c>
      <c r="K995" s="4" t="str">
        <f>HYPERLINK("http://141.218.60.56/~jnz1568/getInfo.php?workbook=16_15.xlsx&amp;sheet=A0&amp;row=995&amp;col=11&amp;number=0.00011799&amp;sourceID=54","0.00011799")</f>
        <v>0.00011799</v>
      </c>
      <c r="L995" s="4" t="str">
        <f>HYPERLINK("http://141.218.60.56/~jnz1568/getInfo.php?workbook=16_15.xlsx&amp;sheet=A0&amp;row=995&amp;col=12&amp;number=&amp;sourceID=53","")</f>
        <v/>
      </c>
      <c r="M995" s="4" t="str">
        <f>HYPERLINK("http://141.218.60.56/~jnz1568/getInfo.php?workbook=16_15.xlsx&amp;sheet=A0&amp;row=995&amp;col=13&amp;number=&amp;sourceID=53","")</f>
        <v/>
      </c>
      <c r="N995" s="4" t="str">
        <f>HYPERLINK("http://141.218.60.56/~jnz1568/getInfo.php?workbook=16_15.xlsx&amp;sheet=A0&amp;row=995&amp;col=14&amp;number=&amp;sourceID=53","")</f>
        <v/>
      </c>
      <c r="O995" s="4" t="str">
        <f>HYPERLINK("http://141.218.60.56/~jnz1568/getInfo.php?workbook=16_15.xlsx&amp;sheet=A0&amp;row=995&amp;col=15&amp;number=&amp;sourceID=55","")</f>
        <v/>
      </c>
      <c r="P995" s="4" t="str">
        <f>HYPERLINK("http://141.218.60.56/~jnz1568/getInfo.php?workbook=16_15.xlsx&amp;sheet=A0&amp;row=995&amp;col=16&amp;number=&amp;sourceID=55","")</f>
        <v/>
      </c>
      <c r="Q995" s="4" t="str">
        <f>HYPERLINK("http://141.218.60.56/~jnz1568/getInfo.php?workbook=16_15.xlsx&amp;sheet=A0&amp;row=995&amp;col=17&amp;number=&amp;sourceID=56","")</f>
        <v/>
      </c>
      <c r="R995" s="4" t="str">
        <f>HYPERLINK("http://141.218.60.56/~jnz1568/getInfo.php?workbook=16_15.xlsx&amp;sheet=A0&amp;row=995&amp;col=18&amp;number=&amp;sourceID=56","")</f>
        <v/>
      </c>
      <c r="S995" s="4" t="str">
        <f>HYPERLINK("http://141.218.60.56/~jnz1568/getInfo.php?workbook=16_15.xlsx&amp;sheet=A0&amp;row=995&amp;col=19&amp;number=&amp;sourceID=57","")</f>
        <v/>
      </c>
      <c r="T995" s="4" t="str">
        <f>HYPERLINK("http://141.218.60.56/~jnz1568/getInfo.php?workbook=16_15.xlsx&amp;sheet=A0&amp;row=995&amp;col=20&amp;number=&amp;sourceID=57","")</f>
        <v/>
      </c>
      <c r="U995" s="4" t="str">
        <f>HYPERLINK("http://141.218.60.56/~jnz1568/getInfo.php?workbook=16_15.xlsx&amp;sheet=A0&amp;row=995&amp;col=21&amp;number=&amp;sourceID=47","")</f>
        <v/>
      </c>
      <c r="V995" s="4" t="str">
        <f>HYPERLINK("http://141.218.60.56/~jnz1568/getInfo.php?workbook=16_15.xlsx&amp;sheet=A0&amp;row=995&amp;col=22&amp;number=&amp;sourceID=47","")</f>
        <v/>
      </c>
    </row>
    <row r="996" spans="1:22">
      <c r="A996" s="3">
        <v>16</v>
      </c>
      <c r="B996" s="3">
        <v>15</v>
      </c>
      <c r="C996" s="3">
        <v>51</v>
      </c>
      <c r="D996" s="3">
        <v>12</v>
      </c>
      <c r="E996" s="3">
        <f>((1/(INDEX(E0!J$4:J$73,C996,1)-INDEX(E0!J$4:J$73,D996,1))))*100000000</f>
        <v>0</v>
      </c>
      <c r="F996" s="4" t="str">
        <f>HYPERLINK("http://141.218.60.56/~jnz1568/getInfo.php?workbook=16_15.xlsx&amp;sheet=A0&amp;row=996&amp;col=6&amp;number=&amp;sourceID=54","")</f>
        <v/>
      </c>
      <c r="G996" s="4" t="str">
        <f>HYPERLINK("http://141.218.60.56/~jnz1568/getInfo.php?workbook=16_15.xlsx&amp;sheet=A0&amp;row=996&amp;col=7&amp;number=&amp;sourceID=54","")</f>
        <v/>
      </c>
      <c r="H996" s="4" t="str">
        <f>HYPERLINK("http://141.218.60.56/~jnz1568/getInfo.php?workbook=16_15.xlsx&amp;sheet=A0&amp;row=996&amp;col=8&amp;number=0.00024379&amp;sourceID=54","0.00024379")</f>
        <v>0.00024379</v>
      </c>
      <c r="I996" s="4" t="str">
        <f>HYPERLINK("http://141.218.60.56/~jnz1568/getInfo.php?workbook=16_15.xlsx&amp;sheet=A0&amp;row=996&amp;col=9&amp;number=&amp;sourceID=54","")</f>
        <v/>
      </c>
      <c r="J996" s="4" t="str">
        <f>HYPERLINK("http://141.218.60.56/~jnz1568/getInfo.php?workbook=16_15.xlsx&amp;sheet=A0&amp;row=996&amp;col=10&amp;number=&amp;sourceID=54","")</f>
        <v/>
      </c>
      <c r="K996" s="4" t="str">
        <f>HYPERLINK("http://141.218.60.56/~jnz1568/getInfo.php?workbook=16_15.xlsx&amp;sheet=A0&amp;row=996&amp;col=11&amp;number=0.00024598&amp;sourceID=54","0.00024598")</f>
        <v>0.00024598</v>
      </c>
      <c r="L996" s="4" t="str">
        <f>HYPERLINK("http://141.218.60.56/~jnz1568/getInfo.php?workbook=16_15.xlsx&amp;sheet=A0&amp;row=996&amp;col=12&amp;number=&amp;sourceID=53","")</f>
        <v/>
      </c>
      <c r="M996" s="4" t="str">
        <f>HYPERLINK("http://141.218.60.56/~jnz1568/getInfo.php?workbook=16_15.xlsx&amp;sheet=A0&amp;row=996&amp;col=13&amp;number=&amp;sourceID=53","")</f>
        <v/>
      </c>
      <c r="N996" s="4" t="str">
        <f>HYPERLINK("http://141.218.60.56/~jnz1568/getInfo.php?workbook=16_15.xlsx&amp;sheet=A0&amp;row=996&amp;col=14&amp;number=&amp;sourceID=53","")</f>
        <v/>
      </c>
      <c r="O996" s="4" t="str">
        <f>HYPERLINK("http://141.218.60.56/~jnz1568/getInfo.php?workbook=16_15.xlsx&amp;sheet=A0&amp;row=996&amp;col=15&amp;number=&amp;sourceID=55","")</f>
        <v/>
      </c>
      <c r="P996" s="4" t="str">
        <f>HYPERLINK("http://141.218.60.56/~jnz1568/getInfo.php?workbook=16_15.xlsx&amp;sheet=A0&amp;row=996&amp;col=16&amp;number=&amp;sourceID=55","")</f>
        <v/>
      </c>
      <c r="Q996" s="4" t="str">
        <f>HYPERLINK("http://141.218.60.56/~jnz1568/getInfo.php?workbook=16_15.xlsx&amp;sheet=A0&amp;row=996&amp;col=17&amp;number=&amp;sourceID=56","")</f>
        <v/>
      </c>
      <c r="R996" s="4" t="str">
        <f>HYPERLINK("http://141.218.60.56/~jnz1568/getInfo.php?workbook=16_15.xlsx&amp;sheet=A0&amp;row=996&amp;col=18&amp;number=&amp;sourceID=56","")</f>
        <v/>
      </c>
      <c r="S996" s="4" t="str">
        <f>HYPERLINK("http://141.218.60.56/~jnz1568/getInfo.php?workbook=16_15.xlsx&amp;sheet=A0&amp;row=996&amp;col=19&amp;number=&amp;sourceID=57","")</f>
        <v/>
      </c>
      <c r="T996" s="4" t="str">
        <f>HYPERLINK("http://141.218.60.56/~jnz1568/getInfo.php?workbook=16_15.xlsx&amp;sheet=A0&amp;row=996&amp;col=20&amp;number=&amp;sourceID=57","")</f>
        <v/>
      </c>
      <c r="U996" s="4" t="str">
        <f>HYPERLINK("http://141.218.60.56/~jnz1568/getInfo.php?workbook=16_15.xlsx&amp;sheet=A0&amp;row=996&amp;col=21&amp;number=&amp;sourceID=47","")</f>
        <v/>
      </c>
      <c r="V996" s="4" t="str">
        <f>HYPERLINK("http://141.218.60.56/~jnz1568/getInfo.php?workbook=16_15.xlsx&amp;sheet=A0&amp;row=996&amp;col=22&amp;number=&amp;sourceID=47","")</f>
        <v/>
      </c>
    </row>
    <row r="997" spans="1:22">
      <c r="A997" s="3">
        <v>16</v>
      </c>
      <c r="B997" s="3">
        <v>15</v>
      </c>
      <c r="C997" s="3">
        <v>51</v>
      </c>
      <c r="D997" s="3">
        <v>13</v>
      </c>
      <c r="E997" s="3">
        <f>((1/(INDEX(E0!J$4:J$73,C997,1)-INDEX(E0!J$4:J$73,D997,1))))*100000000</f>
        <v>0</v>
      </c>
      <c r="F997" s="4" t="str">
        <f>HYPERLINK("http://141.218.60.56/~jnz1568/getInfo.php?workbook=16_15.xlsx&amp;sheet=A0&amp;row=997&amp;col=6&amp;number=&amp;sourceID=54","")</f>
        <v/>
      </c>
      <c r="G997" s="4" t="str">
        <f>HYPERLINK("http://141.218.60.56/~jnz1568/getInfo.php?workbook=16_15.xlsx&amp;sheet=A0&amp;row=997&amp;col=7&amp;number=&amp;sourceID=54","")</f>
        <v/>
      </c>
      <c r="H997" s="4" t="str">
        <f>HYPERLINK("http://141.218.60.56/~jnz1568/getInfo.php?workbook=16_15.xlsx&amp;sheet=A0&amp;row=997&amp;col=8&amp;number=0.061124&amp;sourceID=54","0.061124")</f>
        <v>0.061124</v>
      </c>
      <c r="I997" s="4" t="str">
        <f>HYPERLINK("http://141.218.60.56/~jnz1568/getInfo.php?workbook=16_15.xlsx&amp;sheet=A0&amp;row=997&amp;col=9&amp;number=&amp;sourceID=54","")</f>
        <v/>
      </c>
      <c r="J997" s="4" t="str">
        <f>HYPERLINK("http://141.218.60.56/~jnz1568/getInfo.php?workbook=16_15.xlsx&amp;sheet=A0&amp;row=997&amp;col=10&amp;number=&amp;sourceID=54","")</f>
        <v/>
      </c>
      <c r="K997" s="4" t="str">
        <f>HYPERLINK("http://141.218.60.56/~jnz1568/getInfo.php?workbook=16_15.xlsx&amp;sheet=A0&amp;row=997&amp;col=11&amp;number=0.059104&amp;sourceID=54","0.059104")</f>
        <v>0.059104</v>
      </c>
      <c r="L997" s="4" t="str">
        <f>HYPERLINK("http://141.218.60.56/~jnz1568/getInfo.php?workbook=16_15.xlsx&amp;sheet=A0&amp;row=997&amp;col=12&amp;number=&amp;sourceID=53","")</f>
        <v/>
      </c>
      <c r="M997" s="4" t="str">
        <f>HYPERLINK("http://141.218.60.56/~jnz1568/getInfo.php?workbook=16_15.xlsx&amp;sheet=A0&amp;row=997&amp;col=13&amp;number=&amp;sourceID=53","")</f>
        <v/>
      </c>
      <c r="N997" s="4" t="str">
        <f>HYPERLINK("http://141.218.60.56/~jnz1568/getInfo.php?workbook=16_15.xlsx&amp;sheet=A0&amp;row=997&amp;col=14&amp;number=&amp;sourceID=53","")</f>
        <v/>
      </c>
      <c r="O997" s="4" t="str">
        <f>HYPERLINK("http://141.218.60.56/~jnz1568/getInfo.php?workbook=16_15.xlsx&amp;sheet=A0&amp;row=997&amp;col=15&amp;number=&amp;sourceID=55","")</f>
        <v/>
      </c>
      <c r="P997" s="4" t="str">
        <f>HYPERLINK("http://141.218.60.56/~jnz1568/getInfo.php?workbook=16_15.xlsx&amp;sheet=A0&amp;row=997&amp;col=16&amp;number=&amp;sourceID=55","")</f>
        <v/>
      </c>
      <c r="Q997" s="4" t="str">
        <f>HYPERLINK("http://141.218.60.56/~jnz1568/getInfo.php?workbook=16_15.xlsx&amp;sheet=A0&amp;row=997&amp;col=17&amp;number=&amp;sourceID=56","")</f>
        <v/>
      </c>
      <c r="R997" s="4" t="str">
        <f>HYPERLINK("http://141.218.60.56/~jnz1568/getInfo.php?workbook=16_15.xlsx&amp;sheet=A0&amp;row=997&amp;col=18&amp;number=&amp;sourceID=56","")</f>
        <v/>
      </c>
      <c r="S997" s="4" t="str">
        <f>HYPERLINK("http://141.218.60.56/~jnz1568/getInfo.php?workbook=16_15.xlsx&amp;sheet=A0&amp;row=997&amp;col=19&amp;number=&amp;sourceID=57","")</f>
        <v/>
      </c>
      <c r="T997" s="4" t="str">
        <f>HYPERLINK("http://141.218.60.56/~jnz1568/getInfo.php?workbook=16_15.xlsx&amp;sheet=A0&amp;row=997&amp;col=20&amp;number=&amp;sourceID=57","")</f>
        <v/>
      </c>
      <c r="U997" s="4" t="str">
        <f>HYPERLINK("http://141.218.60.56/~jnz1568/getInfo.php?workbook=16_15.xlsx&amp;sheet=A0&amp;row=997&amp;col=21&amp;number=&amp;sourceID=47","")</f>
        <v/>
      </c>
      <c r="V997" s="4" t="str">
        <f>HYPERLINK("http://141.218.60.56/~jnz1568/getInfo.php?workbook=16_15.xlsx&amp;sheet=A0&amp;row=997&amp;col=22&amp;number=&amp;sourceID=47","")</f>
        <v/>
      </c>
    </row>
    <row r="998" spans="1:22">
      <c r="A998" s="3">
        <v>16</v>
      </c>
      <c r="B998" s="3">
        <v>15</v>
      </c>
      <c r="C998" s="3">
        <v>51</v>
      </c>
      <c r="D998" s="3">
        <v>14</v>
      </c>
      <c r="E998" s="3">
        <f>((1/(INDEX(E0!J$4:J$73,C998,1)-INDEX(E0!J$4:J$73,D998,1))))*100000000</f>
        <v>0</v>
      </c>
      <c r="F998" s="4" t="str">
        <f>HYPERLINK("http://141.218.60.56/~jnz1568/getInfo.php?workbook=16_15.xlsx&amp;sheet=A0&amp;row=998&amp;col=6&amp;number=&amp;sourceID=54","")</f>
        <v/>
      </c>
      <c r="G998" s="4" t="str">
        <f>HYPERLINK("http://141.218.60.56/~jnz1568/getInfo.php?workbook=16_15.xlsx&amp;sheet=A0&amp;row=998&amp;col=7&amp;number=0.00096881&amp;sourceID=54","0.00096881")</f>
        <v>0.00096881</v>
      </c>
      <c r="H998" s="4" t="str">
        <f>HYPERLINK("http://141.218.60.56/~jnz1568/getInfo.php?workbook=16_15.xlsx&amp;sheet=A0&amp;row=998&amp;col=8&amp;number=0.34961&amp;sourceID=54","0.34961")</f>
        <v>0.34961</v>
      </c>
      <c r="I998" s="4" t="str">
        <f>HYPERLINK("http://141.218.60.56/~jnz1568/getInfo.php?workbook=16_15.xlsx&amp;sheet=A0&amp;row=998&amp;col=9&amp;number=&amp;sourceID=54","")</f>
        <v/>
      </c>
      <c r="J998" s="4" t="str">
        <f>HYPERLINK("http://141.218.60.56/~jnz1568/getInfo.php?workbook=16_15.xlsx&amp;sheet=A0&amp;row=998&amp;col=10&amp;number=0.0010914&amp;sourceID=54","0.0010914")</f>
        <v>0.0010914</v>
      </c>
      <c r="K998" s="4" t="str">
        <f>HYPERLINK("http://141.218.60.56/~jnz1568/getInfo.php?workbook=16_15.xlsx&amp;sheet=A0&amp;row=998&amp;col=11&amp;number=0.34647&amp;sourceID=54","0.34647")</f>
        <v>0.34647</v>
      </c>
      <c r="L998" s="4" t="str">
        <f>HYPERLINK("http://141.218.60.56/~jnz1568/getInfo.php?workbook=16_15.xlsx&amp;sheet=A0&amp;row=998&amp;col=12&amp;number=&amp;sourceID=53","")</f>
        <v/>
      </c>
      <c r="M998" s="4" t="str">
        <f>HYPERLINK("http://141.218.60.56/~jnz1568/getInfo.php?workbook=16_15.xlsx&amp;sheet=A0&amp;row=998&amp;col=13&amp;number=&amp;sourceID=53","")</f>
        <v/>
      </c>
      <c r="N998" s="4" t="str">
        <f>HYPERLINK("http://141.218.60.56/~jnz1568/getInfo.php?workbook=16_15.xlsx&amp;sheet=A0&amp;row=998&amp;col=14&amp;number=&amp;sourceID=53","")</f>
        <v/>
      </c>
      <c r="O998" s="4" t="str">
        <f>HYPERLINK("http://141.218.60.56/~jnz1568/getInfo.php?workbook=16_15.xlsx&amp;sheet=A0&amp;row=998&amp;col=15&amp;number=&amp;sourceID=55","")</f>
        <v/>
      </c>
      <c r="P998" s="4" t="str">
        <f>HYPERLINK("http://141.218.60.56/~jnz1568/getInfo.php?workbook=16_15.xlsx&amp;sheet=A0&amp;row=998&amp;col=16&amp;number=&amp;sourceID=55","")</f>
        <v/>
      </c>
      <c r="Q998" s="4" t="str">
        <f>HYPERLINK("http://141.218.60.56/~jnz1568/getInfo.php?workbook=16_15.xlsx&amp;sheet=A0&amp;row=998&amp;col=17&amp;number=&amp;sourceID=56","")</f>
        <v/>
      </c>
      <c r="R998" s="4" t="str">
        <f>HYPERLINK("http://141.218.60.56/~jnz1568/getInfo.php?workbook=16_15.xlsx&amp;sheet=A0&amp;row=998&amp;col=18&amp;number=&amp;sourceID=56","")</f>
        <v/>
      </c>
      <c r="S998" s="4" t="str">
        <f>HYPERLINK("http://141.218.60.56/~jnz1568/getInfo.php?workbook=16_15.xlsx&amp;sheet=A0&amp;row=998&amp;col=19&amp;number=&amp;sourceID=57","")</f>
        <v/>
      </c>
      <c r="T998" s="4" t="str">
        <f>HYPERLINK("http://141.218.60.56/~jnz1568/getInfo.php?workbook=16_15.xlsx&amp;sheet=A0&amp;row=998&amp;col=20&amp;number=&amp;sourceID=57","")</f>
        <v/>
      </c>
      <c r="U998" s="4" t="str">
        <f>HYPERLINK("http://141.218.60.56/~jnz1568/getInfo.php?workbook=16_15.xlsx&amp;sheet=A0&amp;row=998&amp;col=21&amp;number=&amp;sourceID=47","")</f>
        <v/>
      </c>
      <c r="V998" s="4" t="str">
        <f>HYPERLINK("http://141.218.60.56/~jnz1568/getInfo.php?workbook=16_15.xlsx&amp;sheet=A0&amp;row=998&amp;col=22&amp;number=&amp;sourceID=47","")</f>
        <v/>
      </c>
    </row>
    <row r="999" spans="1:22">
      <c r="A999" s="3">
        <v>16</v>
      </c>
      <c r="B999" s="3">
        <v>15</v>
      </c>
      <c r="C999" s="3">
        <v>51</v>
      </c>
      <c r="D999" s="3">
        <v>15</v>
      </c>
      <c r="E999" s="3">
        <f>((1/(INDEX(E0!J$4:J$73,C999,1)-INDEX(E0!J$4:J$73,D999,1))))*100000000</f>
        <v>0</v>
      </c>
      <c r="F999" s="4" t="str">
        <f>HYPERLINK("http://141.218.60.56/~jnz1568/getInfo.php?workbook=16_15.xlsx&amp;sheet=A0&amp;row=999&amp;col=6&amp;number=&amp;sourceID=54","")</f>
        <v/>
      </c>
      <c r="G999" s="4" t="str">
        <f>HYPERLINK("http://141.218.60.56/~jnz1568/getInfo.php?workbook=16_15.xlsx&amp;sheet=A0&amp;row=999&amp;col=7&amp;number=0.0021365&amp;sourceID=54","0.0021365")</f>
        <v>0.0021365</v>
      </c>
      <c r="H999" s="4" t="str">
        <f>HYPERLINK("http://141.218.60.56/~jnz1568/getInfo.php?workbook=16_15.xlsx&amp;sheet=A0&amp;row=999&amp;col=8&amp;number=1.2602e-07&amp;sourceID=54","1.2602e-07")</f>
        <v>1.2602e-07</v>
      </c>
      <c r="I999" s="4" t="str">
        <f>HYPERLINK("http://141.218.60.56/~jnz1568/getInfo.php?workbook=16_15.xlsx&amp;sheet=A0&amp;row=999&amp;col=9&amp;number=&amp;sourceID=54","")</f>
        <v/>
      </c>
      <c r="J999" s="4" t="str">
        <f>HYPERLINK("http://141.218.60.56/~jnz1568/getInfo.php?workbook=16_15.xlsx&amp;sheet=A0&amp;row=999&amp;col=10&amp;number=0.0024916&amp;sourceID=54","0.0024916")</f>
        <v>0.0024916</v>
      </c>
      <c r="K999" s="4" t="str">
        <f>HYPERLINK("http://141.218.60.56/~jnz1568/getInfo.php?workbook=16_15.xlsx&amp;sheet=A0&amp;row=999&amp;col=11&amp;number=8.8097e-07&amp;sourceID=54","8.8097e-07")</f>
        <v>8.8097e-07</v>
      </c>
      <c r="L999" s="4" t="str">
        <f>HYPERLINK("http://141.218.60.56/~jnz1568/getInfo.php?workbook=16_15.xlsx&amp;sheet=A0&amp;row=999&amp;col=12&amp;number=&amp;sourceID=53","")</f>
        <v/>
      </c>
      <c r="M999" s="4" t="str">
        <f>HYPERLINK("http://141.218.60.56/~jnz1568/getInfo.php?workbook=16_15.xlsx&amp;sheet=A0&amp;row=999&amp;col=13&amp;number=&amp;sourceID=53","")</f>
        <v/>
      </c>
      <c r="N999" s="4" t="str">
        <f>HYPERLINK("http://141.218.60.56/~jnz1568/getInfo.php?workbook=16_15.xlsx&amp;sheet=A0&amp;row=999&amp;col=14&amp;number=&amp;sourceID=53","")</f>
        <v/>
      </c>
      <c r="O999" s="4" t="str">
        <f>HYPERLINK("http://141.218.60.56/~jnz1568/getInfo.php?workbook=16_15.xlsx&amp;sheet=A0&amp;row=999&amp;col=15&amp;number=&amp;sourceID=55","")</f>
        <v/>
      </c>
      <c r="P999" s="4" t="str">
        <f>HYPERLINK("http://141.218.60.56/~jnz1568/getInfo.php?workbook=16_15.xlsx&amp;sheet=A0&amp;row=999&amp;col=16&amp;number=&amp;sourceID=55","")</f>
        <v/>
      </c>
      <c r="Q999" s="4" t="str">
        <f>HYPERLINK("http://141.218.60.56/~jnz1568/getInfo.php?workbook=16_15.xlsx&amp;sheet=A0&amp;row=999&amp;col=17&amp;number=&amp;sourceID=56","")</f>
        <v/>
      </c>
      <c r="R999" s="4" t="str">
        <f>HYPERLINK("http://141.218.60.56/~jnz1568/getInfo.php?workbook=16_15.xlsx&amp;sheet=A0&amp;row=999&amp;col=18&amp;number=&amp;sourceID=56","")</f>
        <v/>
      </c>
      <c r="S999" s="4" t="str">
        <f>HYPERLINK("http://141.218.60.56/~jnz1568/getInfo.php?workbook=16_15.xlsx&amp;sheet=A0&amp;row=999&amp;col=19&amp;number=&amp;sourceID=57","")</f>
        <v/>
      </c>
      <c r="T999" s="4" t="str">
        <f>HYPERLINK("http://141.218.60.56/~jnz1568/getInfo.php?workbook=16_15.xlsx&amp;sheet=A0&amp;row=999&amp;col=20&amp;number=&amp;sourceID=57","")</f>
        <v/>
      </c>
      <c r="U999" s="4" t="str">
        <f>HYPERLINK("http://141.218.60.56/~jnz1568/getInfo.php?workbook=16_15.xlsx&amp;sheet=A0&amp;row=999&amp;col=21&amp;number=&amp;sourceID=47","")</f>
        <v/>
      </c>
      <c r="V999" s="4" t="str">
        <f>HYPERLINK("http://141.218.60.56/~jnz1568/getInfo.php?workbook=16_15.xlsx&amp;sheet=A0&amp;row=999&amp;col=22&amp;number=&amp;sourceID=47","")</f>
        <v/>
      </c>
    </row>
    <row r="1000" spans="1:22">
      <c r="A1000" s="3">
        <v>16</v>
      </c>
      <c r="B1000" s="3">
        <v>15</v>
      </c>
      <c r="C1000" s="3">
        <v>51</v>
      </c>
      <c r="D1000" s="3">
        <v>16</v>
      </c>
      <c r="E1000" s="3">
        <f>((1/(INDEX(E0!J$4:J$73,C1000,1)-INDEX(E0!J$4:J$73,D1000,1))))*100000000</f>
        <v>0</v>
      </c>
      <c r="F1000" s="4" t="str">
        <f>HYPERLINK("http://141.218.60.56/~jnz1568/getInfo.php?workbook=16_15.xlsx&amp;sheet=A0&amp;row=1000&amp;col=6&amp;number=&amp;sourceID=54","")</f>
        <v/>
      </c>
      <c r="G1000" s="4" t="str">
        <f>HYPERLINK("http://141.218.60.56/~jnz1568/getInfo.php?workbook=16_15.xlsx&amp;sheet=A0&amp;row=1000&amp;col=7&amp;number=0.0079147&amp;sourceID=54","0.0079147")</f>
        <v>0.0079147</v>
      </c>
      <c r="H1000" s="4" t="str">
        <f>HYPERLINK("http://141.218.60.56/~jnz1568/getInfo.php?workbook=16_15.xlsx&amp;sheet=A0&amp;row=1000&amp;col=8&amp;number=&amp;sourceID=54","")</f>
        <v/>
      </c>
      <c r="I1000" s="4" t="str">
        <f>HYPERLINK("http://141.218.60.56/~jnz1568/getInfo.php?workbook=16_15.xlsx&amp;sheet=A0&amp;row=1000&amp;col=9&amp;number=&amp;sourceID=54","")</f>
        <v/>
      </c>
      <c r="J1000" s="4" t="str">
        <f>HYPERLINK("http://141.218.60.56/~jnz1568/getInfo.php?workbook=16_15.xlsx&amp;sheet=A0&amp;row=1000&amp;col=10&amp;number=0.0089531&amp;sourceID=54","0.0089531")</f>
        <v>0.0089531</v>
      </c>
      <c r="K1000" s="4" t="str">
        <f>HYPERLINK("http://141.218.60.56/~jnz1568/getInfo.php?workbook=16_15.xlsx&amp;sheet=A0&amp;row=1000&amp;col=11&amp;number=&amp;sourceID=54","")</f>
        <v/>
      </c>
      <c r="L1000" s="4" t="str">
        <f>HYPERLINK("http://141.218.60.56/~jnz1568/getInfo.php?workbook=16_15.xlsx&amp;sheet=A0&amp;row=1000&amp;col=12&amp;number=&amp;sourceID=53","")</f>
        <v/>
      </c>
      <c r="M1000" s="4" t="str">
        <f>HYPERLINK("http://141.218.60.56/~jnz1568/getInfo.php?workbook=16_15.xlsx&amp;sheet=A0&amp;row=1000&amp;col=13&amp;number=&amp;sourceID=53","")</f>
        <v/>
      </c>
      <c r="N1000" s="4" t="str">
        <f>HYPERLINK("http://141.218.60.56/~jnz1568/getInfo.php?workbook=16_15.xlsx&amp;sheet=A0&amp;row=1000&amp;col=14&amp;number=&amp;sourceID=53","")</f>
        <v/>
      </c>
      <c r="O1000" s="4" t="str">
        <f>HYPERLINK("http://141.218.60.56/~jnz1568/getInfo.php?workbook=16_15.xlsx&amp;sheet=A0&amp;row=1000&amp;col=15&amp;number=&amp;sourceID=55","")</f>
        <v/>
      </c>
      <c r="P1000" s="4" t="str">
        <f>HYPERLINK("http://141.218.60.56/~jnz1568/getInfo.php?workbook=16_15.xlsx&amp;sheet=A0&amp;row=1000&amp;col=16&amp;number=&amp;sourceID=55","")</f>
        <v/>
      </c>
      <c r="Q1000" s="4" t="str">
        <f>HYPERLINK("http://141.218.60.56/~jnz1568/getInfo.php?workbook=16_15.xlsx&amp;sheet=A0&amp;row=1000&amp;col=17&amp;number=&amp;sourceID=56","")</f>
        <v/>
      </c>
      <c r="R1000" s="4" t="str">
        <f>HYPERLINK("http://141.218.60.56/~jnz1568/getInfo.php?workbook=16_15.xlsx&amp;sheet=A0&amp;row=1000&amp;col=18&amp;number=&amp;sourceID=56","")</f>
        <v/>
      </c>
      <c r="S1000" s="4" t="str">
        <f>HYPERLINK("http://141.218.60.56/~jnz1568/getInfo.php?workbook=16_15.xlsx&amp;sheet=A0&amp;row=1000&amp;col=19&amp;number=&amp;sourceID=57","")</f>
        <v/>
      </c>
      <c r="T1000" s="4" t="str">
        <f>HYPERLINK("http://141.218.60.56/~jnz1568/getInfo.php?workbook=16_15.xlsx&amp;sheet=A0&amp;row=1000&amp;col=20&amp;number=&amp;sourceID=57","")</f>
        <v/>
      </c>
      <c r="U1000" s="4" t="str">
        <f>HYPERLINK("http://141.218.60.56/~jnz1568/getInfo.php?workbook=16_15.xlsx&amp;sheet=A0&amp;row=1000&amp;col=21&amp;number=&amp;sourceID=47","")</f>
        <v/>
      </c>
      <c r="V1000" s="4" t="str">
        <f>HYPERLINK("http://141.218.60.56/~jnz1568/getInfo.php?workbook=16_15.xlsx&amp;sheet=A0&amp;row=1000&amp;col=22&amp;number=&amp;sourceID=47","")</f>
        <v/>
      </c>
    </row>
    <row r="1001" spans="1:22">
      <c r="A1001" s="3">
        <v>16</v>
      </c>
      <c r="B1001" s="3">
        <v>15</v>
      </c>
      <c r="C1001" s="3">
        <v>51</v>
      </c>
      <c r="D1001" s="3">
        <v>17</v>
      </c>
      <c r="E1001" s="3">
        <f>((1/(INDEX(E0!J$4:J$73,C1001,1)-INDEX(E0!J$4:J$73,D1001,1))))*100000000</f>
        <v>0</v>
      </c>
      <c r="F1001" s="4" t="str">
        <f>HYPERLINK("http://141.218.60.56/~jnz1568/getInfo.php?workbook=16_15.xlsx&amp;sheet=A0&amp;row=1001&amp;col=6&amp;number=&amp;sourceID=54","")</f>
        <v/>
      </c>
      <c r="G1001" s="4" t="str">
        <f>HYPERLINK("http://141.218.60.56/~jnz1568/getInfo.php?workbook=16_15.xlsx&amp;sheet=A0&amp;row=1001&amp;col=7&amp;number=0.0013528&amp;sourceID=54","0.0013528")</f>
        <v>0.0013528</v>
      </c>
      <c r="H1001" s="4" t="str">
        <f>HYPERLINK("http://141.218.60.56/~jnz1568/getInfo.php?workbook=16_15.xlsx&amp;sheet=A0&amp;row=1001&amp;col=8&amp;number=&amp;sourceID=54","")</f>
        <v/>
      </c>
      <c r="I1001" s="4" t="str">
        <f>HYPERLINK("http://141.218.60.56/~jnz1568/getInfo.php?workbook=16_15.xlsx&amp;sheet=A0&amp;row=1001&amp;col=9&amp;number=&amp;sourceID=54","")</f>
        <v/>
      </c>
      <c r="J1001" s="4" t="str">
        <f>HYPERLINK("http://141.218.60.56/~jnz1568/getInfo.php?workbook=16_15.xlsx&amp;sheet=A0&amp;row=1001&amp;col=10&amp;number=0.0015088&amp;sourceID=54","0.0015088")</f>
        <v>0.0015088</v>
      </c>
      <c r="K1001" s="4" t="str">
        <f>HYPERLINK("http://141.218.60.56/~jnz1568/getInfo.php?workbook=16_15.xlsx&amp;sheet=A0&amp;row=1001&amp;col=11&amp;number=&amp;sourceID=54","")</f>
        <v/>
      </c>
      <c r="L1001" s="4" t="str">
        <f>HYPERLINK("http://141.218.60.56/~jnz1568/getInfo.php?workbook=16_15.xlsx&amp;sheet=A0&amp;row=1001&amp;col=12&amp;number=&amp;sourceID=53","")</f>
        <v/>
      </c>
      <c r="M1001" s="4" t="str">
        <f>HYPERLINK("http://141.218.60.56/~jnz1568/getInfo.php?workbook=16_15.xlsx&amp;sheet=A0&amp;row=1001&amp;col=13&amp;number=&amp;sourceID=53","")</f>
        <v/>
      </c>
      <c r="N1001" s="4" t="str">
        <f>HYPERLINK("http://141.218.60.56/~jnz1568/getInfo.php?workbook=16_15.xlsx&amp;sheet=A0&amp;row=1001&amp;col=14&amp;number=&amp;sourceID=53","")</f>
        <v/>
      </c>
      <c r="O1001" s="4" t="str">
        <f>HYPERLINK("http://141.218.60.56/~jnz1568/getInfo.php?workbook=16_15.xlsx&amp;sheet=A0&amp;row=1001&amp;col=15&amp;number=&amp;sourceID=55","")</f>
        <v/>
      </c>
      <c r="P1001" s="4" t="str">
        <f>HYPERLINK("http://141.218.60.56/~jnz1568/getInfo.php?workbook=16_15.xlsx&amp;sheet=A0&amp;row=1001&amp;col=16&amp;number=&amp;sourceID=55","")</f>
        <v/>
      </c>
      <c r="Q1001" s="4" t="str">
        <f>HYPERLINK("http://141.218.60.56/~jnz1568/getInfo.php?workbook=16_15.xlsx&amp;sheet=A0&amp;row=1001&amp;col=17&amp;number=&amp;sourceID=56","")</f>
        <v/>
      </c>
      <c r="R1001" s="4" t="str">
        <f>HYPERLINK("http://141.218.60.56/~jnz1568/getInfo.php?workbook=16_15.xlsx&amp;sheet=A0&amp;row=1001&amp;col=18&amp;number=&amp;sourceID=56","")</f>
        <v/>
      </c>
      <c r="S1001" s="4" t="str">
        <f>HYPERLINK("http://141.218.60.56/~jnz1568/getInfo.php?workbook=16_15.xlsx&amp;sheet=A0&amp;row=1001&amp;col=19&amp;number=&amp;sourceID=57","")</f>
        <v/>
      </c>
      <c r="T1001" s="4" t="str">
        <f>HYPERLINK("http://141.218.60.56/~jnz1568/getInfo.php?workbook=16_15.xlsx&amp;sheet=A0&amp;row=1001&amp;col=20&amp;number=&amp;sourceID=57","")</f>
        <v/>
      </c>
      <c r="U1001" s="4" t="str">
        <f>HYPERLINK("http://141.218.60.56/~jnz1568/getInfo.php?workbook=16_15.xlsx&amp;sheet=A0&amp;row=1001&amp;col=21&amp;number=&amp;sourceID=47","")</f>
        <v/>
      </c>
      <c r="V1001" s="4" t="str">
        <f>HYPERLINK("http://141.218.60.56/~jnz1568/getInfo.php?workbook=16_15.xlsx&amp;sheet=A0&amp;row=1001&amp;col=22&amp;number=&amp;sourceID=47","")</f>
        <v/>
      </c>
    </row>
    <row r="1002" spans="1:22">
      <c r="A1002" s="3">
        <v>16</v>
      </c>
      <c r="B1002" s="3">
        <v>15</v>
      </c>
      <c r="C1002" s="3">
        <v>51</v>
      </c>
      <c r="D1002" s="3">
        <v>20</v>
      </c>
      <c r="E1002" s="3">
        <f>((1/(INDEX(E0!J$4:J$73,C1002,1)-INDEX(E0!J$4:J$73,D1002,1))))*100000000</f>
        <v>0</v>
      </c>
      <c r="F1002" s="4" t="str">
        <f>HYPERLINK("http://141.218.60.56/~jnz1568/getInfo.php?workbook=16_15.xlsx&amp;sheet=A0&amp;row=1002&amp;col=6&amp;number=&amp;sourceID=54","")</f>
        <v/>
      </c>
      <c r="G1002" s="4" t="str">
        <f>HYPERLINK("http://141.218.60.56/~jnz1568/getInfo.php?workbook=16_15.xlsx&amp;sheet=A0&amp;row=1002&amp;col=7&amp;number=&amp;sourceID=54","")</f>
        <v/>
      </c>
      <c r="H1002" s="4" t="str">
        <f>HYPERLINK("http://141.218.60.56/~jnz1568/getInfo.php?workbook=16_15.xlsx&amp;sheet=A0&amp;row=1002&amp;col=8&amp;number=0.12614&amp;sourceID=54","0.12614")</f>
        <v>0.12614</v>
      </c>
      <c r="I1002" s="4" t="str">
        <f>HYPERLINK("http://141.218.60.56/~jnz1568/getInfo.php?workbook=16_15.xlsx&amp;sheet=A0&amp;row=1002&amp;col=9&amp;number=&amp;sourceID=54","")</f>
        <v/>
      </c>
      <c r="J1002" s="4" t="str">
        <f>HYPERLINK("http://141.218.60.56/~jnz1568/getInfo.php?workbook=16_15.xlsx&amp;sheet=A0&amp;row=1002&amp;col=10&amp;number=&amp;sourceID=54","")</f>
        <v/>
      </c>
      <c r="K1002" s="4" t="str">
        <f>HYPERLINK("http://141.218.60.56/~jnz1568/getInfo.php?workbook=16_15.xlsx&amp;sheet=A0&amp;row=1002&amp;col=11&amp;number=0.13069&amp;sourceID=54","0.13069")</f>
        <v>0.13069</v>
      </c>
      <c r="L1002" s="4" t="str">
        <f>HYPERLINK("http://141.218.60.56/~jnz1568/getInfo.php?workbook=16_15.xlsx&amp;sheet=A0&amp;row=1002&amp;col=12&amp;number=&amp;sourceID=53","")</f>
        <v/>
      </c>
      <c r="M1002" s="4" t="str">
        <f>HYPERLINK("http://141.218.60.56/~jnz1568/getInfo.php?workbook=16_15.xlsx&amp;sheet=A0&amp;row=1002&amp;col=13&amp;number=&amp;sourceID=53","")</f>
        <v/>
      </c>
      <c r="N1002" s="4" t="str">
        <f>HYPERLINK("http://141.218.60.56/~jnz1568/getInfo.php?workbook=16_15.xlsx&amp;sheet=A0&amp;row=1002&amp;col=14&amp;number=&amp;sourceID=53","")</f>
        <v/>
      </c>
      <c r="O1002" s="4" t="str">
        <f>HYPERLINK("http://141.218.60.56/~jnz1568/getInfo.php?workbook=16_15.xlsx&amp;sheet=A0&amp;row=1002&amp;col=15&amp;number=&amp;sourceID=55","")</f>
        <v/>
      </c>
      <c r="P1002" s="4" t="str">
        <f>HYPERLINK("http://141.218.60.56/~jnz1568/getInfo.php?workbook=16_15.xlsx&amp;sheet=A0&amp;row=1002&amp;col=16&amp;number=&amp;sourceID=55","")</f>
        <v/>
      </c>
      <c r="Q1002" s="4" t="str">
        <f>HYPERLINK("http://141.218.60.56/~jnz1568/getInfo.php?workbook=16_15.xlsx&amp;sheet=A0&amp;row=1002&amp;col=17&amp;number=&amp;sourceID=56","")</f>
        <v/>
      </c>
      <c r="R1002" s="4" t="str">
        <f>HYPERLINK("http://141.218.60.56/~jnz1568/getInfo.php?workbook=16_15.xlsx&amp;sheet=A0&amp;row=1002&amp;col=18&amp;number=&amp;sourceID=56","")</f>
        <v/>
      </c>
      <c r="S1002" s="4" t="str">
        <f>HYPERLINK("http://141.218.60.56/~jnz1568/getInfo.php?workbook=16_15.xlsx&amp;sheet=A0&amp;row=1002&amp;col=19&amp;number=&amp;sourceID=57","")</f>
        <v/>
      </c>
      <c r="T1002" s="4" t="str">
        <f>HYPERLINK("http://141.218.60.56/~jnz1568/getInfo.php?workbook=16_15.xlsx&amp;sheet=A0&amp;row=1002&amp;col=20&amp;number=&amp;sourceID=57","")</f>
        <v/>
      </c>
      <c r="U1002" s="4" t="str">
        <f>HYPERLINK("http://141.218.60.56/~jnz1568/getInfo.php?workbook=16_15.xlsx&amp;sheet=A0&amp;row=1002&amp;col=21&amp;number=&amp;sourceID=47","")</f>
        <v/>
      </c>
      <c r="V1002" s="4" t="str">
        <f>HYPERLINK("http://141.218.60.56/~jnz1568/getInfo.php?workbook=16_15.xlsx&amp;sheet=A0&amp;row=1002&amp;col=22&amp;number=&amp;sourceID=47","")</f>
        <v/>
      </c>
    </row>
    <row r="1003" spans="1:22">
      <c r="A1003" s="3">
        <v>16</v>
      </c>
      <c r="B1003" s="3">
        <v>15</v>
      </c>
      <c r="C1003" s="3">
        <v>51</v>
      </c>
      <c r="D1003" s="3">
        <v>21</v>
      </c>
      <c r="E1003" s="3">
        <f>((1/(INDEX(E0!J$4:J$73,C1003,1)-INDEX(E0!J$4:J$73,D1003,1))))*100000000</f>
        <v>0</v>
      </c>
      <c r="F1003" s="4" t="str">
        <f>HYPERLINK("http://141.218.60.56/~jnz1568/getInfo.php?workbook=16_15.xlsx&amp;sheet=A0&amp;row=1003&amp;col=6&amp;number=&amp;sourceID=54","")</f>
        <v/>
      </c>
      <c r="G1003" s="4" t="str">
        <f>HYPERLINK("http://141.218.60.56/~jnz1568/getInfo.php?workbook=16_15.xlsx&amp;sheet=A0&amp;row=1003&amp;col=7&amp;number=1.2854e-05&amp;sourceID=54","1.2854e-05")</f>
        <v>1.2854e-05</v>
      </c>
      <c r="H1003" s="4" t="str">
        <f>HYPERLINK("http://141.218.60.56/~jnz1568/getInfo.php?workbook=16_15.xlsx&amp;sheet=A0&amp;row=1003&amp;col=8&amp;number=0.047337&amp;sourceID=54","0.047337")</f>
        <v>0.047337</v>
      </c>
      <c r="I1003" s="4" t="str">
        <f>HYPERLINK("http://141.218.60.56/~jnz1568/getInfo.php?workbook=16_15.xlsx&amp;sheet=A0&amp;row=1003&amp;col=9&amp;number=&amp;sourceID=54","")</f>
        <v/>
      </c>
      <c r="J1003" s="4" t="str">
        <f>HYPERLINK("http://141.218.60.56/~jnz1568/getInfo.php?workbook=16_15.xlsx&amp;sheet=A0&amp;row=1003&amp;col=10&amp;number=1.486e-07&amp;sourceID=54","1.486e-07")</f>
        <v>1.486e-07</v>
      </c>
      <c r="K1003" s="4" t="str">
        <f>HYPERLINK("http://141.218.60.56/~jnz1568/getInfo.php?workbook=16_15.xlsx&amp;sheet=A0&amp;row=1003&amp;col=11&amp;number=0.047236&amp;sourceID=54","0.047236")</f>
        <v>0.047236</v>
      </c>
      <c r="L1003" s="4" t="str">
        <f>HYPERLINK("http://141.218.60.56/~jnz1568/getInfo.php?workbook=16_15.xlsx&amp;sheet=A0&amp;row=1003&amp;col=12&amp;number=&amp;sourceID=53","")</f>
        <v/>
      </c>
      <c r="M1003" s="4" t="str">
        <f>HYPERLINK("http://141.218.60.56/~jnz1568/getInfo.php?workbook=16_15.xlsx&amp;sheet=A0&amp;row=1003&amp;col=13&amp;number=&amp;sourceID=53","")</f>
        <v/>
      </c>
      <c r="N1003" s="4" t="str">
        <f>HYPERLINK("http://141.218.60.56/~jnz1568/getInfo.php?workbook=16_15.xlsx&amp;sheet=A0&amp;row=1003&amp;col=14&amp;number=&amp;sourceID=53","")</f>
        <v/>
      </c>
      <c r="O1003" s="4" t="str">
        <f>HYPERLINK("http://141.218.60.56/~jnz1568/getInfo.php?workbook=16_15.xlsx&amp;sheet=A0&amp;row=1003&amp;col=15&amp;number=&amp;sourceID=55","")</f>
        <v/>
      </c>
      <c r="P1003" s="4" t="str">
        <f>HYPERLINK("http://141.218.60.56/~jnz1568/getInfo.php?workbook=16_15.xlsx&amp;sheet=A0&amp;row=1003&amp;col=16&amp;number=&amp;sourceID=55","")</f>
        <v/>
      </c>
      <c r="Q1003" s="4" t="str">
        <f>HYPERLINK("http://141.218.60.56/~jnz1568/getInfo.php?workbook=16_15.xlsx&amp;sheet=A0&amp;row=1003&amp;col=17&amp;number=&amp;sourceID=56","")</f>
        <v/>
      </c>
      <c r="R1003" s="4" t="str">
        <f>HYPERLINK("http://141.218.60.56/~jnz1568/getInfo.php?workbook=16_15.xlsx&amp;sheet=A0&amp;row=1003&amp;col=18&amp;number=&amp;sourceID=56","")</f>
        <v/>
      </c>
      <c r="S1003" s="4" t="str">
        <f>HYPERLINK("http://141.218.60.56/~jnz1568/getInfo.php?workbook=16_15.xlsx&amp;sheet=A0&amp;row=1003&amp;col=19&amp;number=&amp;sourceID=57","")</f>
        <v/>
      </c>
      <c r="T1003" s="4" t="str">
        <f>HYPERLINK("http://141.218.60.56/~jnz1568/getInfo.php?workbook=16_15.xlsx&amp;sheet=A0&amp;row=1003&amp;col=20&amp;number=&amp;sourceID=57","")</f>
        <v/>
      </c>
      <c r="U1003" s="4" t="str">
        <f>HYPERLINK("http://141.218.60.56/~jnz1568/getInfo.php?workbook=16_15.xlsx&amp;sheet=A0&amp;row=1003&amp;col=21&amp;number=&amp;sourceID=47","")</f>
        <v/>
      </c>
      <c r="V1003" s="4" t="str">
        <f>HYPERLINK("http://141.218.60.56/~jnz1568/getInfo.php?workbook=16_15.xlsx&amp;sheet=A0&amp;row=1003&amp;col=22&amp;number=&amp;sourceID=47","")</f>
        <v/>
      </c>
    </row>
    <row r="1004" spans="1:22">
      <c r="A1004" s="3">
        <v>16</v>
      </c>
      <c r="B1004" s="3">
        <v>15</v>
      </c>
      <c r="C1004" s="3">
        <v>51</v>
      </c>
      <c r="D1004" s="3">
        <v>22</v>
      </c>
      <c r="E1004" s="3">
        <f>((1/(INDEX(E0!J$4:J$73,C1004,1)-INDEX(E0!J$4:J$73,D1004,1))))*100000000</f>
        <v>0</v>
      </c>
      <c r="F1004" s="4" t="str">
        <f>HYPERLINK("http://141.218.60.56/~jnz1568/getInfo.php?workbook=16_15.xlsx&amp;sheet=A0&amp;row=1004&amp;col=6&amp;number=&amp;sourceID=54","")</f>
        <v/>
      </c>
      <c r="G1004" s="4" t="str">
        <f>HYPERLINK("http://141.218.60.56/~jnz1568/getInfo.php?workbook=16_15.xlsx&amp;sheet=A0&amp;row=1004&amp;col=7&amp;number=&amp;sourceID=54","")</f>
        <v/>
      </c>
      <c r="H1004" s="4" t="str">
        <f>HYPERLINK("http://141.218.60.56/~jnz1568/getInfo.php?workbook=16_15.xlsx&amp;sheet=A0&amp;row=1004&amp;col=8&amp;number=4.3263e-06&amp;sourceID=54","4.3263e-06")</f>
        <v>4.3263e-06</v>
      </c>
      <c r="I1004" s="4" t="str">
        <f>HYPERLINK("http://141.218.60.56/~jnz1568/getInfo.php?workbook=16_15.xlsx&amp;sheet=A0&amp;row=1004&amp;col=9&amp;number=&amp;sourceID=54","")</f>
        <v/>
      </c>
      <c r="J1004" s="4" t="str">
        <f>HYPERLINK("http://141.218.60.56/~jnz1568/getInfo.php?workbook=16_15.xlsx&amp;sheet=A0&amp;row=1004&amp;col=10&amp;number=&amp;sourceID=54","")</f>
        <v/>
      </c>
      <c r="K1004" s="4" t="str">
        <f>HYPERLINK("http://141.218.60.56/~jnz1568/getInfo.php?workbook=16_15.xlsx&amp;sheet=A0&amp;row=1004&amp;col=11&amp;number=4.7422e-06&amp;sourceID=54","4.7422e-06")</f>
        <v>4.7422e-06</v>
      </c>
      <c r="L1004" s="4" t="str">
        <f>HYPERLINK("http://141.218.60.56/~jnz1568/getInfo.php?workbook=16_15.xlsx&amp;sheet=A0&amp;row=1004&amp;col=12&amp;number=&amp;sourceID=53","")</f>
        <v/>
      </c>
      <c r="M1004" s="4" t="str">
        <f>HYPERLINK("http://141.218.60.56/~jnz1568/getInfo.php?workbook=16_15.xlsx&amp;sheet=A0&amp;row=1004&amp;col=13&amp;number=&amp;sourceID=53","")</f>
        <v/>
      </c>
      <c r="N1004" s="4" t="str">
        <f>HYPERLINK("http://141.218.60.56/~jnz1568/getInfo.php?workbook=16_15.xlsx&amp;sheet=A0&amp;row=1004&amp;col=14&amp;number=&amp;sourceID=53","")</f>
        <v/>
      </c>
      <c r="O1004" s="4" t="str">
        <f>HYPERLINK("http://141.218.60.56/~jnz1568/getInfo.php?workbook=16_15.xlsx&amp;sheet=A0&amp;row=1004&amp;col=15&amp;number=&amp;sourceID=55","")</f>
        <v/>
      </c>
      <c r="P1004" s="4" t="str">
        <f>HYPERLINK("http://141.218.60.56/~jnz1568/getInfo.php?workbook=16_15.xlsx&amp;sheet=A0&amp;row=1004&amp;col=16&amp;number=&amp;sourceID=55","")</f>
        <v/>
      </c>
      <c r="Q1004" s="4" t="str">
        <f>HYPERLINK("http://141.218.60.56/~jnz1568/getInfo.php?workbook=16_15.xlsx&amp;sheet=A0&amp;row=1004&amp;col=17&amp;number=&amp;sourceID=56","")</f>
        <v/>
      </c>
      <c r="R1004" s="4" t="str">
        <f>HYPERLINK("http://141.218.60.56/~jnz1568/getInfo.php?workbook=16_15.xlsx&amp;sheet=A0&amp;row=1004&amp;col=18&amp;number=&amp;sourceID=56","")</f>
        <v/>
      </c>
      <c r="S1004" s="4" t="str">
        <f>HYPERLINK("http://141.218.60.56/~jnz1568/getInfo.php?workbook=16_15.xlsx&amp;sheet=A0&amp;row=1004&amp;col=19&amp;number=&amp;sourceID=57","")</f>
        <v/>
      </c>
      <c r="T1004" s="4" t="str">
        <f>HYPERLINK("http://141.218.60.56/~jnz1568/getInfo.php?workbook=16_15.xlsx&amp;sheet=A0&amp;row=1004&amp;col=20&amp;number=&amp;sourceID=57","")</f>
        <v/>
      </c>
      <c r="U1004" s="4" t="str">
        <f>HYPERLINK("http://141.218.60.56/~jnz1568/getInfo.php?workbook=16_15.xlsx&amp;sheet=A0&amp;row=1004&amp;col=21&amp;number=&amp;sourceID=47","")</f>
        <v/>
      </c>
      <c r="V1004" s="4" t="str">
        <f>HYPERLINK("http://141.218.60.56/~jnz1568/getInfo.php?workbook=16_15.xlsx&amp;sheet=A0&amp;row=1004&amp;col=22&amp;number=&amp;sourceID=47","")</f>
        <v/>
      </c>
    </row>
    <row r="1005" spans="1:22">
      <c r="A1005" s="3">
        <v>16</v>
      </c>
      <c r="B1005" s="3">
        <v>15</v>
      </c>
      <c r="C1005" s="3">
        <v>51</v>
      </c>
      <c r="D1005" s="3">
        <v>23</v>
      </c>
      <c r="E1005" s="3">
        <f>((1/(INDEX(E0!J$4:J$73,C1005,1)-INDEX(E0!J$4:J$73,D1005,1))))*100000000</f>
        <v>0</v>
      </c>
      <c r="F1005" s="4" t="str">
        <f>HYPERLINK("http://141.218.60.56/~jnz1568/getInfo.php?workbook=16_15.xlsx&amp;sheet=A0&amp;row=1005&amp;col=6&amp;number=&amp;sourceID=54","")</f>
        <v/>
      </c>
      <c r="G1005" s="4" t="str">
        <f>HYPERLINK("http://141.218.60.56/~jnz1568/getInfo.php?workbook=16_15.xlsx&amp;sheet=A0&amp;row=1005&amp;col=7&amp;number=4.3814e-05&amp;sourceID=54","4.3814e-05")</f>
        <v>4.3814e-05</v>
      </c>
      <c r="H1005" s="4" t="str">
        <f>HYPERLINK("http://141.218.60.56/~jnz1568/getInfo.php?workbook=16_15.xlsx&amp;sheet=A0&amp;row=1005&amp;col=8&amp;number=8.5303e-07&amp;sourceID=54","8.5303e-07")</f>
        <v>8.5303e-07</v>
      </c>
      <c r="I1005" s="4" t="str">
        <f>HYPERLINK("http://141.218.60.56/~jnz1568/getInfo.php?workbook=16_15.xlsx&amp;sheet=A0&amp;row=1005&amp;col=9&amp;number=&amp;sourceID=54","")</f>
        <v/>
      </c>
      <c r="J1005" s="4" t="str">
        <f>HYPERLINK("http://141.218.60.56/~jnz1568/getInfo.php?workbook=16_15.xlsx&amp;sheet=A0&amp;row=1005&amp;col=10&amp;number=5.3748e-05&amp;sourceID=54","5.3748e-05")</f>
        <v>5.3748e-05</v>
      </c>
      <c r="K1005" s="4" t="str">
        <f>HYPERLINK("http://141.218.60.56/~jnz1568/getInfo.php?workbook=16_15.xlsx&amp;sheet=A0&amp;row=1005&amp;col=11&amp;number=1.1542e-06&amp;sourceID=54","1.1542e-06")</f>
        <v>1.1542e-06</v>
      </c>
      <c r="L1005" s="4" t="str">
        <f>HYPERLINK("http://141.218.60.56/~jnz1568/getInfo.php?workbook=16_15.xlsx&amp;sheet=A0&amp;row=1005&amp;col=12&amp;number=&amp;sourceID=53","")</f>
        <v/>
      </c>
      <c r="M1005" s="4" t="str">
        <f>HYPERLINK("http://141.218.60.56/~jnz1568/getInfo.php?workbook=16_15.xlsx&amp;sheet=A0&amp;row=1005&amp;col=13&amp;number=&amp;sourceID=53","")</f>
        <v/>
      </c>
      <c r="N1005" s="4" t="str">
        <f>HYPERLINK("http://141.218.60.56/~jnz1568/getInfo.php?workbook=16_15.xlsx&amp;sheet=A0&amp;row=1005&amp;col=14&amp;number=&amp;sourceID=53","")</f>
        <v/>
      </c>
      <c r="O1005" s="4" t="str">
        <f>HYPERLINK("http://141.218.60.56/~jnz1568/getInfo.php?workbook=16_15.xlsx&amp;sheet=A0&amp;row=1005&amp;col=15&amp;number=&amp;sourceID=55","")</f>
        <v/>
      </c>
      <c r="P1005" s="4" t="str">
        <f>HYPERLINK("http://141.218.60.56/~jnz1568/getInfo.php?workbook=16_15.xlsx&amp;sheet=A0&amp;row=1005&amp;col=16&amp;number=&amp;sourceID=55","")</f>
        <v/>
      </c>
      <c r="Q1005" s="4" t="str">
        <f>HYPERLINK("http://141.218.60.56/~jnz1568/getInfo.php?workbook=16_15.xlsx&amp;sheet=A0&amp;row=1005&amp;col=17&amp;number=&amp;sourceID=56","")</f>
        <v/>
      </c>
      <c r="R1005" s="4" t="str">
        <f>HYPERLINK("http://141.218.60.56/~jnz1568/getInfo.php?workbook=16_15.xlsx&amp;sheet=A0&amp;row=1005&amp;col=18&amp;number=&amp;sourceID=56","")</f>
        <v/>
      </c>
      <c r="S1005" s="4" t="str">
        <f>HYPERLINK("http://141.218.60.56/~jnz1568/getInfo.php?workbook=16_15.xlsx&amp;sheet=A0&amp;row=1005&amp;col=19&amp;number=&amp;sourceID=57","")</f>
        <v/>
      </c>
      <c r="T1005" s="4" t="str">
        <f>HYPERLINK("http://141.218.60.56/~jnz1568/getInfo.php?workbook=16_15.xlsx&amp;sheet=A0&amp;row=1005&amp;col=20&amp;number=&amp;sourceID=57","")</f>
        <v/>
      </c>
      <c r="U1005" s="4" t="str">
        <f>HYPERLINK("http://141.218.60.56/~jnz1568/getInfo.php?workbook=16_15.xlsx&amp;sheet=A0&amp;row=1005&amp;col=21&amp;number=&amp;sourceID=47","")</f>
        <v/>
      </c>
      <c r="V1005" s="4" t="str">
        <f>HYPERLINK("http://141.218.60.56/~jnz1568/getInfo.php?workbook=16_15.xlsx&amp;sheet=A0&amp;row=1005&amp;col=22&amp;number=&amp;sourceID=47","")</f>
        <v/>
      </c>
    </row>
    <row r="1006" spans="1:22">
      <c r="A1006" s="3">
        <v>16</v>
      </c>
      <c r="B1006" s="3">
        <v>15</v>
      </c>
      <c r="C1006" s="3">
        <v>51</v>
      </c>
      <c r="D1006" s="3">
        <v>24</v>
      </c>
      <c r="E1006" s="3">
        <f>((1/(INDEX(E0!J$4:J$73,C1006,1)-INDEX(E0!J$4:J$73,D1006,1))))*100000000</f>
        <v>0</v>
      </c>
      <c r="F1006" s="4" t="str">
        <f>HYPERLINK("http://141.218.60.56/~jnz1568/getInfo.php?workbook=16_15.xlsx&amp;sheet=A0&amp;row=1006&amp;col=6&amp;number=&amp;sourceID=54","")</f>
        <v/>
      </c>
      <c r="G1006" s="4" t="str">
        <f>HYPERLINK("http://141.218.60.56/~jnz1568/getInfo.php?workbook=16_15.xlsx&amp;sheet=A0&amp;row=1006&amp;col=7&amp;number=2.2135e-05&amp;sourceID=54","2.2135e-05")</f>
        <v>2.2135e-05</v>
      </c>
      <c r="H1006" s="4" t="str">
        <f>HYPERLINK("http://141.218.60.56/~jnz1568/getInfo.php?workbook=16_15.xlsx&amp;sheet=A0&amp;row=1006&amp;col=8&amp;number=&amp;sourceID=54","")</f>
        <v/>
      </c>
      <c r="I1006" s="4" t="str">
        <f>HYPERLINK("http://141.218.60.56/~jnz1568/getInfo.php?workbook=16_15.xlsx&amp;sheet=A0&amp;row=1006&amp;col=9&amp;number=&amp;sourceID=54","")</f>
        <v/>
      </c>
      <c r="J1006" s="4" t="str">
        <f>HYPERLINK("http://141.218.60.56/~jnz1568/getInfo.php?workbook=16_15.xlsx&amp;sheet=A0&amp;row=1006&amp;col=10&amp;number=1.0521e-05&amp;sourceID=54","1.0521e-05")</f>
        <v>1.0521e-05</v>
      </c>
      <c r="K1006" s="4" t="str">
        <f>HYPERLINK("http://141.218.60.56/~jnz1568/getInfo.php?workbook=16_15.xlsx&amp;sheet=A0&amp;row=1006&amp;col=11&amp;number=&amp;sourceID=54","")</f>
        <v/>
      </c>
      <c r="L1006" s="4" t="str">
        <f>HYPERLINK("http://141.218.60.56/~jnz1568/getInfo.php?workbook=16_15.xlsx&amp;sheet=A0&amp;row=1006&amp;col=12&amp;number=&amp;sourceID=53","")</f>
        <v/>
      </c>
      <c r="M1006" s="4" t="str">
        <f>HYPERLINK("http://141.218.60.56/~jnz1568/getInfo.php?workbook=16_15.xlsx&amp;sheet=A0&amp;row=1006&amp;col=13&amp;number=&amp;sourceID=53","")</f>
        <v/>
      </c>
      <c r="N1006" s="4" t="str">
        <f>HYPERLINK("http://141.218.60.56/~jnz1568/getInfo.php?workbook=16_15.xlsx&amp;sheet=A0&amp;row=1006&amp;col=14&amp;number=&amp;sourceID=53","")</f>
        <v/>
      </c>
      <c r="O1006" s="4" t="str">
        <f>HYPERLINK("http://141.218.60.56/~jnz1568/getInfo.php?workbook=16_15.xlsx&amp;sheet=A0&amp;row=1006&amp;col=15&amp;number=&amp;sourceID=55","")</f>
        <v/>
      </c>
      <c r="P1006" s="4" t="str">
        <f>HYPERLINK("http://141.218.60.56/~jnz1568/getInfo.php?workbook=16_15.xlsx&amp;sheet=A0&amp;row=1006&amp;col=16&amp;number=&amp;sourceID=55","")</f>
        <v/>
      </c>
      <c r="Q1006" s="4" t="str">
        <f>HYPERLINK("http://141.218.60.56/~jnz1568/getInfo.php?workbook=16_15.xlsx&amp;sheet=A0&amp;row=1006&amp;col=17&amp;number=&amp;sourceID=56","")</f>
        <v/>
      </c>
      <c r="R1006" s="4" t="str">
        <f>HYPERLINK("http://141.218.60.56/~jnz1568/getInfo.php?workbook=16_15.xlsx&amp;sheet=A0&amp;row=1006&amp;col=18&amp;number=&amp;sourceID=56","")</f>
        <v/>
      </c>
      <c r="S1006" s="4" t="str">
        <f>HYPERLINK("http://141.218.60.56/~jnz1568/getInfo.php?workbook=16_15.xlsx&amp;sheet=A0&amp;row=1006&amp;col=19&amp;number=&amp;sourceID=57","")</f>
        <v/>
      </c>
      <c r="T1006" s="4" t="str">
        <f>HYPERLINK("http://141.218.60.56/~jnz1568/getInfo.php?workbook=16_15.xlsx&amp;sheet=A0&amp;row=1006&amp;col=20&amp;number=&amp;sourceID=57","")</f>
        <v/>
      </c>
      <c r="U1006" s="4" t="str">
        <f>HYPERLINK("http://141.218.60.56/~jnz1568/getInfo.php?workbook=16_15.xlsx&amp;sheet=A0&amp;row=1006&amp;col=21&amp;number=&amp;sourceID=47","")</f>
        <v/>
      </c>
      <c r="V1006" s="4" t="str">
        <f>HYPERLINK("http://141.218.60.56/~jnz1568/getInfo.php?workbook=16_15.xlsx&amp;sheet=A0&amp;row=1006&amp;col=22&amp;number=&amp;sourceID=47","")</f>
        <v/>
      </c>
    </row>
    <row r="1007" spans="1:22">
      <c r="A1007" s="3">
        <v>16</v>
      </c>
      <c r="B1007" s="3">
        <v>15</v>
      </c>
      <c r="C1007" s="3">
        <v>51</v>
      </c>
      <c r="D1007" s="3">
        <v>26</v>
      </c>
      <c r="E1007" s="3">
        <f>((1/(INDEX(E0!J$4:J$73,C1007,1)-INDEX(E0!J$4:J$73,D1007,1))))*100000000</f>
        <v>0</v>
      </c>
      <c r="F1007" s="4" t="str">
        <f>HYPERLINK("http://141.218.60.56/~jnz1568/getInfo.php?workbook=16_15.xlsx&amp;sheet=A0&amp;row=1007&amp;col=6&amp;number=&amp;sourceID=54","")</f>
        <v/>
      </c>
      <c r="G1007" s="4" t="str">
        <f>HYPERLINK("http://141.218.60.56/~jnz1568/getInfo.php?workbook=16_15.xlsx&amp;sheet=A0&amp;row=1007&amp;col=7&amp;number=0.00079795&amp;sourceID=54","0.00079795")</f>
        <v>0.00079795</v>
      </c>
      <c r="H1007" s="4" t="str">
        <f>HYPERLINK("http://141.218.60.56/~jnz1568/getInfo.php?workbook=16_15.xlsx&amp;sheet=A0&amp;row=1007&amp;col=8&amp;number=&amp;sourceID=54","")</f>
        <v/>
      </c>
      <c r="I1007" s="4" t="str">
        <f>HYPERLINK("http://141.218.60.56/~jnz1568/getInfo.php?workbook=16_15.xlsx&amp;sheet=A0&amp;row=1007&amp;col=9&amp;number=&amp;sourceID=54","")</f>
        <v/>
      </c>
      <c r="J1007" s="4" t="str">
        <f>HYPERLINK("http://141.218.60.56/~jnz1568/getInfo.php?workbook=16_15.xlsx&amp;sheet=A0&amp;row=1007&amp;col=10&amp;number=0.00093413&amp;sourceID=54","0.00093413")</f>
        <v>0.00093413</v>
      </c>
      <c r="K1007" s="4" t="str">
        <f>HYPERLINK("http://141.218.60.56/~jnz1568/getInfo.php?workbook=16_15.xlsx&amp;sheet=A0&amp;row=1007&amp;col=11&amp;number=&amp;sourceID=54","")</f>
        <v/>
      </c>
      <c r="L1007" s="4" t="str">
        <f>HYPERLINK("http://141.218.60.56/~jnz1568/getInfo.php?workbook=16_15.xlsx&amp;sheet=A0&amp;row=1007&amp;col=12&amp;number=&amp;sourceID=53","")</f>
        <v/>
      </c>
      <c r="M1007" s="4" t="str">
        <f>HYPERLINK("http://141.218.60.56/~jnz1568/getInfo.php?workbook=16_15.xlsx&amp;sheet=A0&amp;row=1007&amp;col=13&amp;number=&amp;sourceID=53","")</f>
        <v/>
      </c>
      <c r="N1007" s="4" t="str">
        <f>HYPERLINK("http://141.218.60.56/~jnz1568/getInfo.php?workbook=16_15.xlsx&amp;sheet=A0&amp;row=1007&amp;col=14&amp;number=&amp;sourceID=53","")</f>
        <v/>
      </c>
      <c r="O1007" s="4" t="str">
        <f>HYPERLINK("http://141.218.60.56/~jnz1568/getInfo.php?workbook=16_15.xlsx&amp;sheet=A0&amp;row=1007&amp;col=15&amp;number=&amp;sourceID=55","")</f>
        <v/>
      </c>
      <c r="P1007" s="4" t="str">
        <f>HYPERLINK("http://141.218.60.56/~jnz1568/getInfo.php?workbook=16_15.xlsx&amp;sheet=A0&amp;row=1007&amp;col=16&amp;number=&amp;sourceID=55","")</f>
        <v/>
      </c>
      <c r="Q1007" s="4" t="str">
        <f>HYPERLINK("http://141.218.60.56/~jnz1568/getInfo.php?workbook=16_15.xlsx&amp;sheet=A0&amp;row=1007&amp;col=17&amp;number=&amp;sourceID=56","")</f>
        <v/>
      </c>
      <c r="R1007" s="4" t="str">
        <f>HYPERLINK("http://141.218.60.56/~jnz1568/getInfo.php?workbook=16_15.xlsx&amp;sheet=A0&amp;row=1007&amp;col=18&amp;number=&amp;sourceID=56","")</f>
        <v/>
      </c>
      <c r="S1007" s="4" t="str">
        <f>HYPERLINK("http://141.218.60.56/~jnz1568/getInfo.php?workbook=16_15.xlsx&amp;sheet=A0&amp;row=1007&amp;col=19&amp;number=&amp;sourceID=57","")</f>
        <v/>
      </c>
      <c r="T1007" s="4" t="str">
        <f>HYPERLINK("http://141.218.60.56/~jnz1568/getInfo.php?workbook=16_15.xlsx&amp;sheet=A0&amp;row=1007&amp;col=20&amp;number=&amp;sourceID=57","")</f>
        <v/>
      </c>
      <c r="U1007" s="4" t="str">
        <f>HYPERLINK("http://141.218.60.56/~jnz1568/getInfo.php?workbook=16_15.xlsx&amp;sheet=A0&amp;row=1007&amp;col=21&amp;number=&amp;sourceID=47","")</f>
        <v/>
      </c>
      <c r="V1007" s="4" t="str">
        <f>HYPERLINK("http://141.218.60.56/~jnz1568/getInfo.php?workbook=16_15.xlsx&amp;sheet=A0&amp;row=1007&amp;col=22&amp;number=&amp;sourceID=47","")</f>
        <v/>
      </c>
    </row>
    <row r="1008" spans="1:22">
      <c r="A1008" s="3">
        <v>16</v>
      </c>
      <c r="B1008" s="3">
        <v>15</v>
      </c>
      <c r="C1008" s="3">
        <v>51</v>
      </c>
      <c r="D1008" s="3">
        <v>28</v>
      </c>
      <c r="E1008" s="3">
        <f>((1/(INDEX(E0!J$4:J$73,C1008,1)-INDEX(E0!J$4:J$73,D1008,1))))*100000000</f>
        <v>0</v>
      </c>
      <c r="F1008" s="4" t="str">
        <f>HYPERLINK("http://141.218.60.56/~jnz1568/getInfo.php?workbook=16_15.xlsx&amp;sheet=A0&amp;row=1008&amp;col=6&amp;number=&amp;sourceID=54","")</f>
        <v/>
      </c>
      <c r="G1008" s="4" t="str">
        <f>HYPERLINK("http://141.218.60.56/~jnz1568/getInfo.php?workbook=16_15.xlsx&amp;sheet=A0&amp;row=1008&amp;col=7&amp;number=&amp;sourceID=54","")</f>
        <v/>
      </c>
      <c r="H1008" s="4" t="str">
        <f>HYPERLINK("http://141.218.60.56/~jnz1568/getInfo.php?workbook=16_15.xlsx&amp;sheet=A0&amp;row=1008&amp;col=8&amp;number=2.5942e-07&amp;sourceID=54","2.5942e-07")</f>
        <v>2.5942e-07</v>
      </c>
      <c r="I1008" s="4" t="str">
        <f>HYPERLINK("http://141.218.60.56/~jnz1568/getInfo.php?workbook=16_15.xlsx&amp;sheet=A0&amp;row=1008&amp;col=9&amp;number=&amp;sourceID=54","")</f>
        <v/>
      </c>
      <c r="J1008" s="4" t="str">
        <f>HYPERLINK("http://141.218.60.56/~jnz1568/getInfo.php?workbook=16_15.xlsx&amp;sheet=A0&amp;row=1008&amp;col=10&amp;number=&amp;sourceID=54","")</f>
        <v/>
      </c>
      <c r="K1008" s="4" t="str">
        <f>HYPERLINK("http://141.218.60.56/~jnz1568/getInfo.php?workbook=16_15.xlsx&amp;sheet=A0&amp;row=1008&amp;col=11&amp;number=0.0069203&amp;sourceID=54","0.0069203")</f>
        <v>0.0069203</v>
      </c>
      <c r="L1008" s="4" t="str">
        <f>HYPERLINK("http://141.218.60.56/~jnz1568/getInfo.php?workbook=16_15.xlsx&amp;sheet=A0&amp;row=1008&amp;col=12&amp;number=&amp;sourceID=53","")</f>
        <v/>
      </c>
      <c r="M1008" s="4" t="str">
        <f>HYPERLINK("http://141.218.60.56/~jnz1568/getInfo.php?workbook=16_15.xlsx&amp;sheet=A0&amp;row=1008&amp;col=13&amp;number=&amp;sourceID=53","")</f>
        <v/>
      </c>
      <c r="N1008" s="4" t="str">
        <f>HYPERLINK("http://141.218.60.56/~jnz1568/getInfo.php?workbook=16_15.xlsx&amp;sheet=A0&amp;row=1008&amp;col=14&amp;number=&amp;sourceID=53","")</f>
        <v/>
      </c>
      <c r="O1008" s="4" t="str">
        <f>HYPERLINK("http://141.218.60.56/~jnz1568/getInfo.php?workbook=16_15.xlsx&amp;sheet=A0&amp;row=1008&amp;col=15&amp;number=&amp;sourceID=55","")</f>
        <v/>
      </c>
      <c r="P1008" s="4" t="str">
        <f>HYPERLINK("http://141.218.60.56/~jnz1568/getInfo.php?workbook=16_15.xlsx&amp;sheet=A0&amp;row=1008&amp;col=16&amp;number=&amp;sourceID=55","")</f>
        <v/>
      </c>
      <c r="Q1008" s="4" t="str">
        <f>HYPERLINK("http://141.218.60.56/~jnz1568/getInfo.php?workbook=16_15.xlsx&amp;sheet=A0&amp;row=1008&amp;col=17&amp;number=&amp;sourceID=56","")</f>
        <v/>
      </c>
      <c r="R1008" s="4" t="str">
        <f>HYPERLINK("http://141.218.60.56/~jnz1568/getInfo.php?workbook=16_15.xlsx&amp;sheet=A0&amp;row=1008&amp;col=18&amp;number=&amp;sourceID=56","")</f>
        <v/>
      </c>
      <c r="S1008" s="4" t="str">
        <f>HYPERLINK("http://141.218.60.56/~jnz1568/getInfo.php?workbook=16_15.xlsx&amp;sheet=A0&amp;row=1008&amp;col=19&amp;number=&amp;sourceID=57","")</f>
        <v/>
      </c>
      <c r="T1008" s="4" t="str">
        <f>HYPERLINK("http://141.218.60.56/~jnz1568/getInfo.php?workbook=16_15.xlsx&amp;sheet=A0&amp;row=1008&amp;col=20&amp;number=&amp;sourceID=57","")</f>
        <v/>
      </c>
      <c r="U1008" s="4" t="str">
        <f>HYPERLINK("http://141.218.60.56/~jnz1568/getInfo.php?workbook=16_15.xlsx&amp;sheet=A0&amp;row=1008&amp;col=21&amp;number=&amp;sourceID=47","")</f>
        <v/>
      </c>
      <c r="V1008" s="4" t="str">
        <f>HYPERLINK("http://141.218.60.56/~jnz1568/getInfo.php?workbook=16_15.xlsx&amp;sheet=A0&amp;row=1008&amp;col=22&amp;number=&amp;sourceID=47","")</f>
        <v/>
      </c>
    </row>
    <row r="1009" spans="1:22">
      <c r="A1009" s="3">
        <v>16</v>
      </c>
      <c r="B1009" s="3">
        <v>15</v>
      </c>
      <c r="C1009" s="3">
        <v>51</v>
      </c>
      <c r="D1009" s="3">
        <v>29</v>
      </c>
      <c r="E1009" s="3">
        <f>((1/(INDEX(E0!J$4:J$73,C1009,1)-INDEX(E0!J$4:J$73,D1009,1))))*100000000</f>
        <v>0</v>
      </c>
      <c r="F1009" s="4" t="str">
        <f>HYPERLINK("http://141.218.60.56/~jnz1568/getInfo.php?workbook=16_15.xlsx&amp;sheet=A0&amp;row=1009&amp;col=6&amp;number=&amp;sourceID=54","")</f>
        <v/>
      </c>
      <c r="G1009" s="4" t="str">
        <f>HYPERLINK("http://141.218.60.56/~jnz1568/getInfo.php?workbook=16_15.xlsx&amp;sheet=A0&amp;row=1009&amp;col=7&amp;number=0.074278&amp;sourceID=54","0.074278")</f>
        <v>0.074278</v>
      </c>
      <c r="H1009" s="4" t="str">
        <f>HYPERLINK("http://141.218.60.56/~jnz1568/getInfo.php?workbook=16_15.xlsx&amp;sheet=A0&amp;row=1009&amp;col=8&amp;number=2.2242e-06&amp;sourceID=54","2.2242e-06")</f>
        <v>2.2242e-06</v>
      </c>
      <c r="I1009" s="4" t="str">
        <f>HYPERLINK("http://141.218.60.56/~jnz1568/getInfo.php?workbook=16_15.xlsx&amp;sheet=A0&amp;row=1009&amp;col=9&amp;number=&amp;sourceID=54","")</f>
        <v/>
      </c>
      <c r="J1009" s="4" t="str">
        <f>HYPERLINK("http://141.218.60.56/~jnz1568/getInfo.php?workbook=16_15.xlsx&amp;sheet=A0&amp;row=1009&amp;col=10&amp;number=0.076122&amp;sourceID=54","0.076122")</f>
        <v>0.076122</v>
      </c>
      <c r="K1009" s="4" t="str">
        <f>HYPERLINK("http://141.218.60.56/~jnz1568/getInfo.php?workbook=16_15.xlsx&amp;sheet=A0&amp;row=1009&amp;col=11&amp;number=1.6253e-06&amp;sourceID=54","1.6253e-06")</f>
        <v>1.6253e-06</v>
      </c>
      <c r="L1009" s="4" t="str">
        <f>HYPERLINK("http://141.218.60.56/~jnz1568/getInfo.php?workbook=16_15.xlsx&amp;sheet=A0&amp;row=1009&amp;col=12&amp;number=&amp;sourceID=53","")</f>
        <v/>
      </c>
      <c r="M1009" s="4" t="str">
        <f>HYPERLINK("http://141.218.60.56/~jnz1568/getInfo.php?workbook=16_15.xlsx&amp;sheet=A0&amp;row=1009&amp;col=13&amp;number=&amp;sourceID=53","")</f>
        <v/>
      </c>
      <c r="N1009" s="4" t="str">
        <f>HYPERLINK("http://141.218.60.56/~jnz1568/getInfo.php?workbook=16_15.xlsx&amp;sheet=A0&amp;row=1009&amp;col=14&amp;number=&amp;sourceID=53","")</f>
        <v/>
      </c>
      <c r="O1009" s="4" t="str">
        <f>HYPERLINK("http://141.218.60.56/~jnz1568/getInfo.php?workbook=16_15.xlsx&amp;sheet=A0&amp;row=1009&amp;col=15&amp;number=&amp;sourceID=55","")</f>
        <v/>
      </c>
      <c r="P1009" s="4" t="str">
        <f>HYPERLINK("http://141.218.60.56/~jnz1568/getInfo.php?workbook=16_15.xlsx&amp;sheet=A0&amp;row=1009&amp;col=16&amp;number=&amp;sourceID=55","")</f>
        <v/>
      </c>
      <c r="Q1009" s="4" t="str">
        <f>HYPERLINK("http://141.218.60.56/~jnz1568/getInfo.php?workbook=16_15.xlsx&amp;sheet=A0&amp;row=1009&amp;col=17&amp;number=&amp;sourceID=56","")</f>
        <v/>
      </c>
      <c r="R1009" s="4" t="str">
        <f>HYPERLINK("http://141.218.60.56/~jnz1568/getInfo.php?workbook=16_15.xlsx&amp;sheet=A0&amp;row=1009&amp;col=18&amp;number=&amp;sourceID=56","")</f>
        <v/>
      </c>
      <c r="S1009" s="4" t="str">
        <f>HYPERLINK("http://141.218.60.56/~jnz1568/getInfo.php?workbook=16_15.xlsx&amp;sheet=A0&amp;row=1009&amp;col=19&amp;number=&amp;sourceID=57","")</f>
        <v/>
      </c>
      <c r="T1009" s="4" t="str">
        <f>HYPERLINK("http://141.218.60.56/~jnz1568/getInfo.php?workbook=16_15.xlsx&amp;sheet=A0&amp;row=1009&amp;col=20&amp;number=&amp;sourceID=57","")</f>
        <v/>
      </c>
      <c r="U1009" s="4" t="str">
        <f>HYPERLINK("http://141.218.60.56/~jnz1568/getInfo.php?workbook=16_15.xlsx&amp;sheet=A0&amp;row=1009&amp;col=21&amp;number=&amp;sourceID=47","")</f>
        <v/>
      </c>
      <c r="V1009" s="4" t="str">
        <f>HYPERLINK("http://141.218.60.56/~jnz1568/getInfo.php?workbook=16_15.xlsx&amp;sheet=A0&amp;row=1009&amp;col=22&amp;number=&amp;sourceID=47","")</f>
        <v/>
      </c>
    </row>
    <row r="1010" spans="1:22">
      <c r="A1010" s="3">
        <v>16</v>
      </c>
      <c r="B1010" s="3">
        <v>15</v>
      </c>
      <c r="C1010" s="3">
        <v>51</v>
      </c>
      <c r="D1010" s="3">
        <v>30</v>
      </c>
      <c r="E1010" s="3">
        <f>((1/(INDEX(E0!J$4:J$73,C1010,1)-INDEX(E0!J$4:J$73,D1010,1))))*100000000</f>
        <v>0</v>
      </c>
      <c r="F1010" s="4" t="str">
        <f>HYPERLINK("http://141.218.60.56/~jnz1568/getInfo.php?workbook=16_15.xlsx&amp;sheet=A0&amp;row=1010&amp;col=6&amp;number=&amp;sourceID=54","")</f>
        <v/>
      </c>
      <c r="G1010" s="4" t="str">
        <f>HYPERLINK("http://141.218.60.56/~jnz1568/getInfo.php?workbook=16_15.xlsx&amp;sheet=A0&amp;row=1010&amp;col=7&amp;number=0.10877&amp;sourceID=54","0.10877")</f>
        <v>0.10877</v>
      </c>
      <c r="H1010" s="4" t="str">
        <f>HYPERLINK("http://141.218.60.56/~jnz1568/getInfo.php?workbook=16_15.xlsx&amp;sheet=A0&amp;row=1010&amp;col=8&amp;number=&amp;sourceID=54","")</f>
        <v/>
      </c>
      <c r="I1010" s="4" t="str">
        <f>HYPERLINK("http://141.218.60.56/~jnz1568/getInfo.php?workbook=16_15.xlsx&amp;sheet=A0&amp;row=1010&amp;col=9&amp;number=&amp;sourceID=54","")</f>
        <v/>
      </c>
      <c r="J1010" s="4" t="str">
        <f>HYPERLINK("http://141.218.60.56/~jnz1568/getInfo.php?workbook=16_15.xlsx&amp;sheet=A0&amp;row=1010&amp;col=10&amp;number=0.11145&amp;sourceID=54","0.11145")</f>
        <v>0.11145</v>
      </c>
      <c r="K1010" s="4" t="str">
        <f>HYPERLINK("http://141.218.60.56/~jnz1568/getInfo.php?workbook=16_15.xlsx&amp;sheet=A0&amp;row=1010&amp;col=11&amp;number=&amp;sourceID=54","")</f>
        <v/>
      </c>
      <c r="L1010" s="4" t="str">
        <f>HYPERLINK("http://141.218.60.56/~jnz1568/getInfo.php?workbook=16_15.xlsx&amp;sheet=A0&amp;row=1010&amp;col=12&amp;number=&amp;sourceID=53","")</f>
        <v/>
      </c>
      <c r="M1010" s="4" t="str">
        <f>HYPERLINK("http://141.218.60.56/~jnz1568/getInfo.php?workbook=16_15.xlsx&amp;sheet=A0&amp;row=1010&amp;col=13&amp;number=&amp;sourceID=53","")</f>
        <v/>
      </c>
      <c r="N1010" s="4" t="str">
        <f>HYPERLINK("http://141.218.60.56/~jnz1568/getInfo.php?workbook=16_15.xlsx&amp;sheet=A0&amp;row=1010&amp;col=14&amp;number=&amp;sourceID=53","")</f>
        <v/>
      </c>
      <c r="O1010" s="4" t="str">
        <f>HYPERLINK("http://141.218.60.56/~jnz1568/getInfo.php?workbook=16_15.xlsx&amp;sheet=A0&amp;row=1010&amp;col=15&amp;number=&amp;sourceID=55","")</f>
        <v/>
      </c>
      <c r="P1010" s="4" t="str">
        <f>HYPERLINK("http://141.218.60.56/~jnz1568/getInfo.php?workbook=16_15.xlsx&amp;sheet=A0&amp;row=1010&amp;col=16&amp;number=&amp;sourceID=55","")</f>
        <v/>
      </c>
      <c r="Q1010" s="4" t="str">
        <f>HYPERLINK("http://141.218.60.56/~jnz1568/getInfo.php?workbook=16_15.xlsx&amp;sheet=A0&amp;row=1010&amp;col=17&amp;number=&amp;sourceID=56","")</f>
        <v/>
      </c>
      <c r="R1010" s="4" t="str">
        <f>HYPERLINK("http://141.218.60.56/~jnz1568/getInfo.php?workbook=16_15.xlsx&amp;sheet=A0&amp;row=1010&amp;col=18&amp;number=&amp;sourceID=56","")</f>
        <v/>
      </c>
      <c r="S1010" s="4" t="str">
        <f>HYPERLINK("http://141.218.60.56/~jnz1568/getInfo.php?workbook=16_15.xlsx&amp;sheet=A0&amp;row=1010&amp;col=19&amp;number=&amp;sourceID=57","")</f>
        <v/>
      </c>
      <c r="T1010" s="4" t="str">
        <f>HYPERLINK("http://141.218.60.56/~jnz1568/getInfo.php?workbook=16_15.xlsx&amp;sheet=A0&amp;row=1010&amp;col=20&amp;number=&amp;sourceID=57","")</f>
        <v/>
      </c>
      <c r="U1010" s="4" t="str">
        <f>HYPERLINK("http://141.218.60.56/~jnz1568/getInfo.php?workbook=16_15.xlsx&amp;sheet=A0&amp;row=1010&amp;col=21&amp;number=&amp;sourceID=47","")</f>
        <v/>
      </c>
      <c r="V1010" s="4" t="str">
        <f>HYPERLINK("http://141.218.60.56/~jnz1568/getInfo.php?workbook=16_15.xlsx&amp;sheet=A0&amp;row=1010&amp;col=22&amp;number=&amp;sourceID=47","")</f>
        <v/>
      </c>
    </row>
    <row r="1011" spans="1:22">
      <c r="A1011" s="3">
        <v>16</v>
      </c>
      <c r="B1011" s="3">
        <v>15</v>
      </c>
      <c r="C1011" s="3">
        <v>51</v>
      </c>
      <c r="D1011" s="3">
        <v>31</v>
      </c>
      <c r="E1011" s="3">
        <f>((1/(INDEX(E0!J$4:J$73,C1011,1)-INDEX(E0!J$4:J$73,D1011,1))))*100000000</f>
        <v>0</v>
      </c>
      <c r="F1011" s="4" t="str">
        <f>HYPERLINK("http://141.218.60.56/~jnz1568/getInfo.php?workbook=16_15.xlsx&amp;sheet=A0&amp;row=1011&amp;col=6&amp;number=215.6&amp;sourceID=54","215.6")</f>
        <v>215.6</v>
      </c>
      <c r="G1011" s="4" t="str">
        <f>HYPERLINK("http://141.218.60.56/~jnz1568/getInfo.php?workbook=16_15.xlsx&amp;sheet=A0&amp;row=1011&amp;col=7&amp;number=&amp;sourceID=54","")</f>
        <v/>
      </c>
      <c r="H1011" s="4" t="str">
        <f>HYPERLINK("http://141.218.60.56/~jnz1568/getInfo.php?workbook=16_15.xlsx&amp;sheet=A0&amp;row=1011&amp;col=8&amp;number=&amp;sourceID=54","")</f>
        <v/>
      </c>
      <c r="I1011" s="4" t="str">
        <f>HYPERLINK("http://141.218.60.56/~jnz1568/getInfo.php?workbook=16_15.xlsx&amp;sheet=A0&amp;row=1011&amp;col=9&amp;number=234.21&amp;sourceID=54","234.21")</f>
        <v>234.21</v>
      </c>
      <c r="J1011" s="4" t="str">
        <f>HYPERLINK("http://141.218.60.56/~jnz1568/getInfo.php?workbook=16_15.xlsx&amp;sheet=A0&amp;row=1011&amp;col=10&amp;number=&amp;sourceID=54","")</f>
        <v/>
      </c>
      <c r="K1011" s="4" t="str">
        <f>HYPERLINK("http://141.218.60.56/~jnz1568/getInfo.php?workbook=16_15.xlsx&amp;sheet=A0&amp;row=1011&amp;col=11&amp;number=&amp;sourceID=54","")</f>
        <v/>
      </c>
      <c r="L1011" s="4" t="str">
        <f>HYPERLINK("http://141.218.60.56/~jnz1568/getInfo.php?workbook=16_15.xlsx&amp;sheet=A0&amp;row=1011&amp;col=12&amp;number=413.328237915&amp;sourceID=53","413.328237915")</f>
        <v>413.328237915</v>
      </c>
      <c r="M1011" s="4" t="str">
        <f>HYPERLINK("http://141.218.60.56/~jnz1568/getInfo.php?workbook=16_15.xlsx&amp;sheet=A0&amp;row=1011&amp;col=13&amp;number=&amp;sourceID=53","")</f>
        <v/>
      </c>
      <c r="N1011" s="4" t="str">
        <f>HYPERLINK("http://141.218.60.56/~jnz1568/getInfo.php?workbook=16_15.xlsx&amp;sheet=A0&amp;row=1011&amp;col=14&amp;number=&amp;sourceID=53","")</f>
        <v/>
      </c>
      <c r="O1011" s="4" t="str">
        <f>HYPERLINK("http://141.218.60.56/~jnz1568/getInfo.php?workbook=16_15.xlsx&amp;sheet=A0&amp;row=1011&amp;col=15&amp;number=&amp;sourceID=55","")</f>
        <v/>
      </c>
      <c r="P1011" s="4" t="str">
        <f>HYPERLINK("http://141.218.60.56/~jnz1568/getInfo.php?workbook=16_15.xlsx&amp;sheet=A0&amp;row=1011&amp;col=16&amp;number=&amp;sourceID=55","")</f>
        <v/>
      </c>
      <c r="Q1011" s="4" t="str">
        <f>HYPERLINK("http://141.218.60.56/~jnz1568/getInfo.php?workbook=16_15.xlsx&amp;sheet=A0&amp;row=1011&amp;col=17&amp;number=&amp;sourceID=56","")</f>
        <v/>
      </c>
      <c r="R1011" s="4" t="str">
        <f>HYPERLINK("http://141.218.60.56/~jnz1568/getInfo.php?workbook=16_15.xlsx&amp;sheet=A0&amp;row=1011&amp;col=18&amp;number=&amp;sourceID=56","")</f>
        <v/>
      </c>
      <c r="S1011" s="4" t="str">
        <f>HYPERLINK("http://141.218.60.56/~jnz1568/getInfo.php?workbook=16_15.xlsx&amp;sheet=A0&amp;row=1011&amp;col=19&amp;number=&amp;sourceID=57","")</f>
        <v/>
      </c>
      <c r="T1011" s="4" t="str">
        <f>HYPERLINK("http://141.218.60.56/~jnz1568/getInfo.php?workbook=16_15.xlsx&amp;sheet=A0&amp;row=1011&amp;col=20&amp;number=&amp;sourceID=57","")</f>
        <v/>
      </c>
      <c r="U1011" s="4" t="str">
        <f>HYPERLINK("http://141.218.60.56/~jnz1568/getInfo.php?workbook=16_15.xlsx&amp;sheet=A0&amp;row=1011&amp;col=21&amp;number=&amp;sourceID=47","")</f>
        <v/>
      </c>
      <c r="V1011" s="4" t="str">
        <f>HYPERLINK("http://141.218.60.56/~jnz1568/getInfo.php?workbook=16_15.xlsx&amp;sheet=A0&amp;row=1011&amp;col=22&amp;number=&amp;sourceID=47","")</f>
        <v/>
      </c>
    </row>
    <row r="1012" spans="1:22">
      <c r="A1012" s="3">
        <v>16</v>
      </c>
      <c r="B1012" s="3">
        <v>15</v>
      </c>
      <c r="C1012" s="3">
        <v>51</v>
      </c>
      <c r="D1012" s="3">
        <v>34</v>
      </c>
      <c r="E1012" s="3">
        <f>((1/(INDEX(E0!J$4:J$73,C1012,1)-INDEX(E0!J$4:J$73,D1012,1))))*100000000</f>
        <v>0</v>
      </c>
      <c r="F1012" s="4" t="str">
        <f>HYPERLINK("http://141.218.60.56/~jnz1568/getInfo.php?workbook=16_15.xlsx&amp;sheet=A0&amp;row=1012&amp;col=6&amp;number=68.848&amp;sourceID=54","68.848")</f>
        <v>68.848</v>
      </c>
      <c r="G1012" s="4" t="str">
        <f>HYPERLINK("http://141.218.60.56/~jnz1568/getInfo.php?workbook=16_15.xlsx&amp;sheet=A0&amp;row=1012&amp;col=7&amp;number=&amp;sourceID=54","")</f>
        <v/>
      </c>
      <c r="H1012" s="4" t="str">
        <f>HYPERLINK("http://141.218.60.56/~jnz1568/getInfo.php?workbook=16_15.xlsx&amp;sheet=A0&amp;row=1012&amp;col=8&amp;number=&amp;sourceID=54","")</f>
        <v/>
      </c>
      <c r="I1012" s="4" t="str">
        <f>HYPERLINK("http://141.218.60.56/~jnz1568/getInfo.php?workbook=16_15.xlsx&amp;sheet=A0&amp;row=1012&amp;col=9&amp;number=59.956&amp;sourceID=54","59.956")</f>
        <v>59.956</v>
      </c>
      <c r="J1012" s="4" t="str">
        <f>HYPERLINK("http://141.218.60.56/~jnz1568/getInfo.php?workbook=16_15.xlsx&amp;sheet=A0&amp;row=1012&amp;col=10&amp;number=&amp;sourceID=54","")</f>
        <v/>
      </c>
      <c r="K1012" s="4" t="str">
        <f>HYPERLINK("http://141.218.60.56/~jnz1568/getInfo.php?workbook=16_15.xlsx&amp;sheet=A0&amp;row=1012&amp;col=11&amp;number=&amp;sourceID=54","")</f>
        <v/>
      </c>
      <c r="L1012" s="4" t="str">
        <f>HYPERLINK("http://141.218.60.56/~jnz1568/getInfo.php?workbook=16_15.xlsx&amp;sheet=A0&amp;row=1012&amp;col=12&amp;number=44.1057516713&amp;sourceID=53","44.1057516713")</f>
        <v>44.1057516713</v>
      </c>
      <c r="M1012" s="4" t="str">
        <f>HYPERLINK("http://141.218.60.56/~jnz1568/getInfo.php?workbook=16_15.xlsx&amp;sheet=A0&amp;row=1012&amp;col=13&amp;number=&amp;sourceID=53","")</f>
        <v/>
      </c>
      <c r="N1012" s="4" t="str">
        <f>HYPERLINK("http://141.218.60.56/~jnz1568/getInfo.php?workbook=16_15.xlsx&amp;sheet=A0&amp;row=1012&amp;col=14&amp;number=&amp;sourceID=53","")</f>
        <v/>
      </c>
      <c r="O1012" s="4" t="str">
        <f>HYPERLINK("http://141.218.60.56/~jnz1568/getInfo.php?workbook=16_15.xlsx&amp;sheet=A0&amp;row=1012&amp;col=15&amp;number=&amp;sourceID=55","")</f>
        <v/>
      </c>
      <c r="P1012" s="4" t="str">
        <f>HYPERLINK("http://141.218.60.56/~jnz1568/getInfo.php?workbook=16_15.xlsx&amp;sheet=A0&amp;row=1012&amp;col=16&amp;number=&amp;sourceID=55","")</f>
        <v/>
      </c>
      <c r="Q1012" s="4" t="str">
        <f>HYPERLINK("http://141.218.60.56/~jnz1568/getInfo.php?workbook=16_15.xlsx&amp;sheet=A0&amp;row=1012&amp;col=17&amp;number=&amp;sourceID=56","")</f>
        <v/>
      </c>
      <c r="R1012" s="4" t="str">
        <f>HYPERLINK("http://141.218.60.56/~jnz1568/getInfo.php?workbook=16_15.xlsx&amp;sheet=A0&amp;row=1012&amp;col=18&amp;number=&amp;sourceID=56","")</f>
        <v/>
      </c>
      <c r="S1012" s="4" t="str">
        <f>HYPERLINK("http://141.218.60.56/~jnz1568/getInfo.php?workbook=16_15.xlsx&amp;sheet=A0&amp;row=1012&amp;col=19&amp;number=&amp;sourceID=57","")</f>
        <v/>
      </c>
      <c r="T1012" s="4" t="str">
        <f>HYPERLINK("http://141.218.60.56/~jnz1568/getInfo.php?workbook=16_15.xlsx&amp;sheet=A0&amp;row=1012&amp;col=20&amp;number=&amp;sourceID=57","")</f>
        <v/>
      </c>
      <c r="U1012" s="4" t="str">
        <f>HYPERLINK("http://141.218.60.56/~jnz1568/getInfo.php?workbook=16_15.xlsx&amp;sheet=A0&amp;row=1012&amp;col=21&amp;number=&amp;sourceID=47","")</f>
        <v/>
      </c>
      <c r="V1012" s="4" t="str">
        <f>HYPERLINK("http://141.218.60.56/~jnz1568/getInfo.php?workbook=16_15.xlsx&amp;sheet=A0&amp;row=1012&amp;col=22&amp;number=&amp;sourceID=47","")</f>
        <v/>
      </c>
    </row>
    <row r="1013" spans="1:22">
      <c r="A1013" s="3">
        <v>16</v>
      </c>
      <c r="B1013" s="3">
        <v>15</v>
      </c>
      <c r="C1013" s="3">
        <v>51</v>
      </c>
      <c r="D1013" s="3">
        <v>35</v>
      </c>
      <c r="E1013" s="3">
        <f>((1/(INDEX(E0!J$4:J$73,C1013,1)-INDEX(E0!J$4:J$73,D1013,1))))*100000000</f>
        <v>0</v>
      </c>
      <c r="F1013" s="4" t="str">
        <f>HYPERLINK("http://141.218.60.56/~jnz1568/getInfo.php?workbook=16_15.xlsx&amp;sheet=A0&amp;row=1013&amp;col=6&amp;number=66.62&amp;sourceID=54","66.62")</f>
        <v>66.62</v>
      </c>
      <c r="G1013" s="4" t="str">
        <f>HYPERLINK("http://141.218.60.56/~jnz1568/getInfo.php?workbook=16_15.xlsx&amp;sheet=A0&amp;row=1013&amp;col=7&amp;number=&amp;sourceID=54","")</f>
        <v/>
      </c>
      <c r="H1013" s="4" t="str">
        <f>HYPERLINK("http://141.218.60.56/~jnz1568/getInfo.php?workbook=16_15.xlsx&amp;sheet=A0&amp;row=1013&amp;col=8&amp;number=&amp;sourceID=54","")</f>
        <v/>
      </c>
      <c r="I1013" s="4" t="str">
        <f>HYPERLINK("http://141.218.60.56/~jnz1568/getInfo.php?workbook=16_15.xlsx&amp;sheet=A0&amp;row=1013&amp;col=9&amp;number=58.486&amp;sourceID=54","58.486")</f>
        <v>58.486</v>
      </c>
      <c r="J1013" s="4" t="str">
        <f>HYPERLINK("http://141.218.60.56/~jnz1568/getInfo.php?workbook=16_15.xlsx&amp;sheet=A0&amp;row=1013&amp;col=10&amp;number=&amp;sourceID=54","")</f>
        <v/>
      </c>
      <c r="K1013" s="4" t="str">
        <f>HYPERLINK("http://141.218.60.56/~jnz1568/getInfo.php?workbook=16_15.xlsx&amp;sheet=A0&amp;row=1013&amp;col=11&amp;number=&amp;sourceID=54","")</f>
        <v/>
      </c>
      <c r="L1013" s="4" t="str">
        <f>HYPERLINK("http://141.218.60.56/~jnz1568/getInfo.php?workbook=16_15.xlsx&amp;sheet=A0&amp;row=1013&amp;col=12&amp;number=63.1629024032&amp;sourceID=53","63.1629024032")</f>
        <v>63.1629024032</v>
      </c>
      <c r="M1013" s="4" t="str">
        <f>HYPERLINK("http://141.218.60.56/~jnz1568/getInfo.php?workbook=16_15.xlsx&amp;sheet=A0&amp;row=1013&amp;col=13&amp;number=&amp;sourceID=53","")</f>
        <v/>
      </c>
      <c r="N1013" s="4" t="str">
        <f>HYPERLINK("http://141.218.60.56/~jnz1568/getInfo.php?workbook=16_15.xlsx&amp;sheet=A0&amp;row=1013&amp;col=14&amp;number=&amp;sourceID=53","")</f>
        <v/>
      </c>
      <c r="O1013" s="4" t="str">
        <f>HYPERLINK("http://141.218.60.56/~jnz1568/getInfo.php?workbook=16_15.xlsx&amp;sheet=A0&amp;row=1013&amp;col=15&amp;number=&amp;sourceID=55","")</f>
        <v/>
      </c>
      <c r="P1013" s="4" t="str">
        <f>HYPERLINK("http://141.218.60.56/~jnz1568/getInfo.php?workbook=16_15.xlsx&amp;sheet=A0&amp;row=1013&amp;col=16&amp;number=&amp;sourceID=55","")</f>
        <v/>
      </c>
      <c r="Q1013" s="4" t="str">
        <f>HYPERLINK("http://141.218.60.56/~jnz1568/getInfo.php?workbook=16_15.xlsx&amp;sheet=A0&amp;row=1013&amp;col=17&amp;number=&amp;sourceID=56","")</f>
        <v/>
      </c>
      <c r="R1013" s="4" t="str">
        <f>HYPERLINK("http://141.218.60.56/~jnz1568/getInfo.php?workbook=16_15.xlsx&amp;sheet=A0&amp;row=1013&amp;col=18&amp;number=&amp;sourceID=56","")</f>
        <v/>
      </c>
      <c r="S1013" s="4" t="str">
        <f>HYPERLINK("http://141.218.60.56/~jnz1568/getInfo.php?workbook=16_15.xlsx&amp;sheet=A0&amp;row=1013&amp;col=19&amp;number=&amp;sourceID=57","")</f>
        <v/>
      </c>
      <c r="T1013" s="4" t="str">
        <f>HYPERLINK("http://141.218.60.56/~jnz1568/getInfo.php?workbook=16_15.xlsx&amp;sheet=A0&amp;row=1013&amp;col=20&amp;number=&amp;sourceID=57","")</f>
        <v/>
      </c>
      <c r="U1013" s="4" t="str">
        <f>HYPERLINK("http://141.218.60.56/~jnz1568/getInfo.php?workbook=16_15.xlsx&amp;sheet=A0&amp;row=1013&amp;col=21&amp;number=&amp;sourceID=47","")</f>
        <v/>
      </c>
      <c r="V1013" s="4" t="str">
        <f>HYPERLINK("http://141.218.60.56/~jnz1568/getInfo.php?workbook=16_15.xlsx&amp;sheet=A0&amp;row=1013&amp;col=22&amp;number=&amp;sourceID=47","")</f>
        <v/>
      </c>
    </row>
    <row r="1014" spans="1:22">
      <c r="A1014" s="3">
        <v>16</v>
      </c>
      <c r="B1014" s="3">
        <v>15</v>
      </c>
      <c r="C1014" s="3">
        <v>51</v>
      </c>
      <c r="D1014" s="3">
        <v>38</v>
      </c>
      <c r="E1014" s="3">
        <f>((1/(INDEX(E0!J$4:J$73,C1014,1)-INDEX(E0!J$4:J$73,D1014,1))))*100000000</f>
        <v>0</v>
      </c>
      <c r="F1014" s="4" t="str">
        <f>HYPERLINK("http://141.218.60.56/~jnz1568/getInfo.php?workbook=16_15.xlsx&amp;sheet=A0&amp;row=1014&amp;col=6&amp;number=2.7746&amp;sourceID=54","2.7746")</f>
        <v>2.7746</v>
      </c>
      <c r="G1014" s="4" t="str">
        <f>HYPERLINK("http://141.218.60.56/~jnz1568/getInfo.php?workbook=16_15.xlsx&amp;sheet=A0&amp;row=1014&amp;col=7&amp;number=&amp;sourceID=54","")</f>
        <v/>
      </c>
      <c r="H1014" s="4" t="str">
        <f>HYPERLINK("http://141.218.60.56/~jnz1568/getInfo.php?workbook=16_15.xlsx&amp;sheet=A0&amp;row=1014&amp;col=8&amp;number=&amp;sourceID=54","")</f>
        <v/>
      </c>
      <c r="I1014" s="4" t="str">
        <f>HYPERLINK("http://141.218.60.56/~jnz1568/getInfo.php?workbook=16_15.xlsx&amp;sheet=A0&amp;row=1014&amp;col=9&amp;number=2.4414&amp;sourceID=54","2.4414")</f>
        <v>2.4414</v>
      </c>
      <c r="J1014" s="4" t="str">
        <f>HYPERLINK("http://141.218.60.56/~jnz1568/getInfo.php?workbook=16_15.xlsx&amp;sheet=A0&amp;row=1014&amp;col=10&amp;number=&amp;sourceID=54","")</f>
        <v/>
      </c>
      <c r="K1014" s="4" t="str">
        <f>HYPERLINK("http://141.218.60.56/~jnz1568/getInfo.php?workbook=16_15.xlsx&amp;sheet=A0&amp;row=1014&amp;col=11&amp;number=&amp;sourceID=54","")</f>
        <v/>
      </c>
      <c r="L1014" s="4" t="str">
        <f>HYPERLINK("http://141.218.60.56/~jnz1568/getInfo.php?workbook=16_15.xlsx&amp;sheet=A0&amp;row=1014&amp;col=12&amp;number=10.1211379168&amp;sourceID=53","10.1211379168")</f>
        <v>10.1211379168</v>
      </c>
      <c r="M1014" s="4" t="str">
        <f>HYPERLINK("http://141.218.60.56/~jnz1568/getInfo.php?workbook=16_15.xlsx&amp;sheet=A0&amp;row=1014&amp;col=13&amp;number=&amp;sourceID=53","")</f>
        <v/>
      </c>
      <c r="N1014" s="4" t="str">
        <f>HYPERLINK("http://141.218.60.56/~jnz1568/getInfo.php?workbook=16_15.xlsx&amp;sheet=A0&amp;row=1014&amp;col=14&amp;number=&amp;sourceID=53","")</f>
        <v/>
      </c>
      <c r="O1014" s="4" t="str">
        <f>HYPERLINK("http://141.218.60.56/~jnz1568/getInfo.php?workbook=16_15.xlsx&amp;sheet=A0&amp;row=1014&amp;col=15&amp;number=&amp;sourceID=55","")</f>
        <v/>
      </c>
      <c r="P1014" s="4" t="str">
        <f>HYPERLINK("http://141.218.60.56/~jnz1568/getInfo.php?workbook=16_15.xlsx&amp;sheet=A0&amp;row=1014&amp;col=16&amp;number=&amp;sourceID=55","")</f>
        <v/>
      </c>
      <c r="Q1014" s="4" t="str">
        <f>HYPERLINK("http://141.218.60.56/~jnz1568/getInfo.php?workbook=16_15.xlsx&amp;sheet=A0&amp;row=1014&amp;col=17&amp;number=&amp;sourceID=56","")</f>
        <v/>
      </c>
      <c r="R1014" s="4" t="str">
        <f>HYPERLINK("http://141.218.60.56/~jnz1568/getInfo.php?workbook=16_15.xlsx&amp;sheet=A0&amp;row=1014&amp;col=18&amp;number=&amp;sourceID=56","")</f>
        <v/>
      </c>
      <c r="S1014" s="4" t="str">
        <f>HYPERLINK("http://141.218.60.56/~jnz1568/getInfo.php?workbook=16_15.xlsx&amp;sheet=A0&amp;row=1014&amp;col=19&amp;number=&amp;sourceID=57","")</f>
        <v/>
      </c>
      <c r="T1014" s="4" t="str">
        <f>HYPERLINK("http://141.218.60.56/~jnz1568/getInfo.php?workbook=16_15.xlsx&amp;sheet=A0&amp;row=1014&amp;col=20&amp;number=&amp;sourceID=57","")</f>
        <v/>
      </c>
      <c r="U1014" s="4" t="str">
        <f>HYPERLINK("http://141.218.60.56/~jnz1568/getInfo.php?workbook=16_15.xlsx&amp;sheet=A0&amp;row=1014&amp;col=21&amp;number=&amp;sourceID=47","")</f>
        <v/>
      </c>
      <c r="V1014" s="4" t="str">
        <f>HYPERLINK("http://141.218.60.56/~jnz1568/getInfo.php?workbook=16_15.xlsx&amp;sheet=A0&amp;row=1014&amp;col=22&amp;number=&amp;sourceID=47","")</f>
        <v/>
      </c>
    </row>
    <row r="1015" spans="1:22">
      <c r="A1015" s="3">
        <v>16</v>
      </c>
      <c r="B1015" s="3">
        <v>15</v>
      </c>
      <c r="C1015" s="3">
        <v>51</v>
      </c>
      <c r="D1015" s="3">
        <v>39</v>
      </c>
      <c r="E1015" s="3">
        <f>((1/(INDEX(E0!J$4:J$73,C1015,1)-INDEX(E0!J$4:J$73,D1015,1))))*100000000</f>
        <v>0</v>
      </c>
      <c r="F1015" s="4" t="str">
        <f>HYPERLINK("http://141.218.60.56/~jnz1568/getInfo.php?workbook=16_15.xlsx&amp;sheet=A0&amp;row=1015&amp;col=6&amp;number=17.578&amp;sourceID=54","17.578")</f>
        <v>17.578</v>
      </c>
      <c r="G1015" s="4" t="str">
        <f>HYPERLINK("http://141.218.60.56/~jnz1568/getInfo.php?workbook=16_15.xlsx&amp;sheet=A0&amp;row=1015&amp;col=7&amp;number=&amp;sourceID=54","")</f>
        <v/>
      </c>
      <c r="H1015" s="4" t="str">
        <f>HYPERLINK("http://141.218.60.56/~jnz1568/getInfo.php?workbook=16_15.xlsx&amp;sheet=A0&amp;row=1015&amp;col=8&amp;number=&amp;sourceID=54","")</f>
        <v/>
      </c>
      <c r="I1015" s="4" t="str">
        <f>HYPERLINK("http://141.218.60.56/~jnz1568/getInfo.php?workbook=16_15.xlsx&amp;sheet=A0&amp;row=1015&amp;col=9&amp;number=17.077&amp;sourceID=54","17.077")</f>
        <v>17.077</v>
      </c>
      <c r="J1015" s="4" t="str">
        <f>HYPERLINK("http://141.218.60.56/~jnz1568/getInfo.php?workbook=16_15.xlsx&amp;sheet=A0&amp;row=1015&amp;col=10&amp;number=&amp;sourceID=54","")</f>
        <v/>
      </c>
      <c r="K1015" s="4" t="str">
        <f>HYPERLINK("http://141.218.60.56/~jnz1568/getInfo.php?workbook=16_15.xlsx&amp;sheet=A0&amp;row=1015&amp;col=11&amp;number=&amp;sourceID=54","")</f>
        <v/>
      </c>
      <c r="L1015" s="4" t="str">
        <f>HYPERLINK("http://141.218.60.56/~jnz1568/getInfo.php?workbook=16_15.xlsx&amp;sheet=A0&amp;row=1015&amp;col=12&amp;number=59.5568959259&amp;sourceID=53","59.5568959259")</f>
        <v>59.5568959259</v>
      </c>
      <c r="M1015" s="4" t="str">
        <f>HYPERLINK("http://141.218.60.56/~jnz1568/getInfo.php?workbook=16_15.xlsx&amp;sheet=A0&amp;row=1015&amp;col=13&amp;number=&amp;sourceID=53","")</f>
        <v/>
      </c>
      <c r="N1015" s="4" t="str">
        <f>HYPERLINK("http://141.218.60.56/~jnz1568/getInfo.php?workbook=16_15.xlsx&amp;sheet=A0&amp;row=1015&amp;col=14&amp;number=&amp;sourceID=53","")</f>
        <v/>
      </c>
      <c r="O1015" s="4" t="str">
        <f>HYPERLINK("http://141.218.60.56/~jnz1568/getInfo.php?workbook=16_15.xlsx&amp;sheet=A0&amp;row=1015&amp;col=15&amp;number=&amp;sourceID=55","")</f>
        <v/>
      </c>
      <c r="P1015" s="4" t="str">
        <f>HYPERLINK("http://141.218.60.56/~jnz1568/getInfo.php?workbook=16_15.xlsx&amp;sheet=A0&amp;row=1015&amp;col=16&amp;number=&amp;sourceID=55","")</f>
        <v/>
      </c>
      <c r="Q1015" s="4" t="str">
        <f>HYPERLINK("http://141.218.60.56/~jnz1568/getInfo.php?workbook=16_15.xlsx&amp;sheet=A0&amp;row=1015&amp;col=17&amp;number=&amp;sourceID=56","")</f>
        <v/>
      </c>
      <c r="R1015" s="4" t="str">
        <f>HYPERLINK("http://141.218.60.56/~jnz1568/getInfo.php?workbook=16_15.xlsx&amp;sheet=A0&amp;row=1015&amp;col=18&amp;number=&amp;sourceID=56","")</f>
        <v/>
      </c>
      <c r="S1015" s="4" t="str">
        <f>HYPERLINK("http://141.218.60.56/~jnz1568/getInfo.php?workbook=16_15.xlsx&amp;sheet=A0&amp;row=1015&amp;col=19&amp;number=&amp;sourceID=57","")</f>
        <v/>
      </c>
      <c r="T1015" s="4" t="str">
        <f>HYPERLINK("http://141.218.60.56/~jnz1568/getInfo.php?workbook=16_15.xlsx&amp;sheet=A0&amp;row=1015&amp;col=20&amp;number=&amp;sourceID=57","")</f>
        <v/>
      </c>
      <c r="U1015" s="4" t="str">
        <f>HYPERLINK("http://141.218.60.56/~jnz1568/getInfo.php?workbook=16_15.xlsx&amp;sheet=A0&amp;row=1015&amp;col=21&amp;number=&amp;sourceID=47","")</f>
        <v/>
      </c>
      <c r="V1015" s="4" t="str">
        <f>HYPERLINK("http://141.218.60.56/~jnz1568/getInfo.php?workbook=16_15.xlsx&amp;sheet=A0&amp;row=1015&amp;col=22&amp;number=&amp;sourceID=47","")</f>
        <v/>
      </c>
    </row>
    <row r="1016" spans="1:22">
      <c r="A1016" s="3">
        <v>16</v>
      </c>
      <c r="B1016" s="3">
        <v>15</v>
      </c>
      <c r="C1016" s="3">
        <v>51</v>
      </c>
      <c r="D1016" s="3">
        <v>41</v>
      </c>
      <c r="E1016" s="3">
        <f>((1/(INDEX(E0!J$4:J$73,C1016,1)-INDEX(E0!J$4:J$73,D1016,1))))*100000000</f>
        <v>0</v>
      </c>
      <c r="F1016" s="4" t="str">
        <f>HYPERLINK("http://141.218.60.56/~jnz1568/getInfo.php?workbook=16_15.xlsx&amp;sheet=A0&amp;row=1016&amp;col=6&amp;number=&amp;sourceID=54","")</f>
        <v/>
      </c>
      <c r="G1016" s="4" t="str">
        <f>HYPERLINK("http://141.218.60.56/~jnz1568/getInfo.php?workbook=16_15.xlsx&amp;sheet=A0&amp;row=1016&amp;col=7&amp;number=1.5573e-07&amp;sourceID=54","1.5573e-07")</f>
        <v>1.5573e-07</v>
      </c>
      <c r="H1016" s="4" t="str">
        <f>HYPERLINK("http://141.218.60.56/~jnz1568/getInfo.php?workbook=16_15.xlsx&amp;sheet=A0&amp;row=1016&amp;col=8&amp;number=&amp;sourceID=54","")</f>
        <v/>
      </c>
      <c r="I1016" s="4" t="str">
        <f>HYPERLINK("http://141.218.60.56/~jnz1568/getInfo.php?workbook=16_15.xlsx&amp;sheet=A0&amp;row=1016&amp;col=9&amp;number=&amp;sourceID=54","")</f>
        <v/>
      </c>
      <c r="J1016" s="4" t="str">
        <f>HYPERLINK("http://141.218.60.56/~jnz1568/getInfo.php?workbook=16_15.xlsx&amp;sheet=A0&amp;row=1016&amp;col=10&amp;number=5.1137e-07&amp;sourceID=54","5.1137e-07")</f>
        <v>5.1137e-07</v>
      </c>
      <c r="K1016" s="4" t="str">
        <f>HYPERLINK("http://141.218.60.56/~jnz1568/getInfo.php?workbook=16_15.xlsx&amp;sheet=A0&amp;row=1016&amp;col=11&amp;number=&amp;sourceID=54","")</f>
        <v/>
      </c>
      <c r="L1016" s="4" t="str">
        <f>HYPERLINK("http://141.218.60.56/~jnz1568/getInfo.php?workbook=16_15.xlsx&amp;sheet=A0&amp;row=1016&amp;col=12&amp;number=&amp;sourceID=53","")</f>
        <v/>
      </c>
      <c r="M1016" s="4" t="str">
        <f>HYPERLINK("http://141.218.60.56/~jnz1568/getInfo.php?workbook=16_15.xlsx&amp;sheet=A0&amp;row=1016&amp;col=13&amp;number=&amp;sourceID=53","")</f>
        <v/>
      </c>
      <c r="N1016" s="4" t="str">
        <f>HYPERLINK("http://141.218.60.56/~jnz1568/getInfo.php?workbook=16_15.xlsx&amp;sheet=A0&amp;row=1016&amp;col=14&amp;number=&amp;sourceID=53","")</f>
        <v/>
      </c>
      <c r="O1016" s="4" t="str">
        <f>HYPERLINK("http://141.218.60.56/~jnz1568/getInfo.php?workbook=16_15.xlsx&amp;sheet=A0&amp;row=1016&amp;col=15&amp;number=&amp;sourceID=55","")</f>
        <v/>
      </c>
      <c r="P1016" s="4" t="str">
        <f>HYPERLINK("http://141.218.60.56/~jnz1568/getInfo.php?workbook=16_15.xlsx&amp;sheet=A0&amp;row=1016&amp;col=16&amp;number=&amp;sourceID=55","")</f>
        <v/>
      </c>
      <c r="Q1016" s="4" t="str">
        <f>HYPERLINK("http://141.218.60.56/~jnz1568/getInfo.php?workbook=16_15.xlsx&amp;sheet=A0&amp;row=1016&amp;col=17&amp;number=&amp;sourceID=56","")</f>
        <v/>
      </c>
      <c r="R1016" s="4" t="str">
        <f>HYPERLINK("http://141.218.60.56/~jnz1568/getInfo.php?workbook=16_15.xlsx&amp;sheet=A0&amp;row=1016&amp;col=18&amp;number=&amp;sourceID=56","")</f>
        <v/>
      </c>
      <c r="S1016" s="4" t="str">
        <f>HYPERLINK("http://141.218.60.56/~jnz1568/getInfo.php?workbook=16_15.xlsx&amp;sheet=A0&amp;row=1016&amp;col=19&amp;number=&amp;sourceID=57","")</f>
        <v/>
      </c>
      <c r="T1016" s="4" t="str">
        <f>HYPERLINK("http://141.218.60.56/~jnz1568/getInfo.php?workbook=16_15.xlsx&amp;sheet=A0&amp;row=1016&amp;col=20&amp;number=&amp;sourceID=57","")</f>
        <v/>
      </c>
      <c r="U1016" s="4" t="str">
        <f>HYPERLINK("http://141.218.60.56/~jnz1568/getInfo.php?workbook=16_15.xlsx&amp;sheet=A0&amp;row=1016&amp;col=21&amp;number=&amp;sourceID=47","")</f>
        <v/>
      </c>
      <c r="V1016" s="4" t="str">
        <f>HYPERLINK("http://141.218.60.56/~jnz1568/getInfo.php?workbook=16_15.xlsx&amp;sheet=A0&amp;row=1016&amp;col=22&amp;number=&amp;sourceID=47","")</f>
        <v/>
      </c>
    </row>
    <row r="1017" spans="1:22">
      <c r="A1017" s="3">
        <v>16</v>
      </c>
      <c r="B1017" s="3">
        <v>15</v>
      </c>
      <c r="C1017" s="3">
        <v>51</v>
      </c>
      <c r="D1017" s="3">
        <v>42</v>
      </c>
      <c r="E1017" s="3">
        <f>((1/(INDEX(E0!J$4:J$73,C1017,1)-INDEX(E0!J$4:J$73,D1017,1))))*100000000</f>
        <v>0</v>
      </c>
      <c r="F1017" s="4" t="str">
        <f>HYPERLINK("http://141.218.60.56/~jnz1568/getInfo.php?workbook=16_15.xlsx&amp;sheet=A0&amp;row=1017&amp;col=6&amp;number=55.947&amp;sourceID=54","55.947")</f>
        <v>55.947</v>
      </c>
      <c r="G1017" s="4" t="str">
        <f>HYPERLINK("http://141.218.60.56/~jnz1568/getInfo.php?workbook=16_15.xlsx&amp;sheet=A0&amp;row=1017&amp;col=7&amp;number=&amp;sourceID=54","")</f>
        <v/>
      </c>
      <c r="H1017" s="4" t="str">
        <f>HYPERLINK("http://141.218.60.56/~jnz1568/getInfo.php?workbook=16_15.xlsx&amp;sheet=A0&amp;row=1017&amp;col=8&amp;number=&amp;sourceID=54","")</f>
        <v/>
      </c>
      <c r="I1017" s="4" t="str">
        <f>HYPERLINK("http://141.218.60.56/~jnz1568/getInfo.php?workbook=16_15.xlsx&amp;sheet=A0&amp;row=1017&amp;col=9&amp;number=53.431&amp;sourceID=54","53.431")</f>
        <v>53.431</v>
      </c>
      <c r="J1017" s="4" t="str">
        <f>HYPERLINK("http://141.218.60.56/~jnz1568/getInfo.php?workbook=16_15.xlsx&amp;sheet=A0&amp;row=1017&amp;col=10&amp;number=&amp;sourceID=54","")</f>
        <v/>
      </c>
      <c r="K1017" s="4" t="str">
        <f>HYPERLINK("http://141.218.60.56/~jnz1568/getInfo.php?workbook=16_15.xlsx&amp;sheet=A0&amp;row=1017&amp;col=11&amp;number=&amp;sourceID=54","")</f>
        <v/>
      </c>
      <c r="L1017" s="4" t="str">
        <f>HYPERLINK("http://141.218.60.56/~jnz1568/getInfo.php?workbook=16_15.xlsx&amp;sheet=A0&amp;row=1017&amp;col=12&amp;number=66.7306163163&amp;sourceID=53","66.7306163163")</f>
        <v>66.7306163163</v>
      </c>
      <c r="M1017" s="4" t="str">
        <f>HYPERLINK("http://141.218.60.56/~jnz1568/getInfo.php?workbook=16_15.xlsx&amp;sheet=A0&amp;row=1017&amp;col=13&amp;number=&amp;sourceID=53","")</f>
        <v/>
      </c>
      <c r="N1017" s="4" t="str">
        <f>HYPERLINK("http://141.218.60.56/~jnz1568/getInfo.php?workbook=16_15.xlsx&amp;sheet=A0&amp;row=1017&amp;col=14&amp;number=&amp;sourceID=53","")</f>
        <v/>
      </c>
      <c r="O1017" s="4" t="str">
        <f>HYPERLINK("http://141.218.60.56/~jnz1568/getInfo.php?workbook=16_15.xlsx&amp;sheet=A0&amp;row=1017&amp;col=15&amp;number=&amp;sourceID=55","")</f>
        <v/>
      </c>
      <c r="P1017" s="4" t="str">
        <f>HYPERLINK("http://141.218.60.56/~jnz1568/getInfo.php?workbook=16_15.xlsx&amp;sheet=A0&amp;row=1017&amp;col=16&amp;number=&amp;sourceID=55","")</f>
        <v/>
      </c>
      <c r="Q1017" s="4" t="str">
        <f>HYPERLINK("http://141.218.60.56/~jnz1568/getInfo.php?workbook=16_15.xlsx&amp;sheet=A0&amp;row=1017&amp;col=17&amp;number=&amp;sourceID=56","")</f>
        <v/>
      </c>
      <c r="R1017" s="4" t="str">
        <f>HYPERLINK("http://141.218.60.56/~jnz1568/getInfo.php?workbook=16_15.xlsx&amp;sheet=A0&amp;row=1017&amp;col=18&amp;number=&amp;sourceID=56","")</f>
        <v/>
      </c>
      <c r="S1017" s="4" t="str">
        <f>HYPERLINK("http://141.218.60.56/~jnz1568/getInfo.php?workbook=16_15.xlsx&amp;sheet=A0&amp;row=1017&amp;col=19&amp;number=&amp;sourceID=57","")</f>
        <v/>
      </c>
      <c r="T1017" s="4" t="str">
        <f>HYPERLINK("http://141.218.60.56/~jnz1568/getInfo.php?workbook=16_15.xlsx&amp;sheet=A0&amp;row=1017&amp;col=20&amp;number=&amp;sourceID=57","")</f>
        <v/>
      </c>
      <c r="U1017" s="4" t="str">
        <f>HYPERLINK("http://141.218.60.56/~jnz1568/getInfo.php?workbook=16_15.xlsx&amp;sheet=A0&amp;row=1017&amp;col=21&amp;number=&amp;sourceID=47","")</f>
        <v/>
      </c>
      <c r="V1017" s="4" t="str">
        <f>HYPERLINK("http://141.218.60.56/~jnz1568/getInfo.php?workbook=16_15.xlsx&amp;sheet=A0&amp;row=1017&amp;col=22&amp;number=&amp;sourceID=47","")</f>
        <v/>
      </c>
    </row>
    <row r="1018" spans="1:22">
      <c r="A1018" s="3">
        <v>16</v>
      </c>
      <c r="B1018" s="3">
        <v>15</v>
      </c>
      <c r="C1018" s="3">
        <v>51</v>
      </c>
      <c r="D1018" s="3">
        <v>43</v>
      </c>
      <c r="E1018" s="3">
        <f>((1/(INDEX(E0!J$4:J$73,C1018,1)-INDEX(E0!J$4:J$73,D1018,1))))*100000000</f>
        <v>0</v>
      </c>
      <c r="F1018" s="4" t="str">
        <f>HYPERLINK("http://141.218.60.56/~jnz1568/getInfo.php?workbook=16_15.xlsx&amp;sheet=A0&amp;row=1018&amp;col=6&amp;number=&amp;sourceID=54","")</f>
        <v/>
      </c>
      <c r="G1018" s="4" t="str">
        <f>HYPERLINK("http://141.218.60.56/~jnz1568/getInfo.php?workbook=16_15.xlsx&amp;sheet=A0&amp;row=1018&amp;col=7&amp;number=3.8133e-09&amp;sourceID=54","3.8133e-09")</f>
        <v>3.8133e-09</v>
      </c>
      <c r="H1018" s="4" t="str">
        <f>HYPERLINK("http://141.218.60.56/~jnz1568/getInfo.php?workbook=16_15.xlsx&amp;sheet=A0&amp;row=1018&amp;col=8&amp;number=0.00032488&amp;sourceID=54","0.00032488")</f>
        <v>0.00032488</v>
      </c>
      <c r="I1018" s="4" t="str">
        <f>HYPERLINK("http://141.218.60.56/~jnz1568/getInfo.php?workbook=16_15.xlsx&amp;sheet=A0&amp;row=1018&amp;col=9&amp;number=&amp;sourceID=54","")</f>
        <v/>
      </c>
      <c r="J1018" s="4" t="str">
        <f>HYPERLINK("http://141.218.60.56/~jnz1568/getInfo.php?workbook=16_15.xlsx&amp;sheet=A0&amp;row=1018&amp;col=10&amp;number=2.0563e-08&amp;sourceID=54","2.0563e-08")</f>
        <v>2.0563e-08</v>
      </c>
      <c r="K1018" s="4" t="str">
        <f>HYPERLINK("http://141.218.60.56/~jnz1568/getInfo.php?workbook=16_15.xlsx&amp;sheet=A0&amp;row=1018&amp;col=11&amp;number=0.00062112&amp;sourceID=54","0.00062112")</f>
        <v>0.00062112</v>
      </c>
      <c r="L1018" s="4" t="str">
        <f>HYPERLINK("http://141.218.60.56/~jnz1568/getInfo.php?workbook=16_15.xlsx&amp;sheet=A0&amp;row=1018&amp;col=12&amp;number=&amp;sourceID=53","")</f>
        <v/>
      </c>
      <c r="M1018" s="4" t="str">
        <f>HYPERLINK("http://141.218.60.56/~jnz1568/getInfo.php?workbook=16_15.xlsx&amp;sheet=A0&amp;row=1018&amp;col=13&amp;number=&amp;sourceID=53","")</f>
        <v/>
      </c>
      <c r="N1018" s="4" t="str">
        <f>HYPERLINK("http://141.218.60.56/~jnz1568/getInfo.php?workbook=16_15.xlsx&amp;sheet=A0&amp;row=1018&amp;col=14&amp;number=&amp;sourceID=53","")</f>
        <v/>
      </c>
      <c r="O1018" s="4" t="str">
        <f>HYPERLINK("http://141.218.60.56/~jnz1568/getInfo.php?workbook=16_15.xlsx&amp;sheet=A0&amp;row=1018&amp;col=15&amp;number=&amp;sourceID=55","")</f>
        <v/>
      </c>
      <c r="P1018" s="4" t="str">
        <f>HYPERLINK("http://141.218.60.56/~jnz1568/getInfo.php?workbook=16_15.xlsx&amp;sheet=A0&amp;row=1018&amp;col=16&amp;number=&amp;sourceID=55","")</f>
        <v/>
      </c>
      <c r="Q1018" s="4" t="str">
        <f>HYPERLINK("http://141.218.60.56/~jnz1568/getInfo.php?workbook=16_15.xlsx&amp;sheet=A0&amp;row=1018&amp;col=17&amp;number=&amp;sourceID=56","")</f>
        <v/>
      </c>
      <c r="R1018" s="4" t="str">
        <f>HYPERLINK("http://141.218.60.56/~jnz1568/getInfo.php?workbook=16_15.xlsx&amp;sheet=A0&amp;row=1018&amp;col=18&amp;number=&amp;sourceID=56","")</f>
        <v/>
      </c>
      <c r="S1018" s="4" t="str">
        <f>HYPERLINK("http://141.218.60.56/~jnz1568/getInfo.php?workbook=16_15.xlsx&amp;sheet=A0&amp;row=1018&amp;col=19&amp;number=&amp;sourceID=57","")</f>
        <v/>
      </c>
      <c r="T1018" s="4" t="str">
        <f>HYPERLINK("http://141.218.60.56/~jnz1568/getInfo.php?workbook=16_15.xlsx&amp;sheet=A0&amp;row=1018&amp;col=20&amp;number=&amp;sourceID=57","")</f>
        <v/>
      </c>
      <c r="U1018" s="4" t="str">
        <f>HYPERLINK("http://141.218.60.56/~jnz1568/getInfo.php?workbook=16_15.xlsx&amp;sheet=A0&amp;row=1018&amp;col=21&amp;number=&amp;sourceID=47","")</f>
        <v/>
      </c>
      <c r="V1018" s="4" t="str">
        <f>HYPERLINK("http://141.218.60.56/~jnz1568/getInfo.php?workbook=16_15.xlsx&amp;sheet=A0&amp;row=1018&amp;col=22&amp;number=&amp;sourceID=47","")</f>
        <v/>
      </c>
    </row>
    <row r="1019" spans="1:22">
      <c r="A1019" s="3">
        <v>16</v>
      </c>
      <c r="B1019" s="3">
        <v>15</v>
      </c>
      <c r="C1019" s="3">
        <v>51</v>
      </c>
      <c r="D1019" s="3">
        <v>44</v>
      </c>
      <c r="E1019" s="3">
        <f>((1/(INDEX(E0!J$4:J$73,C1019,1)-INDEX(E0!J$4:J$73,D1019,1))))*100000000</f>
        <v>0</v>
      </c>
      <c r="F1019" s="4" t="str">
        <f>HYPERLINK("http://141.218.60.56/~jnz1568/getInfo.php?workbook=16_15.xlsx&amp;sheet=A0&amp;row=1019&amp;col=6&amp;number=&amp;sourceID=54","")</f>
        <v/>
      </c>
      <c r="G1019" s="4" t="str">
        <f>HYPERLINK("http://141.218.60.56/~jnz1568/getInfo.php?workbook=16_15.xlsx&amp;sheet=A0&amp;row=1019&amp;col=7&amp;number=&amp;sourceID=54","")</f>
        <v/>
      </c>
      <c r="H1019" s="4" t="str">
        <f>HYPERLINK("http://141.218.60.56/~jnz1568/getInfo.php?workbook=16_15.xlsx&amp;sheet=A0&amp;row=1019&amp;col=8&amp;number=6.0492e-05&amp;sourceID=54","6.0492e-05")</f>
        <v>6.0492e-05</v>
      </c>
      <c r="I1019" s="4" t="str">
        <f>HYPERLINK("http://141.218.60.56/~jnz1568/getInfo.php?workbook=16_15.xlsx&amp;sheet=A0&amp;row=1019&amp;col=9&amp;number=&amp;sourceID=54","")</f>
        <v/>
      </c>
      <c r="J1019" s="4" t="str">
        <f>HYPERLINK("http://141.218.60.56/~jnz1568/getInfo.php?workbook=16_15.xlsx&amp;sheet=A0&amp;row=1019&amp;col=10&amp;number=&amp;sourceID=54","")</f>
        <v/>
      </c>
      <c r="K1019" s="4" t="str">
        <f>HYPERLINK("http://141.218.60.56/~jnz1568/getInfo.php?workbook=16_15.xlsx&amp;sheet=A0&amp;row=1019&amp;col=11&amp;number=0.00027711&amp;sourceID=54","0.00027711")</f>
        <v>0.00027711</v>
      </c>
      <c r="L1019" s="4" t="str">
        <f>HYPERLINK("http://141.218.60.56/~jnz1568/getInfo.php?workbook=16_15.xlsx&amp;sheet=A0&amp;row=1019&amp;col=12&amp;number=&amp;sourceID=53","")</f>
        <v/>
      </c>
      <c r="M1019" s="4" t="str">
        <f>HYPERLINK("http://141.218.60.56/~jnz1568/getInfo.php?workbook=16_15.xlsx&amp;sheet=A0&amp;row=1019&amp;col=13&amp;number=&amp;sourceID=53","")</f>
        <v/>
      </c>
      <c r="N1019" s="4" t="str">
        <f>HYPERLINK("http://141.218.60.56/~jnz1568/getInfo.php?workbook=16_15.xlsx&amp;sheet=A0&amp;row=1019&amp;col=14&amp;number=&amp;sourceID=53","")</f>
        <v/>
      </c>
      <c r="O1019" s="4" t="str">
        <f>HYPERLINK("http://141.218.60.56/~jnz1568/getInfo.php?workbook=16_15.xlsx&amp;sheet=A0&amp;row=1019&amp;col=15&amp;number=&amp;sourceID=55","")</f>
        <v/>
      </c>
      <c r="P1019" s="4" t="str">
        <f>HYPERLINK("http://141.218.60.56/~jnz1568/getInfo.php?workbook=16_15.xlsx&amp;sheet=A0&amp;row=1019&amp;col=16&amp;number=&amp;sourceID=55","")</f>
        <v/>
      </c>
      <c r="Q1019" s="4" t="str">
        <f>HYPERLINK("http://141.218.60.56/~jnz1568/getInfo.php?workbook=16_15.xlsx&amp;sheet=A0&amp;row=1019&amp;col=17&amp;number=&amp;sourceID=56","")</f>
        <v/>
      </c>
      <c r="R1019" s="4" t="str">
        <f>HYPERLINK("http://141.218.60.56/~jnz1568/getInfo.php?workbook=16_15.xlsx&amp;sheet=A0&amp;row=1019&amp;col=18&amp;number=&amp;sourceID=56","")</f>
        <v/>
      </c>
      <c r="S1019" s="4" t="str">
        <f>HYPERLINK("http://141.218.60.56/~jnz1568/getInfo.php?workbook=16_15.xlsx&amp;sheet=A0&amp;row=1019&amp;col=19&amp;number=&amp;sourceID=57","")</f>
        <v/>
      </c>
      <c r="T1019" s="4" t="str">
        <f>HYPERLINK("http://141.218.60.56/~jnz1568/getInfo.php?workbook=16_15.xlsx&amp;sheet=A0&amp;row=1019&amp;col=20&amp;number=&amp;sourceID=57","")</f>
        <v/>
      </c>
      <c r="U1019" s="4" t="str">
        <f>HYPERLINK("http://141.218.60.56/~jnz1568/getInfo.php?workbook=16_15.xlsx&amp;sheet=A0&amp;row=1019&amp;col=21&amp;number=&amp;sourceID=47","")</f>
        <v/>
      </c>
      <c r="V1019" s="4" t="str">
        <f>HYPERLINK("http://141.218.60.56/~jnz1568/getInfo.php?workbook=16_15.xlsx&amp;sheet=A0&amp;row=1019&amp;col=22&amp;number=&amp;sourceID=47","")</f>
        <v/>
      </c>
    </row>
    <row r="1020" spans="1:22">
      <c r="A1020" s="3">
        <v>16</v>
      </c>
      <c r="B1020" s="3">
        <v>15</v>
      </c>
      <c r="C1020" s="3">
        <v>51</v>
      </c>
      <c r="D1020" s="3">
        <v>45</v>
      </c>
      <c r="E1020" s="3">
        <f>((1/(INDEX(E0!J$4:J$73,C1020,1)-INDEX(E0!J$4:J$73,D1020,1))))*100000000</f>
        <v>0</v>
      </c>
      <c r="F1020" s="4" t="str">
        <f>HYPERLINK("http://141.218.60.56/~jnz1568/getInfo.php?workbook=16_15.xlsx&amp;sheet=A0&amp;row=1020&amp;col=6&amp;number=14.441&amp;sourceID=54","14.441")</f>
        <v>14.441</v>
      </c>
      <c r="G1020" s="4" t="str">
        <f>HYPERLINK("http://141.218.60.56/~jnz1568/getInfo.php?workbook=16_15.xlsx&amp;sheet=A0&amp;row=1020&amp;col=7&amp;number=&amp;sourceID=54","")</f>
        <v/>
      </c>
      <c r="H1020" s="4" t="str">
        <f>HYPERLINK("http://141.218.60.56/~jnz1568/getInfo.php?workbook=16_15.xlsx&amp;sheet=A0&amp;row=1020&amp;col=8&amp;number=&amp;sourceID=54","")</f>
        <v/>
      </c>
      <c r="I1020" s="4" t="str">
        <f>HYPERLINK("http://141.218.60.56/~jnz1568/getInfo.php?workbook=16_15.xlsx&amp;sheet=A0&amp;row=1020&amp;col=9&amp;number=18.336&amp;sourceID=54","18.336")</f>
        <v>18.336</v>
      </c>
      <c r="J1020" s="4" t="str">
        <f>HYPERLINK("http://141.218.60.56/~jnz1568/getInfo.php?workbook=16_15.xlsx&amp;sheet=A0&amp;row=1020&amp;col=10&amp;number=&amp;sourceID=54","")</f>
        <v/>
      </c>
      <c r="K1020" s="4" t="str">
        <f>HYPERLINK("http://141.218.60.56/~jnz1568/getInfo.php?workbook=16_15.xlsx&amp;sheet=A0&amp;row=1020&amp;col=11&amp;number=&amp;sourceID=54","")</f>
        <v/>
      </c>
      <c r="L1020" s="4" t="str">
        <f>HYPERLINK("http://141.218.60.56/~jnz1568/getInfo.php?workbook=16_15.xlsx&amp;sheet=A0&amp;row=1020&amp;col=12&amp;number=21.4159749574&amp;sourceID=53","21.4159749574")</f>
        <v>21.4159749574</v>
      </c>
      <c r="M1020" s="4" t="str">
        <f>HYPERLINK("http://141.218.60.56/~jnz1568/getInfo.php?workbook=16_15.xlsx&amp;sheet=A0&amp;row=1020&amp;col=13&amp;number=&amp;sourceID=53","")</f>
        <v/>
      </c>
      <c r="N1020" s="4" t="str">
        <f>HYPERLINK("http://141.218.60.56/~jnz1568/getInfo.php?workbook=16_15.xlsx&amp;sheet=A0&amp;row=1020&amp;col=14&amp;number=&amp;sourceID=53","")</f>
        <v/>
      </c>
      <c r="O1020" s="4" t="str">
        <f>HYPERLINK("http://141.218.60.56/~jnz1568/getInfo.php?workbook=16_15.xlsx&amp;sheet=A0&amp;row=1020&amp;col=15&amp;number=&amp;sourceID=55","")</f>
        <v/>
      </c>
      <c r="P1020" s="4" t="str">
        <f>HYPERLINK("http://141.218.60.56/~jnz1568/getInfo.php?workbook=16_15.xlsx&amp;sheet=A0&amp;row=1020&amp;col=16&amp;number=&amp;sourceID=55","")</f>
        <v/>
      </c>
      <c r="Q1020" s="4" t="str">
        <f>HYPERLINK("http://141.218.60.56/~jnz1568/getInfo.php?workbook=16_15.xlsx&amp;sheet=A0&amp;row=1020&amp;col=17&amp;number=&amp;sourceID=56","")</f>
        <v/>
      </c>
      <c r="R1020" s="4" t="str">
        <f>HYPERLINK("http://141.218.60.56/~jnz1568/getInfo.php?workbook=16_15.xlsx&amp;sheet=A0&amp;row=1020&amp;col=18&amp;number=&amp;sourceID=56","")</f>
        <v/>
      </c>
      <c r="S1020" s="4" t="str">
        <f>HYPERLINK("http://141.218.60.56/~jnz1568/getInfo.php?workbook=16_15.xlsx&amp;sheet=A0&amp;row=1020&amp;col=19&amp;number=&amp;sourceID=57","")</f>
        <v/>
      </c>
      <c r="T1020" s="4" t="str">
        <f>HYPERLINK("http://141.218.60.56/~jnz1568/getInfo.php?workbook=16_15.xlsx&amp;sheet=A0&amp;row=1020&amp;col=20&amp;number=&amp;sourceID=57","")</f>
        <v/>
      </c>
      <c r="U1020" s="4" t="str">
        <f>HYPERLINK("http://141.218.60.56/~jnz1568/getInfo.php?workbook=16_15.xlsx&amp;sheet=A0&amp;row=1020&amp;col=21&amp;number=&amp;sourceID=47","")</f>
        <v/>
      </c>
      <c r="V1020" s="4" t="str">
        <f>HYPERLINK("http://141.218.60.56/~jnz1568/getInfo.php?workbook=16_15.xlsx&amp;sheet=A0&amp;row=1020&amp;col=22&amp;number=&amp;sourceID=47","")</f>
        <v/>
      </c>
    </row>
    <row r="1021" spans="1:22">
      <c r="A1021" s="3">
        <v>16</v>
      </c>
      <c r="B1021" s="3">
        <v>15</v>
      </c>
      <c r="C1021" s="3">
        <v>51</v>
      </c>
      <c r="D1021" s="3">
        <v>47</v>
      </c>
      <c r="E1021" s="3">
        <f>((1/(INDEX(E0!J$4:J$73,C1021,1)-INDEX(E0!J$4:J$73,D1021,1))))*100000000</f>
        <v>0</v>
      </c>
      <c r="F1021" s="4" t="str">
        <f>HYPERLINK("http://141.218.60.56/~jnz1568/getInfo.php?workbook=16_15.xlsx&amp;sheet=A0&amp;row=1021&amp;col=6&amp;number=5044.2&amp;sourceID=54","5044.2")</f>
        <v>5044.2</v>
      </c>
      <c r="G1021" s="4" t="str">
        <f>HYPERLINK("http://141.218.60.56/~jnz1568/getInfo.php?workbook=16_15.xlsx&amp;sheet=A0&amp;row=1021&amp;col=7&amp;number=&amp;sourceID=54","")</f>
        <v/>
      </c>
      <c r="H1021" s="4" t="str">
        <f>HYPERLINK("http://141.218.60.56/~jnz1568/getInfo.php?workbook=16_15.xlsx&amp;sheet=A0&amp;row=1021&amp;col=8&amp;number=&amp;sourceID=54","")</f>
        <v/>
      </c>
      <c r="I1021" s="4" t="str">
        <f>HYPERLINK("http://141.218.60.56/~jnz1568/getInfo.php?workbook=16_15.xlsx&amp;sheet=A0&amp;row=1021&amp;col=9&amp;number=5087.5&amp;sourceID=54","5087.5")</f>
        <v>5087.5</v>
      </c>
      <c r="J1021" s="4" t="str">
        <f>HYPERLINK("http://141.218.60.56/~jnz1568/getInfo.php?workbook=16_15.xlsx&amp;sheet=A0&amp;row=1021&amp;col=10&amp;number=&amp;sourceID=54","")</f>
        <v/>
      </c>
      <c r="K1021" s="4" t="str">
        <f>HYPERLINK("http://141.218.60.56/~jnz1568/getInfo.php?workbook=16_15.xlsx&amp;sheet=A0&amp;row=1021&amp;col=11&amp;number=&amp;sourceID=54","")</f>
        <v/>
      </c>
      <c r="L1021" s="4" t="str">
        <f>HYPERLINK("http://141.218.60.56/~jnz1568/getInfo.php?workbook=16_15.xlsx&amp;sheet=A0&amp;row=1021&amp;col=12&amp;number=7983.2633328&amp;sourceID=53","7983.2633328")</f>
        <v>7983.2633328</v>
      </c>
      <c r="M1021" s="4" t="str">
        <f>HYPERLINK("http://141.218.60.56/~jnz1568/getInfo.php?workbook=16_15.xlsx&amp;sheet=A0&amp;row=1021&amp;col=13&amp;number=&amp;sourceID=53","")</f>
        <v/>
      </c>
      <c r="N1021" s="4" t="str">
        <f>HYPERLINK("http://141.218.60.56/~jnz1568/getInfo.php?workbook=16_15.xlsx&amp;sheet=A0&amp;row=1021&amp;col=14&amp;number=&amp;sourceID=53","")</f>
        <v/>
      </c>
      <c r="O1021" s="4" t="str">
        <f>HYPERLINK("http://141.218.60.56/~jnz1568/getInfo.php?workbook=16_15.xlsx&amp;sheet=A0&amp;row=1021&amp;col=15&amp;number=&amp;sourceID=55","")</f>
        <v/>
      </c>
      <c r="P1021" s="4" t="str">
        <f>HYPERLINK("http://141.218.60.56/~jnz1568/getInfo.php?workbook=16_15.xlsx&amp;sheet=A0&amp;row=1021&amp;col=16&amp;number=&amp;sourceID=55","")</f>
        <v/>
      </c>
      <c r="Q1021" s="4" t="str">
        <f>HYPERLINK("http://141.218.60.56/~jnz1568/getInfo.php?workbook=16_15.xlsx&amp;sheet=A0&amp;row=1021&amp;col=17&amp;number=&amp;sourceID=56","")</f>
        <v/>
      </c>
      <c r="R1021" s="4" t="str">
        <f>HYPERLINK("http://141.218.60.56/~jnz1568/getInfo.php?workbook=16_15.xlsx&amp;sheet=A0&amp;row=1021&amp;col=18&amp;number=&amp;sourceID=56","")</f>
        <v/>
      </c>
      <c r="S1021" s="4" t="str">
        <f>HYPERLINK("http://141.218.60.56/~jnz1568/getInfo.php?workbook=16_15.xlsx&amp;sheet=A0&amp;row=1021&amp;col=19&amp;number=&amp;sourceID=57","")</f>
        <v/>
      </c>
      <c r="T1021" s="4" t="str">
        <f>HYPERLINK("http://141.218.60.56/~jnz1568/getInfo.php?workbook=16_15.xlsx&amp;sheet=A0&amp;row=1021&amp;col=20&amp;number=&amp;sourceID=57","")</f>
        <v/>
      </c>
      <c r="U1021" s="4" t="str">
        <f>HYPERLINK("http://141.218.60.56/~jnz1568/getInfo.php?workbook=16_15.xlsx&amp;sheet=A0&amp;row=1021&amp;col=21&amp;number=&amp;sourceID=47","")</f>
        <v/>
      </c>
      <c r="V1021" s="4" t="str">
        <f>HYPERLINK("http://141.218.60.56/~jnz1568/getInfo.php?workbook=16_15.xlsx&amp;sheet=A0&amp;row=1021&amp;col=22&amp;number=&amp;sourceID=47","")</f>
        <v/>
      </c>
    </row>
    <row r="1022" spans="1:22">
      <c r="A1022" s="3">
        <v>16</v>
      </c>
      <c r="B1022" s="3">
        <v>15</v>
      </c>
      <c r="C1022" s="3">
        <v>51</v>
      </c>
      <c r="D1022" s="3">
        <v>48</v>
      </c>
      <c r="E1022" s="3">
        <f>((1/(INDEX(E0!J$4:J$73,C1022,1)-INDEX(E0!J$4:J$73,D1022,1))))*100000000</f>
        <v>0</v>
      </c>
      <c r="F1022" s="4" t="str">
        <f>HYPERLINK("http://141.218.60.56/~jnz1568/getInfo.php?workbook=16_15.xlsx&amp;sheet=A0&amp;row=1022&amp;col=6&amp;number=&amp;sourceID=54","")</f>
        <v/>
      </c>
      <c r="G1022" s="4" t="str">
        <f>HYPERLINK("http://141.218.60.56/~jnz1568/getInfo.php?workbook=16_15.xlsx&amp;sheet=A0&amp;row=1022&amp;col=7&amp;number=3.3937e-05&amp;sourceID=54","3.3937e-05")</f>
        <v>3.3937e-05</v>
      </c>
      <c r="H1022" s="4" t="str">
        <f>HYPERLINK("http://141.218.60.56/~jnz1568/getInfo.php?workbook=16_15.xlsx&amp;sheet=A0&amp;row=1022&amp;col=8&amp;number=5.8395e-10&amp;sourceID=54","5.8395e-10")</f>
        <v>5.8395e-10</v>
      </c>
      <c r="I1022" s="4" t="str">
        <f>HYPERLINK("http://141.218.60.56/~jnz1568/getInfo.php?workbook=16_15.xlsx&amp;sheet=A0&amp;row=1022&amp;col=9&amp;number=&amp;sourceID=54","")</f>
        <v/>
      </c>
      <c r="J1022" s="4" t="str">
        <f>HYPERLINK("http://141.218.60.56/~jnz1568/getInfo.php?workbook=16_15.xlsx&amp;sheet=A0&amp;row=1022&amp;col=10&amp;number=0.00017883&amp;sourceID=54","0.00017883")</f>
        <v>0.00017883</v>
      </c>
      <c r="K1022" s="4" t="str">
        <f>HYPERLINK("http://141.218.60.56/~jnz1568/getInfo.php?workbook=16_15.xlsx&amp;sheet=A0&amp;row=1022&amp;col=11&amp;number=2.0049e-09&amp;sourceID=54","2.0049e-09")</f>
        <v>2.0049e-09</v>
      </c>
      <c r="L1022" s="4" t="str">
        <f>HYPERLINK("http://141.218.60.56/~jnz1568/getInfo.php?workbook=16_15.xlsx&amp;sheet=A0&amp;row=1022&amp;col=12&amp;number=&amp;sourceID=53","")</f>
        <v/>
      </c>
      <c r="M1022" s="4" t="str">
        <f>HYPERLINK("http://141.218.60.56/~jnz1568/getInfo.php?workbook=16_15.xlsx&amp;sheet=A0&amp;row=1022&amp;col=13&amp;number=&amp;sourceID=53","")</f>
        <v/>
      </c>
      <c r="N1022" s="4" t="str">
        <f>HYPERLINK("http://141.218.60.56/~jnz1568/getInfo.php?workbook=16_15.xlsx&amp;sheet=A0&amp;row=1022&amp;col=14&amp;number=&amp;sourceID=53","")</f>
        <v/>
      </c>
      <c r="O1022" s="4" t="str">
        <f>HYPERLINK("http://141.218.60.56/~jnz1568/getInfo.php?workbook=16_15.xlsx&amp;sheet=A0&amp;row=1022&amp;col=15&amp;number=&amp;sourceID=55","")</f>
        <v/>
      </c>
      <c r="P1022" s="4" t="str">
        <f>HYPERLINK("http://141.218.60.56/~jnz1568/getInfo.php?workbook=16_15.xlsx&amp;sheet=A0&amp;row=1022&amp;col=16&amp;number=&amp;sourceID=55","")</f>
        <v/>
      </c>
      <c r="Q1022" s="4" t="str">
        <f>HYPERLINK("http://141.218.60.56/~jnz1568/getInfo.php?workbook=16_15.xlsx&amp;sheet=A0&amp;row=1022&amp;col=17&amp;number=&amp;sourceID=56","")</f>
        <v/>
      </c>
      <c r="R1022" s="4" t="str">
        <f>HYPERLINK("http://141.218.60.56/~jnz1568/getInfo.php?workbook=16_15.xlsx&amp;sheet=A0&amp;row=1022&amp;col=18&amp;number=&amp;sourceID=56","")</f>
        <v/>
      </c>
      <c r="S1022" s="4" t="str">
        <f>HYPERLINK("http://141.218.60.56/~jnz1568/getInfo.php?workbook=16_15.xlsx&amp;sheet=A0&amp;row=1022&amp;col=19&amp;number=&amp;sourceID=57","")</f>
        <v/>
      </c>
      <c r="T1022" s="4" t="str">
        <f>HYPERLINK("http://141.218.60.56/~jnz1568/getInfo.php?workbook=16_15.xlsx&amp;sheet=A0&amp;row=1022&amp;col=20&amp;number=&amp;sourceID=57","")</f>
        <v/>
      </c>
      <c r="U1022" s="4" t="str">
        <f>HYPERLINK("http://141.218.60.56/~jnz1568/getInfo.php?workbook=16_15.xlsx&amp;sheet=A0&amp;row=1022&amp;col=21&amp;number=&amp;sourceID=47","")</f>
        <v/>
      </c>
      <c r="V1022" s="4" t="str">
        <f>HYPERLINK("http://141.218.60.56/~jnz1568/getInfo.php?workbook=16_15.xlsx&amp;sheet=A0&amp;row=1022&amp;col=22&amp;number=&amp;sourceID=47","")</f>
        <v/>
      </c>
    </row>
    <row r="1023" spans="1:22">
      <c r="A1023" s="3">
        <v>16</v>
      </c>
      <c r="B1023" s="3">
        <v>15</v>
      </c>
      <c r="C1023" s="3">
        <v>51</v>
      </c>
      <c r="D1023" s="3">
        <v>49</v>
      </c>
      <c r="E1023" s="3">
        <f>((1/(INDEX(E0!J$4:J$73,C1023,1)-INDEX(E0!J$4:J$73,D1023,1))))*100000000</f>
        <v>0</v>
      </c>
      <c r="F1023" s="4" t="str">
        <f>HYPERLINK("http://141.218.60.56/~jnz1568/getInfo.php?workbook=16_15.xlsx&amp;sheet=A0&amp;row=1023&amp;col=6&amp;number=9971.8&amp;sourceID=54","9971.8")</f>
        <v>9971.8</v>
      </c>
      <c r="G1023" s="4" t="str">
        <f>HYPERLINK("http://141.218.60.56/~jnz1568/getInfo.php?workbook=16_15.xlsx&amp;sheet=A0&amp;row=1023&amp;col=7&amp;number=&amp;sourceID=54","")</f>
        <v/>
      </c>
      <c r="H1023" s="4" t="str">
        <f>HYPERLINK("http://141.218.60.56/~jnz1568/getInfo.php?workbook=16_15.xlsx&amp;sheet=A0&amp;row=1023&amp;col=8&amp;number=&amp;sourceID=54","")</f>
        <v/>
      </c>
      <c r="I1023" s="4" t="str">
        <f>HYPERLINK("http://141.218.60.56/~jnz1568/getInfo.php?workbook=16_15.xlsx&amp;sheet=A0&amp;row=1023&amp;col=9&amp;number=10049&amp;sourceID=54","10049")</f>
        <v>10049</v>
      </c>
      <c r="J1023" s="4" t="str">
        <f>HYPERLINK("http://141.218.60.56/~jnz1568/getInfo.php?workbook=16_15.xlsx&amp;sheet=A0&amp;row=1023&amp;col=10&amp;number=&amp;sourceID=54","")</f>
        <v/>
      </c>
      <c r="K1023" s="4" t="str">
        <f>HYPERLINK("http://141.218.60.56/~jnz1568/getInfo.php?workbook=16_15.xlsx&amp;sheet=A0&amp;row=1023&amp;col=11&amp;number=&amp;sourceID=54","")</f>
        <v/>
      </c>
      <c r="L1023" s="4" t="str">
        <f>HYPERLINK("http://141.218.60.56/~jnz1568/getInfo.php?workbook=16_15.xlsx&amp;sheet=A0&amp;row=1023&amp;col=12&amp;number=15754.5259729&amp;sourceID=53","15754.5259729")</f>
        <v>15754.5259729</v>
      </c>
      <c r="M1023" s="4" t="str">
        <f>HYPERLINK("http://141.218.60.56/~jnz1568/getInfo.php?workbook=16_15.xlsx&amp;sheet=A0&amp;row=1023&amp;col=13&amp;number=&amp;sourceID=53","")</f>
        <v/>
      </c>
      <c r="N1023" s="4" t="str">
        <f>HYPERLINK("http://141.218.60.56/~jnz1568/getInfo.php?workbook=16_15.xlsx&amp;sheet=A0&amp;row=1023&amp;col=14&amp;number=&amp;sourceID=53","")</f>
        <v/>
      </c>
      <c r="O1023" s="4" t="str">
        <f>HYPERLINK("http://141.218.60.56/~jnz1568/getInfo.php?workbook=16_15.xlsx&amp;sheet=A0&amp;row=1023&amp;col=15&amp;number=&amp;sourceID=55","")</f>
        <v/>
      </c>
      <c r="P1023" s="4" t="str">
        <f>HYPERLINK("http://141.218.60.56/~jnz1568/getInfo.php?workbook=16_15.xlsx&amp;sheet=A0&amp;row=1023&amp;col=16&amp;number=&amp;sourceID=55","")</f>
        <v/>
      </c>
      <c r="Q1023" s="4" t="str">
        <f>HYPERLINK("http://141.218.60.56/~jnz1568/getInfo.php?workbook=16_15.xlsx&amp;sheet=A0&amp;row=1023&amp;col=17&amp;number=&amp;sourceID=56","")</f>
        <v/>
      </c>
      <c r="R1023" s="4" t="str">
        <f>HYPERLINK("http://141.218.60.56/~jnz1568/getInfo.php?workbook=16_15.xlsx&amp;sheet=A0&amp;row=1023&amp;col=18&amp;number=&amp;sourceID=56","")</f>
        <v/>
      </c>
      <c r="S1023" s="4" t="str">
        <f>HYPERLINK("http://141.218.60.56/~jnz1568/getInfo.php?workbook=16_15.xlsx&amp;sheet=A0&amp;row=1023&amp;col=19&amp;number=&amp;sourceID=57","")</f>
        <v/>
      </c>
      <c r="T1023" s="4" t="str">
        <f>HYPERLINK("http://141.218.60.56/~jnz1568/getInfo.php?workbook=16_15.xlsx&amp;sheet=A0&amp;row=1023&amp;col=20&amp;number=&amp;sourceID=57","")</f>
        <v/>
      </c>
      <c r="U1023" s="4" t="str">
        <f>HYPERLINK("http://141.218.60.56/~jnz1568/getInfo.php?workbook=16_15.xlsx&amp;sheet=A0&amp;row=1023&amp;col=21&amp;number=&amp;sourceID=47","")</f>
        <v/>
      </c>
      <c r="V1023" s="4" t="str">
        <f>HYPERLINK("http://141.218.60.56/~jnz1568/getInfo.php?workbook=16_15.xlsx&amp;sheet=A0&amp;row=1023&amp;col=22&amp;number=&amp;sourceID=47","")</f>
        <v/>
      </c>
    </row>
    <row r="1024" spans="1:22">
      <c r="A1024" s="3">
        <v>16</v>
      </c>
      <c r="B1024" s="3">
        <v>15</v>
      </c>
      <c r="C1024" s="3">
        <v>51</v>
      </c>
      <c r="D1024" s="3">
        <v>50</v>
      </c>
      <c r="E1024" s="3">
        <f>((1/(INDEX(E0!J$4:J$73,C1024,1)-INDEX(E0!J$4:J$73,D1024,1))))*100000000</f>
        <v>0</v>
      </c>
      <c r="F1024" s="4" t="str">
        <f>HYPERLINK("http://141.218.60.56/~jnz1568/getInfo.php?workbook=16_15.xlsx&amp;sheet=A0&amp;row=1024&amp;col=6&amp;number=&amp;sourceID=54","")</f>
        <v/>
      </c>
      <c r="G1024" s="4" t="str">
        <f>HYPERLINK("http://141.218.60.56/~jnz1568/getInfo.php?workbook=16_15.xlsx&amp;sheet=A0&amp;row=1024&amp;col=7&amp;number=1.7078e-05&amp;sourceID=54","1.7078e-05")</f>
        <v>1.7078e-05</v>
      </c>
      <c r="H1024" s="4" t="str">
        <f>HYPERLINK("http://141.218.60.56/~jnz1568/getInfo.php?workbook=16_15.xlsx&amp;sheet=A0&amp;row=1024&amp;col=8&amp;number=&amp;sourceID=54","")</f>
        <v/>
      </c>
      <c r="I1024" s="4" t="str">
        <f>HYPERLINK("http://141.218.60.56/~jnz1568/getInfo.php?workbook=16_15.xlsx&amp;sheet=A0&amp;row=1024&amp;col=9&amp;number=&amp;sourceID=54","")</f>
        <v/>
      </c>
      <c r="J1024" s="4" t="str">
        <f>HYPERLINK("http://141.218.60.56/~jnz1568/getInfo.php?workbook=16_15.xlsx&amp;sheet=A0&amp;row=1024&amp;col=10&amp;number=0.00012808&amp;sourceID=54","0.00012808")</f>
        <v>0.00012808</v>
      </c>
      <c r="K1024" s="4" t="str">
        <f>HYPERLINK("http://141.218.60.56/~jnz1568/getInfo.php?workbook=16_15.xlsx&amp;sheet=A0&amp;row=1024&amp;col=11&amp;number=&amp;sourceID=54","")</f>
        <v/>
      </c>
      <c r="L1024" s="4" t="str">
        <f>HYPERLINK("http://141.218.60.56/~jnz1568/getInfo.php?workbook=16_15.xlsx&amp;sheet=A0&amp;row=1024&amp;col=12&amp;number=&amp;sourceID=53","")</f>
        <v/>
      </c>
      <c r="M1024" s="4" t="str">
        <f>HYPERLINK("http://141.218.60.56/~jnz1568/getInfo.php?workbook=16_15.xlsx&amp;sheet=A0&amp;row=1024&amp;col=13&amp;number=&amp;sourceID=53","")</f>
        <v/>
      </c>
      <c r="N1024" s="4" t="str">
        <f>HYPERLINK("http://141.218.60.56/~jnz1568/getInfo.php?workbook=16_15.xlsx&amp;sheet=A0&amp;row=1024&amp;col=14&amp;number=&amp;sourceID=53","")</f>
        <v/>
      </c>
      <c r="O1024" s="4" t="str">
        <f>HYPERLINK("http://141.218.60.56/~jnz1568/getInfo.php?workbook=16_15.xlsx&amp;sheet=A0&amp;row=1024&amp;col=15&amp;number=&amp;sourceID=55","")</f>
        <v/>
      </c>
      <c r="P1024" s="4" t="str">
        <f>HYPERLINK("http://141.218.60.56/~jnz1568/getInfo.php?workbook=16_15.xlsx&amp;sheet=A0&amp;row=1024&amp;col=16&amp;number=&amp;sourceID=55","")</f>
        <v/>
      </c>
      <c r="Q1024" s="4" t="str">
        <f>HYPERLINK("http://141.218.60.56/~jnz1568/getInfo.php?workbook=16_15.xlsx&amp;sheet=A0&amp;row=1024&amp;col=17&amp;number=&amp;sourceID=56","")</f>
        <v/>
      </c>
      <c r="R1024" s="4" t="str">
        <f>HYPERLINK("http://141.218.60.56/~jnz1568/getInfo.php?workbook=16_15.xlsx&amp;sheet=A0&amp;row=1024&amp;col=18&amp;number=&amp;sourceID=56","")</f>
        <v/>
      </c>
      <c r="S1024" s="4" t="str">
        <f>HYPERLINK("http://141.218.60.56/~jnz1568/getInfo.php?workbook=16_15.xlsx&amp;sheet=A0&amp;row=1024&amp;col=19&amp;number=&amp;sourceID=57","")</f>
        <v/>
      </c>
      <c r="T1024" s="4" t="str">
        <f>HYPERLINK("http://141.218.60.56/~jnz1568/getInfo.php?workbook=16_15.xlsx&amp;sheet=A0&amp;row=1024&amp;col=20&amp;number=&amp;sourceID=57","")</f>
        <v/>
      </c>
      <c r="U1024" s="4" t="str">
        <f>HYPERLINK("http://141.218.60.56/~jnz1568/getInfo.php?workbook=16_15.xlsx&amp;sheet=A0&amp;row=1024&amp;col=21&amp;number=&amp;sourceID=47","")</f>
        <v/>
      </c>
      <c r="V1024" s="4" t="str">
        <f>HYPERLINK("http://141.218.60.56/~jnz1568/getInfo.php?workbook=16_15.xlsx&amp;sheet=A0&amp;row=1024&amp;col=22&amp;number=&amp;sourceID=47","")</f>
        <v/>
      </c>
    </row>
    <row r="1025" spans="1:22">
      <c r="A1025" s="3">
        <v>16</v>
      </c>
      <c r="B1025" s="3">
        <v>15</v>
      </c>
      <c r="C1025" s="3">
        <v>52</v>
      </c>
      <c r="D1025" s="3">
        <v>1</v>
      </c>
      <c r="E1025" s="3">
        <f>((1/(INDEX(E0!J$4:J$73,C1025,1)-INDEX(E0!J$4:J$73,D1025,1))))*100000000</f>
        <v>0</v>
      </c>
      <c r="F1025" s="4" t="str">
        <f>HYPERLINK("http://141.218.60.56/~jnz1568/getInfo.php?workbook=16_15.xlsx&amp;sheet=A0&amp;row=1025&amp;col=6&amp;number=1348.5&amp;sourceID=54","1348.5")</f>
        <v>1348.5</v>
      </c>
      <c r="G1025" s="4" t="str">
        <f>HYPERLINK("http://141.218.60.56/~jnz1568/getInfo.php?workbook=16_15.xlsx&amp;sheet=A0&amp;row=1025&amp;col=7&amp;number=&amp;sourceID=54","")</f>
        <v/>
      </c>
      <c r="H1025" s="4" t="str">
        <f>HYPERLINK("http://141.218.60.56/~jnz1568/getInfo.php?workbook=16_15.xlsx&amp;sheet=A0&amp;row=1025&amp;col=8&amp;number=&amp;sourceID=54","")</f>
        <v/>
      </c>
      <c r="I1025" s="4" t="str">
        <f>HYPERLINK("http://141.218.60.56/~jnz1568/getInfo.php?workbook=16_15.xlsx&amp;sheet=A0&amp;row=1025&amp;col=9&amp;number=1872.8&amp;sourceID=54","1872.8")</f>
        <v>1872.8</v>
      </c>
      <c r="J1025" s="4" t="str">
        <f>HYPERLINK("http://141.218.60.56/~jnz1568/getInfo.php?workbook=16_15.xlsx&amp;sheet=A0&amp;row=1025&amp;col=10&amp;number=&amp;sourceID=54","")</f>
        <v/>
      </c>
      <c r="K1025" s="4" t="str">
        <f>HYPERLINK("http://141.218.60.56/~jnz1568/getInfo.php?workbook=16_15.xlsx&amp;sheet=A0&amp;row=1025&amp;col=11&amp;number=&amp;sourceID=54","")</f>
        <v/>
      </c>
      <c r="L1025" s="4" t="str">
        <f>HYPERLINK("http://141.218.60.56/~jnz1568/getInfo.php?workbook=16_15.xlsx&amp;sheet=A0&amp;row=1025&amp;col=12&amp;number=1920.28082796&amp;sourceID=53","1920.28082796")</f>
        <v>1920.28082796</v>
      </c>
      <c r="M1025" s="4" t="str">
        <f>HYPERLINK("http://141.218.60.56/~jnz1568/getInfo.php?workbook=16_15.xlsx&amp;sheet=A0&amp;row=1025&amp;col=13&amp;number=&amp;sourceID=53","")</f>
        <v/>
      </c>
      <c r="N1025" s="4" t="str">
        <f>HYPERLINK("http://141.218.60.56/~jnz1568/getInfo.php?workbook=16_15.xlsx&amp;sheet=A0&amp;row=1025&amp;col=14&amp;number=&amp;sourceID=53","")</f>
        <v/>
      </c>
      <c r="O1025" s="4" t="str">
        <f>HYPERLINK("http://141.218.60.56/~jnz1568/getInfo.php?workbook=16_15.xlsx&amp;sheet=A0&amp;row=1025&amp;col=15&amp;number=&amp;sourceID=55","")</f>
        <v/>
      </c>
      <c r="P1025" s="4" t="str">
        <f>HYPERLINK("http://141.218.60.56/~jnz1568/getInfo.php?workbook=16_15.xlsx&amp;sheet=A0&amp;row=1025&amp;col=16&amp;number=&amp;sourceID=55","")</f>
        <v/>
      </c>
      <c r="Q1025" s="4" t="str">
        <f>HYPERLINK("http://141.218.60.56/~jnz1568/getInfo.php?workbook=16_15.xlsx&amp;sheet=A0&amp;row=1025&amp;col=17&amp;number=&amp;sourceID=56","")</f>
        <v/>
      </c>
      <c r="R1025" s="4" t="str">
        <f>HYPERLINK("http://141.218.60.56/~jnz1568/getInfo.php?workbook=16_15.xlsx&amp;sheet=A0&amp;row=1025&amp;col=18&amp;number=&amp;sourceID=56","")</f>
        <v/>
      </c>
      <c r="S1025" s="4" t="str">
        <f>HYPERLINK("http://141.218.60.56/~jnz1568/getInfo.php?workbook=16_15.xlsx&amp;sheet=A0&amp;row=1025&amp;col=19&amp;number=&amp;sourceID=57","")</f>
        <v/>
      </c>
      <c r="T1025" s="4" t="str">
        <f>HYPERLINK("http://141.218.60.56/~jnz1568/getInfo.php?workbook=16_15.xlsx&amp;sheet=A0&amp;row=1025&amp;col=20&amp;number=&amp;sourceID=57","")</f>
        <v/>
      </c>
      <c r="U1025" s="4" t="str">
        <f>HYPERLINK("http://141.218.60.56/~jnz1568/getInfo.php?workbook=16_15.xlsx&amp;sheet=A0&amp;row=1025&amp;col=21&amp;number=&amp;sourceID=47","")</f>
        <v/>
      </c>
      <c r="V1025" s="4" t="str">
        <f>HYPERLINK("http://141.218.60.56/~jnz1568/getInfo.php?workbook=16_15.xlsx&amp;sheet=A0&amp;row=1025&amp;col=22&amp;number=&amp;sourceID=47","")</f>
        <v/>
      </c>
    </row>
    <row r="1026" spans="1:22">
      <c r="A1026" s="3">
        <v>16</v>
      </c>
      <c r="B1026" s="3">
        <v>15</v>
      </c>
      <c r="C1026" s="3">
        <v>52</v>
      </c>
      <c r="D1026" s="3">
        <v>2</v>
      </c>
      <c r="E1026" s="3">
        <f>((1/(INDEX(E0!J$4:J$73,C1026,1)-INDEX(E0!J$4:J$73,D1026,1))))*100000000</f>
        <v>0</v>
      </c>
      <c r="F1026" s="4" t="str">
        <f>HYPERLINK("http://141.218.60.56/~jnz1568/getInfo.php?workbook=16_15.xlsx&amp;sheet=A0&amp;row=1026&amp;col=6&amp;number=8084800000&amp;sourceID=54","8084800000")</f>
        <v>8084800000</v>
      </c>
      <c r="G1026" s="4" t="str">
        <f>HYPERLINK("http://141.218.60.56/~jnz1568/getInfo.php?workbook=16_15.xlsx&amp;sheet=A0&amp;row=1026&amp;col=7&amp;number=&amp;sourceID=54","")</f>
        <v/>
      </c>
      <c r="H1026" s="4" t="str">
        <f>HYPERLINK("http://141.218.60.56/~jnz1568/getInfo.php?workbook=16_15.xlsx&amp;sheet=A0&amp;row=1026&amp;col=8&amp;number=&amp;sourceID=54","")</f>
        <v/>
      </c>
      <c r="I1026" s="4" t="str">
        <f>HYPERLINK("http://141.218.60.56/~jnz1568/getInfo.php?workbook=16_15.xlsx&amp;sheet=A0&amp;row=1026&amp;col=9&amp;number=7864900000&amp;sourceID=54","7864900000")</f>
        <v>7864900000</v>
      </c>
      <c r="J1026" s="4" t="str">
        <f>HYPERLINK("http://141.218.60.56/~jnz1568/getInfo.php?workbook=16_15.xlsx&amp;sheet=A0&amp;row=1026&amp;col=10&amp;number=&amp;sourceID=54","")</f>
        <v/>
      </c>
      <c r="K1026" s="4" t="str">
        <f>HYPERLINK("http://141.218.60.56/~jnz1568/getInfo.php?workbook=16_15.xlsx&amp;sheet=A0&amp;row=1026&amp;col=11&amp;number=&amp;sourceID=54","")</f>
        <v/>
      </c>
      <c r="L1026" s="4" t="str">
        <f>HYPERLINK("http://141.218.60.56/~jnz1568/getInfo.php?workbook=16_15.xlsx&amp;sheet=A0&amp;row=1026&amp;col=12&amp;number=6704288525.81&amp;sourceID=53","6704288525.81")</f>
        <v>6704288525.81</v>
      </c>
      <c r="M1026" s="4" t="str">
        <f>HYPERLINK("http://141.218.60.56/~jnz1568/getInfo.php?workbook=16_15.xlsx&amp;sheet=A0&amp;row=1026&amp;col=13&amp;number=&amp;sourceID=53","")</f>
        <v/>
      </c>
      <c r="N1026" s="4" t="str">
        <f>HYPERLINK("http://141.218.60.56/~jnz1568/getInfo.php?workbook=16_15.xlsx&amp;sheet=A0&amp;row=1026&amp;col=14&amp;number=&amp;sourceID=53","")</f>
        <v/>
      </c>
      <c r="O1026" s="4" t="str">
        <f>HYPERLINK("http://141.218.60.56/~jnz1568/getInfo.php?workbook=16_15.xlsx&amp;sheet=A0&amp;row=1026&amp;col=15&amp;number=&amp;sourceID=55","")</f>
        <v/>
      </c>
      <c r="P1026" s="4" t="str">
        <f>HYPERLINK("http://141.218.60.56/~jnz1568/getInfo.php?workbook=16_15.xlsx&amp;sheet=A0&amp;row=1026&amp;col=16&amp;number=&amp;sourceID=55","")</f>
        <v/>
      </c>
      <c r="Q1026" s="4" t="str">
        <f>HYPERLINK("http://141.218.60.56/~jnz1568/getInfo.php?workbook=16_15.xlsx&amp;sheet=A0&amp;row=1026&amp;col=17&amp;number=&amp;sourceID=56","")</f>
        <v/>
      </c>
      <c r="R1026" s="4" t="str">
        <f>HYPERLINK("http://141.218.60.56/~jnz1568/getInfo.php?workbook=16_15.xlsx&amp;sheet=A0&amp;row=1026&amp;col=18&amp;number=&amp;sourceID=56","")</f>
        <v/>
      </c>
      <c r="S1026" s="4" t="str">
        <f>HYPERLINK("http://141.218.60.56/~jnz1568/getInfo.php?workbook=16_15.xlsx&amp;sheet=A0&amp;row=1026&amp;col=19&amp;number=&amp;sourceID=57","")</f>
        <v/>
      </c>
      <c r="T1026" s="4" t="str">
        <f>HYPERLINK("http://141.218.60.56/~jnz1568/getInfo.php?workbook=16_15.xlsx&amp;sheet=A0&amp;row=1026&amp;col=20&amp;number=&amp;sourceID=57","")</f>
        <v/>
      </c>
      <c r="U1026" s="4" t="str">
        <f>HYPERLINK("http://141.218.60.56/~jnz1568/getInfo.php?workbook=16_15.xlsx&amp;sheet=A0&amp;row=1026&amp;col=21&amp;number=&amp;sourceID=47","")</f>
        <v/>
      </c>
      <c r="V1026" s="4" t="str">
        <f>HYPERLINK("http://141.218.60.56/~jnz1568/getInfo.php?workbook=16_15.xlsx&amp;sheet=A0&amp;row=1026&amp;col=22&amp;number=&amp;sourceID=47","")</f>
        <v/>
      </c>
    </row>
    <row r="1027" spans="1:22">
      <c r="A1027" s="3">
        <v>16</v>
      </c>
      <c r="B1027" s="3">
        <v>15</v>
      </c>
      <c r="C1027" s="3">
        <v>52</v>
      </c>
      <c r="D1027" s="3">
        <v>3</v>
      </c>
      <c r="E1027" s="3">
        <f>((1/(INDEX(E0!J$4:J$73,C1027,1)-INDEX(E0!J$4:J$73,D1027,1))))*100000000</f>
        <v>0</v>
      </c>
      <c r="F1027" s="4" t="str">
        <f>HYPERLINK("http://141.218.60.56/~jnz1568/getInfo.php?workbook=16_15.xlsx&amp;sheet=A0&amp;row=1027&amp;col=6&amp;number=612230000&amp;sourceID=54","612230000")</f>
        <v>612230000</v>
      </c>
      <c r="G1027" s="4" t="str">
        <f>HYPERLINK("http://141.218.60.56/~jnz1568/getInfo.php?workbook=16_15.xlsx&amp;sheet=A0&amp;row=1027&amp;col=7&amp;number=&amp;sourceID=54","")</f>
        <v/>
      </c>
      <c r="H1027" s="4" t="str">
        <f>HYPERLINK("http://141.218.60.56/~jnz1568/getInfo.php?workbook=16_15.xlsx&amp;sheet=A0&amp;row=1027&amp;col=8&amp;number=&amp;sourceID=54","")</f>
        <v/>
      </c>
      <c r="I1027" s="4" t="str">
        <f>HYPERLINK("http://141.218.60.56/~jnz1568/getInfo.php?workbook=16_15.xlsx&amp;sheet=A0&amp;row=1027&amp;col=9&amp;number=619450000&amp;sourceID=54","619450000")</f>
        <v>619450000</v>
      </c>
      <c r="J1027" s="4" t="str">
        <f>HYPERLINK("http://141.218.60.56/~jnz1568/getInfo.php?workbook=16_15.xlsx&amp;sheet=A0&amp;row=1027&amp;col=10&amp;number=&amp;sourceID=54","")</f>
        <v/>
      </c>
      <c r="K1027" s="4" t="str">
        <f>HYPERLINK("http://141.218.60.56/~jnz1568/getInfo.php?workbook=16_15.xlsx&amp;sheet=A0&amp;row=1027&amp;col=11&amp;number=&amp;sourceID=54","")</f>
        <v/>
      </c>
      <c r="L1027" s="4" t="str">
        <f>HYPERLINK("http://141.218.60.56/~jnz1568/getInfo.php?workbook=16_15.xlsx&amp;sheet=A0&amp;row=1027&amp;col=12&amp;number=546137714.807&amp;sourceID=53","546137714.807")</f>
        <v>546137714.807</v>
      </c>
      <c r="M1027" s="4" t="str">
        <f>HYPERLINK("http://141.218.60.56/~jnz1568/getInfo.php?workbook=16_15.xlsx&amp;sheet=A0&amp;row=1027&amp;col=13&amp;number=&amp;sourceID=53","")</f>
        <v/>
      </c>
      <c r="N1027" s="4" t="str">
        <f>HYPERLINK("http://141.218.60.56/~jnz1568/getInfo.php?workbook=16_15.xlsx&amp;sheet=A0&amp;row=1027&amp;col=14&amp;number=&amp;sourceID=53","")</f>
        <v/>
      </c>
      <c r="O1027" s="4" t="str">
        <f>HYPERLINK("http://141.218.60.56/~jnz1568/getInfo.php?workbook=16_15.xlsx&amp;sheet=A0&amp;row=1027&amp;col=15&amp;number=&amp;sourceID=55","")</f>
        <v/>
      </c>
      <c r="P1027" s="4" t="str">
        <f>HYPERLINK("http://141.218.60.56/~jnz1568/getInfo.php?workbook=16_15.xlsx&amp;sheet=A0&amp;row=1027&amp;col=16&amp;number=&amp;sourceID=55","")</f>
        <v/>
      </c>
      <c r="Q1027" s="4" t="str">
        <f>HYPERLINK("http://141.218.60.56/~jnz1568/getInfo.php?workbook=16_15.xlsx&amp;sheet=A0&amp;row=1027&amp;col=17&amp;number=&amp;sourceID=56","")</f>
        <v/>
      </c>
      <c r="R1027" s="4" t="str">
        <f>HYPERLINK("http://141.218.60.56/~jnz1568/getInfo.php?workbook=16_15.xlsx&amp;sheet=A0&amp;row=1027&amp;col=18&amp;number=&amp;sourceID=56","")</f>
        <v/>
      </c>
      <c r="S1027" s="4" t="str">
        <f>HYPERLINK("http://141.218.60.56/~jnz1568/getInfo.php?workbook=16_15.xlsx&amp;sheet=A0&amp;row=1027&amp;col=19&amp;number=&amp;sourceID=57","")</f>
        <v/>
      </c>
      <c r="T1027" s="4" t="str">
        <f>HYPERLINK("http://141.218.60.56/~jnz1568/getInfo.php?workbook=16_15.xlsx&amp;sheet=A0&amp;row=1027&amp;col=20&amp;number=&amp;sourceID=57","")</f>
        <v/>
      </c>
      <c r="U1027" s="4" t="str">
        <f>HYPERLINK("http://141.218.60.56/~jnz1568/getInfo.php?workbook=16_15.xlsx&amp;sheet=A0&amp;row=1027&amp;col=21&amp;number=&amp;sourceID=47","")</f>
        <v/>
      </c>
      <c r="V1027" s="4" t="str">
        <f>HYPERLINK("http://141.218.60.56/~jnz1568/getInfo.php?workbook=16_15.xlsx&amp;sheet=A0&amp;row=1027&amp;col=22&amp;number=&amp;sourceID=47","")</f>
        <v/>
      </c>
    </row>
    <row r="1028" spans="1:22">
      <c r="A1028" s="3">
        <v>16</v>
      </c>
      <c r="B1028" s="3">
        <v>15</v>
      </c>
      <c r="C1028" s="3">
        <v>52</v>
      </c>
      <c r="D1028" s="3">
        <v>5</v>
      </c>
      <c r="E1028" s="3">
        <f>((1/(INDEX(E0!J$4:J$73,C1028,1)-INDEX(E0!J$4:J$73,D1028,1))))*100000000</f>
        <v>0</v>
      </c>
      <c r="F1028" s="4" t="str">
        <f>HYPERLINK("http://141.218.60.56/~jnz1568/getInfo.php?workbook=16_15.xlsx&amp;sheet=A0&amp;row=1028&amp;col=6&amp;number=11506000&amp;sourceID=54","11506000")</f>
        <v>11506000</v>
      </c>
      <c r="G1028" s="4" t="str">
        <f>HYPERLINK("http://141.218.60.56/~jnz1568/getInfo.php?workbook=16_15.xlsx&amp;sheet=A0&amp;row=1028&amp;col=7&amp;number=&amp;sourceID=54","")</f>
        <v/>
      </c>
      <c r="H1028" s="4" t="str">
        <f>HYPERLINK("http://141.218.60.56/~jnz1568/getInfo.php?workbook=16_15.xlsx&amp;sheet=A0&amp;row=1028&amp;col=8&amp;number=&amp;sourceID=54","")</f>
        <v/>
      </c>
      <c r="I1028" s="4" t="str">
        <f>HYPERLINK("http://141.218.60.56/~jnz1568/getInfo.php?workbook=16_15.xlsx&amp;sheet=A0&amp;row=1028&amp;col=9&amp;number=13627000&amp;sourceID=54","13627000")</f>
        <v>13627000</v>
      </c>
      <c r="J1028" s="4" t="str">
        <f>HYPERLINK("http://141.218.60.56/~jnz1568/getInfo.php?workbook=16_15.xlsx&amp;sheet=A0&amp;row=1028&amp;col=10&amp;number=&amp;sourceID=54","")</f>
        <v/>
      </c>
      <c r="K1028" s="4" t="str">
        <f>HYPERLINK("http://141.218.60.56/~jnz1568/getInfo.php?workbook=16_15.xlsx&amp;sheet=A0&amp;row=1028&amp;col=11&amp;number=&amp;sourceID=54","")</f>
        <v/>
      </c>
      <c r="L1028" s="4" t="str">
        <f>HYPERLINK("http://141.218.60.56/~jnz1568/getInfo.php?workbook=16_15.xlsx&amp;sheet=A0&amp;row=1028&amp;col=12&amp;number=13136288.721&amp;sourceID=53","13136288.721")</f>
        <v>13136288.721</v>
      </c>
      <c r="M1028" s="4" t="str">
        <f>HYPERLINK("http://141.218.60.56/~jnz1568/getInfo.php?workbook=16_15.xlsx&amp;sheet=A0&amp;row=1028&amp;col=13&amp;number=&amp;sourceID=53","")</f>
        <v/>
      </c>
      <c r="N1028" s="4" t="str">
        <f>HYPERLINK("http://141.218.60.56/~jnz1568/getInfo.php?workbook=16_15.xlsx&amp;sheet=A0&amp;row=1028&amp;col=14&amp;number=&amp;sourceID=53","")</f>
        <v/>
      </c>
      <c r="O1028" s="4" t="str">
        <f>HYPERLINK("http://141.218.60.56/~jnz1568/getInfo.php?workbook=16_15.xlsx&amp;sheet=A0&amp;row=1028&amp;col=15&amp;number=&amp;sourceID=55","")</f>
        <v/>
      </c>
      <c r="P1028" s="4" t="str">
        <f>HYPERLINK("http://141.218.60.56/~jnz1568/getInfo.php?workbook=16_15.xlsx&amp;sheet=A0&amp;row=1028&amp;col=16&amp;number=&amp;sourceID=55","")</f>
        <v/>
      </c>
      <c r="Q1028" s="4" t="str">
        <f>HYPERLINK("http://141.218.60.56/~jnz1568/getInfo.php?workbook=16_15.xlsx&amp;sheet=A0&amp;row=1028&amp;col=17&amp;number=&amp;sourceID=56","")</f>
        <v/>
      </c>
      <c r="R1028" s="4" t="str">
        <f>HYPERLINK("http://141.218.60.56/~jnz1568/getInfo.php?workbook=16_15.xlsx&amp;sheet=A0&amp;row=1028&amp;col=18&amp;number=&amp;sourceID=56","")</f>
        <v/>
      </c>
      <c r="S1028" s="4" t="str">
        <f>HYPERLINK("http://141.218.60.56/~jnz1568/getInfo.php?workbook=16_15.xlsx&amp;sheet=A0&amp;row=1028&amp;col=19&amp;number=&amp;sourceID=57","")</f>
        <v/>
      </c>
      <c r="T1028" s="4" t="str">
        <f>HYPERLINK("http://141.218.60.56/~jnz1568/getInfo.php?workbook=16_15.xlsx&amp;sheet=A0&amp;row=1028&amp;col=20&amp;number=&amp;sourceID=57","")</f>
        <v/>
      </c>
      <c r="U1028" s="4" t="str">
        <f>HYPERLINK("http://141.218.60.56/~jnz1568/getInfo.php?workbook=16_15.xlsx&amp;sheet=A0&amp;row=1028&amp;col=21&amp;number=&amp;sourceID=47","")</f>
        <v/>
      </c>
      <c r="V1028" s="4" t="str">
        <f>HYPERLINK("http://141.218.60.56/~jnz1568/getInfo.php?workbook=16_15.xlsx&amp;sheet=A0&amp;row=1028&amp;col=22&amp;number=&amp;sourceID=47","")</f>
        <v/>
      </c>
    </row>
    <row r="1029" spans="1:22">
      <c r="A1029" s="3">
        <v>16</v>
      </c>
      <c r="B1029" s="3">
        <v>15</v>
      </c>
      <c r="C1029" s="3">
        <v>52</v>
      </c>
      <c r="D1029" s="3">
        <v>6</v>
      </c>
      <c r="E1029" s="3">
        <f>((1/(INDEX(E0!J$4:J$73,C1029,1)-INDEX(E0!J$4:J$73,D1029,1))))*100000000</f>
        <v>0</v>
      </c>
      <c r="F1029" s="4" t="str">
        <f>HYPERLINK("http://141.218.60.56/~jnz1568/getInfo.php?workbook=16_15.xlsx&amp;sheet=A0&amp;row=1029&amp;col=6&amp;number=&amp;sourceID=54","")</f>
        <v/>
      </c>
      <c r="G1029" s="4" t="str">
        <f>HYPERLINK("http://141.218.60.56/~jnz1568/getInfo.php?workbook=16_15.xlsx&amp;sheet=A0&amp;row=1029&amp;col=7&amp;number=0.00090344&amp;sourceID=54","0.00090344")</f>
        <v>0.00090344</v>
      </c>
      <c r="H1029" s="4" t="str">
        <f>HYPERLINK("http://141.218.60.56/~jnz1568/getInfo.php?workbook=16_15.xlsx&amp;sheet=A0&amp;row=1029&amp;col=8&amp;number=1.8343e-05&amp;sourceID=54","1.8343e-05")</f>
        <v>1.8343e-05</v>
      </c>
      <c r="I1029" s="4" t="str">
        <f>HYPERLINK("http://141.218.60.56/~jnz1568/getInfo.php?workbook=16_15.xlsx&amp;sheet=A0&amp;row=1029&amp;col=9&amp;number=&amp;sourceID=54","")</f>
        <v/>
      </c>
      <c r="J1029" s="4" t="str">
        <f>HYPERLINK("http://141.218.60.56/~jnz1568/getInfo.php?workbook=16_15.xlsx&amp;sheet=A0&amp;row=1029&amp;col=10&amp;number=0.00079809&amp;sourceID=54","0.00079809")</f>
        <v>0.00079809</v>
      </c>
      <c r="K1029" s="4" t="str">
        <f>HYPERLINK("http://141.218.60.56/~jnz1568/getInfo.php?workbook=16_15.xlsx&amp;sheet=A0&amp;row=1029&amp;col=11&amp;number=8.253e-06&amp;sourceID=54","8.253e-06")</f>
        <v>8.253e-06</v>
      </c>
      <c r="L1029" s="4" t="str">
        <f>HYPERLINK("http://141.218.60.56/~jnz1568/getInfo.php?workbook=16_15.xlsx&amp;sheet=A0&amp;row=1029&amp;col=12&amp;number=&amp;sourceID=53","")</f>
        <v/>
      </c>
      <c r="M1029" s="4" t="str">
        <f>HYPERLINK("http://141.218.60.56/~jnz1568/getInfo.php?workbook=16_15.xlsx&amp;sheet=A0&amp;row=1029&amp;col=13&amp;number=&amp;sourceID=53","")</f>
        <v/>
      </c>
      <c r="N1029" s="4" t="str">
        <f>HYPERLINK("http://141.218.60.56/~jnz1568/getInfo.php?workbook=16_15.xlsx&amp;sheet=A0&amp;row=1029&amp;col=14&amp;number=&amp;sourceID=53","")</f>
        <v/>
      </c>
      <c r="O1029" s="4" t="str">
        <f>HYPERLINK("http://141.218.60.56/~jnz1568/getInfo.php?workbook=16_15.xlsx&amp;sheet=A0&amp;row=1029&amp;col=15&amp;number=&amp;sourceID=55","")</f>
        <v/>
      </c>
      <c r="P1029" s="4" t="str">
        <f>HYPERLINK("http://141.218.60.56/~jnz1568/getInfo.php?workbook=16_15.xlsx&amp;sheet=A0&amp;row=1029&amp;col=16&amp;number=&amp;sourceID=55","")</f>
        <v/>
      </c>
      <c r="Q1029" s="4" t="str">
        <f>HYPERLINK("http://141.218.60.56/~jnz1568/getInfo.php?workbook=16_15.xlsx&amp;sheet=A0&amp;row=1029&amp;col=17&amp;number=&amp;sourceID=56","")</f>
        <v/>
      </c>
      <c r="R1029" s="4" t="str">
        <f>HYPERLINK("http://141.218.60.56/~jnz1568/getInfo.php?workbook=16_15.xlsx&amp;sheet=A0&amp;row=1029&amp;col=18&amp;number=&amp;sourceID=56","")</f>
        <v/>
      </c>
      <c r="S1029" s="4" t="str">
        <f>HYPERLINK("http://141.218.60.56/~jnz1568/getInfo.php?workbook=16_15.xlsx&amp;sheet=A0&amp;row=1029&amp;col=19&amp;number=&amp;sourceID=57","")</f>
        <v/>
      </c>
      <c r="T1029" s="4" t="str">
        <f>HYPERLINK("http://141.218.60.56/~jnz1568/getInfo.php?workbook=16_15.xlsx&amp;sheet=A0&amp;row=1029&amp;col=20&amp;number=&amp;sourceID=57","")</f>
        <v/>
      </c>
      <c r="U1029" s="4" t="str">
        <f>HYPERLINK("http://141.218.60.56/~jnz1568/getInfo.php?workbook=16_15.xlsx&amp;sheet=A0&amp;row=1029&amp;col=21&amp;number=&amp;sourceID=47","")</f>
        <v/>
      </c>
      <c r="V1029" s="4" t="str">
        <f>HYPERLINK("http://141.218.60.56/~jnz1568/getInfo.php?workbook=16_15.xlsx&amp;sheet=A0&amp;row=1029&amp;col=22&amp;number=&amp;sourceID=47","")</f>
        <v/>
      </c>
    </row>
    <row r="1030" spans="1:22">
      <c r="A1030" s="3">
        <v>16</v>
      </c>
      <c r="B1030" s="3">
        <v>15</v>
      </c>
      <c r="C1030" s="3">
        <v>52</v>
      </c>
      <c r="D1030" s="3">
        <v>7</v>
      </c>
      <c r="E1030" s="3">
        <f>((1/(INDEX(E0!J$4:J$73,C1030,1)-INDEX(E0!J$4:J$73,D1030,1))))*100000000</f>
        <v>0</v>
      </c>
      <c r="F1030" s="4" t="str">
        <f>HYPERLINK("http://141.218.60.56/~jnz1568/getInfo.php?workbook=16_15.xlsx&amp;sheet=A0&amp;row=1030&amp;col=6&amp;number=&amp;sourceID=54","")</f>
        <v/>
      </c>
      <c r="G1030" s="4" t="str">
        <f>HYPERLINK("http://141.218.60.56/~jnz1568/getInfo.php?workbook=16_15.xlsx&amp;sheet=A0&amp;row=1030&amp;col=7&amp;number=0.0015824&amp;sourceID=54","0.0015824")</f>
        <v>0.0015824</v>
      </c>
      <c r="H1030" s="4" t="str">
        <f>HYPERLINK("http://141.218.60.56/~jnz1568/getInfo.php?workbook=16_15.xlsx&amp;sheet=A0&amp;row=1030&amp;col=8&amp;number=7.3298e-07&amp;sourceID=54","7.3298e-07")</f>
        <v>7.3298e-07</v>
      </c>
      <c r="I1030" s="4" t="str">
        <f>HYPERLINK("http://141.218.60.56/~jnz1568/getInfo.php?workbook=16_15.xlsx&amp;sheet=A0&amp;row=1030&amp;col=9&amp;number=&amp;sourceID=54","")</f>
        <v/>
      </c>
      <c r="J1030" s="4" t="str">
        <f>HYPERLINK("http://141.218.60.56/~jnz1568/getInfo.php?workbook=16_15.xlsx&amp;sheet=A0&amp;row=1030&amp;col=10&amp;number=0.0013593&amp;sourceID=54","0.0013593")</f>
        <v>0.0013593</v>
      </c>
      <c r="K1030" s="4" t="str">
        <f>HYPERLINK("http://141.218.60.56/~jnz1568/getInfo.php?workbook=16_15.xlsx&amp;sheet=A0&amp;row=1030&amp;col=11&amp;number=1.4195e-07&amp;sourceID=54","1.4195e-07")</f>
        <v>1.4195e-07</v>
      </c>
      <c r="L1030" s="4" t="str">
        <f>HYPERLINK("http://141.218.60.56/~jnz1568/getInfo.php?workbook=16_15.xlsx&amp;sheet=A0&amp;row=1030&amp;col=12&amp;number=&amp;sourceID=53","")</f>
        <v/>
      </c>
      <c r="M1030" s="4" t="str">
        <f>HYPERLINK("http://141.218.60.56/~jnz1568/getInfo.php?workbook=16_15.xlsx&amp;sheet=A0&amp;row=1030&amp;col=13&amp;number=&amp;sourceID=53","")</f>
        <v/>
      </c>
      <c r="N1030" s="4" t="str">
        <f>HYPERLINK("http://141.218.60.56/~jnz1568/getInfo.php?workbook=16_15.xlsx&amp;sheet=A0&amp;row=1030&amp;col=14&amp;number=&amp;sourceID=53","")</f>
        <v/>
      </c>
      <c r="O1030" s="4" t="str">
        <f>HYPERLINK("http://141.218.60.56/~jnz1568/getInfo.php?workbook=16_15.xlsx&amp;sheet=A0&amp;row=1030&amp;col=15&amp;number=&amp;sourceID=55","")</f>
        <v/>
      </c>
      <c r="P1030" s="4" t="str">
        <f>HYPERLINK("http://141.218.60.56/~jnz1568/getInfo.php?workbook=16_15.xlsx&amp;sheet=A0&amp;row=1030&amp;col=16&amp;number=&amp;sourceID=55","")</f>
        <v/>
      </c>
      <c r="Q1030" s="4" t="str">
        <f>HYPERLINK("http://141.218.60.56/~jnz1568/getInfo.php?workbook=16_15.xlsx&amp;sheet=A0&amp;row=1030&amp;col=17&amp;number=&amp;sourceID=56","")</f>
        <v/>
      </c>
      <c r="R1030" s="4" t="str">
        <f>HYPERLINK("http://141.218.60.56/~jnz1568/getInfo.php?workbook=16_15.xlsx&amp;sheet=A0&amp;row=1030&amp;col=18&amp;number=&amp;sourceID=56","")</f>
        <v/>
      </c>
      <c r="S1030" s="4" t="str">
        <f>HYPERLINK("http://141.218.60.56/~jnz1568/getInfo.php?workbook=16_15.xlsx&amp;sheet=A0&amp;row=1030&amp;col=19&amp;number=&amp;sourceID=57","")</f>
        <v/>
      </c>
      <c r="T1030" s="4" t="str">
        <f>HYPERLINK("http://141.218.60.56/~jnz1568/getInfo.php?workbook=16_15.xlsx&amp;sheet=A0&amp;row=1030&amp;col=20&amp;number=&amp;sourceID=57","")</f>
        <v/>
      </c>
      <c r="U1030" s="4" t="str">
        <f>HYPERLINK("http://141.218.60.56/~jnz1568/getInfo.php?workbook=16_15.xlsx&amp;sheet=A0&amp;row=1030&amp;col=21&amp;number=&amp;sourceID=47","")</f>
        <v/>
      </c>
      <c r="V1030" s="4" t="str">
        <f>HYPERLINK("http://141.218.60.56/~jnz1568/getInfo.php?workbook=16_15.xlsx&amp;sheet=A0&amp;row=1030&amp;col=22&amp;number=&amp;sourceID=47","")</f>
        <v/>
      </c>
    </row>
    <row r="1031" spans="1:22">
      <c r="A1031" s="3">
        <v>16</v>
      </c>
      <c r="B1031" s="3">
        <v>15</v>
      </c>
      <c r="C1031" s="3">
        <v>52</v>
      </c>
      <c r="D1031" s="3">
        <v>8</v>
      </c>
      <c r="E1031" s="3">
        <f>((1/(INDEX(E0!J$4:J$73,C1031,1)-INDEX(E0!J$4:J$73,D1031,1))))*100000000</f>
        <v>0</v>
      </c>
      <c r="F1031" s="4" t="str">
        <f>HYPERLINK("http://141.218.60.56/~jnz1568/getInfo.php?workbook=16_15.xlsx&amp;sheet=A0&amp;row=1031&amp;col=6&amp;number=&amp;sourceID=54","")</f>
        <v/>
      </c>
      <c r="G1031" s="4" t="str">
        <f>HYPERLINK("http://141.218.60.56/~jnz1568/getInfo.php?workbook=16_15.xlsx&amp;sheet=A0&amp;row=1031&amp;col=7&amp;number=0.00040981&amp;sourceID=54","0.00040981")</f>
        <v>0.00040981</v>
      </c>
      <c r="H1031" s="4" t="str">
        <f>HYPERLINK("http://141.218.60.56/~jnz1568/getInfo.php?workbook=16_15.xlsx&amp;sheet=A0&amp;row=1031&amp;col=8&amp;number=&amp;sourceID=54","")</f>
        <v/>
      </c>
      <c r="I1031" s="4" t="str">
        <f>HYPERLINK("http://141.218.60.56/~jnz1568/getInfo.php?workbook=16_15.xlsx&amp;sheet=A0&amp;row=1031&amp;col=9&amp;number=&amp;sourceID=54","")</f>
        <v/>
      </c>
      <c r="J1031" s="4" t="str">
        <f>HYPERLINK("http://141.218.60.56/~jnz1568/getInfo.php?workbook=16_15.xlsx&amp;sheet=A0&amp;row=1031&amp;col=10&amp;number=0.00033642&amp;sourceID=54","0.00033642")</f>
        <v>0.00033642</v>
      </c>
      <c r="K1031" s="4" t="str">
        <f>HYPERLINK("http://141.218.60.56/~jnz1568/getInfo.php?workbook=16_15.xlsx&amp;sheet=A0&amp;row=1031&amp;col=11&amp;number=&amp;sourceID=54","")</f>
        <v/>
      </c>
      <c r="L1031" s="4" t="str">
        <f>HYPERLINK("http://141.218.60.56/~jnz1568/getInfo.php?workbook=16_15.xlsx&amp;sheet=A0&amp;row=1031&amp;col=12&amp;number=&amp;sourceID=53","")</f>
        <v/>
      </c>
      <c r="M1031" s="4" t="str">
        <f>HYPERLINK("http://141.218.60.56/~jnz1568/getInfo.php?workbook=16_15.xlsx&amp;sheet=A0&amp;row=1031&amp;col=13&amp;number=&amp;sourceID=53","")</f>
        <v/>
      </c>
      <c r="N1031" s="4" t="str">
        <f>HYPERLINK("http://141.218.60.56/~jnz1568/getInfo.php?workbook=16_15.xlsx&amp;sheet=A0&amp;row=1031&amp;col=14&amp;number=&amp;sourceID=53","")</f>
        <v/>
      </c>
      <c r="O1031" s="4" t="str">
        <f>HYPERLINK("http://141.218.60.56/~jnz1568/getInfo.php?workbook=16_15.xlsx&amp;sheet=A0&amp;row=1031&amp;col=15&amp;number=&amp;sourceID=55","")</f>
        <v/>
      </c>
      <c r="P1031" s="4" t="str">
        <f>HYPERLINK("http://141.218.60.56/~jnz1568/getInfo.php?workbook=16_15.xlsx&amp;sheet=A0&amp;row=1031&amp;col=16&amp;number=&amp;sourceID=55","")</f>
        <v/>
      </c>
      <c r="Q1031" s="4" t="str">
        <f>HYPERLINK("http://141.218.60.56/~jnz1568/getInfo.php?workbook=16_15.xlsx&amp;sheet=A0&amp;row=1031&amp;col=17&amp;number=&amp;sourceID=56","")</f>
        <v/>
      </c>
      <c r="R1031" s="4" t="str">
        <f>HYPERLINK("http://141.218.60.56/~jnz1568/getInfo.php?workbook=16_15.xlsx&amp;sheet=A0&amp;row=1031&amp;col=18&amp;number=&amp;sourceID=56","")</f>
        <v/>
      </c>
      <c r="S1031" s="4" t="str">
        <f>HYPERLINK("http://141.218.60.56/~jnz1568/getInfo.php?workbook=16_15.xlsx&amp;sheet=A0&amp;row=1031&amp;col=19&amp;number=&amp;sourceID=57","")</f>
        <v/>
      </c>
      <c r="T1031" s="4" t="str">
        <f>HYPERLINK("http://141.218.60.56/~jnz1568/getInfo.php?workbook=16_15.xlsx&amp;sheet=A0&amp;row=1031&amp;col=20&amp;number=&amp;sourceID=57","")</f>
        <v/>
      </c>
      <c r="U1031" s="4" t="str">
        <f>HYPERLINK("http://141.218.60.56/~jnz1568/getInfo.php?workbook=16_15.xlsx&amp;sheet=A0&amp;row=1031&amp;col=21&amp;number=&amp;sourceID=47","")</f>
        <v/>
      </c>
      <c r="V1031" s="4" t="str">
        <f>HYPERLINK("http://141.218.60.56/~jnz1568/getInfo.php?workbook=16_15.xlsx&amp;sheet=A0&amp;row=1031&amp;col=22&amp;number=&amp;sourceID=47","")</f>
        <v/>
      </c>
    </row>
    <row r="1032" spans="1:22">
      <c r="A1032" s="3">
        <v>16</v>
      </c>
      <c r="B1032" s="3">
        <v>15</v>
      </c>
      <c r="C1032" s="3">
        <v>52</v>
      </c>
      <c r="D1032" s="3">
        <v>9</v>
      </c>
      <c r="E1032" s="3">
        <f>((1/(INDEX(E0!J$4:J$73,C1032,1)-INDEX(E0!J$4:J$73,D1032,1))))*100000000</f>
        <v>0</v>
      </c>
      <c r="F1032" s="4" t="str">
        <f>HYPERLINK("http://141.218.60.56/~jnz1568/getInfo.php?workbook=16_15.xlsx&amp;sheet=A0&amp;row=1032&amp;col=6&amp;number=&amp;sourceID=54","")</f>
        <v/>
      </c>
      <c r="G1032" s="4" t="str">
        <f>HYPERLINK("http://141.218.60.56/~jnz1568/getInfo.php?workbook=16_15.xlsx&amp;sheet=A0&amp;row=1032&amp;col=7&amp;number=1.4351&amp;sourceID=54","1.4351")</f>
        <v>1.4351</v>
      </c>
      <c r="H1032" s="4" t="str">
        <f>HYPERLINK("http://141.218.60.56/~jnz1568/getInfo.php?workbook=16_15.xlsx&amp;sheet=A0&amp;row=1032&amp;col=8&amp;number=0.00046215&amp;sourceID=54","0.00046215")</f>
        <v>0.00046215</v>
      </c>
      <c r="I1032" s="4" t="str">
        <f>HYPERLINK("http://141.218.60.56/~jnz1568/getInfo.php?workbook=16_15.xlsx&amp;sheet=A0&amp;row=1032&amp;col=9&amp;number=&amp;sourceID=54","")</f>
        <v/>
      </c>
      <c r="J1032" s="4" t="str">
        <f>HYPERLINK("http://141.218.60.56/~jnz1568/getInfo.php?workbook=16_15.xlsx&amp;sheet=A0&amp;row=1032&amp;col=10&amp;number=1.1669&amp;sourceID=54","1.1669")</f>
        <v>1.1669</v>
      </c>
      <c r="K1032" s="4" t="str">
        <f>HYPERLINK("http://141.218.60.56/~jnz1568/getInfo.php?workbook=16_15.xlsx&amp;sheet=A0&amp;row=1032&amp;col=11&amp;number=0.00046661&amp;sourceID=54","0.00046661")</f>
        <v>0.00046661</v>
      </c>
      <c r="L1032" s="4" t="str">
        <f>HYPERLINK("http://141.218.60.56/~jnz1568/getInfo.php?workbook=16_15.xlsx&amp;sheet=A0&amp;row=1032&amp;col=12&amp;number=&amp;sourceID=53","")</f>
        <v/>
      </c>
      <c r="M1032" s="4" t="str">
        <f>HYPERLINK("http://141.218.60.56/~jnz1568/getInfo.php?workbook=16_15.xlsx&amp;sheet=A0&amp;row=1032&amp;col=13&amp;number=&amp;sourceID=53","")</f>
        <v/>
      </c>
      <c r="N1032" s="4" t="str">
        <f>HYPERLINK("http://141.218.60.56/~jnz1568/getInfo.php?workbook=16_15.xlsx&amp;sheet=A0&amp;row=1032&amp;col=14&amp;number=&amp;sourceID=53","")</f>
        <v/>
      </c>
      <c r="O1032" s="4" t="str">
        <f>HYPERLINK("http://141.218.60.56/~jnz1568/getInfo.php?workbook=16_15.xlsx&amp;sheet=A0&amp;row=1032&amp;col=15&amp;number=&amp;sourceID=55","")</f>
        <v/>
      </c>
      <c r="P1032" s="4" t="str">
        <f>HYPERLINK("http://141.218.60.56/~jnz1568/getInfo.php?workbook=16_15.xlsx&amp;sheet=A0&amp;row=1032&amp;col=16&amp;number=&amp;sourceID=55","")</f>
        <v/>
      </c>
      <c r="Q1032" s="4" t="str">
        <f>HYPERLINK("http://141.218.60.56/~jnz1568/getInfo.php?workbook=16_15.xlsx&amp;sheet=A0&amp;row=1032&amp;col=17&amp;number=&amp;sourceID=56","")</f>
        <v/>
      </c>
      <c r="R1032" s="4" t="str">
        <f>HYPERLINK("http://141.218.60.56/~jnz1568/getInfo.php?workbook=16_15.xlsx&amp;sheet=A0&amp;row=1032&amp;col=18&amp;number=&amp;sourceID=56","")</f>
        <v/>
      </c>
      <c r="S1032" s="4" t="str">
        <f>HYPERLINK("http://141.218.60.56/~jnz1568/getInfo.php?workbook=16_15.xlsx&amp;sheet=A0&amp;row=1032&amp;col=19&amp;number=&amp;sourceID=57","")</f>
        <v/>
      </c>
      <c r="T1032" s="4" t="str">
        <f>HYPERLINK("http://141.218.60.56/~jnz1568/getInfo.php?workbook=16_15.xlsx&amp;sheet=A0&amp;row=1032&amp;col=20&amp;number=&amp;sourceID=57","")</f>
        <v/>
      </c>
      <c r="U1032" s="4" t="str">
        <f>HYPERLINK("http://141.218.60.56/~jnz1568/getInfo.php?workbook=16_15.xlsx&amp;sheet=A0&amp;row=1032&amp;col=21&amp;number=&amp;sourceID=47","")</f>
        <v/>
      </c>
      <c r="V1032" s="4" t="str">
        <f>HYPERLINK("http://141.218.60.56/~jnz1568/getInfo.php?workbook=16_15.xlsx&amp;sheet=A0&amp;row=1032&amp;col=22&amp;number=&amp;sourceID=47","")</f>
        <v/>
      </c>
    </row>
    <row r="1033" spans="1:22">
      <c r="A1033" s="3">
        <v>16</v>
      </c>
      <c r="B1033" s="3">
        <v>15</v>
      </c>
      <c r="C1033" s="3">
        <v>52</v>
      </c>
      <c r="D1033" s="3">
        <v>10</v>
      </c>
      <c r="E1033" s="3">
        <f>((1/(INDEX(E0!J$4:J$73,C1033,1)-INDEX(E0!J$4:J$73,D1033,1))))*100000000</f>
        <v>0</v>
      </c>
      <c r="F1033" s="4" t="str">
        <f>HYPERLINK("http://141.218.60.56/~jnz1568/getInfo.php?workbook=16_15.xlsx&amp;sheet=A0&amp;row=1033&amp;col=6&amp;number=&amp;sourceID=54","")</f>
        <v/>
      </c>
      <c r="G1033" s="4" t="str">
        <f>HYPERLINK("http://141.218.60.56/~jnz1568/getInfo.php?workbook=16_15.xlsx&amp;sheet=A0&amp;row=1033&amp;col=7&amp;number=0.28909&amp;sourceID=54","0.28909")</f>
        <v>0.28909</v>
      </c>
      <c r="H1033" s="4" t="str">
        <f>HYPERLINK("http://141.218.60.56/~jnz1568/getInfo.php?workbook=16_15.xlsx&amp;sheet=A0&amp;row=1033&amp;col=8&amp;number=0.015432&amp;sourceID=54","0.015432")</f>
        <v>0.015432</v>
      </c>
      <c r="I1033" s="4" t="str">
        <f>HYPERLINK("http://141.218.60.56/~jnz1568/getInfo.php?workbook=16_15.xlsx&amp;sheet=A0&amp;row=1033&amp;col=9&amp;number=&amp;sourceID=54","")</f>
        <v/>
      </c>
      <c r="J1033" s="4" t="str">
        <f>HYPERLINK("http://141.218.60.56/~jnz1568/getInfo.php?workbook=16_15.xlsx&amp;sheet=A0&amp;row=1033&amp;col=10&amp;number=0.21739&amp;sourceID=54","0.21739")</f>
        <v>0.21739</v>
      </c>
      <c r="K1033" s="4" t="str">
        <f>HYPERLINK("http://141.218.60.56/~jnz1568/getInfo.php?workbook=16_15.xlsx&amp;sheet=A0&amp;row=1033&amp;col=11&amp;number=0.01523&amp;sourceID=54","0.01523")</f>
        <v>0.01523</v>
      </c>
      <c r="L1033" s="4" t="str">
        <f>HYPERLINK("http://141.218.60.56/~jnz1568/getInfo.php?workbook=16_15.xlsx&amp;sheet=A0&amp;row=1033&amp;col=12&amp;number=&amp;sourceID=53","")</f>
        <v/>
      </c>
      <c r="M1033" s="4" t="str">
        <f>HYPERLINK("http://141.218.60.56/~jnz1568/getInfo.php?workbook=16_15.xlsx&amp;sheet=A0&amp;row=1033&amp;col=13&amp;number=&amp;sourceID=53","")</f>
        <v/>
      </c>
      <c r="N1033" s="4" t="str">
        <f>HYPERLINK("http://141.218.60.56/~jnz1568/getInfo.php?workbook=16_15.xlsx&amp;sheet=A0&amp;row=1033&amp;col=14&amp;number=&amp;sourceID=53","")</f>
        <v/>
      </c>
      <c r="O1033" s="4" t="str">
        <f>HYPERLINK("http://141.218.60.56/~jnz1568/getInfo.php?workbook=16_15.xlsx&amp;sheet=A0&amp;row=1033&amp;col=15&amp;number=&amp;sourceID=55","")</f>
        <v/>
      </c>
      <c r="P1033" s="4" t="str">
        <f>HYPERLINK("http://141.218.60.56/~jnz1568/getInfo.php?workbook=16_15.xlsx&amp;sheet=A0&amp;row=1033&amp;col=16&amp;number=&amp;sourceID=55","")</f>
        <v/>
      </c>
      <c r="Q1033" s="4" t="str">
        <f>HYPERLINK("http://141.218.60.56/~jnz1568/getInfo.php?workbook=16_15.xlsx&amp;sheet=A0&amp;row=1033&amp;col=17&amp;number=&amp;sourceID=56","")</f>
        <v/>
      </c>
      <c r="R1033" s="4" t="str">
        <f>HYPERLINK("http://141.218.60.56/~jnz1568/getInfo.php?workbook=16_15.xlsx&amp;sheet=A0&amp;row=1033&amp;col=18&amp;number=&amp;sourceID=56","")</f>
        <v/>
      </c>
      <c r="S1033" s="4" t="str">
        <f>HYPERLINK("http://141.218.60.56/~jnz1568/getInfo.php?workbook=16_15.xlsx&amp;sheet=A0&amp;row=1033&amp;col=19&amp;number=&amp;sourceID=57","")</f>
        <v/>
      </c>
      <c r="T1033" s="4" t="str">
        <f>HYPERLINK("http://141.218.60.56/~jnz1568/getInfo.php?workbook=16_15.xlsx&amp;sheet=A0&amp;row=1033&amp;col=20&amp;number=&amp;sourceID=57","")</f>
        <v/>
      </c>
      <c r="U1033" s="4" t="str">
        <f>HYPERLINK("http://141.218.60.56/~jnz1568/getInfo.php?workbook=16_15.xlsx&amp;sheet=A0&amp;row=1033&amp;col=21&amp;number=&amp;sourceID=47","")</f>
        <v/>
      </c>
      <c r="V1033" s="4" t="str">
        <f>HYPERLINK("http://141.218.60.56/~jnz1568/getInfo.php?workbook=16_15.xlsx&amp;sheet=A0&amp;row=1033&amp;col=22&amp;number=&amp;sourceID=47","")</f>
        <v/>
      </c>
    </row>
    <row r="1034" spans="1:22">
      <c r="A1034" s="3">
        <v>16</v>
      </c>
      <c r="B1034" s="3">
        <v>15</v>
      </c>
      <c r="C1034" s="3">
        <v>52</v>
      </c>
      <c r="D1034" s="3">
        <v>11</v>
      </c>
      <c r="E1034" s="3">
        <f>((1/(INDEX(E0!J$4:J$73,C1034,1)-INDEX(E0!J$4:J$73,D1034,1))))*100000000</f>
        <v>0</v>
      </c>
      <c r="F1034" s="4" t="str">
        <f>HYPERLINK("http://141.218.60.56/~jnz1568/getInfo.php?workbook=16_15.xlsx&amp;sheet=A0&amp;row=1034&amp;col=6&amp;number=&amp;sourceID=54","")</f>
        <v/>
      </c>
      <c r="G1034" s="4" t="str">
        <f>HYPERLINK("http://141.218.60.56/~jnz1568/getInfo.php?workbook=16_15.xlsx&amp;sheet=A0&amp;row=1034&amp;col=7&amp;number=0.56705&amp;sourceID=54","0.56705")</f>
        <v>0.56705</v>
      </c>
      <c r="H1034" s="4" t="str">
        <f>HYPERLINK("http://141.218.60.56/~jnz1568/getInfo.php?workbook=16_15.xlsx&amp;sheet=A0&amp;row=1034&amp;col=8&amp;number=6.9857e-05&amp;sourceID=54","6.9857e-05")</f>
        <v>6.9857e-05</v>
      </c>
      <c r="I1034" s="4" t="str">
        <f>HYPERLINK("http://141.218.60.56/~jnz1568/getInfo.php?workbook=16_15.xlsx&amp;sheet=A0&amp;row=1034&amp;col=9&amp;number=&amp;sourceID=54","")</f>
        <v/>
      </c>
      <c r="J1034" s="4" t="str">
        <f>HYPERLINK("http://141.218.60.56/~jnz1568/getInfo.php?workbook=16_15.xlsx&amp;sheet=A0&amp;row=1034&amp;col=10&amp;number=0.39535&amp;sourceID=54","0.39535")</f>
        <v>0.39535</v>
      </c>
      <c r="K1034" s="4" t="str">
        <f>HYPERLINK("http://141.218.60.56/~jnz1568/getInfo.php?workbook=16_15.xlsx&amp;sheet=A0&amp;row=1034&amp;col=11&amp;number=7.4257e-05&amp;sourceID=54","7.4257e-05")</f>
        <v>7.4257e-05</v>
      </c>
      <c r="L1034" s="4" t="str">
        <f>HYPERLINK("http://141.218.60.56/~jnz1568/getInfo.php?workbook=16_15.xlsx&amp;sheet=A0&amp;row=1034&amp;col=12&amp;number=&amp;sourceID=53","")</f>
        <v/>
      </c>
      <c r="M1034" s="4" t="str">
        <f>HYPERLINK("http://141.218.60.56/~jnz1568/getInfo.php?workbook=16_15.xlsx&amp;sheet=A0&amp;row=1034&amp;col=13&amp;number=&amp;sourceID=53","")</f>
        <v/>
      </c>
      <c r="N1034" s="4" t="str">
        <f>HYPERLINK("http://141.218.60.56/~jnz1568/getInfo.php?workbook=16_15.xlsx&amp;sheet=A0&amp;row=1034&amp;col=14&amp;number=&amp;sourceID=53","")</f>
        <v/>
      </c>
      <c r="O1034" s="4" t="str">
        <f>HYPERLINK("http://141.218.60.56/~jnz1568/getInfo.php?workbook=16_15.xlsx&amp;sheet=A0&amp;row=1034&amp;col=15&amp;number=&amp;sourceID=55","")</f>
        <v/>
      </c>
      <c r="P1034" s="4" t="str">
        <f>HYPERLINK("http://141.218.60.56/~jnz1568/getInfo.php?workbook=16_15.xlsx&amp;sheet=A0&amp;row=1034&amp;col=16&amp;number=&amp;sourceID=55","")</f>
        <v/>
      </c>
      <c r="Q1034" s="4" t="str">
        <f>HYPERLINK("http://141.218.60.56/~jnz1568/getInfo.php?workbook=16_15.xlsx&amp;sheet=A0&amp;row=1034&amp;col=17&amp;number=&amp;sourceID=56","")</f>
        <v/>
      </c>
      <c r="R1034" s="4" t="str">
        <f>HYPERLINK("http://141.218.60.56/~jnz1568/getInfo.php?workbook=16_15.xlsx&amp;sheet=A0&amp;row=1034&amp;col=18&amp;number=&amp;sourceID=56","")</f>
        <v/>
      </c>
      <c r="S1034" s="4" t="str">
        <f>HYPERLINK("http://141.218.60.56/~jnz1568/getInfo.php?workbook=16_15.xlsx&amp;sheet=A0&amp;row=1034&amp;col=19&amp;number=&amp;sourceID=57","")</f>
        <v/>
      </c>
      <c r="T1034" s="4" t="str">
        <f>HYPERLINK("http://141.218.60.56/~jnz1568/getInfo.php?workbook=16_15.xlsx&amp;sheet=A0&amp;row=1034&amp;col=20&amp;number=&amp;sourceID=57","")</f>
        <v/>
      </c>
      <c r="U1034" s="4" t="str">
        <f>HYPERLINK("http://141.218.60.56/~jnz1568/getInfo.php?workbook=16_15.xlsx&amp;sheet=A0&amp;row=1034&amp;col=21&amp;number=&amp;sourceID=47","")</f>
        <v/>
      </c>
      <c r="V1034" s="4" t="str">
        <f>HYPERLINK("http://141.218.60.56/~jnz1568/getInfo.php?workbook=16_15.xlsx&amp;sheet=A0&amp;row=1034&amp;col=22&amp;number=&amp;sourceID=47","")</f>
        <v/>
      </c>
    </row>
    <row r="1035" spans="1:22">
      <c r="A1035" s="3">
        <v>16</v>
      </c>
      <c r="B1035" s="3">
        <v>15</v>
      </c>
      <c r="C1035" s="3">
        <v>52</v>
      </c>
      <c r="D1035" s="3">
        <v>12</v>
      </c>
      <c r="E1035" s="3">
        <f>((1/(INDEX(E0!J$4:J$73,C1035,1)-INDEX(E0!J$4:J$73,D1035,1))))*100000000</f>
        <v>0</v>
      </c>
      <c r="F1035" s="4" t="str">
        <f>HYPERLINK("http://141.218.60.56/~jnz1568/getInfo.php?workbook=16_15.xlsx&amp;sheet=A0&amp;row=1035&amp;col=6&amp;number=&amp;sourceID=54","")</f>
        <v/>
      </c>
      <c r="G1035" s="4" t="str">
        <f>HYPERLINK("http://141.218.60.56/~jnz1568/getInfo.php?workbook=16_15.xlsx&amp;sheet=A0&amp;row=1035&amp;col=7&amp;number=2.7118&amp;sourceID=54","2.7118")</f>
        <v>2.7118</v>
      </c>
      <c r="H1035" s="4" t="str">
        <f>HYPERLINK("http://141.218.60.56/~jnz1568/getInfo.php?workbook=16_15.xlsx&amp;sheet=A0&amp;row=1035&amp;col=8&amp;number=&amp;sourceID=54","")</f>
        <v/>
      </c>
      <c r="I1035" s="4" t="str">
        <f>HYPERLINK("http://141.218.60.56/~jnz1568/getInfo.php?workbook=16_15.xlsx&amp;sheet=A0&amp;row=1035&amp;col=9&amp;number=&amp;sourceID=54","")</f>
        <v/>
      </c>
      <c r="J1035" s="4" t="str">
        <f>HYPERLINK("http://141.218.60.56/~jnz1568/getInfo.php?workbook=16_15.xlsx&amp;sheet=A0&amp;row=1035&amp;col=10&amp;number=2.1997&amp;sourceID=54","2.1997")</f>
        <v>2.1997</v>
      </c>
      <c r="K1035" s="4" t="str">
        <f>HYPERLINK("http://141.218.60.56/~jnz1568/getInfo.php?workbook=16_15.xlsx&amp;sheet=A0&amp;row=1035&amp;col=11&amp;number=&amp;sourceID=54","")</f>
        <v/>
      </c>
      <c r="L1035" s="4" t="str">
        <f>HYPERLINK("http://141.218.60.56/~jnz1568/getInfo.php?workbook=16_15.xlsx&amp;sheet=A0&amp;row=1035&amp;col=12&amp;number=&amp;sourceID=53","")</f>
        <v/>
      </c>
      <c r="M1035" s="4" t="str">
        <f>HYPERLINK("http://141.218.60.56/~jnz1568/getInfo.php?workbook=16_15.xlsx&amp;sheet=A0&amp;row=1035&amp;col=13&amp;number=&amp;sourceID=53","")</f>
        <v/>
      </c>
      <c r="N1035" s="4" t="str">
        <f>HYPERLINK("http://141.218.60.56/~jnz1568/getInfo.php?workbook=16_15.xlsx&amp;sheet=A0&amp;row=1035&amp;col=14&amp;number=&amp;sourceID=53","")</f>
        <v/>
      </c>
      <c r="O1035" s="4" t="str">
        <f>HYPERLINK("http://141.218.60.56/~jnz1568/getInfo.php?workbook=16_15.xlsx&amp;sheet=A0&amp;row=1035&amp;col=15&amp;number=&amp;sourceID=55","")</f>
        <v/>
      </c>
      <c r="P1035" s="4" t="str">
        <f>HYPERLINK("http://141.218.60.56/~jnz1568/getInfo.php?workbook=16_15.xlsx&amp;sheet=A0&amp;row=1035&amp;col=16&amp;number=&amp;sourceID=55","")</f>
        <v/>
      </c>
      <c r="Q1035" s="4" t="str">
        <f>HYPERLINK("http://141.218.60.56/~jnz1568/getInfo.php?workbook=16_15.xlsx&amp;sheet=A0&amp;row=1035&amp;col=17&amp;number=&amp;sourceID=56","")</f>
        <v/>
      </c>
      <c r="R1035" s="4" t="str">
        <f>HYPERLINK("http://141.218.60.56/~jnz1568/getInfo.php?workbook=16_15.xlsx&amp;sheet=A0&amp;row=1035&amp;col=18&amp;number=&amp;sourceID=56","")</f>
        <v/>
      </c>
      <c r="S1035" s="4" t="str">
        <f>HYPERLINK("http://141.218.60.56/~jnz1568/getInfo.php?workbook=16_15.xlsx&amp;sheet=A0&amp;row=1035&amp;col=19&amp;number=&amp;sourceID=57","")</f>
        <v/>
      </c>
      <c r="T1035" s="4" t="str">
        <f>HYPERLINK("http://141.218.60.56/~jnz1568/getInfo.php?workbook=16_15.xlsx&amp;sheet=A0&amp;row=1035&amp;col=20&amp;number=&amp;sourceID=57","")</f>
        <v/>
      </c>
      <c r="U1035" s="4" t="str">
        <f>HYPERLINK("http://141.218.60.56/~jnz1568/getInfo.php?workbook=16_15.xlsx&amp;sheet=A0&amp;row=1035&amp;col=21&amp;number=&amp;sourceID=47","")</f>
        <v/>
      </c>
      <c r="V1035" s="4" t="str">
        <f>HYPERLINK("http://141.218.60.56/~jnz1568/getInfo.php?workbook=16_15.xlsx&amp;sheet=A0&amp;row=1035&amp;col=22&amp;number=&amp;sourceID=47","")</f>
        <v/>
      </c>
    </row>
    <row r="1036" spans="1:22">
      <c r="A1036" s="3">
        <v>16</v>
      </c>
      <c r="B1036" s="3">
        <v>15</v>
      </c>
      <c r="C1036" s="3">
        <v>52</v>
      </c>
      <c r="D1036" s="3">
        <v>13</v>
      </c>
      <c r="E1036" s="3">
        <f>((1/(INDEX(E0!J$4:J$73,C1036,1)-INDEX(E0!J$4:J$73,D1036,1))))*100000000</f>
        <v>0</v>
      </c>
      <c r="F1036" s="4" t="str">
        <f>HYPERLINK("http://141.218.60.56/~jnz1568/getInfo.php?workbook=16_15.xlsx&amp;sheet=A0&amp;row=1036&amp;col=6&amp;number=&amp;sourceID=54","")</f>
        <v/>
      </c>
      <c r="G1036" s="4" t="str">
        <f>HYPERLINK("http://141.218.60.56/~jnz1568/getInfo.php?workbook=16_15.xlsx&amp;sheet=A0&amp;row=1036&amp;col=7&amp;number=0.17717&amp;sourceID=54","0.17717")</f>
        <v>0.17717</v>
      </c>
      <c r="H1036" s="4" t="str">
        <f>HYPERLINK("http://141.218.60.56/~jnz1568/getInfo.php?workbook=16_15.xlsx&amp;sheet=A0&amp;row=1036&amp;col=8&amp;number=&amp;sourceID=54","")</f>
        <v/>
      </c>
      <c r="I1036" s="4" t="str">
        <f>HYPERLINK("http://141.218.60.56/~jnz1568/getInfo.php?workbook=16_15.xlsx&amp;sheet=A0&amp;row=1036&amp;col=9&amp;number=&amp;sourceID=54","")</f>
        <v/>
      </c>
      <c r="J1036" s="4" t="str">
        <f>HYPERLINK("http://141.218.60.56/~jnz1568/getInfo.php?workbook=16_15.xlsx&amp;sheet=A0&amp;row=1036&amp;col=10&amp;number=0.16769&amp;sourceID=54","0.16769")</f>
        <v>0.16769</v>
      </c>
      <c r="K1036" s="4" t="str">
        <f>HYPERLINK("http://141.218.60.56/~jnz1568/getInfo.php?workbook=16_15.xlsx&amp;sheet=A0&amp;row=1036&amp;col=11&amp;number=&amp;sourceID=54","")</f>
        <v/>
      </c>
      <c r="L1036" s="4" t="str">
        <f>HYPERLINK("http://141.218.60.56/~jnz1568/getInfo.php?workbook=16_15.xlsx&amp;sheet=A0&amp;row=1036&amp;col=12&amp;number=&amp;sourceID=53","")</f>
        <v/>
      </c>
      <c r="M1036" s="4" t="str">
        <f>HYPERLINK("http://141.218.60.56/~jnz1568/getInfo.php?workbook=16_15.xlsx&amp;sheet=A0&amp;row=1036&amp;col=13&amp;number=&amp;sourceID=53","")</f>
        <v/>
      </c>
      <c r="N1036" s="4" t="str">
        <f>HYPERLINK("http://141.218.60.56/~jnz1568/getInfo.php?workbook=16_15.xlsx&amp;sheet=A0&amp;row=1036&amp;col=14&amp;number=&amp;sourceID=53","")</f>
        <v/>
      </c>
      <c r="O1036" s="4" t="str">
        <f>HYPERLINK("http://141.218.60.56/~jnz1568/getInfo.php?workbook=16_15.xlsx&amp;sheet=A0&amp;row=1036&amp;col=15&amp;number=&amp;sourceID=55","")</f>
        <v/>
      </c>
      <c r="P1036" s="4" t="str">
        <f>HYPERLINK("http://141.218.60.56/~jnz1568/getInfo.php?workbook=16_15.xlsx&amp;sheet=A0&amp;row=1036&amp;col=16&amp;number=&amp;sourceID=55","")</f>
        <v/>
      </c>
      <c r="Q1036" s="4" t="str">
        <f>HYPERLINK("http://141.218.60.56/~jnz1568/getInfo.php?workbook=16_15.xlsx&amp;sheet=A0&amp;row=1036&amp;col=17&amp;number=&amp;sourceID=56","")</f>
        <v/>
      </c>
      <c r="R1036" s="4" t="str">
        <f>HYPERLINK("http://141.218.60.56/~jnz1568/getInfo.php?workbook=16_15.xlsx&amp;sheet=A0&amp;row=1036&amp;col=18&amp;number=&amp;sourceID=56","")</f>
        <v/>
      </c>
      <c r="S1036" s="4" t="str">
        <f>HYPERLINK("http://141.218.60.56/~jnz1568/getInfo.php?workbook=16_15.xlsx&amp;sheet=A0&amp;row=1036&amp;col=19&amp;number=&amp;sourceID=57","")</f>
        <v/>
      </c>
      <c r="T1036" s="4" t="str">
        <f>HYPERLINK("http://141.218.60.56/~jnz1568/getInfo.php?workbook=16_15.xlsx&amp;sheet=A0&amp;row=1036&amp;col=20&amp;number=&amp;sourceID=57","")</f>
        <v/>
      </c>
      <c r="U1036" s="4" t="str">
        <f>HYPERLINK("http://141.218.60.56/~jnz1568/getInfo.php?workbook=16_15.xlsx&amp;sheet=A0&amp;row=1036&amp;col=21&amp;number=&amp;sourceID=47","")</f>
        <v/>
      </c>
      <c r="V1036" s="4" t="str">
        <f>HYPERLINK("http://141.218.60.56/~jnz1568/getInfo.php?workbook=16_15.xlsx&amp;sheet=A0&amp;row=1036&amp;col=22&amp;number=&amp;sourceID=47","")</f>
        <v/>
      </c>
    </row>
    <row r="1037" spans="1:22">
      <c r="A1037" s="3">
        <v>16</v>
      </c>
      <c r="B1037" s="3">
        <v>15</v>
      </c>
      <c r="C1037" s="3">
        <v>52</v>
      </c>
      <c r="D1037" s="3">
        <v>14</v>
      </c>
      <c r="E1037" s="3">
        <f>((1/(INDEX(E0!J$4:J$73,C1037,1)-INDEX(E0!J$4:J$73,D1037,1))))*100000000</f>
        <v>0</v>
      </c>
      <c r="F1037" s="4" t="str">
        <f>HYPERLINK("http://141.218.60.56/~jnz1568/getInfo.php?workbook=16_15.xlsx&amp;sheet=A0&amp;row=1037&amp;col=6&amp;number=&amp;sourceID=54","")</f>
        <v/>
      </c>
      <c r="G1037" s="4" t="str">
        <f>HYPERLINK("http://141.218.60.56/~jnz1568/getInfo.php?workbook=16_15.xlsx&amp;sheet=A0&amp;row=1037&amp;col=7&amp;number=0.15741&amp;sourceID=54","0.15741")</f>
        <v>0.15741</v>
      </c>
      <c r="H1037" s="4" t="str">
        <f>HYPERLINK("http://141.218.60.56/~jnz1568/getInfo.php?workbook=16_15.xlsx&amp;sheet=A0&amp;row=1037&amp;col=8&amp;number=6.2416e-08&amp;sourceID=54","6.2416e-08")</f>
        <v>6.2416e-08</v>
      </c>
      <c r="I1037" s="4" t="str">
        <f>HYPERLINK("http://141.218.60.56/~jnz1568/getInfo.php?workbook=16_15.xlsx&amp;sheet=A0&amp;row=1037&amp;col=9&amp;number=&amp;sourceID=54","")</f>
        <v/>
      </c>
      <c r="J1037" s="4" t="str">
        <f>HYPERLINK("http://141.218.60.56/~jnz1568/getInfo.php?workbook=16_15.xlsx&amp;sheet=A0&amp;row=1037&amp;col=10&amp;number=0.14131&amp;sourceID=54","0.14131")</f>
        <v>0.14131</v>
      </c>
      <c r="K1037" s="4" t="str">
        <f>HYPERLINK("http://141.218.60.56/~jnz1568/getInfo.php?workbook=16_15.xlsx&amp;sheet=A0&amp;row=1037&amp;col=11&amp;number=1.4209e-08&amp;sourceID=54","1.4209e-08")</f>
        <v>1.4209e-08</v>
      </c>
      <c r="L1037" s="4" t="str">
        <f>HYPERLINK("http://141.218.60.56/~jnz1568/getInfo.php?workbook=16_15.xlsx&amp;sheet=A0&amp;row=1037&amp;col=12&amp;number=&amp;sourceID=53","")</f>
        <v/>
      </c>
      <c r="M1037" s="4" t="str">
        <f>HYPERLINK("http://141.218.60.56/~jnz1568/getInfo.php?workbook=16_15.xlsx&amp;sheet=A0&amp;row=1037&amp;col=13&amp;number=&amp;sourceID=53","")</f>
        <v/>
      </c>
      <c r="N1037" s="4" t="str">
        <f>HYPERLINK("http://141.218.60.56/~jnz1568/getInfo.php?workbook=16_15.xlsx&amp;sheet=A0&amp;row=1037&amp;col=14&amp;number=&amp;sourceID=53","")</f>
        <v/>
      </c>
      <c r="O1037" s="4" t="str">
        <f>HYPERLINK("http://141.218.60.56/~jnz1568/getInfo.php?workbook=16_15.xlsx&amp;sheet=A0&amp;row=1037&amp;col=15&amp;number=&amp;sourceID=55","")</f>
        <v/>
      </c>
      <c r="P1037" s="4" t="str">
        <f>HYPERLINK("http://141.218.60.56/~jnz1568/getInfo.php?workbook=16_15.xlsx&amp;sheet=A0&amp;row=1037&amp;col=16&amp;number=&amp;sourceID=55","")</f>
        <v/>
      </c>
      <c r="Q1037" s="4" t="str">
        <f>HYPERLINK("http://141.218.60.56/~jnz1568/getInfo.php?workbook=16_15.xlsx&amp;sheet=A0&amp;row=1037&amp;col=17&amp;number=&amp;sourceID=56","")</f>
        <v/>
      </c>
      <c r="R1037" s="4" t="str">
        <f>HYPERLINK("http://141.218.60.56/~jnz1568/getInfo.php?workbook=16_15.xlsx&amp;sheet=A0&amp;row=1037&amp;col=18&amp;number=&amp;sourceID=56","")</f>
        <v/>
      </c>
      <c r="S1037" s="4" t="str">
        <f>HYPERLINK("http://141.218.60.56/~jnz1568/getInfo.php?workbook=16_15.xlsx&amp;sheet=A0&amp;row=1037&amp;col=19&amp;number=&amp;sourceID=57","")</f>
        <v/>
      </c>
      <c r="T1037" s="4" t="str">
        <f>HYPERLINK("http://141.218.60.56/~jnz1568/getInfo.php?workbook=16_15.xlsx&amp;sheet=A0&amp;row=1037&amp;col=20&amp;number=&amp;sourceID=57","")</f>
        <v/>
      </c>
      <c r="U1037" s="4" t="str">
        <f>HYPERLINK("http://141.218.60.56/~jnz1568/getInfo.php?workbook=16_15.xlsx&amp;sheet=A0&amp;row=1037&amp;col=21&amp;number=&amp;sourceID=47","")</f>
        <v/>
      </c>
      <c r="V1037" s="4" t="str">
        <f>HYPERLINK("http://141.218.60.56/~jnz1568/getInfo.php?workbook=16_15.xlsx&amp;sheet=A0&amp;row=1037&amp;col=22&amp;number=&amp;sourceID=47","")</f>
        <v/>
      </c>
    </row>
    <row r="1038" spans="1:22">
      <c r="A1038" s="3">
        <v>16</v>
      </c>
      <c r="B1038" s="3">
        <v>15</v>
      </c>
      <c r="C1038" s="3">
        <v>52</v>
      </c>
      <c r="D1038" s="3">
        <v>15</v>
      </c>
      <c r="E1038" s="3">
        <f>((1/(INDEX(E0!J$4:J$73,C1038,1)-INDEX(E0!J$4:J$73,D1038,1))))*100000000</f>
        <v>0</v>
      </c>
      <c r="F1038" s="4" t="str">
        <f>HYPERLINK("http://141.218.60.56/~jnz1568/getInfo.php?workbook=16_15.xlsx&amp;sheet=A0&amp;row=1038&amp;col=6&amp;number=&amp;sourceID=54","")</f>
        <v/>
      </c>
      <c r="G1038" s="4" t="str">
        <f>HYPERLINK("http://141.218.60.56/~jnz1568/getInfo.php?workbook=16_15.xlsx&amp;sheet=A0&amp;row=1038&amp;col=7&amp;number=0.00043553&amp;sourceID=54","0.00043553")</f>
        <v>0.00043553</v>
      </c>
      <c r="H1038" s="4" t="str">
        <f>HYPERLINK("http://141.218.60.56/~jnz1568/getInfo.php?workbook=16_15.xlsx&amp;sheet=A0&amp;row=1038&amp;col=8&amp;number=0.0346&amp;sourceID=54","0.0346")</f>
        <v>0.0346</v>
      </c>
      <c r="I1038" s="4" t="str">
        <f>HYPERLINK("http://141.218.60.56/~jnz1568/getInfo.php?workbook=16_15.xlsx&amp;sheet=A0&amp;row=1038&amp;col=9&amp;number=&amp;sourceID=54","")</f>
        <v/>
      </c>
      <c r="J1038" s="4" t="str">
        <f>HYPERLINK("http://141.218.60.56/~jnz1568/getInfo.php?workbook=16_15.xlsx&amp;sheet=A0&amp;row=1038&amp;col=10&amp;number=0.00029789&amp;sourceID=54","0.00029789")</f>
        <v>0.00029789</v>
      </c>
      <c r="K1038" s="4" t="str">
        <f>HYPERLINK("http://141.218.60.56/~jnz1568/getInfo.php?workbook=16_15.xlsx&amp;sheet=A0&amp;row=1038&amp;col=11&amp;number=0.033045&amp;sourceID=54","0.033045")</f>
        <v>0.033045</v>
      </c>
      <c r="L1038" s="4" t="str">
        <f>HYPERLINK("http://141.218.60.56/~jnz1568/getInfo.php?workbook=16_15.xlsx&amp;sheet=A0&amp;row=1038&amp;col=12&amp;number=&amp;sourceID=53","")</f>
        <v/>
      </c>
      <c r="M1038" s="4" t="str">
        <f>HYPERLINK("http://141.218.60.56/~jnz1568/getInfo.php?workbook=16_15.xlsx&amp;sheet=A0&amp;row=1038&amp;col=13&amp;number=&amp;sourceID=53","")</f>
        <v/>
      </c>
      <c r="N1038" s="4" t="str">
        <f>HYPERLINK("http://141.218.60.56/~jnz1568/getInfo.php?workbook=16_15.xlsx&amp;sheet=A0&amp;row=1038&amp;col=14&amp;number=&amp;sourceID=53","")</f>
        <v/>
      </c>
      <c r="O1038" s="4" t="str">
        <f>HYPERLINK("http://141.218.60.56/~jnz1568/getInfo.php?workbook=16_15.xlsx&amp;sheet=A0&amp;row=1038&amp;col=15&amp;number=&amp;sourceID=55","")</f>
        <v/>
      </c>
      <c r="P1038" s="4" t="str">
        <f>HYPERLINK("http://141.218.60.56/~jnz1568/getInfo.php?workbook=16_15.xlsx&amp;sheet=A0&amp;row=1038&amp;col=16&amp;number=&amp;sourceID=55","")</f>
        <v/>
      </c>
      <c r="Q1038" s="4" t="str">
        <f>HYPERLINK("http://141.218.60.56/~jnz1568/getInfo.php?workbook=16_15.xlsx&amp;sheet=A0&amp;row=1038&amp;col=17&amp;number=&amp;sourceID=56","")</f>
        <v/>
      </c>
      <c r="R1038" s="4" t="str">
        <f>HYPERLINK("http://141.218.60.56/~jnz1568/getInfo.php?workbook=16_15.xlsx&amp;sheet=A0&amp;row=1038&amp;col=18&amp;number=&amp;sourceID=56","")</f>
        <v/>
      </c>
      <c r="S1038" s="4" t="str">
        <f>HYPERLINK("http://141.218.60.56/~jnz1568/getInfo.php?workbook=16_15.xlsx&amp;sheet=A0&amp;row=1038&amp;col=19&amp;number=&amp;sourceID=57","")</f>
        <v/>
      </c>
      <c r="T1038" s="4" t="str">
        <f>HYPERLINK("http://141.218.60.56/~jnz1568/getInfo.php?workbook=16_15.xlsx&amp;sheet=A0&amp;row=1038&amp;col=20&amp;number=&amp;sourceID=57","")</f>
        <v/>
      </c>
      <c r="U1038" s="4" t="str">
        <f>HYPERLINK("http://141.218.60.56/~jnz1568/getInfo.php?workbook=16_15.xlsx&amp;sheet=A0&amp;row=1038&amp;col=21&amp;number=&amp;sourceID=47","")</f>
        <v/>
      </c>
      <c r="V1038" s="4" t="str">
        <f>HYPERLINK("http://141.218.60.56/~jnz1568/getInfo.php?workbook=16_15.xlsx&amp;sheet=A0&amp;row=1038&amp;col=22&amp;number=&amp;sourceID=47","")</f>
        <v/>
      </c>
    </row>
    <row r="1039" spans="1:22">
      <c r="A1039" s="3">
        <v>16</v>
      </c>
      <c r="B1039" s="3">
        <v>15</v>
      </c>
      <c r="C1039" s="3">
        <v>52</v>
      </c>
      <c r="D1039" s="3">
        <v>16</v>
      </c>
      <c r="E1039" s="3">
        <f>((1/(INDEX(E0!J$4:J$73,C1039,1)-INDEX(E0!J$4:J$73,D1039,1))))*100000000</f>
        <v>0</v>
      </c>
      <c r="F1039" s="4" t="str">
        <f>HYPERLINK("http://141.218.60.56/~jnz1568/getInfo.php?workbook=16_15.xlsx&amp;sheet=A0&amp;row=1039&amp;col=6&amp;number=&amp;sourceID=54","")</f>
        <v/>
      </c>
      <c r="G1039" s="4" t="str">
        <f>HYPERLINK("http://141.218.60.56/~jnz1568/getInfo.php?workbook=16_15.xlsx&amp;sheet=A0&amp;row=1039&amp;col=7&amp;number=0.0091696&amp;sourceID=54","0.0091696")</f>
        <v>0.0091696</v>
      </c>
      <c r="H1039" s="4" t="str">
        <f>HYPERLINK("http://141.218.60.56/~jnz1568/getInfo.php?workbook=16_15.xlsx&amp;sheet=A0&amp;row=1039&amp;col=8&amp;number=1.6016e-08&amp;sourceID=54","1.6016e-08")</f>
        <v>1.6016e-08</v>
      </c>
      <c r="I1039" s="4" t="str">
        <f>HYPERLINK("http://141.218.60.56/~jnz1568/getInfo.php?workbook=16_15.xlsx&amp;sheet=A0&amp;row=1039&amp;col=9&amp;number=&amp;sourceID=54","")</f>
        <v/>
      </c>
      <c r="J1039" s="4" t="str">
        <f>HYPERLINK("http://141.218.60.56/~jnz1568/getInfo.php?workbook=16_15.xlsx&amp;sheet=A0&amp;row=1039&amp;col=10&amp;number=0.0067234&amp;sourceID=54","0.0067234")</f>
        <v>0.0067234</v>
      </c>
      <c r="K1039" s="4" t="str">
        <f>HYPERLINK("http://141.218.60.56/~jnz1568/getInfo.php?workbook=16_15.xlsx&amp;sheet=A0&amp;row=1039&amp;col=11&amp;number=3.143e-07&amp;sourceID=54","3.143e-07")</f>
        <v>3.143e-07</v>
      </c>
      <c r="L1039" s="4" t="str">
        <f>HYPERLINK("http://141.218.60.56/~jnz1568/getInfo.php?workbook=16_15.xlsx&amp;sheet=A0&amp;row=1039&amp;col=12&amp;number=&amp;sourceID=53","")</f>
        <v/>
      </c>
      <c r="M1039" s="4" t="str">
        <f>HYPERLINK("http://141.218.60.56/~jnz1568/getInfo.php?workbook=16_15.xlsx&amp;sheet=A0&amp;row=1039&amp;col=13&amp;number=&amp;sourceID=53","")</f>
        <v/>
      </c>
      <c r="N1039" s="4" t="str">
        <f>HYPERLINK("http://141.218.60.56/~jnz1568/getInfo.php?workbook=16_15.xlsx&amp;sheet=A0&amp;row=1039&amp;col=14&amp;number=&amp;sourceID=53","")</f>
        <v/>
      </c>
      <c r="O1039" s="4" t="str">
        <f>HYPERLINK("http://141.218.60.56/~jnz1568/getInfo.php?workbook=16_15.xlsx&amp;sheet=A0&amp;row=1039&amp;col=15&amp;number=&amp;sourceID=55","")</f>
        <v/>
      </c>
      <c r="P1039" s="4" t="str">
        <f>HYPERLINK("http://141.218.60.56/~jnz1568/getInfo.php?workbook=16_15.xlsx&amp;sheet=A0&amp;row=1039&amp;col=16&amp;number=&amp;sourceID=55","")</f>
        <v/>
      </c>
      <c r="Q1039" s="4" t="str">
        <f>HYPERLINK("http://141.218.60.56/~jnz1568/getInfo.php?workbook=16_15.xlsx&amp;sheet=A0&amp;row=1039&amp;col=17&amp;number=&amp;sourceID=56","")</f>
        <v/>
      </c>
      <c r="R1039" s="4" t="str">
        <f>HYPERLINK("http://141.218.60.56/~jnz1568/getInfo.php?workbook=16_15.xlsx&amp;sheet=A0&amp;row=1039&amp;col=18&amp;number=&amp;sourceID=56","")</f>
        <v/>
      </c>
      <c r="S1039" s="4" t="str">
        <f>HYPERLINK("http://141.218.60.56/~jnz1568/getInfo.php?workbook=16_15.xlsx&amp;sheet=A0&amp;row=1039&amp;col=19&amp;number=&amp;sourceID=57","")</f>
        <v/>
      </c>
      <c r="T1039" s="4" t="str">
        <f>HYPERLINK("http://141.218.60.56/~jnz1568/getInfo.php?workbook=16_15.xlsx&amp;sheet=A0&amp;row=1039&amp;col=20&amp;number=&amp;sourceID=57","")</f>
        <v/>
      </c>
      <c r="U1039" s="4" t="str">
        <f>HYPERLINK("http://141.218.60.56/~jnz1568/getInfo.php?workbook=16_15.xlsx&amp;sheet=A0&amp;row=1039&amp;col=21&amp;number=&amp;sourceID=47","")</f>
        <v/>
      </c>
      <c r="V1039" s="4" t="str">
        <f>HYPERLINK("http://141.218.60.56/~jnz1568/getInfo.php?workbook=16_15.xlsx&amp;sheet=A0&amp;row=1039&amp;col=22&amp;number=&amp;sourceID=47","")</f>
        <v/>
      </c>
    </row>
    <row r="1040" spans="1:22">
      <c r="A1040" s="3">
        <v>16</v>
      </c>
      <c r="B1040" s="3">
        <v>15</v>
      </c>
      <c r="C1040" s="3">
        <v>52</v>
      </c>
      <c r="D1040" s="3">
        <v>17</v>
      </c>
      <c r="E1040" s="3">
        <f>((1/(INDEX(E0!J$4:J$73,C1040,1)-INDEX(E0!J$4:J$73,D1040,1))))*100000000</f>
        <v>0</v>
      </c>
      <c r="F1040" s="4" t="str">
        <f>HYPERLINK("http://141.218.60.56/~jnz1568/getInfo.php?workbook=16_15.xlsx&amp;sheet=A0&amp;row=1040&amp;col=6&amp;number=&amp;sourceID=54","")</f>
        <v/>
      </c>
      <c r="G1040" s="4" t="str">
        <f>HYPERLINK("http://141.218.60.56/~jnz1568/getInfo.php?workbook=16_15.xlsx&amp;sheet=A0&amp;row=1040&amp;col=7&amp;number=0.001213&amp;sourceID=54","0.001213")</f>
        <v>0.001213</v>
      </c>
      <c r="H1040" s="4" t="str">
        <f>HYPERLINK("http://141.218.60.56/~jnz1568/getInfo.php?workbook=16_15.xlsx&amp;sheet=A0&amp;row=1040&amp;col=8&amp;number=0.0040518&amp;sourceID=54","0.0040518")</f>
        <v>0.0040518</v>
      </c>
      <c r="I1040" s="4" t="str">
        <f>HYPERLINK("http://141.218.60.56/~jnz1568/getInfo.php?workbook=16_15.xlsx&amp;sheet=A0&amp;row=1040&amp;col=9&amp;number=&amp;sourceID=54","")</f>
        <v/>
      </c>
      <c r="J1040" s="4" t="str">
        <f>HYPERLINK("http://141.218.60.56/~jnz1568/getInfo.php?workbook=16_15.xlsx&amp;sheet=A0&amp;row=1040&amp;col=10&amp;number=0.00081608&amp;sourceID=54","0.00081608")</f>
        <v>0.00081608</v>
      </c>
      <c r="K1040" s="4" t="str">
        <f>HYPERLINK("http://141.218.60.56/~jnz1568/getInfo.php?workbook=16_15.xlsx&amp;sheet=A0&amp;row=1040&amp;col=11&amp;number=0.0061097&amp;sourceID=54","0.0061097")</f>
        <v>0.0061097</v>
      </c>
      <c r="L1040" s="4" t="str">
        <f>HYPERLINK("http://141.218.60.56/~jnz1568/getInfo.php?workbook=16_15.xlsx&amp;sheet=A0&amp;row=1040&amp;col=12&amp;number=&amp;sourceID=53","")</f>
        <v/>
      </c>
      <c r="M1040" s="4" t="str">
        <f>HYPERLINK("http://141.218.60.56/~jnz1568/getInfo.php?workbook=16_15.xlsx&amp;sheet=A0&amp;row=1040&amp;col=13&amp;number=&amp;sourceID=53","")</f>
        <v/>
      </c>
      <c r="N1040" s="4" t="str">
        <f>HYPERLINK("http://141.218.60.56/~jnz1568/getInfo.php?workbook=16_15.xlsx&amp;sheet=A0&amp;row=1040&amp;col=14&amp;number=&amp;sourceID=53","")</f>
        <v/>
      </c>
      <c r="O1040" s="4" t="str">
        <f>HYPERLINK("http://141.218.60.56/~jnz1568/getInfo.php?workbook=16_15.xlsx&amp;sheet=A0&amp;row=1040&amp;col=15&amp;number=&amp;sourceID=55","")</f>
        <v/>
      </c>
      <c r="P1040" s="4" t="str">
        <f>HYPERLINK("http://141.218.60.56/~jnz1568/getInfo.php?workbook=16_15.xlsx&amp;sheet=A0&amp;row=1040&amp;col=16&amp;number=&amp;sourceID=55","")</f>
        <v/>
      </c>
      <c r="Q1040" s="4" t="str">
        <f>HYPERLINK("http://141.218.60.56/~jnz1568/getInfo.php?workbook=16_15.xlsx&amp;sheet=A0&amp;row=1040&amp;col=17&amp;number=&amp;sourceID=56","")</f>
        <v/>
      </c>
      <c r="R1040" s="4" t="str">
        <f>HYPERLINK("http://141.218.60.56/~jnz1568/getInfo.php?workbook=16_15.xlsx&amp;sheet=A0&amp;row=1040&amp;col=18&amp;number=&amp;sourceID=56","")</f>
        <v/>
      </c>
      <c r="S1040" s="4" t="str">
        <f>HYPERLINK("http://141.218.60.56/~jnz1568/getInfo.php?workbook=16_15.xlsx&amp;sheet=A0&amp;row=1040&amp;col=19&amp;number=&amp;sourceID=57","")</f>
        <v/>
      </c>
      <c r="T1040" s="4" t="str">
        <f>HYPERLINK("http://141.218.60.56/~jnz1568/getInfo.php?workbook=16_15.xlsx&amp;sheet=A0&amp;row=1040&amp;col=20&amp;number=&amp;sourceID=57","")</f>
        <v/>
      </c>
      <c r="U1040" s="4" t="str">
        <f>HYPERLINK("http://141.218.60.56/~jnz1568/getInfo.php?workbook=16_15.xlsx&amp;sheet=A0&amp;row=1040&amp;col=21&amp;number=&amp;sourceID=47","")</f>
        <v/>
      </c>
      <c r="V1040" s="4" t="str">
        <f>HYPERLINK("http://141.218.60.56/~jnz1568/getInfo.php?workbook=16_15.xlsx&amp;sheet=A0&amp;row=1040&amp;col=22&amp;number=&amp;sourceID=47","")</f>
        <v/>
      </c>
    </row>
    <row r="1041" spans="1:22">
      <c r="A1041" s="3">
        <v>16</v>
      </c>
      <c r="B1041" s="3">
        <v>15</v>
      </c>
      <c r="C1041" s="3">
        <v>52</v>
      </c>
      <c r="D1041" s="3">
        <v>18</v>
      </c>
      <c r="E1041" s="3">
        <f>((1/(INDEX(E0!J$4:J$73,C1041,1)-INDEX(E0!J$4:J$73,D1041,1))))*100000000</f>
        <v>0</v>
      </c>
      <c r="F1041" s="4" t="str">
        <f>HYPERLINK("http://141.218.60.56/~jnz1568/getInfo.php?workbook=16_15.xlsx&amp;sheet=A0&amp;row=1041&amp;col=6&amp;number=&amp;sourceID=54","")</f>
        <v/>
      </c>
      <c r="G1041" s="4" t="str">
        <f>HYPERLINK("http://141.218.60.56/~jnz1568/getInfo.php?workbook=16_15.xlsx&amp;sheet=A0&amp;row=1041&amp;col=7&amp;number=0.0010378&amp;sourceID=54","0.0010378")</f>
        <v>0.0010378</v>
      </c>
      <c r="H1041" s="4" t="str">
        <f>HYPERLINK("http://141.218.60.56/~jnz1568/getInfo.php?workbook=16_15.xlsx&amp;sheet=A0&amp;row=1041&amp;col=8&amp;number=0.010926&amp;sourceID=54","0.010926")</f>
        <v>0.010926</v>
      </c>
      <c r="I1041" s="4" t="str">
        <f>HYPERLINK("http://141.218.60.56/~jnz1568/getInfo.php?workbook=16_15.xlsx&amp;sheet=A0&amp;row=1041&amp;col=9&amp;number=&amp;sourceID=54","")</f>
        <v/>
      </c>
      <c r="J1041" s="4" t="str">
        <f>HYPERLINK("http://141.218.60.56/~jnz1568/getInfo.php?workbook=16_15.xlsx&amp;sheet=A0&amp;row=1041&amp;col=10&amp;number=0.00074438&amp;sourceID=54","0.00074438")</f>
        <v>0.00074438</v>
      </c>
      <c r="K1041" s="4" t="str">
        <f>HYPERLINK("http://141.218.60.56/~jnz1568/getInfo.php?workbook=16_15.xlsx&amp;sheet=A0&amp;row=1041&amp;col=11&amp;number=0.011523&amp;sourceID=54","0.011523")</f>
        <v>0.011523</v>
      </c>
      <c r="L1041" s="4" t="str">
        <f>HYPERLINK("http://141.218.60.56/~jnz1568/getInfo.php?workbook=16_15.xlsx&amp;sheet=A0&amp;row=1041&amp;col=12&amp;number=&amp;sourceID=53","")</f>
        <v/>
      </c>
      <c r="M1041" s="4" t="str">
        <f>HYPERLINK("http://141.218.60.56/~jnz1568/getInfo.php?workbook=16_15.xlsx&amp;sheet=A0&amp;row=1041&amp;col=13&amp;number=&amp;sourceID=53","")</f>
        <v/>
      </c>
      <c r="N1041" s="4" t="str">
        <f>HYPERLINK("http://141.218.60.56/~jnz1568/getInfo.php?workbook=16_15.xlsx&amp;sheet=A0&amp;row=1041&amp;col=14&amp;number=&amp;sourceID=53","")</f>
        <v/>
      </c>
      <c r="O1041" s="4" t="str">
        <f>HYPERLINK("http://141.218.60.56/~jnz1568/getInfo.php?workbook=16_15.xlsx&amp;sheet=A0&amp;row=1041&amp;col=15&amp;number=&amp;sourceID=55","")</f>
        <v/>
      </c>
      <c r="P1041" s="4" t="str">
        <f>HYPERLINK("http://141.218.60.56/~jnz1568/getInfo.php?workbook=16_15.xlsx&amp;sheet=A0&amp;row=1041&amp;col=16&amp;number=&amp;sourceID=55","")</f>
        <v/>
      </c>
      <c r="Q1041" s="4" t="str">
        <f>HYPERLINK("http://141.218.60.56/~jnz1568/getInfo.php?workbook=16_15.xlsx&amp;sheet=A0&amp;row=1041&amp;col=17&amp;number=&amp;sourceID=56","")</f>
        <v/>
      </c>
      <c r="R1041" s="4" t="str">
        <f>HYPERLINK("http://141.218.60.56/~jnz1568/getInfo.php?workbook=16_15.xlsx&amp;sheet=A0&amp;row=1041&amp;col=18&amp;number=&amp;sourceID=56","")</f>
        <v/>
      </c>
      <c r="S1041" s="4" t="str">
        <f>HYPERLINK("http://141.218.60.56/~jnz1568/getInfo.php?workbook=16_15.xlsx&amp;sheet=A0&amp;row=1041&amp;col=19&amp;number=&amp;sourceID=57","")</f>
        <v/>
      </c>
      <c r="T1041" s="4" t="str">
        <f>HYPERLINK("http://141.218.60.56/~jnz1568/getInfo.php?workbook=16_15.xlsx&amp;sheet=A0&amp;row=1041&amp;col=20&amp;number=&amp;sourceID=57","")</f>
        <v/>
      </c>
      <c r="U1041" s="4" t="str">
        <f>HYPERLINK("http://141.218.60.56/~jnz1568/getInfo.php?workbook=16_15.xlsx&amp;sheet=A0&amp;row=1041&amp;col=21&amp;number=&amp;sourceID=47","")</f>
        <v/>
      </c>
      <c r="V1041" s="4" t="str">
        <f>HYPERLINK("http://141.218.60.56/~jnz1568/getInfo.php?workbook=16_15.xlsx&amp;sheet=A0&amp;row=1041&amp;col=22&amp;number=&amp;sourceID=47","")</f>
        <v/>
      </c>
    </row>
    <row r="1042" spans="1:22">
      <c r="A1042" s="3">
        <v>16</v>
      </c>
      <c r="B1042" s="3">
        <v>15</v>
      </c>
      <c r="C1042" s="3">
        <v>52</v>
      </c>
      <c r="D1042" s="3">
        <v>19</v>
      </c>
      <c r="E1042" s="3">
        <f>((1/(INDEX(E0!J$4:J$73,C1042,1)-INDEX(E0!J$4:J$73,D1042,1))))*100000000</f>
        <v>0</v>
      </c>
      <c r="F1042" s="4" t="str">
        <f>HYPERLINK("http://141.218.60.56/~jnz1568/getInfo.php?workbook=16_15.xlsx&amp;sheet=A0&amp;row=1042&amp;col=6&amp;number=&amp;sourceID=54","")</f>
        <v/>
      </c>
      <c r="G1042" s="4" t="str">
        <f>HYPERLINK("http://141.218.60.56/~jnz1568/getInfo.php?workbook=16_15.xlsx&amp;sheet=A0&amp;row=1042&amp;col=7&amp;number=2.5572e-05&amp;sourceID=54","2.5572e-05")</f>
        <v>2.5572e-05</v>
      </c>
      <c r="H1042" s="4" t="str">
        <f>HYPERLINK("http://141.218.60.56/~jnz1568/getInfo.php?workbook=16_15.xlsx&amp;sheet=A0&amp;row=1042&amp;col=8&amp;number=&amp;sourceID=54","")</f>
        <v/>
      </c>
      <c r="I1042" s="4" t="str">
        <f>HYPERLINK("http://141.218.60.56/~jnz1568/getInfo.php?workbook=16_15.xlsx&amp;sheet=A0&amp;row=1042&amp;col=9&amp;number=&amp;sourceID=54","")</f>
        <v/>
      </c>
      <c r="J1042" s="4" t="str">
        <f>HYPERLINK("http://141.218.60.56/~jnz1568/getInfo.php?workbook=16_15.xlsx&amp;sheet=A0&amp;row=1042&amp;col=10&amp;number=1.7687e-05&amp;sourceID=54","1.7687e-05")</f>
        <v>1.7687e-05</v>
      </c>
      <c r="K1042" s="4" t="str">
        <f>HYPERLINK("http://141.218.60.56/~jnz1568/getInfo.php?workbook=16_15.xlsx&amp;sheet=A0&amp;row=1042&amp;col=11&amp;number=&amp;sourceID=54","")</f>
        <v/>
      </c>
      <c r="L1042" s="4" t="str">
        <f>HYPERLINK("http://141.218.60.56/~jnz1568/getInfo.php?workbook=16_15.xlsx&amp;sheet=A0&amp;row=1042&amp;col=12&amp;number=&amp;sourceID=53","")</f>
        <v/>
      </c>
      <c r="M1042" s="4" t="str">
        <f>HYPERLINK("http://141.218.60.56/~jnz1568/getInfo.php?workbook=16_15.xlsx&amp;sheet=A0&amp;row=1042&amp;col=13&amp;number=&amp;sourceID=53","")</f>
        <v/>
      </c>
      <c r="N1042" s="4" t="str">
        <f>HYPERLINK("http://141.218.60.56/~jnz1568/getInfo.php?workbook=16_15.xlsx&amp;sheet=A0&amp;row=1042&amp;col=14&amp;number=&amp;sourceID=53","")</f>
        <v/>
      </c>
      <c r="O1042" s="4" t="str">
        <f>HYPERLINK("http://141.218.60.56/~jnz1568/getInfo.php?workbook=16_15.xlsx&amp;sheet=A0&amp;row=1042&amp;col=15&amp;number=&amp;sourceID=55","")</f>
        <v/>
      </c>
      <c r="P1042" s="4" t="str">
        <f>HYPERLINK("http://141.218.60.56/~jnz1568/getInfo.php?workbook=16_15.xlsx&amp;sheet=A0&amp;row=1042&amp;col=16&amp;number=&amp;sourceID=55","")</f>
        <v/>
      </c>
      <c r="Q1042" s="4" t="str">
        <f>HYPERLINK("http://141.218.60.56/~jnz1568/getInfo.php?workbook=16_15.xlsx&amp;sheet=A0&amp;row=1042&amp;col=17&amp;number=&amp;sourceID=56","")</f>
        <v/>
      </c>
      <c r="R1042" s="4" t="str">
        <f>HYPERLINK("http://141.218.60.56/~jnz1568/getInfo.php?workbook=16_15.xlsx&amp;sheet=A0&amp;row=1042&amp;col=18&amp;number=&amp;sourceID=56","")</f>
        <v/>
      </c>
      <c r="S1042" s="4" t="str">
        <f>HYPERLINK("http://141.218.60.56/~jnz1568/getInfo.php?workbook=16_15.xlsx&amp;sheet=A0&amp;row=1042&amp;col=19&amp;number=&amp;sourceID=57","")</f>
        <v/>
      </c>
      <c r="T1042" s="4" t="str">
        <f>HYPERLINK("http://141.218.60.56/~jnz1568/getInfo.php?workbook=16_15.xlsx&amp;sheet=A0&amp;row=1042&amp;col=20&amp;number=&amp;sourceID=57","")</f>
        <v/>
      </c>
      <c r="U1042" s="4" t="str">
        <f>HYPERLINK("http://141.218.60.56/~jnz1568/getInfo.php?workbook=16_15.xlsx&amp;sheet=A0&amp;row=1042&amp;col=21&amp;number=&amp;sourceID=47","")</f>
        <v/>
      </c>
      <c r="V1042" s="4" t="str">
        <f>HYPERLINK("http://141.218.60.56/~jnz1568/getInfo.php?workbook=16_15.xlsx&amp;sheet=A0&amp;row=1042&amp;col=22&amp;number=&amp;sourceID=47","")</f>
        <v/>
      </c>
    </row>
    <row r="1043" spans="1:22">
      <c r="A1043" s="3">
        <v>16</v>
      </c>
      <c r="B1043" s="3">
        <v>15</v>
      </c>
      <c r="C1043" s="3">
        <v>52</v>
      </c>
      <c r="D1043" s="3">
        <v>20</v>
      </c>
      <c r="E1043" s="3">
        <f>((1/(INDEX(E0!J$4:J$73,C1043,1)-INDEX(E0!J$4:J$73,D1043,1))))*100000000</f>
        <v>0</v>
      </c>
      <c r="F1043" s="4" t="str">
        <f>HYPERLINK("http://141.218.60.56/~jnz1568/getInfo.php?workbook=16_15.xlsx&amp;sheet=A0&amp;row=1043&amp;col=6&amp;number=&amp;sourceID=54","")</f>
        <v/>
      </c>
      <c r="G1043" s="4" t="str">
        <f>HYPERLINK("http://141.218.60.56/~jnz1568/getInfo.php?workbook=16_15.xlsx&amp;sheet=A0&amp;row=1043&amp;col=7&amp;number=79.856&amp;sourceID=54","79.856")</f>
        <v>79.856</v>
      </c>
      <c r="H1043" s="4" t="str">
        <f>HYPERLINK("http://141.218.60.56/~jnz1568/getInfo.php?workbook=16_15.xlsx&amp;sheet=A0&amp;row=1043&amp;col=8&amp;number=&amp;sourceID=54","")</f>
        <v/>
      </c>
      <c r="I1043" s="4" t="str">
        <f>HYPERLINK("http://141.218.60.56/~jnz1568/getInfo.php?workbook=16_15.xlsx&amp;sheet=A0&amp;row=1043&amp;col=9&amp;number=&amp;sourceID=54","")</f>
        <v/>
      </c>
      <c r="J1043" s="4" t="str">
        <f>HYPERLINK("http://141.218.60.56/~jnz1568/getInfo.php?workbook=16_15.xlsx&amp;sheet=A0&amp;row=1043&amp;col=10&amp;number=54.832&amp;sourceID=54","54.832")</f>
        <v>54.832</v>
      </c>
      <c r="K1043" s="4" t="str">
        <f>HYPERLINK("http://141.218.60.56/~jnz1568/getInfo.php?workbook=16_15.xlsx&amp;sheet=A0&amp;row=1043&amp;col=11&amp;number=&amp;sourceID=54","")</f>
        <v/>
      </c>
      <c r="L1043" s="4" t="str">
        <f>HYPERLINK("http://141.218.60.56/~jnz1568/getInfo.php?workbook=16_15.xlsx&amp;sheet=A0&amp;row=1043&amp;col=12&amp;number=&amp;sourceID=53","")</f>
        <v/>
      </c>
      <c r="M1043" s="4" t="str">
        <f>HYPERLINK("http://141.218.60.56/~jnz1568/getInfo.php?workbook=16_15.xlsx&amp;sheet=A0&amp;row=1043&amp;col=13&amp;number=&amp;sourceID=53","")</f>
        <v/>
      </c>
      <c r="N1043" s="4" t="str">
        <f>HYPERLINK("http://141.218.60.56/~jnz1568/getInfo.php?workbook=16_15.xlsx&amp;sheet=A0&amp;row=1043&amp;col=14&amp;number=&amp;sourceID=53","")</f>
        <v/>
      </c>
      <c r="O1043" s="4" t="str">
        <f>HYPERLINK("http://141.218.60.56/~jnz1568/getInfo.php?workbook=16_15.xlsx&amp;sheet=A0&amp;row=1043&amp;col=15&amp;number=&amp;sourceID=55","")</f>
        <v/>
      </c>
      <c r="P1043" s="4" t="str">
        <f>HYPERLINK("http://141.218.60.56/~jnz1568/getInfo.php?workbook=16_15.xlsx&amp;sheet=A0&amp;row=1043&amp;col=16&amp;number=&amp;sourceID=55","")</f>
        <v/>
      </c>
      <c r="Q1043" s="4" t="str">
        <f>HYPERLINK("http://141.218.60.56/~jnz1568/getInfo.php?workbook=16_15.xlsx&amp;sheet=A0&amp;row=1043&amp;col=17&amp;number=&amp;sourceID=56","")</f>
        <v/>
      </c>
      <c r="R1043" s="4" t="str">
        <f>HYPERLINK("http://141.218.60.56/~jnz1568/getInfo.php?workbook=16_15.xlsx&amp;sheet=A0&amp;row=1043&amp;col=18&amp;number=&amp;sourceID=56","")</f>
        <v/>
      </c>
      <c r="S1043" s="4" t="str">
        <f>HYPERLINK("http://141.218.60.56/~jnz1568/getInfo.php?workbook=16_15.xlsx&amp;sheet=A0&amp;row=1043&amp;col=19&amp;number=&amp;sourceID=57","")</f>
        <v/>
      </c>
      <c r="T1043" s="4" t="str">
        <f>HYPERLINK("http://141.218.60.56/~jnz1568/getInfo.php?workbook=16_15.xlsx&amp;sheet=A0&amp;row=1043&amp;col=20&amp;number=&amp;sourceID=57","")</f>
        <v/>
      </c>
      <c r="U1043" s="4" t="str">
        <f>HYPERLINK("http://141.218.60.56/~jnz1568/getInfo.php?workbook=16_15.xlsx&amp;sheet=A0&amp;row=1043&amp;col=21&amp;number=&amp;sourceID=47","")</f>
        <v/>
      </c>
      <c r="V1043" s="4" t="str">
        <f>HYPERLINK("http://141.218.60.56/~jnz1568/getInfo.php?workbook=16_15.xlsx&amp;sheet=A0&amp;row=1043&amp;col=22&amp;number=&amp;sourceID=47","")</f>
        <v/>
      </c>
    </row>
    <row r="1044" spans="1:22">
      <c r="A1044" s="3">
        <v>16</v>
      </c>
      <c r="B1044" s="3">
        <v>15</v>
      </c>
      <c r="C1044" s="3">
        <v>52</v>
      </c>
      <c r="D1044" s="3">
        <v>21</v>
      </c>
      <c r="E1044" s="3">
        <f>((1/(INDEX(E0!J$4:J$73,C1044,1)-INDEX(E0!J$4:J$73,D1044,1))))*100000000</f>
        <v>0</v>
      </c>
      <c r="F1044" s="4" t="str">
        <f>HYPERLINK("http://141.218.60.56/~jnz1568/getInfo.php?workbook=16_15.xlsx&amp;sheet=A0&amp;row=1044&amp;col=6&amp;number=&amp;sourceID=54","")</f>
        <v/>
      </c>
      <c r="G1044" s="4" t="str">
        <f>HYPERLINK("http://141.218.60.56/~jnz1568/getInfo.php?workbook=16_15.xlsx&amp;sheet=A0&amp;row=1044&amp;col=7&amp;number=20.517&amp;sourceID=54","20.517")</f>
        <v>20.517</v>
      </c>
      <c r="H1044" s="4" t="str">
        <f>HYPERLINK("http://141.218.60.56/~jnz1568/getInfo.php?workbook=16_15.xlsx&amp;sheet=A0&amp;row=1044&amp;col=8&amp;number=8.8632e-08&amp;sourceID=54","8.8632e-08")</f>
        <v>8.8632e-08</v>
      </c>
      <c r="I1044" s="4" t="str">
        <f>HYPERLINK("http://141.218.60.56/~jnz1568/getInfo.php?workbook=16_15.xlsx&amp;sheet=A0&amp;row=1044&amp;col=9&amp;number=&amp;sourceID=54","")</f>
        <v/>
      </c>
      <c r="J1044" s="4" t="str">
        <f>HYPERLINK("http://141.218.60.56/~jnz1568/getInfo.php?workbook=16_15.xlsx&amp;sheet=A0&amp;row=1044&amp;col=10&amp;number=14.486&amp;sourceID=54","14.486")</f>
        <v>14.486</v>
      </c>
      <c r="K1044" s="4" t="str">
        <f>HYPERLINK("http://141.218.60.56/~jnz1568/getInfo.php?workbook=16_15.xlsx&amp;sheet=A0&amp;row=1044&amp;col=11&amp;number=5.6759e-08&amp;sourceID=54","5.6759e-08")</f>
        <v>5.6759e-08</v>
      </c>
      <c r="L1044" s="4" t="str">
        <f>HYPERLINK("http://141.218.60.56/~jnz1568/getInfo.php?workbook=16_15.xlsx&amp;sheet=A0&amp;row=1044&amp;col=12&amp;number=&amp;sourceID=53","")</f>
        <v/>
      </c>
      <c r="M1044" s="4" t="str">
        <f>HYPERLINK("http://141.218.60.56/~jnz1568/getInfo.php?workbook=16_15.xlsx&amp;sheet=A0&amp;row=1044&amp;col=13&amp;number=&amp;sourceID=53","")</f>
        <v/>
      </c>
      <c r="N1044" s="4" t="str">
        <f>HYPERLINK("http://141.218.60.56/~jnz1568/getInfo.php?workbook=16_15.xlsx&amp;sheet=A0&amp;row=1044&amp;col=14&amp;number=&amp;sourceID=53","")</f>
        <v/>
      </c>
      <c r="O1044" s="4" t="str">
        <f>HYPERLINK("http://141.218.60.56/~jnz1568/getInfo.php?workbook=16_15.xlsx&amp;sheet=A0&amp;row=1044&amp;col=15&amp;number=&amp;sourceID=55","")</f>
        <v/>
      </c>
      <c r="P1044" s="4" t="str">
        <f>HYPERLINK("http://141.218.60.56/~jnz1568/getInfo.php?workbook=16_15.xlsx&amp;sheet=A0&amp;row=1044&amp;col=16&amp;number=&amp;sourceID=55","")</f>
        <v/>
      </c>
      <c r="Q1044" s="4" t="str">
        <f>HYPERLINK("http://141.218.60.56/~jnz1568/getInfo.php?workbook=16_15.xlsx&amp;sheet=A0&amp;row=1044&amp;col=17&amp;number=&amp;sourceID=56","")</f>
        <v/>
      </c>
      <c r="R1044" s="4" t="str">
        <f>HYPERLINK("http://141.218.60.56/~jnz1568/getInfo.php?workbook=16_15.xlsx&amp;sheet=A0&amp;row=1044&amp;col=18&amp;number=&amp;sourceID=56","")</f>
        <v/>
      </c>
      <c r="S1044" s="4" t="str">
        <f>HYPERLINK("http://141.218.60.56/~jnz1568/getInfo.php?workbook=16_15.xlsx&amp;sheet=A0&amp;row=1044&amp;col=19&amp;number=&amp;sourceID=57","")</f>
        <v/>
      </c>
      <c r="T1044" s="4" t="str">
        <f>HYPERLINK("http://141.218.60.56/~jnz1568/getInfo.php?workbook=16_15.xlsx&amp;sheet=A0&amp;row=1044&amp;col=20&amp;number=&amp;sourceID=57","")</f>
        <v/>
      </c>
      <c r="U1044" s="4" t="str">
        <f>HYPERLINK("http://141.218.60.56/~jnz1568/getInfo.php?workbook=16_15.xlsx&amp;sheet=A0&amp;row=1044&amp;col=21&amp;number=&amp;sourceID=47","")</f>
        <v/>
      </c>
      <c r="V1044" s="4" t="str">
        <f>HYPERLINK("http://141.218.60.56/~jnz1568/getInfo.php?workbook=16_15.xlsx&amp;sheet=A0&amp;row=1044&amp;col=22&amp;number=&amp;sourceID=47","")</f>
        <v/>
      </c>
    </row>
    <row r="1045" spans="1:22">
      <c r="A1045" s="3">
        <v>16</v>
      </c>
      <c r="B1045" s="3">
        <v>15</v>
      </c>
      <c r="C1045" s="3">
        <v>52</v>
      </c>
      <c r="D1045" s="3">
        <v>22</v>
      </c>
      <c r="E1045" s="3">
        <f>((1/(INDEX(E0!J$4:J$73,C1045,1)-INDEX(E0!J$4:J$73,D1045,1))))*100000000</f>
        <v>0</v>
      </c>
      <c r="F1045" s="4" t="str">
        <f>HYPERLINK("http://141.218.60.56/~jnz1568/getInfo.php?workbook=16_15.xlsx&amp;sheet=A0&amp;row=1045&amp;col=6&amp;number=&amp;sourceID=54","")</f>
        <v/>
      </c>
      <c r="G1045" s="4" t="str">
        <f>HYPERLINK("http://141.218.60.56/~jnz1568/getInfo.php?workbook=16_15.xlsx&amp;sheet=A0&amp;row=1045&amp;col=7&amp;number=2.0262e-05&amp;sourceID=54","2.0262e-05")</f>
        <v>2.0262e-05</v>
      </c>
      <c r="H1045" s="4" t="str">
        <f>HYPERLINK("http://141.218.60.56/~jnz1568/getInfo.php?workbook=16_15.xlsx&amp;sheet=A0&amp;row=1045&amp;col=8&amp;number=&amp;sourceID=54","")</f>
        <v/>
      </c>
      <c r="I1045" s="4" t="str">
        <f>HYPERLINK("http://141.218.60.56/~jnz1568/getInfo.php?workbook=16_15.xlsx&amp;sheet=A0&amp;row=1045&amp;col=9&amp;number=&amp;sourceID=54","")</f>
        <v/>
      </c>
      <c r="J1045" s="4" t="str">
        <f>HYPERLINK("http://141.218.60.56/~jnz1568/getInfo.php?workbook=16_15.xlsx&amp;sheet=A0&amp;row=1045&amp;col=10&amp;number=2.9593e-05&amp;sourceID=54","2.9593e-05")</f>
        <v>2.9593e-05</v>
      </c>
      <c r="K1045" s="4" t="str">
        <f>HYPERLINK("http://141.218.60.56/~jnz1568/getInfo.php?workbook=16_15.xlsx&amp;sheet=A0&amp;row=1045&amp;col=11&amp;number=&amp;sourceID=54","")</f>
        <v/>
      </c>
      <c r="L1045" s="4" t="str">
        <f>HYPERLINK("http://141.218.60.56/~jnz1568/getInfo.php?workbook=16_15.xlsx&amp;sheet=A0&amp;row=1045&amp;col=12&amp;number=&amp;sourceID=53","")</f>
        <v/>
      </c>
      <c r="M1045" s="4" t="str">
        <f>HYPERLINK("http://141.218.60.56/~jnz1568/getInfo.php?workbook=16_15.xlsx&amp;sheet=A0&amp;row=1045&amp;col=13&amp;number=&amp;sourceID=53","")</f>
        <v/>
      </c>
      <c r="N1045" s="4" t="str">
        <f>HYPERLINK("http://141.218.60.56/~jnz1568/getInfo.php?workbook=16_15.xlsx&amp;sheet=A0&amp;row=1045&amp;col=14&amp;number=&amp;sourceID=53","")</f>
        <v/>
      </c>
      <c r="O1045" s="4" t="str">
        <f>HYPERLINK("http://141.218.60.56/~jnz1568/getInfo.php?workbook=16_15.xlsx&amp;sheet=A0&amp;row=1045&amp;col=15&amp;number=&amp;sourceID=55","")</f>
        <v/>
      </c>
      <c r="P1045" s="4" t="str">
        <f>HYPERLINK("http://141.218.60.56/~jnz1568/getInfo.php?workbook=16_15.xlsx&amp;sheet=A0&amp;row=1045&amp;col=16&amp;number=&amp;sourceID=55","")</f>
        <v/>
      </c>
      <c r="Q1045" s="4" t="str">
        <f>HYPERLINK("http://141.218.60.56/~jnz1568/getInfo.php?workbook=16_15.xlsx&amp;sheet=A0&amp;row=1045&amp;col=17&amp;number=&amp;sourceID=56","")</f>
        <v/>
      </c>
      <c r="R1045" s="4" t="str">
        <f>HYPERLINK("http://141.218.60.56/~jnz1568/getInfo.php?workbook=16_15.xlsx&amp;sheet=A0&amp;row=1045&amp;col=18&amp;number=&amp;sourceID=56","")</f>
        <v/>
      </c>
      <c r="S1045" s="4" t="str">
        <f>HYPERLINK("http://141.218.60.56/~jnz1568/getInfo.php?workbook=16_15.xlsx&amp;sheet=A0&amp;row=1045&amp;col=19&amp;number=&amp;sourceID=57","")</f>
        <v/>
      </c>
      <c r="T1045" s="4" t="str">
        <f>HYPERLINK("http://141.218.60.56/~jnz1568/getInfo.php?workbook=16_15.xlsx&amp;sheet=A0&amp;row=1045&amp;col=20&amp;number=&amp;sourceID=57","")</f>
        <v/>
      </c>
      <c r="U1045" s="4" t="str">
        <f>HYPERLINK("http://141.218.60.56/~jnz1568/getInfo.php?workbook=16_15.xlsx&amp;sheet=A0&amp;row=1045&amp;col=21&amp;number=&amp;sourceID=47","")</f>
        <v/>
      </c>
      <c r="V1045" s="4" t="str">
        <f>HYPERLINK("http://141.218.60.56/~jnz1568/getInfo.php?workbook=16_15.xlsx&amp;sheet=A0&amp;row=1045&amp;col=22&amp;number=&amp;sourceID=47","")</f>
        <v/>
      </c>
    </row>
    <row r="1046" spans="1:22">
      <c r="A1046" s="3">
        <v>16</v>
      </c>
      <c r="B1046" s="3">
        <v>15</v>
      </c>
      <c r="C1046" s="3">
        <v>52</v>
      </c>
      <c r="D1046" s="3">
        <v>23</v>
      </c>
      <c r="E1046" s="3">
        <f>((1/(INDEX(E0!J$4:J$73,C1046,1)-INDEX(E0!J$4:J$73,D1046,1))))*100000000</f>
        <v>0</v>
      </c>
      <c r="F1046" s="4" t="str">
        <f>HYPERLINK("http://141.218.60.56/~jnz1568/getInfo.php?workbook=16_15.xlsx&amp;sheet=A0&amp;row=1046&amp;col=6&amp;number=&amp;sourceID=54","")</f>
        <v/>
      </c>
      <c r="G1046" s="4" t="str">
        <f>HYPERLINK("http://141.218.60.56/~jnz1568/getInfo.php?workbook=16_15.xlsx&amp;sheet=A0&amp;row=1046&amp;col=7&amp;number=0.00054897&amp;sourceID=54","0.00054897")</f>
        <v>0.00054897</v>
      </c>
      <c r="H1046" s="4" t="str">
        <f>HYPERLINK("http://141.218.60.56/~jnz1568/getInfo.php?workbook=16_15.xlsx&amp;sheet=A0&amp;row=1046&amp;col=8&amp;number=0.0016365&amp;sourceID=54","0.0016365")</f>
        <v>0.0016365</v>
      </c>
      <c r="I1046" s="4" t="str">
        <f>HYPERLINK("http://141.218.60.56/~jnz1568/getInfo.php?workbook=16_15.xlsx&amp;sheet=A0&amp;row=1046&amp;col=9&amp;number=&amp;sourceID=54","")</f>
        <v/>
      </c>
      <c r="J1046" s="4" t="str">
        <f>HYPERLINK("http://141.218.60.56/~jnz1568/getInfo.php?workbook=16_15.xlsx&amp;sheet=A0&amp;row=1046&amp;col=10&amp;number=0.00034892&amp;sourceID=54","0.00034892")</f>
        <v>0.00034892</v>
      </c>
      <c r="K1046" s="4" t="str">
        <f>HYPERLINK("http://141.218.60.56/~jnz1568/getInfo.php?workbook=16_15.xlsx&amp;sheet=A0&amp;row=1046&amp;col=11&amp;number=0.0015508&amp;sourceID=54","0.0015508")</f>
        <v>0.0015508</v>
      </c>
      <c r="L1046" s="4" t="str">
        <f>HYPERLINK("http://141.218.60.56/~jnz1568/getInfo.php?workbook=16_15.xlsx&amp;sheet=A0&amp;row=1046&amp;col=12&amp;number=&amp;sourceID=53","")</f>
        <v/>
      </c>
      <c r="M1046" s="4" t="str">
        <f>HYPERLINK("http://141.218.60.56/~jnz1568/getInfo.php?workbook=16_15.xlsx&amp;sheet=A0&amp;row=1046&amp;col=13&amp;number=&amp;sourceID=53","")</f>
        <v/>
      </c>
      <c r="N1046" s="4" t="str">
        <f>HYPERLINK("http://141.218.60.56/~jnz1568/getInfo.php?workbook=16_15.xlsx&amp;sheet=A0&amp;row=1046&amp;col=14&amp;number=&amp;sourceID=53","")</f>
        <v/>
      </c>
      <c r="O1046" s="4" t="str">
        <f>HYPERLINK("http://141.218.60.56/~jnz1568/getInfo.php?workbook=16_15.xlsx&amp;sheet=A0&amp;row=1046&amp;col=15&amp;number=&amp;sourceID=55","")</f>
        <v/>
      </c>
      <c r="P1046" s="4" t="str">
        <f>HYPERLINK("http://141.218.60.56/~jnz1568/getInfo.php?workbook=16_15.xlsx&amp;sheet=A0&amp;row=1046&amp;col=16&amp;number=&amp;sourceID=55","")</f>
        <v/>
      </c>
      <c r="Q1046" s="4" t="str">
        <f>HYPERLINK("http://141.218.60.56/~jnz1568/getInfo.php?workbook=16_15.xlsx&amp;sheet=A0&amp;row=1046&amp;col=17&amp;number=&amp;sourceID=56","")</f>
        <v/>
      </c>
      <c r="R1046" s="4" t="str">
        <f>HYPERLINK("http://141.218.60.56/~jnz1568/getInfo.php?workbook=16_15.xlsx&amp;sheet=A0&amp;row=1046&amp;col=18&amp;number=&amp;sourceID=56","")</f>
        <v/>
      </c>
      <c r="S1046" s="4" t="str">
        <f>HYPERLINK("http://141.218.60.56/~jnz1568/getInfo.php?workbook=16_15.xlsx&amp;sheet=A0&amp;row=1046&amp;col=19&amp;number=&amp;sourceID=57","")</f>
        <v/>
      </c>
      <c r="T1046" s="4" t="str">
        <f>HYPERLINK("http://141.218.60.56/~jnz1568/getInfo.php?workbook=16_15.xlsx&amp;sheet=A0&amp;row=1046&amp;col=20&amp;number=&amp;sourceID=57","")</f>
        <v/>
      </c>
      <c r="U1046" s="4" t="str">
        <f>HYPERLINK("http://141.218.60.56/~jnz1568/getInfo.php?workbook=16_15.xlsx&amp;sheet=A0&amp;row=1046&amp;col=21&amp;number=&amp;sourceID=47","")</f>
        <v/>
      </c>
      <c r="V1046" s="4" t="str">
        <f>HYPERLINK("http://141.218.60.56/~jnz1568/getInfo.php?workbook=16_15.xlsx&amp;sheet=A0&amp;row=1046&amp;col=22&amp;number=&amp;sourceID=47","")</f>
        <v/>
      </c>
    </row>
    <row r="1047" spans="1:22">
      <c r="A1047" s="3">
        <v>16</v>
      </c>
      <c r="B1047" s="3">
        <v>15</v>
      </c>
      <c r="C1047" s="3">
        <v>52</v>
      </c>
      <c r="D1047" s="3">
        <v>24</v>
      </c>
      <c r="E1047" s="3">
        <f>((1/(INDEX(E0!J$4:J$73,C1047,1)-INDEX(E0!J$4:J$73,D1047,1))))*100000000</f>
        <v>0</v>
      </c>
      <c r="F1047" s="4" t="str">
        <f>HYPERLINK("http://141.218.60.56/~jnz1568/getInfo.php?workbook=16_15.xlsx&amp;sheet=A0&amp;row=1047&amp;col=6&amp;number=&amp;sourceID=54","")</f>
        <v/>
      </c>
      <c r="G1047" s="4" t="str">
        <f>HYPERLINK("http://141.218.60.56/~jnz1568/getInfo.php?workbook=16_15.xlsx&amp;sheet=A0&amp;row=1047&amp;col=7&amp;number=0.086517&amp;sourceID=54","0.086517")</f>
        <v>0.086517</v>
      </c>
      <c r="H1047" s="4" t="str">
        <f>HYPERLINK("http://141.218.60.56/~jnz1568/getInfo.php?workbook=16_15.xlsx&amp;sheet=A0&amp;row=1047&amp;col=8&amp;number=0.0027795&amp;sourceID=54","0.0027795")</f>
        <v>0.0027795</v>
      </c>
      <c r="I1047" s="4" t="str">
        <f>HYPERLINK("http://141.218.60.56/~jnz1568/getInfo.php?workbook=16_15.xlsx&amp;sheet=A0&amp;row=1047&amp;col=9&amp;number=&amp;sourceID=54","")</f>
        <v/>
      </c>
      <c r="J1047" s="4" t="str">
        <f>HYPERLINK("http://141.218.60.56/~jnz1568/getInfo.php?workbook=16_15.xlsx&amp;sheet=A0&amp;row=1047&amp;col=10&amp;number=0.14868&amp;sourceID=54","0.14868")</f>
        <v>0.14868</v>
      </c>
      <c r="K1047" s="4" t="str">
        <f>HYPERLINK("http://141.218.60.56/~jnz1568/getInfo.php?workbook=16_15.xlsx&amp;sheet=A0&amp;row=1047&amp;col=11&amp;number=0.0030533&amp;sourceID=54","0.0030533")</f>
        <v>0.0030533</v>
      </c>
      <c r="L1047" s="4" t="str">
        <f>HYPERLINK("http://141.218.60.56/~jnz1568/getInfo.php?workbook=16_15.xlsx&amp;sheet=A0&amp;row=1047&amp;col=12&amp;number=&amp;sourceID=53","")</f>
        <v/>
      </c>
      <c r="M1047" s="4" t="str">
        <f>HYPERLINK("http://141.218.60.56/~jnz1568/getInfo.php?workbook=16_15.xlsx&amp;sheet=A0&amp;row=1047&amp;col=13&amp;number=&amp;sourceID=53","")</f>
        <v/>
      </c>
      <c r="N1047" s="4" t="str">
        <f>HYPERLINK("http://141.218.60.56/~jnz1568/getInfo.php?workbook=16_15.xlsx&amp;sheet=A0&amp;row=1047&amp;col=14&amp;number=&amp;sourceID=53","")</f>
        <v/>
      </c>
      <c r="O1047" s="4" t="str">
        <f>HYPERLINK("http://141.218.60.56/~jnz1568/getInfo.php?workbook=16_15.xlsx&amp;sheet=A0&amp;row=1047&amp;col=15&amp;number=&amp;sourceID=55","")</f>
        <v/>
      </c>
      <c r="P1047" s="4" t="str">
        <f>HYPERLINK("http://141.218.60.56/~jnz1568/getInfo.php?workbook=16_15.xlsx&amp;sheet=A0&amp;row=1047&amp;col=16&amp;number=&amp;sourceID=55","")</f>
        <v/>
      </c>
      <c r="Q1047" s="4" t="str">
        <f>HYPERLINK("http://141.218.60.56/~jnz1568/getInfo.php?workbook=16_15.xlsx&amp;sheet=A0&amp;row=1047&amp;col=17&amp;number=&amp;sourceID=56","")</f>
        <v/>
      </c>
      <c r="R1047" s="4" t="str">
        <f>HYPERLINK("http://141.218.60.56/~jnz1568/getInfo.php?workbook=16_15.xlsx&amp;sheet=A0&amp;row=1047&amp;col=18&amp;number=&amp;sourceID=56","")</f>
        <v/>
      </c>
      <c r="S1047" s="4" t="str">
        <f>HYPERLINK("http://141.218.60.56/~jnz1568/getInfo.php?workbook=16_15.xlsx&amp;sheet=A0&amp;row=1047&amp;col=19&amp;number=&amp;sourceID=57","")</f>
        <v/>
      </c>
      <c r="T1047" s="4" t="str">
        <f>HYPERLINK("http://141.218.60.56/~jnz1568/getInfo.php?workbook=16_15.xlsx&amp;sheet=A0&amp;row=1047&amp;col=20&amp;number=&amp;sourceID=57","")</f>
        <v/>
      </c>
      <c r="U1047" s="4" t="str">
        <f>HYPERLINK("http://141.218.60.56/~jnz1568/getInfo.php?workbook=16_15.xlsx&amp;sheet=A0&amp;row=1047&amp;col=21&amp;number=&amp;sourceID=47","")</f>
        <v/>
      </c>
      <c r="V1047" s="4" t="str">
        <f>HYPERLINK("http://141.218.60.56/~jnz1568/getInfo.php?workbook=16_15.xlsx&amp;sheet=A0&amp;row=1047&amp;col=22&amp;number=&amp;sourceID=47","")</f>
        <v/>
      </c>
    </row>
    <row r="1048" spans="1:22">
      <c r="A1048" s="3">
        <v>16</v>
      </c>
      <c r="B1048" s="3">
        <v>15</v>
      </c>
      <c r="C1048" s="3">
        <v>52</v>
      </c>
      <c r="D1048" s="3">
        <v>25</v>
      </c>
      <c r="E1048" s="3">
        <f>((1/(INDEX(E0!J$4:J$73,C1048,1)-INDEX(E0!J$4:J$73,D1048,1))))*100000000</f>
        <v>0</v>
      </c>
      <c r="F1048" s="4" t="str">
        <f>HYPERLINK("http://141.218.60.56/~jnz1568/getInfo.php?workbook=16_15.xlsx&amp;sheet=A0&amp;row=1048&amp;col=6&amp;number=&amp;sourceID=54","")</f>
        <v/>
      </c>
      <c r="G1048" s="4" t="str">
        <f>HYPERLINK("http://141.218.60.56/~jnz1568/getInfo.php?workbook=16_15.xlsx&amp;sheet=A0&amp;row=1048&amp;col=7&amp;number=0.041407&amp;sourceID=54","0.041407")</f>
        <v>0.041407</v>
      </c>
      <c r="H1048" s="4" t="str">
        <f>HYPERLINK("http://141.218.60.56/~jnz1568/getInfo.php?workbook=16_15.xlsx&amp;sheet=A0&amp;row=1048&amp;col=8&amp;number=0.0028&amp;sourceID=54","0.0028")</f>
        <v>0.0028</v>
      </c>
      <c r="I1048" s="4" t="str">
        <f>HYPERLINK("http://141.218.60.56/~jnz1568/getInfo.php?workbook=16_15.xlsx&amp;sheet=A0&amp;row=1048&amp;col=9&amp;number=&amp;sourceID=54","")</f>
        <v/>
      </c>
      <c r="J1048" s="4" t="str">
        <f>HYPERLINK("http://141.218.60.56/~jnz1568/getInfo.php?workbook=16_15.xlsx&amp;sheet=A0&amp;row=1048&amp;col=10&amp;number=0.057366&amp;sourceID=54","0.057366")</f>
        <v>0.057366</v>
      </c>
      <c r="K1048" s="4" t="str">
        <f>HYPERLINK("http://141.218.60.56/~jnz1568/getInfo.php?workbook=16_15.xlsx&amp;sheet=A0&amp;row=1048&amp;col=11&amp;number=0.0027929&amp;sourceID=54","0.0027929")</f>
        <v>0.0027929</v>
      </c>
      <c r="L1048" s="4" t="str">
        <f>HYPERLINK("http://141.218.60.56/~jnz1568/getInfo.php?workbook=16_15.xlsx&amp;sheet=A0&amp;row=1048&amp;col=12&amp;number=&amp;sourceID=53","")</f>
        <v/>
      </c>
      <c r="M1048" s="4" t="str">
        <f>HYPERLINK("http://141.218.60.56/~jnz1568/getInfo.php?workbook=16_15.xlsx&amp;sheet=A0&amp;row=1048&amp;col=13&amp;number=&amp;sourceID=53","")</f>
        <v/>
      </c>
      <c r="N1048" s="4" t="str">
        <f>HYPERLINK("http://141.218.60.56/~jnz1568/getInfo.php?workbook=16_15.xlsx&amp;sheet=A0&amp;row=1048&amp;col=14&amp;number=&amp;sourceID=53","")</f>
        <v/>
      </c>
      <c r="O1048" s="4" t="str">
        <f>HYPERLINK("http://141.218.60.56/~jnz1568/getInfo.php?workbook=16_15.xlsx&amp;sheet=A0&amp;row=1048&amp;col=15&amp;number=&amp;sourceID=55","")</f>
        <v/>
      </c>
      <c r="P1048" s="4" t="str">
        <f>HYPERLINK("http://141.218.60.56/~jnz1568/getInfo.php?workbook=16_15.xlsx&amp;sheet=A0&amp;row=1048&amp;col=16&amp;number=&amp;sourceID=55","")</f>
        <v/>
      </c>
      <c r="Q1048" s="4" t="str">
        <f>HYPERLINK("http://141.218.60.56/~jnz1568/getInfo.php?workbook=16_15.xlsx&amp;sheet=A0&amp;row=1048&amp;col=17&amp;number=&amp;sourceID=56","")</f>
        <v/>
      </c>
      <c r="R1048" s="4" t="str">
        <f>HYPERLINK("http://141.218.60.56/~jnz1568/getInfo.php?workbook=16_15.xlsx&amp;sheet=A0&amp;row=1048&amp;col=18&amp;number=&amp;sourceID=56","")</f>
        <v/>
      </c>
      <c r="S1048" s="4" t="str">
        <f>HYPERLINK("http://141.218.60.56/~jnz1568/getInfo.php?workbook=16_15.xlsx&amp;sheet=A0&amp;row=1048&amp;col=19&amp;number=&amp;sourceID=57","")</f>
        <v/>
      </c>
      <c r="T1048" s="4" t="str">
        <f>HYPERLINK("http://141.218.60.56/~jnz1568/getInfo.php?workbook=16_15.xlsx&amp;sheet=A0&amp;row=1048&amp;col=20&amp;number=&amp;sourceID=57","")</f>
        <v/>
      </c>
      <c r="U1048" s="4" t="str">
        <f>HYPERLINK("http://141.218.60.56/~jnz1568/getInfo.php?workbook=16_15.xlsx&amp;sheet=A0&amp;row=1048&amp;col=21&amp;number=&amp;sourceID=47","")</f>
        <v/>
      </c>
      <c r="V1048" s="4" t="str">
        <f>HYPERLINK("http://141.218.60.56/~jnz1568/getInfo.php?workbook=16_15.xlsx&amp;sheet=A0&amp;row=1048&amp;col=22&amp;number=&amp;sourceID=47","")</f>
        <v/>
      </c>
    </row>
    <row r="1049" spans="1:22">
      <c r="A1049" s="3">
        <v>16</v>
      </c>
      <c r="B1049" s="3">
        <v>15</v>
      </c>
      <c r="C1049" s="3">
        <v>52</v>
      </c>
      <c r="D1049" s="3">
        <v>26</v>
      </c>
      <c r="E1049" s="3">
        <f>((1/(INDEX(E0!J$4:J$73,C1049,1)-INDEX(E0!J$4:J$73,D1049,1))))*100000000</f>
        <v>0</v>
      </c>
      <c r="F1049" s="4" t="str">
        <f>HYPERLINK("http://141.218.60.56/~jnz1568/getInfo.php?workbook=16_15.xlsx&amp;sheet=A0&amp;row=1049&amp;col=6&amp;number=&amp;sourceID=54","")</f>
        <v/>
      </c>
      <c r="G1049" s="4" t="str">
        <f>HYPERLINK("http://141.218.60.56/~jnz1568/getInfo.php?workbook=16_15.xlsx&amp;sheet=A0&amp;row=1049&amp;col=7&amp;number=3.9001&amp;sourceID=54","3.9001")</f>
        <v>3.9001</v>
      </c>
      <c r="H1049" s="4" t="str">
        <f>HYPERLINK("http://141.218.60.56/~jnz1568/getInfo.php?workbook=16_15.xlsx&amp;sheet=A0&amp;row=1049&amp;col=8&amp;number=2.7125e-06&amp;sourceID=54","2.7125e-06")</f>
        <v>2.7125e-06</v>
      </c>
      <c r="I1049" s="4" t="str">
        <f>HYPERLINK("http://141.218.60.56/~jnz1568/getInfo.php?workbook=16_15.xlsx&amp;sheet=A0&amp;row=1049&amp;col=9&amp;number=&amp;sourceID=54","")</f>
        <v/>
      </c>
      <c r="J1049" s="4" t="str">
        <f>HYPERLINK("http://141.218.60.56/~jnz1568/getInfo.php?workbook=16_15.xlsx&amp;sheet=A0&amp;row=1049&amp;col=10&amp;number=2.8948&amp;sourceID=54","2.8948")</f>
        <v>2.8948</v>
      </c>
      <c r="K1049" s="4" t="str">
        <f>HYPERLINK("http://141.218.60.56/~jnz1568/getInfo.php?workbook=16_15.xlsx&amp;sheet=A0&amp;row=1049&amp;col=11&amp;number=8.5303e-06&amp;sourceID=54","8.5303e-06")</f>
        <v>8.5303e-06</v>
      </c>
      <c r="L1049" s="4" t="str">
        <f>HYPERLINK("http://141.218.60.56/~jnz1568/getInfo.php?workbook=16_15.xlsx&amp;sheet=A0&amp;row=1049&amp;col=12&amp;number=&amp;sourceID=53","")</f>
        <v/>
      </c>
      <c r="M1049" s="4" t="str">
        <f>HYPERLINK("http://141.218.60.56/~jnz1568/getInfo.php?workbook=16_15.xlsx&amp;sheet=A0&amp;row=1049&amp;col=13&amp;number=&amp;sourceID=53","")</f>
        <v/>
      </c>
      <c r="N1049" s="4" t="str">
        <f>HYPERLINK("http://141.218.60.56/~jnz1568/getInfo.php?workbook=16_15.xlsx&amp;sheet=A0&amp;row=1049&amp;col=14&amp;number=&amp;sourceID=53","")</f>
        <v/>
      </c>
      <c r="O1049" s="4" t="str">
        <f>HYPERLINK("http://141.218.60.56/~jnz1568/getInfo.php?workbook=16_15.xlsx&amp;sheet=A0&amp;row=1049&amp;col=15&amp;number=&amp;sourceID=55","")</f>
        <v/>
      </c>
      <c r="P1049" s="4" t="str">
        <f>HYPERLINK("http://141.218.60.56/~jnz1568/getInfo.php?workbook=16_15.xlsx&amp;sheet=A0&amp;row=1049&amp;col=16&amp;number=&amp;sourceID=55","")</f>
        <v/>
      </c>
      <c r="Q1049" s="4" t="str">
        <f>HYPERLINK("http://141.218.60.56/~jnz1568/getInfo.php?workbook=16_15.xlsx&amp;sheet=A0&amp;row=1049&amp;col=17&amp;number=&amp;sourceID=56","")</f>
        <v/>
      </c>
      <c r="R1049" s="4" t="str">
        <f>HYPERLINK("http://141.218.60.56/~jnz1568/getInfo.php?workbook=16_15.xlsx&amp;sheet=A0&amp;row=1049&amp;col=18&amp;number=&amp;sourceID=56","")</f>
        <v/>
      </c>
      <c r="S1049" s="4" t="str">
        <f>HYPERLINK("http://141.218.60.56/~jnz1568/getInfo.php?workbook=16_15.xlsx&amp;sheet=A0&amp;row=1049&amp;col=19&amp;number=&amp;sourceID=57","")</f>
        <v/>
      </c>
      <c r="T1049" s="4" t="str">
        <f>HYPERLINK("http://141.218.60.56/~jnz1568/getInfo.php?workbook=16_15.xlsx&amp;sheet=A0&amp;row=1049&amp;col=20&amp;number=&amp;sourceID=57","")</f>
        <v/>
      </c>
      <c r="U1049" s="4" t="str">
        <f>HYPERLINK("http://141.218.60.56/~jnz1568/getInfo.php?workbook=16_15.xlsx&amp;sheet=A0&amp;row=1049&amp;col=21&amp;number=&amp;sourceID=47","")</f>
        <v/>
      </c>
      <c r="V1049" s="4" t="str">
        <f>HYPERLINK("http://141.218.60.56/~jnz1568/getInfo.php?workbook=16_15.xlsx&amp;sheet=A0&amp;row=1049&amp;col=22&amp;number=&amp;sourceID=47","")</f>
        <v/>
      </c>
    </row>
    <row r="1050" spans="1:22">
      <c r="A1050" s="3">
        <v>16</v>
      </c>
      <c r="B1050" s="3">
        <v>15</v>
      </c>
      <c r="C1050" s="3">
        <v>52</v>
      </c>
      <c r="D1050" s="3">
        <v>27</v>
      </c>
      <c r="E1050" s="3">
        <f>((1/(INDEX(E0!J$4:J$73,C1050,1)-INDEX(E0!J$4:J$73,D1050,1))))*100000000</f>
        <v>0</v>
      </c>
      <c r="F1050" s="4" t="str">
        <f>HYPERLINK("http://141.218.60.56/~jnz1568/getInfo.php?workbook=16_15.xlsx&amp;sheet=A0&amp;row=1050&amp;col=6&amp;number=&amp;sourceID=54","")</f>
        <v/>
      </c>
      <c r="G1050" s="4" t="str">
        <f>HYPERLINK("http://141.218.60.56/~jnz1568/getInfo.php?workbook=16_15.xlsx&amp;sheet=A0&amp;row=1050&amp;col=7&amp;number=0.77138&amp;sourceID=54","0.77138")</f>
        <v>0.77138</v>
      </c>
      <c r="H1050" s="4" t="str">
        <f>HYPERLINK("http://141.218.60.56/~jnz1568/getInfo.php?workbook=16_15.xlsx&amp;sheet=A0&amp;row=1050&amp;col=8&amp;number=0.0094826&amp;sourceID=54","0.0094826")</f>
        <v>0.0094826</v>
      </c>
      <c r="I1050" s="4" t="str">
        <f>HYPERLINK("http://141.218.60.56/~jnz1568/getInfo.php?workbook=16_15.xlsx&amp;sheet=A0&amp;row=1050&amp;col=9&amp;number=&amp;sourceID=54","")</f>
        <v/>
      </c>
      <c r="J1050" s="4" t="str">
        <f>HYPERLINK("http://141.218.60.56/~jnz1568/getInfo.php?workbook=16_15.xlsx&amp;sheet=A0&amp;row=1050&amp;col=10&amp;number=0.60396&amp;sourceID=54","0.60396")</f>
        <v>0.60396</v>
      </c>
      <c r="K1050" s="4" t="str">
        <f>HYPERLINK("http://141.218.60.56/~jnz1568/getInfo.php?workbook=16_15.xlsx&amp;sheet=A0&amp;row=1050&amp;col=11&amp;number=0.0075694&amp;sourceID=54","0.0075694")</f>
        <v>0.0075694</v>
      </c>
      <c r="L1050" s="4" t="str">
        <f>HYPERLINK("http://141.218.60.56/~jnz1568/getInfo.php?workbook=16_15.xlsx&amp;sheet=A0&amp;row=1050&amp;col=12&amp;number=&amp;sourceID=53","")</f>
        <v/>
      </c>
      <c r="M1050" s="4" t="str">
        <f>HYPERLINK("http://141.218.60.56/~jnz1568/getInfo.php?workbook=16_15.xlsx&amp;sheet=A0&amp;row=1050&amp;col=13&amp;number=&amp;sourceID=53","")</f>
        <v/>
      </c>
      <c r="N1050" s="4" t="str">
        <f>HYPERLINK("http://141.218.60.56/~jnz1568/getInfo.php?workbook=16_15.xlsx&amp;sheet=A0&amp;row=1050&amp;col=14&amp;number=&amp;sourceID=53","")</f>
        <v/>
      </c>
      <c r="O1050" s="4" t="str">
        <f>HYPERLINK("http://141.218.60.56/~jnz1568/getInfo.php?workbook=16_15.xlsx&amp;sheet=A0&amp;row=1050&amp;col=15&amp;number=&amp;sourceID=55","")</f>
        <v/>
      </c>
      <c r="P1050" s="4" t="str">
        <f>HYPERLINK("http://141.218.60.56/~jnz1568/getInfo.php?workbook=16_15.xlsx&amp;sheet=A0&amp;row=1050&amp;col=16&amp;number=&amp;sourceID=55","")</f>
        <v/>
      </c>
      <c r="Q1050" s="4" t="str">
        <f>HYPERLINK("http://141.218.60.56/~jnz1568/getInfo.php?workbook=16_15.xlsx&amp;sheet=A0&amp;row=1050&amp;col=17&amp;number=&amp;sourceID=56","")</f>
        <v/>
      </c>
      <c r="R1050" s="4" t="str">
        <f>HYPERLINK("http://141.218.60.56/~jnz1568/getInfo.php?workbook=16_15.xlsx&amp;sheet=A0&amp;row=1050&amp;col=18&amp;number=&amp;sourceID=56","")</f>
        <v/>
      </c>
      <c r="S1050" s="4" t="str">
        <f>HYPERLINK("http://141.218.60.56/~jnz1568/getInfo.php?workbook=16_15.xlsx&amp;sheet=A0&amp;row=1050&amp;col=19&amp;number=&amp;sourceID=57","")</f>
        <v/>
      </c>
      <c r="T1050" s="4" t="str">
        <f>HYPERLINK("http://141.218.60.56/~jnz1568/getInfo.php?workbook=16_15.xlsx&amp;sheet=A0&amp;row=1050&amp;col=20&amp;number=&amp;sourceID=57","")</f>
        <v/>
      </c>
      <c r="U1050" s="4" t="str">
        <f>HYPERLINK("http://141.218.60.56/~jnz1568/getInfo.php?workbook=16_15.xlsx&amp;sheet=A0&amp;row=1050&amp;col=21&amp;number=&amp;sourceID=47","")</f>
        <v/>
      </c>
      <c r="V1050" s="4" t="str">
        <f>HYPERLINK("http://141.218.60.56/~jnz1568/getInfo.php?workbook=16_15.xlsx&amp;sheet=A0&amp;row=1050&amp;col=22&amp;number=&amp;sourceID=47","")</f>
        <v/>
      </c>
    </row>
    <row r="1051" spans="1:22">
      <c r="A1051" s="3">
        <v>16</v>
      </c>
      <c r="B1051" s="3">
        <v>15</v>
      </c>
      <c r="C1051" s="3">
        <v>52</v>
      </c>
      <c r="D1051" s="3">
        <v>28</v>
      </c>
      <c r="E1051" s="3">
        <f>((1/(INDEX(E0!J$4:J$73,C1051,1)-INDEX(E0!J$4:J$73,D1051,1))))*100000000</f>
        <v>0</v>
      </c>
      <c r="F1051" s="4" t="str">
        <f>HYPERLINK("http://141.218.60.56/~jnz1568/getInfo.php?workbook=16_15.xlsx&amp;sheet=A0&amp;row=1051&amp;col=6&amp;number=&amp;sourceID=54","")</f>
        <v/>
      </c>
      <c r="G1051" s="4" t="str">
        <f>HYPERLINK("http://141.218.60.56/~jnz1568/getInfo.php?workbook=16_15.xlsx&amp;sheet=A0&amp;row=1051&amp;col=7&amp;number=0.0031971&amp;sourceID=54","0.0031971")</f>
        <v>0.0031971</v>
      </c>
      <c r="H1051" s="4" t="str">
        <f>HYPERLINK("http://141.218.60.56/~jnz1568/getInfo.php?workbook=16_15.xlsx&amp;sheet=A0&amp;row=1051&amp;col=8&amp;number=&amp;sourceID=54","")</f>
        <v/>
      </c>
      <c r="I1051" s="4" t="str">
        <f>HYPERLINK("http://141.218.60.56/~jnz1568/getInfo.php?workbook=16_15.xlsx&amp;sheet=A0&amp;row=1051&amp;col=9&amp;number=&amp;sourceID=54","")</f>
        <v/>
      </c>
      <c r="J1051" s="4" t="str">
        <f>HYPERLINK("http://141.218.60.56/~jnz1568/getInfo.php?workbook=16_15.xlsx&amp;sheet=A0&amp;row=1051&amp;col=10&amp;number=0.0021061&amp;sourceID=54","0.0021061")</f>
        <v>0.0021061</v>
      </c>
      <c r="K1051" s="4" t="str">
        <f>HYPERLINK("http://141.218.60.56/~jnz1568/getInfo.php?workbook=16_15.xlsx&amp;sheet=A0&amp;row=1051&amp;col=11&amp;number=&amp;sourceID=54","")</f>
        <v/>
      </c>
      <c r="L1051" s="4" t="str">
        <f>HYPERLINK("http://141.218.60.56/~jnz1568/getInfo.php?workbook=16_15.xlsx&amp;sheet=A0&amp;row=1051&amp;col=12&amp;number=&amp;sourceID=53","")</f>
        <v/>
      </c>
      <c r="M1051" s="4" t="str">
        <f>HYPERLINK("http://141.218.60.56/~jnz1568/getInfo.php?workbook=16_15.xlsx&amp;sheet=A0&amp;row=1051&amp;col=13&amp;number=&amp;sourceID=53","")</f>
        <v/>
      </c>
      <c r="N1051" s="4" t="str">
        <f>HYPERLINK("http://141.218.60.56/~jnz1568/getInfo.php?workbook=16_15.xlsx&amp;sheet=A0&amp;row=1051&amp;col=14&amp;number=&amp;sourceID=53","")</f>
        <v/>
      </c>
      <c r="O1051" s="4" t="str">
        <f>HYPERLINK("http://141.218.60.56/~jnz1568/getInfo.php?workbook=16_15.xlsx&amp;sheet=A0&amp;row=1051&amp;col=15&amp;number=&amp;sourceID=55","")</f>
        <v/>
      </c>
      <c r="P1051" s="4" t="str">
        <f>HYPERLINK("http://141.218.60.56/~jnz1568/getInfo.php?workbook=16_15.xlsx&amp;sheet=A0&amp;row=1051&amp;col=16&amp;number=&amp;sourceID=55","")</f>
        <v/>
      </c>
      <c r="Q1051" s="4" t="str">
        <f>HYPERLINK("http://141.218.60.56/~jnz1568/getInfo.php?workbook=16_15.xlsx&amp;sheet=A0&amp;row=1051&amp;col=17&amp;number=&amp;sourceID=56","")</f>
        <v/>
      </c>
      <c r="R1051" s="4" t="str">
        <f>HYPERLINK("http://141.218.60.56/~jnz1568/getInfo.php?workbook=16_15.xlsx&amp;sheet=A0&amp;row=1051&amp;col=18&amp;number=&amp;sourceID=56","")</f>
        <v/>
      </c>
      <c r="S1051" s="4" t="str">
        <f>HYPERLINK("http://141.218.60.56/~jnz1568/getInfo.php?workbook=16_15.xlsx&amp;sheet=A0&amp;row=1051&amp;col=19&amp;number=&amp;sourceID=57","")</f>
        <v/>
      </c>
      <c r="T1051" s="4" t="str">
        <f>HYPERLINK("http://141.218.60.56/~jnz1568/getInfo.php?workbook=16_15.xlsx&amp;sheet=A0&amp;row=1051&amp;col=20&amp;number=&amp;sourceID=57","")</f>
        <v/>
      </c>
      <c r="U1051" s="4" t="str">
        <f>HYPERLINK("http://141.218.60.56/~jnz1568/getInfo.php?workbook=16_15.xlsx&amp;sheet=A0&amp;row=1051&amp;col=21&amp;number=&amp;sourceID=47","")</f>
        <v/>
      </c>
      <c r="V1051" s="4" t="str">
        <f>HYPERLINK("http://141.218.60.56/~jnz1568/getInfo.php?workbook=16_15.xlsx&amp;sheet=A0&amp;row=1051&amp;col=22&amp;number=&amp;sourceID=47","")</f>
        <v/>
      </c>
    </row>
    <row r="1052" spans="1:22">
      <c r="A1052" s="3">
        <v>16</v>
      </c>
      <c r="B1052" s="3">
        <v>15</v>
      </c>
      <c r="C1052" s="3">
        <v>52</v>
      </c>
      <c r="D1052" s="3">
        <v>29</v>
      </c>
      <c r="E1052" s="3">
        <f>((1/(INDEX(E0!J$4:J$73,C1052,1)-INDEX(E0!J$4:J$73,D1052,1))))*100000000</f>
        <v>0</v>
      </c>
      <c r="F1052" s="4" t="str">
        <f>HYPERLINK("http://141.218.60.56/~jnz1568/getInfo.php?workbook=16_15.xlsx&amp;sheet=A0&amp;row=1052&amp;col=6&amp;number=&amp;sourceID=54","")</f>
        <v/>
      </c>
      <c r="G1052" s="4" t="str">
        <f>HYPERLINK("http://141.218.60.56/~jnz1568/getInfo.php?workbook=16_15.xlsx&amp;sheet=A0&amp;row=1052&amp;col=7&amp;number=5.8645&amp;sourceID=54","5.8645")</f>
        <v>5.8645</v>
      </c>
      <c r="H1052" s="4" t="str">
        <f>HYPERLINK("http://141.218.60.56/~jnz1568/getInfo.php?workbook=16_15.xlsx&amp;sheet=A0&amp;row=1052&amp;col=8&amp;number=1.0669e-08&amp;sourceID=54","1.0669e-08")</f>
        <v>1.0669e-08</v>
      </c>
      <c r="I1052" s="4" t="str">
        <f>HYPERLINK("http://141.218.60.56/~jnz1568/getInfo.php?workbook=16_15.xlsx&amp;sheet=A0&amp;row=1052&amp;col=9&amp;number=&amp;sourceID=54","")</f>
        <v/>
      </c>
      <c r="J1052" s="4" t="str">
        <f>HYPERLINK("http://141.218.60.56/~jnz1568/getInfo.php?workbook=16_15.xlsx&amp;sheet=A0&amp;row=1052&amp;col=10&amp;number=3.6749&amp;sourceID=54","3.6749")</f>
        <v>3.6749</v>
      </c>
      <c r="K1052" s="4" t="str">
        <f>HYPERLINK("http://141.218.60.56/~jnz1568/getInfo.php?workbook=16_15.xlsx&amp;sheet=A0&amp;row=1052&amp;col=11&amp;number=1.7392e-08&amp;sourceID=54","1.7392e-08")</f>
        <v>1.7392e-08</v>
      </c>
      <c r="L1052" s="4" t="str">
        <f>HYPERLINK("http://141.218.60.56/~jnz1568/getInfo.php?workbook=16_15.xlsx&amp;sheet=A0&amp;row=1052&amp;col=12&amp;number=&amp;sourceID=53","")</f>
        <v/>
      </c>
      <c r="M1052" s="4" t="str">
        <f>HYPERLINK("http://141.218.60.56/~jnz1568/getInfo.php?workbook=16_15.xlsx&amp;sheet=A0&amp;row=1052&amp;col=13&amp;number=&amp;sourceID=53","")</f>
        <v/>
      </c>
      <c r="N1052" s="4" t="str">
        <f>HYPERLINK("http://141.218.60.56/~jnz1568/getInfo.php?workbook=16_15.xlsx&amp;sheet=A0&amp;row=1052&amp;col=14&amp;number=&amp;sourceID=53","")</f>
        <v/>
      </c>
      <c r="O1052" s="4" t="str">
        <f>HYPERLINK("http://141.218.60.56/~jnz1568/getInfo.php?workbook=16_15.xlsx&amp;sheet=A0&amp;row=1052&amp;col=15&amp;number=&amp;sourceID=55","")</f>
        <v/>
      </c>
      <c r="P1052" s="4" t="str">
        <f>HYPERLINK("http://141.218.60.56/~jnz1568/getInfo.php?workbook=16_15.xlsx&amp;sheet=A0&amp;row=1052&amp;col=16&amp;number=&amp;sourceID=55","")</f>
        <v/>
      </c>
      <c r="Q1052" s="4" t="str">
        <f>HYPERLINK("http://141.218.60.56/~jnz1568/getInfo.php?workbook=16_15.xlsx&amp;sheet=A0&amp;row=1052&amp;col=17&amp;number=&amp;sourceID=56","")</f>
        <v/>
      </c>
      <c r="R1052" s="4" t="str">
        <f>HYPERLINK("http://141.218.60.56/~jnz1568/getInfo.php?workbook=16_15.xlsx&amp;sheet=A0&amp;row=1052&amp;col=18&amp;number=&amp;sourceID=56","")</f>
        <v/>
      </c>
      <c r="S1052" s="4" t="str">
        <f>HYPERLINK("http://141.218.60.56/~jnz1568/getInfo.php?workbook=16_15.xlsx&amp;sheet=A0&amp;row=1052&amp;col=19&amp;number=&amp;sourceID=57","")</f>
        <v/>
      </c>
      <c r="T1052" s="4" t="str">
        <f>HYPERLINK("http://141.218.60.56/~jnz1568/getInfo.php?workbook=16_15.xlsx&amp;sheet=A0&amp;row=1052&amp;col=20&amp;number=&amp;sourceID=57","")</f>
        <v/>
      </c>
      <c r="U1052" s="4" t="str">
        <f>HYPERLINK("http://141.218.60.56/~jnz1568/getInfo.php?workbook=16_15.xlsx&amp;sheet=A0&amp;row=1052&amp;col=21&amp;number=&amp;sourceID=47","")</f>
        <v/>
      </c>
      <c r="V1052" s="4" t="str">
        <f>HYPERLINK("http://141.218.60.56/~jnz1568/getInfo.php?workbook=16_15.xlsx&amp;sheet=A0&amp;row=1052&amp;col=22&amp;number=&amp;sourceID=47","")</f>
        <v/>
      </c>
    </row>
    <row r="1053" spans="1:22">
      <c r="A1053" s="3">
        <v>16</v>
      </c>
      <c r="B1053" s="3">
        <v>15</v>
      </c>
      <c r="C1053" s="3">
        <v>52</v>
      </c>
      <c r="D1053" s="3">
        <v>30</v>
      </c>
      <c r="E1053" s="3">
        <f>((1/(INDEX(E0!J$4:J$73,C1053,1)-INDEX(E0!J$4:J$73,D1053,1))))*100000000</f>
        <v>0</v>
      </c>
      <c r="F1053" s="4" t="str">
        <f>HYPERLINK("http://141.218.60.56/~jnz1568/getInfo.php?workbook=16_15.xlsx&amp;sheet=A0&amp;row=1053&amp;col=6&amp;number=&amp;sourceID=54","")</f>
        <v/>
      </c>
      <c r="G1053" s="4" t="str">
        <f>HYPERLINK("http://141.218.60.56/~jnz1568/getInfo.php?workbook=16_15.xlsx&amp;sheet=A0&amp;row=1053&amp;col=7&amp;number=1.333&amp;sourceID=54","1.333")</f>
        <v>1.333</v>
      </c>
      <c r="H1053" s="4" t="str">
        <f>HYPERLINK("http://141.218.60.56/~jnz1568/getInfo.php?workbook=16_15.xlsx&amp;sheet=A0&amp;row=1053&amp;col=8&amp;number=9.9874e-06&amp;sourceID=54","9.9874e-06")</f>
        <v>9.9874e-06</v>
      </c>
      <c r="I1053" s="4" t="str">
        <f>HYPERLINK("http://141.218.60.56/~jnz1568/getInfo.php?workbook=16_15.xlsx&amp;sheet=A0&amp;row=1053&amp;col=9&amp;number=&amp;sourceID=54","")</f>
        <v/>
      </c>
      <c r="J1053" s="4" t="str">
        <f>HYPERLINK("http://141.218.60.56/~jnz1568/getInfo.php?workbook=16_15.xlsx&amp;sheet=A0&amp;row=1053&amp;col=10&amp;number=0.84656&amp;sourceID=54","0.84656")</f>
        <v>0.84656</v>
      </c>
      <c r="K1053" s="4" t="str">
        <f>HYPERLINK("http://141.218.60.56/~jnz1568/getInfo.php?workbook=16_15.xlsx&amp;sheet=A0&amp;row=1053&amp;col=11&amp;number=9.5848e-06&amp;sourceID=54","9.5848e-06")</f>
        <v>9.5848e-06</v>
      </c>
      <c r="L1053" s="4" t="str">
        <f>HYPERLINK("http://141.218.60.56/~jnz1568/getInfo.php?workbook=16_15.xlsx&amp;sheet=A0&amp;row=1053&amp;col=12&amp;number=&amp;sourceID=53","")</f>
        <v/>
      </c>
      <c r="M1053" s="4" t="str">
        <f>HYPERLINK("http://141.218.60.56/~jnz1568/getInfo.php?workbook=16_15.xlsx&amp;sheet=A0&amp;row=1053&amp;col=13&amp;number=&amp;sourceID=53","")</f>
        <v/>
      </c>
      <c r="N1053" s="4" t="str">
        <f>HYPERLINK("http://141.218.60.56/~jnz1568/getInfo.php?workbook=16_15.xlsx&amp;sheet=A0&amp;row=1053&amp;col=14&amp;number=&amp;sourceID=53","")</f>
        <v/>
      </c>
      <c r="O1053" s="4" t="str">
        <f>HYPERLINK("http://141.218.60.56/~jnz1568/getInfo.php?workbook=16_15.xlsx&amp;sheet=A0&amp;row=1053&amp;col=15&amp;number=&amp;sourceID=55","")</f>
        <v/>
      </c>
      <c r="P1053" s="4" t="str">
        <f>HYPERLINK("http://141.218.60.56/~jnz1568/getInfo.php?workbook=16_15.xlsx&amp;sheet=A0&amp;row=1053&amp;col=16&amp;number=&amp;sourceID=55","")</f>
        <v/>
      </c>
      <c r="Q1053" s="4" t="str">
        <f>HYPERLINK("http://141.218.60.56/~jnz1568/getInfo.php?workbook=16_15.xlsx&amp;sheet=A0&amp;row=1053&amp;col=17&amp;number=&amp;sourceID=56","")</f>
        <v/>
      </c>
      <c r="R1053" s="4" t="str">
        <f>HYPERLINK("http://141.218.60.56/~jnz1568/getInfo.php?workbook=16_15.xlsx&amp;sheet=A0&amp;row=1053&amp;col=18&amp;number=&amp;sourceID=56","")</f>
        <v/>
      </c>
      <c r="S1053" s="4" t="str">
        <f>HYPERLINK("http://141.218.60.56/~jnz1568/getInfo.php?workbook=16_15.xlsx&amp;sheet=A0&amp;row=1053&amp;col=19&amp;number=&amp;sourceID=57","")</f>
        <v/>
      </c>
      <c r="T1053" s="4" t="str">
        <f>HYPERLINK("http://141.218.60.56/~jnz1568/getInfo.php?workbook=16_15.xlsx&amp;sheet=A0&amp;row=1053&amp;col=20&amp;number=&amp;sourceID=57","")</f>
        <v/>
      </c>
      <c r="U1053" s="4" t="str">
        <f>HYPERLINK("http://141.218.60.56/~jnz1568/getInfo.php?workbook=16_15.xlsx&amp;sheet=A0&amp;row=1053&amp;col=21&amp;number=&amp;sourceID=47","")</f>
        <v/>
      </c>
      <c r="V1053" s="4" t="str">
        <f>HYPERLINK("http://141.218.60.56/~jnz1568/getInfo.php?workbook=16_15.xlsx&amp;sheet=A0&amp;row=1053&amp;col=22&amp;number=&amp;sourceID=47","")</f>
        <v/>
      </c>
    </row>
    <row r="1054" spans="1:22">
      <c r="A1054" s="3">
        <v>16</v>
      </c>
      <c r="B1054" s="3">
        <v>15</v>
      </c>
      <c r="C1054" s="3">
        <v>52</v>
      </c>
      <c r="D1054" s="3">
        <v>32</v>
      </c>
      <c r="E1054" s="3">
        <f>((1/(INDEX(E0!J$4:J$73,C1054,1)-INDEX(E0!J$4:J$73,D1054,1))))*100000000</f>
        <v>0</v>
      </c>
      <c r="F1054" s="4" t="str">
        <f>HYPERLINK("http://141.218.60.56/~jnz1568/getInfo.php?workbook=16_15.xlsx&amp;sheet=A0&amp;row=1054&amp;col=6&amp;number=&amp;sourceID=54","")</f>
        <v/>
      </c>
      <c r="G1054" s="4" t="str">
        <f>HYPERLINK("http://141.218.60.56/~jnz1568/getInfo.php?workbook=16_15.xlsx&amp;sheet=A0&amp;row=1054&amp;col=7&amp;number=0.11212&amp;sourceID=54","0.11212")</f>
        <v>0.11212</v>
      </c>
      <c r="H1054" s="4" t="str">
        <f>HYPERLINK("http://141.218.60.56/~jnz1568/getInfo.php?workbook=16_15.xlsx&amp;sheet=A0&amp;row=1054&amp;col=8&amp;number=0.0066753&amp;sourceID=54","0.0066753")</f>
        <v>0.0066753</v>
      </c>
      <c r="I1054" s="4" t="str">
        <f>HYPERLINK("http://141.218.60.56/~jnz1568/getInfo.php?workbook=16_15.xlsx&amp;sheet=A0&amp;row=1054&amp;col=9&amp;number=&amp;sourceID=54","")</f>
        <v/>
      </c>
      <c r="J1054" s="4" t="str">
        <f>HYPERLINK("http://141.218.60.56/~jnz1568/getInfo.php?workbook=16_15.xlsx&amp;sheet=A0&amp;row=1054&amp;col=10&amp;number=0.080464&amp;sourceID=54","0.080464")</f>
        <v>0.080464</v>
      </c>
      <c r="K1054" s="4" t="str">
        <f>HYPERLINK("http://141.218.60.56/~jnz1568/getInfo.php?workbook=16_15.xlsx&amp;sheet=A0&amp;row=1054&amp;col=11&amp;number=0.0050679&amp;sourceID=54","0.0050679")</f>
        <v>0.0050679</v>
      </c>
      <c r="L1054" s="4" t="str">
        <f>HYPERLINK("http://141.218.60.56/~jnz1568/getInfo.php?workbook=16_15.xlsx&amp;sheet=A0&amp;row=1054&amp;col=12&amp;number=&amp;sourceID=53","")</f>
        <v/>
      </c>
      <c r="M1054" s="4" t="str">
        <f>HYPERLINK("http://141.218.60.56/~jnz1568/getInfo.php?workbook=16_15.xlsx&amp;sheet=A0&amp;row=1054&amp;col=13&amp;number=&amp;sourceID=53","")</f>
        <v/>
      </c>
      <c r="N1054" s="4" t="str">
        <f>HYPERLINK("http://141.218.60.56/~jnz1568/getInfo.php?workbook=16_15.xlsx&amp;sheet=A0&amp;row=1054&amp;col=14&amp;number=&amp;sourceID=53","")</f>
        <v/>
      </c>
      <c r="O1054" s="4" t="str">
        <f>HYPERLINK("http://141.218.60.56/~jnz1568/getInfo.php?workbook=16_15.xlsx&amp;sheet=A0&amp;row=1054&amp;col=15&amp;number=&amp;sourceID=55","")</f>
        <v/>
      </c>
      <c r="P1054" s="4" t="str">
        <f>HYPERLINK("http://141.218.60.56/~jnz1568/getInfo.php?workbook=16_15.xlsx&amp;sheet=A0&amp;row=1054&amp;col=16&amp;number=&amp;sourceID=55","")</f>
        <v/>
      </c>
      <c r="Q1054" s="4" t="str">
        <f>HYPERLINK("http://141.218.60.56/~jnz1568/getInfo.php?workbook=16_15.xlsx&amp;sheet=A0&amp;row=1054&amp;col=17&amp;number=&amp;sourceID=56","")</f>
        <v/>
      </c>
      <c r="R1054" s="4" t="str">
        <f>HYPERLINK("http://141.218.60.56/~jnz1568/getInfo.php?workbook=16_15.xlsx&amp;sheet=A0&amp;row=1054&amp;col=18&amp;number=&amp;sourceID=56","")</f>
        <v/>
      </c>
      <c r="S1054" s="4" t="str">
        <f>HYPERLINK("http://141.218.60.56/~jnz1568/getInfo.php?workbook=16_15.xlsx&amp;sheet=A0&amp;row=1054&amp;col=19&amp;number=&amp;sourceID=57","")</f>
        <v/>
      </c>
      <c r="T1054" s="4" t="str">
        <f>HYPERLINK("http://141.218.60.56/~jnz1568/getInfo.php?workbook=16_15.xlsx&amp;sheet=A0&amp;row=1054&amp;col=20&amp;number=&amp;sourceID=57","")</f>
        <v/>
      </c>
      <c r="U1054" s="4" t="str">
        <f>HYPERLINK("http://141.218.60.56/~jnz1568/getInfo.php?workbook=16_15.xlsx&amp;sheet=A0&amp;row=1054&amp;col=21&amp;number=&amp;sourceID=47","")</f>
        <v/>
      </c>
      <c r="V1054" s="4" t="str">
        <f>HYPERLINK("http://141.218.60.56/~jnz1568/getInfo.php?workbook=16_15.xlsx&amp;sheet=A0&amp;row=1054&amp;col=22&amp;number=&amp;sourceID=47","")</f>
        <v/>
      </c>
    </row>
    <row r="1055" spans="1:22">
      <c r="A1055" s="3">
        <v>16</v>
      </c>
      <c r="B1055" s="3">
        <v>15</v>
      </c>
      <c r="C1055" s="3">
        <v>52</v>
      </c>
      <c r="D1055" s="3">
        <v>33</v>
      </c>
      <c r="E1055" s="3">
        <f>((1/(INDEX(E0!J$4:J$73,C1055,1)-INDEX(E0!J$4:J$73,D1055,1))))*100000000</f>
        <v>0</v>
      </c>
      <c r="F1055" s="4" t="str">
        <f>HYPERLINK("http://141.218.60.56/~jnz1568/getInfo.php?workbook=16_15.xlsx&amp;sheet=A0&amp;row=1055&amp;col=6&amp;number=&amp;sourceID=54","")</f>
        <v/>
      </c>
      <c r="G1055" s="4" t="str">
        <f>HYPERLINK("http://141.218.60.56/~jnz1568/getInfo.php?workbook=16_15.xlsx&amp;sheet=A0&amp;row=1055&amp;col=7&amp;number=0.0035355&amp;sourceID=54","0.0035355")</f>
        <v>0.0035355</v>
      </c>
      <c r="H1055" s="4" t="str">
        <f>HYPERLINK("http://141.218.60.56/~jnz1568/getInfo.php?workbook=16_15.xlsx&amp;sheet=A0&amp;row=1055&amp;col=8&amp;number=&amp;sourceID=54","")</f>
        <v/>
      </c>
      <c r="I1055" s="4" t="str">
        <f>HYPERLINK("http://141.218.60.56/~jnz1568/getInfo.php?workbook=16_15.xlsx&amp;sheet=A0&amp;row=1055&amp;col=9&amp;number=&amp;sourceID=54","")</f>
        <v/>
      </c>
      <c r="J1055" s="4" t="str">
        <f>HYPERLINK("http://141.218.60.56/~jnz1568/getInfo.php?workbook=16_15.xlsx&amp;sheet=A0&amp;row=1055&amp;col=10&amp;number=0.0026307&amp;sourceID=54","0.0026307")</f>
        <v>0.0026307</v>
      </c>
      <c r="K1055" s="4" t="str">
        <f>HYPERLINK("http://141.218.60.56/~jnz1568/getInfo.php?workbook=16_15.xlsx&amp;sheet=A0&amp;row=1055&amp;col=11&amp;number=&amp;sourceID=54","")</f>
        <v/>
      </c>
      <c r="L1055" s="4" t="str">
        <f>HYPERLINK("http://141.218.60.56/~jnz1568/getInfo.php?workbook=16_15.xlsx&amp;sheet=A0&amp;row=1055&amp;col=12&amp;number=&amp;sourceID=53","")</f>
        <v/>
      </c>
      <c r="M1055" s="4" t="str">
        <f>HYPERLINK("http://141.218.60.56/~jnz1568/getInfo.php?workbook=16_15.xlsx&amp;sheet=A0&amp;row=1055&amp;col=13&amp;number=&amp;sourceID=53","")</f>
        <v/>
      </c>
      <c r="N1055" s="4" t="str">
        <f>HYPERLINK("http://141.218.60.56/~jnz1568/getInfo.php?workbook=16_15.xlsx&amp;sheet=A0&amp;row=1055&amp;col=14&amp;number=&amp;sourceID=53","")</f>
        <v/>
      </c>
      <c r="O1055" s="4" t="str">
        <f>HYPERLINK("http://141.218.60.56/~jnz1568/getInfo.php?workbook=16_15.xlsx&amp;sheet=A0&amp;row=1055&amp;col=15&amp;number=&amp;sourceID=55","")</f>
        <v/>
      </c>
      <c r="P1055" s="4" t="str">
        <f>HYPERLINK("http://141.218.60.56/~jnz1568/getInfo.php?workbook=16_15.xlsx&amp;sheet=A0&amp;row=1055&amp;col=16&amp;number=&amp;sourceID=55","")</f>
        <v/>
      </c>
      <c r="Q1055" s="4" t="str">
        <f>HYPERLINK("http://141.218.60.56/~jnz1568/getInfo.php?workbook=16_15.xlsx&amp;sheet=A0&amp;row=1055&amp;col=17&amp;number=&amp;sourceID=56","")</f>
        <v/>
      </c>
      <c r="R1055" s="4" t="str">
        <f>HYPERLINK("http://141.218.60.56/~jnz1568/getInfo.php?workbook=16_15.xlsx&amp;sheet=A0&amp;row=1055&amp;col=18&amp;number=&amp;sourceID=56","")</f>
        <v/>
      </c>
      <c r="S1055" s="4" t="str">
        <f>HYPERLINK("http://141.218.60.56/~jnz1568/getInfo.php?workbook=16_15.xlsx&amp;sheet=A0&amp;row=1055&amp;col=19&amp;number=&amp;sourceID=57","")</f>
        <v/>
      </c>
      <c r="T1055" s="4" t="str">
        <f>HYPERLINK("http://141.218.60.56/~jnz1568/getInfo.php?workbook=16_15.xlsx&amp;sheet=A0&amp;row=1055&amp;col=20&amp;number=&amp;sourceID=57","")</f>
        <v/>
      </c>
      <c r="U1055" s="4" t="str">
        <f>HYPERLINK("http://141.218.60.56/~jnz1568/getInfo.php?workbook=16_15.xlsx&amp;sheet=A0&amp;row=1055&amp;col=21&amp;number=&amp;sourceID=47","")</f>
        <v/>
      </c>
      <c r="V1055" s="4" t="str">
        <f>HYPERLINK("http://141.218.60.56/~jnz1568/getInfo.php?workbook=16_15.xlsx&amp;sheet=A0&amp;row=1055&amp;col=22&amp;number=&amp;sourceID=47","")</f>
        <v/>
      </c>
    </row>
    <row r="1056" spans="1:22">
      <c r="A1056" s="3">
        <v>16</v>
      </c>
      <c r="B1056" s="3">
        <v>15</v>
      </c>
      <c r="C1056" s="3">
        <v>52</v>
      </c>
      <c r="D1056" s="3">
        <v>35</v>
      </c>
      <c r="E1056" s="3">
        <f>((1/(INDEX(E0!J$4:J$73,C1056,1)-INDEX(E0!J$4:J$73,D1056,1))))*100000000</f>
        <v>0</v>
      </c>
      <c r="F1056" s="4" t="str">
        <f>HYPERLINK("http://141.218.60.56/~jnz1568/getInfo.php?workbook=16_15.xlsx&amp;sheet=A0&amp;row=1056&amp;col=6&amp;number=9930.6&amp;sourceID=54","9930.6")</f>
        <v>9930.6</v>
      </c>
      <c r="G1056" s="4" t="str">
        <f>HYPERLINK("http://141.218.60.56/~jnz1568/getInfo.php?workbook=16_15.xlsx&amp;sheet=A0&amp;row=1056&amp;col=7&amp;number=&amp;sourceID=54","")</f>
        <v/>
      </c>
      <c r="H1056" s="4" t="str">
        <f>HYPERLINK("http://141.218.60.56/~jnz1568/getInfo.php?workbook=16_15.xlsx&amp;sheet=A0&amp;row=1056&amp;col=8&amp;number=&amp;sourceID=54","")</f>
        <v/>
      </c>
      <c r="I1056" s="4" t="str">
        <f>HYPERLINK("http://141.218.60.56/~jnz1568/getInfo.php?workbook=16_15.xlsx&amp;sheet=A0&amp;row=1056&amp;col=9&amp;number=6150.5&amp;sourceID=54","6150.5")</f>
        <v>6150.5</v>
      </c>
      <c r="J1056" s="4" t="str">
        <f>HYPERLINK("http://141.218.60.56/~jnz1568/getInfo.php?workbook=16_15.xlsx&amp;sheet=A0&amp;row=1056&amp;col=10&amp;number=&amp;sourceID=54","")</f>
        <v/>
      </c>
      <c r="K1056" s="4" t="str">
        <f>HYPERLINK("http://141.218.60.56/~jnz1568/getInfo.php?workbook=16_15.xlsx&amp;sheet=A0&amp;row=1056&amp;col=11&amp;number=&amp;sourceID=54","")</f>
        <v/>
      </c>
      <c r="L1056" s="4" t="str">
        <f>HYPERLINK("http://141.218.60.56/~jnz1568/getInfo.php?workbook=16_15.xlsx&amp;sheet=A0&amp;row=1056&amp;col=12&amp;number=6392.42484615&amp;sourceID=53","6392.42484615")</f>
        <v>6392.42484615</v>
      </c>
      <c r="M1056" s="4" t="str">
        <f>HYPERLINK("http://141.218.60.56/~jnz1568/getInfo.php?workbook=16_15.xlsx&amp;sheet=A0&amp;row=1056&amp;col=13&amp;number=&amp;sourceID=53","")</f>
        <v/>
      </c>
      <c r="N1056" s="4" t="str">
        <f>HYPERLINK("http://141.218.60.56/~jnz1568/getInfo.php?workbook=16_15.xlsx&amp;sheet=A0&amp;row=1056&amp;col=14&amp;number=&amp;sourceID=53","")</f>
        <v/>
      </c>
      <c r="O1056" s="4" t="str">
        <f>HYPERLINK("http://141.218.60.56/~jnz1568/getInfo.php?workbook=16_15.xlsx&amp;sheet=A0&amp;row=1056&amp;col=15&amp;number=&amp;sourceID=55","")</f>
        <v/>
      </c>
      <c r="P1056" s="4" t="str">
        <f>HYPERLINK("http://141.218.60.56/~jnz1568/getInfo.php?workbook=16_15.xlsx&amp;sheet=A0&amp;row=1056&amp;col=16&amp;number=&amp;sourceID=55","")</f>
        <v/>
      </c>
      <c r="Q1056" s="4" t="str">
        <f>HYPERLINK("http://141.218.60.56/~jnz1568/getInfo.php?workbook=16_15.xlsx&amp;sheet=A0&amp;row=1056&amp;col=17&amp;number=&amp;sourceID=56","")</f>
        <v/>
      </c>
      <c r="R1056" s="4" t="str">
        <f>HYPERLINK("http://141.218.60.56/~jnz1568/getInfo.php?workbook=16_15.xlsx&amp;sheet=A0&amp;row=1056&amp;col=18&amp;number=&amp;sourceID=56","")</f>
        <v/>
      </c>
      <c r="S1056" s="4" t="str">
        <f>HYPERLINK("http://141.218.60.56/~jnz1568/getInfo.php?workbook=16_15.xlsx&amp;sheet=A0&amp;row=1056&amp;col=19&amp;number=&amp;sourceID=57","")</f>
        <v/>
      </c>
      <c r="T1056" s="4" t="str">
        <f>HYPERLINK("http://141.218.60.56/~jnz1568/getInfo.php?workbook=16_15.xlsx&amp;sheet=A0&amp;row=1056&amp;col=20&amp;number=&amp;sourceID=57","")</f>
        <v/>
      </c>
      <c r="U1056" s="4" t="str">
        <f>HYPERLINK("http://141.218.60.56/~jnz1568/getInfo.php?workbook=16_15.xlsx&amp;sheet=A0&amp;row=1056&amp;col=21&amp;number=&amp;sourceID=47","")</f>
        <v/>
      </c>
      <c r="V1056" s="4" t="str">
        <f>HYPERLINK("http://141.218.60.56/~jnz1568/getInfo.php?workbook=16_15.xlsx&amp;sheet=A0&amp;row=1056&amp;col=22&amp;number=&amp;sourceID=47","")</f>
        <v/>
      </c>
    </row>
    <row r="1057" spans="1:22">
      <c r="A1057" s="3">
        <v>16</v>
      </c>
      <c r="B1057" s="3">
        <v>15</v>
      </c>
      <c r="C1057" s="3">
        <v>52</v>
      </c>
      <c r="D1057" s="3">
        <v>36</v>
      </c>
      <c r="E1057" s="3">
        <f>((1/(INDEX(E0!J$4:J$73,C1057,1)-INDEX(E0!J$4:J$73,D1057,1))))*100000000</f>
        <v>0</v>
      </c>
      <c r="F1057" s="4" t="str">
        <f>HYPERLINK("http://141.218.60.56/~jnz1568/getInfo.php?workbook=16_15.xlsx&amp;sheet=A0&amp;row=1057&amp;col=6&amp;number=2365.7&amp;sourceID=54","2365.7")</f>
        <v>2365.7</v>
      </c>
      <c r="G1057" s="4" t="str">
        <f>HYPERLINK("http://141.218.60.56/~jnz1568/getInfo.php?workbook=16_15.xlsx&amp;sheet=A0&amp;row=1057&amp;col=7&amp;number=&amp;sourceID=54","")</f>
        <v/>
      </c>
      <c r="H1057" s="4" t="str">
        <f>HYPERLINK("http://141.218.60.56/~jnz1568/getInfo.php?workbook=16_15.xlsx&amp;sheet=A0&amp;row=1057&amp;col=8&amp;number=&amp;sourceID=54","")</f>
        <v/>
      </c>
      <c r="I1057" s="4" t="str">
        <f>HYPERLINK("http://141.218.60.56/~jnz1568/getInfo.php?workbook=16_15.xlsx&amp;sheet=A0&amp;row=1057&amp;col=9&amp;number=1477.4&amp;sourceID=54","1477.4")</f>
        <v>1477.4</v>
      </c>
      <c r="J1057" s="4" t="str">
        <f>HYPERLINK("http://141.218.60.56/~jnz1568/getInfo.php?workbook=16_15.xlsx&amp;sheet=A0&amp;row=1057&amp;col=10&amp;number=&amp;sourceID=54","")</f>
        <v/>
      </c>
      <c r="K1057" s="4" t="str">
        <f>HYPERLINK("http://141.218.60.56/~jnz1568/getInfo.php?workbook=16_15.xlsx&amp;sheet=A0&amp;row=1057&amp;col=11&amp;number=&amp;sourceID=54","")</f>
        <v/>
      </c>
      <c r="L1057" s="4" t="str">
        <f>HYPERLINK("http://141.218.60.56/~jnz1568/getInfo.php?workbook=16_15.xlsx&amp;sheet=A0&amp;row=1057&amp;col=12&amp;number=1821.12712883&amp;sourceID=53","1821.12712883")</f>
        <v>1821.12712883</v>
      </c>
      <c r="M1057" s="4" t="str">
        <f>HYPERLINK("http://141.218.60.56/~jnz1568/getInfo.php?workbook=16_15.xlsx&amp;sheet=A0&amp;row=1057&amp;col=13&amp;number=&amp;sourceID=53","")</f>
        <v/>
      </c>
      <c r="N1057" s="4" t="str">
        <f>HYPERLINK("http://141.218.60.56/~jnz1568/getInfo.php?workbook=16_15.xlsx&amp;sheet=A0&amp;row=1057&amp;col=14&amp;number=&amp;sourceID=53","")</f>
        <v/>
      </c>
      <c r="O1057" s="4" t="str">
        <f>HYPERLINK("http://141.218.60.56/~jnz1568/getInfo.php?workbook=16_15.xlsx&amp;sheet=A0&amp;row=1057&amp;col=15&amp;number=&amp;sourceID=55","")</f>
        <v/>
      </c>
      <c r="P1057" s="4" t="str">
        <f>HYPERLINK("http://141.218.60.56/~jnz1568/getInfo.php?workbook=16_15.xlsx&amp;sheet=A0&amp;row=1057&amp;col=16&amp;number=&amp;sourceID=55","")</f>
        <v/>
      </c>
      <c r="Q1057" s="4" t="str">
        <f>HYPERLINK("http://141.218.60.56/~jnz1568/getInfo.php?workbook=16_15.xlsx&amp;sheet=A0&amp;row=1057&amp;col=17&amp;number=&amp;sourceID=56","")</f>
        <v/>
      </c>
      <c r="R1057" s="4" t="str">
        <f>HYPERLINK("http://141.218.60.56/~jnz1568/getInfo.php?workbook=16_15.xlsx&amp;sheet=A0&amp;row=1057&amp;col=18&amp;number=&amp;sourceID=56","")</f>
        <v/>
      </c>
      <c r="S1057" s="4" t="str">
        <f>HYPERLINK("http://141.218.60.56/~jnz1568/getInfo.php?workbook=16_15.xlsx&amp;sheet=A0&amp;row=1057&amp;col=19&amp;number=&amp;sourceID=57","")</f>
        <v/>
      </c>
      <c r="T1057" s="4" t="str">
        <f>HYPERLINK("http://141.218.60.56/~jnz1568/getInfo.php?workbook=16_15.xlsx&amp;sheet=A0&amp;row=1057&amp;col=20&amp;number=&amp;sourceID=57","")</f>
        <v/>
      </c>
      <c r="U1057" s="4" t="str">
        <f>HYPERLINK("http://141.218.60.56/~jnz1568/getInfo.php?workbook=16_15.xlsx&amp;sheet=A0&amp;row=1057&amp;col=21&amp;number=&amp;sourceID=47","")</f>
        <v/>
      </c>
      <c r="V1057" s="4" t="str">
        <f>HYPERLINK("http://141.218.60.56/~jnz1568/getInfo.php?workbook=16_15.xlsx&amp;sheet=A0&amp;row=1057&amp;col=22&amp;number=&amp;sourceID=47","")</f>
        <v/>
      </c>
    </row>
    <row r="1058" spans="1:22">
      <c r="A1058" s="3">
        <v>16</v>
      </c>
      <c r="B1058" s="3">
        <v>15</v>
      </c>
      <c r="C1058" s="3">
        <v>52</v>
      </c>
      <c r="D1058" s="3">
        <v>37</v>
      </c>
      <c r="E1058" s="3">
        <f>((1/(INDEX(E0!J$4:J$73,C1058,1)-INDEX(E0!J$4:J$73,D1058,1))))*100000000</f>
        <v>0</v>
      </c>
      <c r="F1058" s="4" t="str">
        <f>HYPERLINK("http://141.218.60.56/~jnz1568/getInfo.php?workbook=16_15.xlsx&amp;sheet=A0&amp;row=1058&amp;col=6&amp;number=55.865&amp;sourceID=54","55.865")</f>
        <v>55.865</v>
      </c>
      <c r="G1058" s="4" t="str">
        <f>HYPERLINK("http://141.218.60.56/~jnz1568/getInfo.php?workbook=16_15.xlsx&amp;sheet=A0&amp;row=1058&amp;col=7&amp;number=&amp;sourceID=54","")</f>
        <v/>
      </c>
      <c r="H1058" s="4" t="str">
        <f>HYPERLINK("http://141.218.60.56/~jnz1568/getInfo.php?workbook=16_15.xlsx&amp;sheet=A0&amp;row=1058&amp;col=8&amp;number=&amp;sourceID=54","")</f>
        <v/>
      </c>
      <c r="I1058" s="4" t="str">
        <f>HYPERLINK("http://141.218.60.56/~jnz1568/getInfo.php?workbook=16_15.xlsx&amp;sheet=A0&amp;row=1058&amp;col=9&amp;number=35.052&amp;sourceID=54","35.052")</f>
        <v>35.052</v>
      </c>
      <c r="J1058" s="4" t="str">
        <f>HYPERLINK("http://141.218.60.56/~jnz1568/getInfo.php?workbook=16_15.xlsx&amp;sheet=A0&amp;row=1058&amp;col=10&amp;number=&amp;sourceID=54","")</f>
        <v/>
      </c>
      <c r="K1058" s="4" t="str">
        <f>HYPERLINK("http://141.218.60.56/~jnz1568/getInfo.php?workbook=16_15.xlsx&amp;sheet=A0&amp;row=1058&amp;col=11&amp;number=&amp;sourceID=54","")</f>
        <v/>
      </c>
      <c r="L1058" s="4" t="str">
        <f>HYPERLINK("http://141.218.60.56/~jnz1568/getInfo.php?workbook=16_15.xlsx&amp;sheet=A0&amp;row=1058&amp;col=12&amp;number=57.5142841863&amp;sourceID=53","57.5142841863")</f>
        <v>57.5142841863</v>
      </c>
      <c r="M1058" s="4" t="str">
        <f>HYPERLINK("http://141.218.60.56/~jnz1568/getInfo.php?workbook=16_15.xlsx&amp;sheet=A0&amp;row=1058&amp;col=13&amp;number=&amp;sourceID=53","")</f>
        <v/>
      </c>
      <c r="N1058" s="4" t="str">
        <f>HYPERLINK("http://141.218.60.56/~jnz1568/getInfo.php?workbook=16_15.xlsx&amp;sheet=A0&amp;row=1058&amp;col=14&amp;number=&amp;sourceID=53","")</f>
        <v/>
      </c>
      <c r="O1058" s="4" t="str">
        <f>HYPERLINK("http://141.218.60.56/~jnz1568/getInfo.php?workbook=16_15.xlsx&amp;sheet=A0&amp;row=1058&amp;col=15&amp;number=&amp;sourceID=55","")</f>
        <v/>
      </c>
      <c r="P1058" s="4" t="str">
        <f>HYPERLINK("http://141.218.60.56/~jnz1568/getInfo.php?workbook=16_15.xlsx&amp;sheet=A0&amp;row=1058&amp;col=16&amp;number=&amp;sourceID=55","")</f>
        <v/>
      </c>
      <c r="Q1058" s="4" t="str">
        <f>HYPERLINK("http://141.218.60.56/~jnz1568/getInfo.php?workbook=16_15.xlsx&amp;sheet=A0&amp;row=1058&amp;col=17&amp;number=&amp;sourceID=56","")</f>
        <v/>
      </c>
      <c r="R1058" s="4" t="str">
        <f>HYPERLINK("http://141.218.60.56/~jnz1568/getInfo.php?workbook=16_15.xlsx&amp;sheet=A0&amp;row=1058&amp;col=18&amp;number=&amp;sourceID=56","")</f>
        <v/>
      </c>
      <c r="S1058" s="4" t="str">
        <f>HYPERLINK("http://141.218.60.56/~jnz1568/getInfo.php?workbook=16_15.xlsx&amp;sheet=A0&amp;row=1058&amp;col=19&amp;number=&amp;sourceID=57","")</f>
        <v/>
      </c>
      <c r="T1058" s="4" t="str">
        <f>HYPERLINK("http://141.218.60.56/~jnz1568/getInfo.php?workbook=16_15.xlsx&amp;sheet=A0&amp;row=1058&amp;col=20&amp;number=&amp;sourceID=57","")</f>
        <v/>
      </c>
      <c r="U1058" s="4" t="str">
        <f>HYPERLINK("http://141.218.60.56/~jnz1568/getInfo.php?workbook=16_15.xlsx&amp;sheet=A0&amp;row=1058&amp;col=21&amp;number=&amp;sourceID=47","")</f>
        <v/>
      </c>
      <c r="V1058" s="4" t="str">
        <f>HYPERLINK("http://141.218.60.56/~jnz1568/getInfo.php?workbook=16_15.xlsx&amp;sheet=A0&amp;row=1058&amp;col=22&amp;number=&amp;sourceID=47","")</f>
        <v/>
      </c>
    </row>
    <row r="1059" spans="1:22">
      <c r="A1059" s="3">
        <v>16</v>
      </c>
      <c r="B1059" s="3">
        <v>15</v>
      </c>
      <c r="C1059" s="3">
        <v>52</v>
      </c>
      <c r="D1059" s="3">
        <v>39</v>
      </c>
      <c r="E1059" s="3">
        <f>((1/(INDEX(E0!J$4:J$73,C1059,1)-INDEX(E0!J$4:J$73,D1059,1))))*100000000</f>
        <v>0</v>
      </c>
      <c r="F1059" s="4" t="str">
        <f>HYPERLINK("http://141.218.60.56/~jnz1568/getInfo.php?workbook=16_15.xlsx&amp;sheet=A0&amp;row=1059&amp;col=6&amp;number=42949&amp;sourceID=54","42949")</f>
        <v>42949</v>
      </c>
      <c r="G1059" s="4" t="str">
        <f>HYPERLINK("http://141.218.60.56/~jnz1568/getInfo.php?workbook=16_15.xlsx&amp;sheet=A0&amp;row=1059&amp;col=7&amp;number=&amp;sourceID=54","")</f>
        <v/>
      </c>
      <c r="H1059" s="4" t="str">
        <f>HYPERLINK("http://141.218.60.56/~jnz1568/getInfo.php?workbook=16_15.xlsx&amp;sheet=A0&amp;row=1059&amp;col=8&amp;number=&amp;sourceID=54","")</f>
        <v/>
      </c>
      <c r="I1059" s="4" t="str">
        <f>HYPERLINK("http://141.218.60.56/~jnz1568/getInfo.php?workbook=16_15.xlsx&amp;sheet=A0&amp;row=1059&amp;col=9&amp;number=30456&amp;sourceID=54","30456")</f>
        <v>30456</v>
      </c>
      <c r="J1059" s="4" t="str">
        <f>HYPERLINK("http://141.218.60.56/~jnz1568/getInfo.php?workbook=16_15.xlsx&amp;sheet=A0&amp;row=1059&amp;col=10&amp;number=&amp;sourceID=54","")</f>
        <v/>
      </c>
      <c r="K1059" s="4" t="str">
        <f>HYPERLINK("http://141.218.60.56/~jnz1568/getInfo.php?workbook=16_15.xlsx&amp;sheet=A0&amp;row=1059&amp;col=11&amp;number=&amp;sourceID=54","")</f>
        <v/>
      </c>
      <c r="L1059" s="4" t="str">
        <f>HYPERLINK("http://141.218.60.56/~jnz1568/getInfo.php?workbook=16_15.xlsx&amp;sheet=A0&amp;row=1059&amp;col=12&amp;number=24486.732946&amp;sourceID=53","24486.732946")</f>
        <v>24486.732946</v>
      </c>
      <c r="M1059" s="4" t="str">
        <f>HYPERLINK("http://141.218.60.56/~jnz1568/getInfo.php?workbook=16_15.xlsx&amp;sheet=A0&amp;row=1059&amp;col=13&amp;number=&amp;sourceID=53","")</f>
        <v/>
      </c>
      <c r="N1059" s="4" t="str">
        <f>HYPERLINK("http://141.218.60.56/~jnz1568/getInfo.php?workbook=16_15.xlsx&amp;sheet=A0&amp;row=1059&amp;col=14&amp;number=&amp;sourceID=53","")</f>
        <v/>
      </c>
      <c r="O1059" s="4" t="str">
        <f>HYPERLINK("http://141.218.60.56/~jnz1568/getInfo.php?workbook=16_15.xlsx&amp;sheet=A0&amp;row=1059&amp;col=15&amp;number=&amp;sourceID=55","")</f>
        <v/>
      </c>
      <c r="P1059" s="4" t="str">
        <f>HYPERLINK("http://141.218.60.56/~jnz1568/getInfo.php?workbook=16_15.xlsx&amp;sheet=A0&amp;row=1059&amp;col=16&amp;number=&amp;sourceID=55","")</f>
        <v/>
      </c>
      <c r="Q1059" s="4" t="str">
        <f>HYPERLINK("http://141.218.60.56/~jnz1568/getInfo.php?workbook=16_15.xlsx&amp;sheet=A0&amp;row=1059&amp;col=17&amp;number=&amp;sourceID=56","")</f>
        <v/>
      </c>
      <c r="R1059" s="4" t="str">
        <f>HYPERLINK("http://141.218.60.56/~jnz1568/getInfo.php?workbook=16_15.xlsx&amp;sheet=A0&amp;row=1059&amp;col=18&amp;number=&amp;sourceID=56","")</f>
        <v/>
      </c>
      <c r="S1059" s="4" t="str">
        <f>HYPERLINK("http://141.218.60.56/~jnz1568/getInfo.php?workbook=16_15.xlsx&amp;sheet=A0&amp;row=1059&amp;col=19&amp;number=&amp;sourceID=57","")</f>
        <v/>
      </c>
      <c r="T1059" s="4" t="str">
        <f>HYPERLINK("http://141.218.60.56/~jnz1568/getInfo.php?workbook=16_15.xlsx&amp;sheet=A0&amp;row=1059&amp;col=20&amp;number=&amp;sourceID=57","")</f>
        <v/>
      </c>
      <c r="U1059" s="4" t="str">
        <f>HYPERLINK("http://141.218.60.56/~jnz1568/getInfo.php?workbook=16_15.xlsx&amp;sheet=A0&amp;row=1059&amp;col=21&amp;number=&amp;sourceID=47","")</f>
        <v/>
      </c>
      <c r="V1059" s="4" t="str">
        <f>HYPERLINK("http://141.218.60.56/~jnz1568/getInfo.php?workbook=16_15.xlsx&amp;sheet=A0&amp;row=1059&amp;col=22&amp;number=&amp;sourceID=47","")</f>
        <v/>
      </c>
    </row>
    <row r="1060" spans="1:22">
      <c r="A1060" s="3">
        <v>16</v>
      </c>
      <c r="B1060" s="3">
        <v>15</v>
      </c>
      <c r="C1060" s="3">
        <v>52</v>
      </c>
      <c r="D1060" s="3">
        <v>40</v>
      </c>
      <c r="E1060" s="3">
        <f>((1/(INDEX(E0!J$4:J$73,C1060,1)-INDEX(E0!J$4:J$73,D1060,1))))*100000000</f>
        <v>0</v>
      </c>
      <c r="F1060" s="4" t="str">
        <f>HYPERLINK("http://141.218.60.56/~jnz1568/getInfo.php?workbook=16_15.xlsx&amp;sheet=A0&amp;row=1060&amp;col=6&amp;number=9572.4&amp;sourceID=54","9572.4")</f>
        <v>9572.4</v>
      </c>
      <c r="G1060" s="4" t="str">
        <f>HYPERLINK("http://141.218.60.56/~jnz1568/getInfo.php?workbook=16_15.xlsx&amp;sheet=A0&amp;row=1060&amp;col=7&amp;number=&amp;sourceID=54","")</f>
        <v/>
      </c>
      <c r="H1060" s="4" t="str">
        <f>HYPERLINK("http://141.218.60.56/~jnz1568/getInfo.php?workbook=16_15.xlsx&amp;sheet=A0&amp;row=1060&amp;col=8&amp;number=&amp;sourceID=54","")</f>
        <v/>
      </c>
      <c r="I1060" s="4" t="str">
        <f>HYPERLINK("http://141.218.60.56/~jnz1568/getInfo.php?workbook=16_15.xlsx&amp;sheet=A0&amp;row=1060&amp;col=9&amp;number=6589&amp;sourceID=54","6589")</f>
        <v>6589</v>
      </c>
      <c r="J1060" s="4" t="str">
        <f>HYPERLINK("http://141.218.60.56/~jnz1568/getInfo.php?workbook=16_15.xlsx&amp;sheet=A0&amp;row=1060&amp;col=10&amp;number=&amp;sourceID=54","")</f>
        <v/>
      </c>
      <c r="K1060" s="4" t="str">
        <f>HYPERLINK("http://141.218.60.56/~jnz1568/getInfo.php?workbook=16_15.xlsx&amp;sheet=A0&amp;row=1060&amp;col=11&amp;number=&amp;sourceID=54","")</f>
        <v/>
      </c>
      <c r="L1060" s="4" t="str">
        <f>HYPERLINK("http://141.218.60.56/~jnz1568/getInfo.php?workbook=16_15.xlsx&amp;sheet=A0&amp;row=1060&amp;col=12&amp;number=5435.28045015&amp;sourceID=53","5435.28045015")</f>
        <v>5435.28045015</v>
      </c>
      <c r="M1060" s="4" t="str">
        <f>HYPERLINK("http://141.218.60.56/~jnz1568/getInfo.php?workbook=16_15.xlsx&amp;sheet=A0&amp;row=1060&amp;col=13&amp;number=&amp;sourceID=53","")</f>
        <v/>
      </c>
      <c r="N1060" s="4" t="str">
        <f>HYPERLINK("http://141.218.60.56/~jnz1568/getInfo.php?workbook=16_15.xlsx&amp;sheet=A0&amp;row=1060&amp;col=14&amp;number=&amp;sourceID=53","")</f>
        <v/>
      </c>
      <c r="O1060" s="4" t="str">
        <f>HYPERLINK("http://141.218.60.56/~jnz1568/getInfo.php?workbook=16_15.xlsx&amp;sheet=A0&amp;row=1060&amp;col=15&amp;number=&amp;sourceID=55","")</f>
        <v/>
      </c>
      <c r="P1060" s="4" t="str">
        <f>HYPERLINK("http://141.218.60.56/~jnz1568/getInfo.php?workbook=16_15.xlsx&amp;sheet=A0&amp;row=1060&amp;col=16&amp;number=&amp;sourceID=55","")</f>
        <v/>
      </c>
      <c r="Q1060" s="4" t="str">
        <f>HYPERLINK("http://141.218.60.56/~jnz1568/getInfo.php?workbook=16_15.xlsx&amp;sheet=A0&amp;row=1060&amp;col=17&amp;number=&amp;sourceID=56","")</f>
        <v/>
      </c>
      <c r="R1060" s="4" t="str">
        <f>HYPERLINK("http://141.218.60.56/~jnz1568/getInfo.php?workbook=16_15.xlsx&amp;sheet=A0&amp;row=1060&amp;col=18&amp;number=&amp;sourceID=56","")</f>
        <v/>
      </c>
      <c r="S1060" s="4" t="str">
        <f>HYPERLINK("http://141.218.60.56/~jnz1568/getInfo.php?workbook=16_15.xlsx&amp;sheet=A0&amp;row=1060&amp;col=19&amp;number=&amp;sourceID=57","")</f>
        <v/>
      </c>
      <c r="T1060" s="4" t="str">
        <f>HYPERLINK("http://141.218.60.56/~jnz1568/getInfo.php?workbook=16_15.xlsx&amp;sheet=A0&amp;row=1060&amp;col=20&amp;number=&amp;sourceID=57","")</f>
        <v/>
      </c>
      <c r="U1060" s="4" t="str">
        <f>HYPERLINK("http://141.218.60.56/~jnz1568/getInfo.php?workbook=16_15.xlsx&amp;sheet=A0&amp;row=1060&amp;col=21&amp;number=&amp;sourceID=47","")</f>
        <v/>
      </c>
      <c r="V1060" s="4" t="str">
        <f>HYPERLINK("http://141.218.60.56/~jnz1568/getInfo.php?workbook=16_15.xlsx&amp;sheet=A0&amp;row=1060&amp;col=22&amp;number=&amp;sourceID=47","")</f>
        <v/>
      </c>
    </row>
    <row r="1061" spans="1:22">
      <c r="A1061" s="3">
        <v>16</v>
      </c>
      <c r="B1061" s="3">
        <v>15</v>
      </c>
      <c r="C1061" s="3">
        <v>52</v>
      </c>
      <c r="D1061" s="3">
        <v>41</v>
      </c>
      <c r="E1061" s="3">
        <f>((1/(INDEX(E0!J$4:J$73,C1061,1)-INDEX(E0!J$4:J$73,D1061,1))))*100000000</f>
        <v>0</v>
      </c>
      <c r="F1061" s="4" t="str">
        <f>HYPERLINK("http://141.218.60.56/~jnz1568/getInfo.php?workbook=16_15.xlsx&amp;sheet=A0&amp;row=1061&amp;col=6&amp;number=&amp;sourceID=54","")</f>
        <v/>
      </c>
      <c r="G1061" s="4" t="str">
        <f>HYPERLINK("http://141.218.60.56/~jnz1568/getInfo.php?workbook=16_15.xlsx&amp;sheet=A0&amp;row=1061&amp;col=7&amp;number=1.8688e-05&amp;sourceID=54","1.8688e-05")</f>
        <v>1.8688e-05</v>
      </c>
      <c r="H1061" s="4" t="str">
        <f>HYPERLINK("http://141.218.60.56/~jnz1568/getInfo.php?workbook=16_15.xlsx&amp;sheet=A0&amp;row=1061&amp;col=8&amp;number=9.8327e-05&amp;sourceID=54","9.8327e-05")</f>
        <v>9.8327e-05</v>
      </c>
      <c r="I1061" s="4" t="str">
        <f>HYPERLINK("http://141.218.60.56/~jnz1568/getInfo.php?workbook=16_15.xlsx&amp;sheet=A0&amp;row=1061&amp;col=9&amp;number=&amp;sourceID=54","")</f>
        <v/>
      </c>
      <c r="J1061" s="4" t="str">
        <f>HYPERLINK("http://141.218.60.56/~jnz1568/getInfo.php?workbook=16_15.xlsx&amp;sheet=A0&amp;row=1061&amp;col=10&amp;number=1.0848e-05&amp;sourceID=54","1.0848e-05")</f>
        <v>1.0848e-05</v>
      </c>
      <c r="K1061" s="4" t="str">
        <f>HYPERLINK("http://141.218.60.56/~jnz1568/getInfo.php?workbook=16_15.xlsx&amp;sheet=A0&amp;row=1061&amp;col=11&amp;number=7.9418e-05&amp;sourceID=54","7.9418e-05")</f>
        <v>7.9418e-05</v>
      </c>
      <c r="L1061" s="4" t="str">
        <f>HYPERLINK("http://141.218.60.56/~jnz1568/getInfo.php?workbook=16_15.xlsx&amp;sheet=A0&amp;row=1061&amp;col=12&amp;number=&amp;sourceID=53","")</f>
        <v/>
      </c>
      <c r="M1061" s="4" t="str">
        <f>HYPERLINK("http://141.218.60.56/~jnz1568/getInfo.php?workbook=16_15.xlsx&amp;sheet=A0&amp;row=1061&amp;col=13&amp;number=&amp;sourceID=53","")</f>
        <v/>
      </c>
      <c r="N1061" s="4" t="str">
        <f>HYPERLINK("http://141.218.60.56/~jnz1568/getInfo.php?workbook=16_15.xlsx&amp;sheet=A0&amp;row=1061&amp;col=14&amp;number=&amp;sourceID=53","")</f>
        <v/>
      </c>
      <c r="O1061" s="4" t="str">
        <f>HYPERLINK("http://141.218.60.56/~jnz1568/getInfo.php?workbook=16_15.xlsx&amp;sheet=A0&amp;row=1061&amp;col=15&amp;number=&amp;sourceID=55","")</f>
        <v/>
      </c>
      <c r="P1061" s="4" t="str">
        <f>HYPERLINK("http://141.218.60.56/~jnz1568/getInfo.php?workbook=16_15.xlsx&amp;sheet=A0&amp;row=1061&amp;col=16&amp;number=&amp;sourceID=55","")</f>
        <v/>
      </c>
      <c r="Q1061" s="4" t="str">
        <f>HYPERLINK("http://141.218.60.56/~jnz1568/getInfo.php?workbook=16_15.xlsx&amp;sheet=A0&amp;row=1061&amp;col=17&amp;number=&amp;sourceID=56","")</f>
        <v/>
      </c>
      <c r="R1061" s="4" t="str">
        <f>HYPERLINK("http://141.218.60.56/~jnz1568/getInfo.php?workbook=16_15.xlsx&amp;sheet=A0&amp;row=1061&amp;col=18&amp;number=&amp;sourceID=56","")</f>
        <v/>
      </c>
      <c r="S1061" s="4" t="str">
        <f>HYPERLINK("http://141.218.60.56/~jnz1568/getInfo.php?workbook=16_15.xlsx&amp;sheet=A0&amp;row=1061&amp;col=19&amp;number=&amp;sourceID=57","")</f>
        <v/>
      </c>
      <c r="T1061" s="4" t="str">
        <f>HYPERLINK("http://141.218.60.56/~jnz1568/getInfo.php?workbook=16_15.xlsx&amp;sheet=A0&amp;row=1061&amp;col=20&amp;number=&amp;sourceID=57","")</f>
        <v/>
      </c>
      <c r="U1061" s="4" t="str">
        <f>HYPERLINK("http://141.218.60.56/~jnz1568/getInfo.php?workbook=16_15.xlsx&amp;sheet=A0&amp;row=1061&amp;col=21&amp;number=&amp;sourceID=47","")</f>
        <v/>
      </c>
      <c r="V1061" s="4" t="str">
        <f>HYPERLINK("http://141.218.60.56/~jnz1568/getInfo.php?workbook=16_15.xlsx&amp;sheet=A0&amp;row=1061&amp;col=22&amp;number=&amp;sourceID=47","")</f>
        <v/>
      </c>
    </row>
    <row r="1062" spans="1:22">
      <c r="A1062" s="3">
        <v>16</v>
      </c>
      <c r="B1062" s="3">
        <v>15</v>
      </c>
      <c r="C1062" s="3">
        <v>52</v>
      </c>
      <c r="D1062" s="3">
        <v>42</v>
      </c>
      <c r="E1062" s="3">
        <f>((1/(INDEX(E0!J$4:J$73,C1062,1)-INDEX(E0!J$4:J$73,D1062,1))))*100000000</f>
        <v>0</v>
      </c>
      <c r="F1062" s="4" t="str">
        <f>HYPERLINK("http://141.218.60.56/~jnz1568/getInfo.php?workbook=16_15.xlsx&amp;sheet=A0&amp;row=1062&amp;col=6&amp;number=4322800&amp;sourceID=54","4322800")</f>
        <v>4322800</v>
      </c>
      <c r="G1062" s="4" t="str">
        <f>HYPERLINK("http://141.218.60.56/~jnz1568/getInfo.php?workbook=16_15.xlsx&amp;sheet=A0&amp;row=1062&amp;col=7&amp;number=&amp;sourceID=54","")</f>
        <v/>
      </c>
      <c r="H1062" s="4" t="str">
        <f>HYPERLINK("http://141.218.60.56/~jnz1568/getInfo.php?workbook=16_15.xlsx&amp;sheet=A0&amp;row=1062&amp;col=8&amp;number=&amp;sourceID=54","")</f>
        <v/>
      </c>
      <c r="I1062" s="4" t="str">
        <f>HYPERLINK("http://141.218.60.56/~jnz1568/getInfo.php?workbook=16_15.xlsx&amp;sheet=A0&amp;row=1062&amp;col=9&amp;number=2342800&amp;sourceID=54","2342800")</f>
        <v>2342800</v>
      </c>
      <c r="J1062" s="4" t="str">
        <f>HYPERLINK("http://141.218.60.56/~jnz1568/getInfo.php?workbook=16_15.xlsx&amp;sheet=A0&amp;row=1062&amp;col=10&amp;number=&amp;sourceID=54","")</f>
        <v/>
      </c>
      <c r="K1062" s="4" t="str">
        <f>HYPERLINK("http://141.218.60.56/~jnz1568/getInfo.php?workbook=16_15.xlsx&amp;sheet=A0&amp;row=1062&amp;col=11&amp;number=&amp;sourceID=54","")</f>
        <v/>
      </c>
      <c r="L1062" s="4" t="str">
        <f>HYPERLINK("http://141.218.60.56/~jnz1568/getInfo.php?workbook=16_15.xlsx&amp;sheet=A0&amp;row=1062&amp;col=12&amp;number=2088921.41591&amp;sourceID=53","2088921.41591")</f>
        <v>2088921.41591</v>
      </c>
      <c r="M1062" s="4" t="str">
        <f>HYPERLINK("http://141.218.60.56/~jnz1568/getInfo.php?workbook=16_15.xlsx&amp;sheet=A0&amp;row=1062&amp;col=13&amp;number=&amp;sourceID=53","")</f>
        <v/>
      </c>
      <c r="N1062" s="4" t="str">
        <f>HYPERLINK("http://141.218.60.56/~jnz1568/getInfo.php?workbook=16_15.xlsx&amp;sheet=A0&amp;row=1062&amp;col=14&amp;number=&amp;sourceID=53","")</f>
        <v/>
      </c>
      <c r="O1062" s="4" t="str">
        <f>HYPERLINK("http://141.218.60.56/~jnz1568/getInfo.php?workbook=16_15.xlsx&amp;sheet=A0&amp;row=1062&amp;col=15&amp;number=&amp;sourceID=55","")</f>
        <v/>
      </c>
      <c r="P1062" s="4" t="str">
        <f>HYPERLINK("http://141.218.60.56/~jnz1568/getInfo.php?workbook=16_15.xlsx&amp;sheet=A0&amp;row=1062&amp;col=16&amp;number=&amp;sourceID=55","")</f>
        <v/>
      </c>
      <c r="Q1062" s="4" t="str">
        <f>HYPERLINK("http://141.218.60.56/~jnz1568/getInfo.php?workbook=16_15.xlsx&amp;sheet=A0&amp;row=1062&amp;col=17&amp;number=&amp;sourceID=56","")</f>
        <v/>
      </c>
      <c r="R1062" s="4" t="str">
        <f>HYPERLINK("http://141.218.60.56/~jnz1568/getInfo.php?workbook=16_15.xlsx&amp;sheet=A0&amp;row=1062&amp;col=18&amp;number=&amp;sourceID=56","")</f>
        <v/>
      </c>
      <c r="S1062" s="4" t="str">
        <f>HYPERLINK("http://141.218.60.56/~jnz1568/getInfo.php?workbook=16_15.xlsx&amp;sheet=A0&amp;row=1062&amp;col=19&amp;number=&amp;sourceID=57","")</f>
        <v/>
      </c>
      <c r="T1062" s="4" t="str">
        <f>HYPERLINK("http://141.218.60.56/~jnz1568/getInfo.php?workbook=16_15.xlsx&amp;sheet=A0&amp;row=1062&amp;col=20&amp;number=&amp;sourceID=57","")</f>
        <v/>
      </c>
      <c r="U1062" s="4" t="str">
        <f>HYPERLINK("http://141.218.60.56/~jnz1568/getInfo.php?workbook=16_15.xlsx&amp;sheet=A0&amp;row=1062&amp;col=21&amp;number=&amp;sourceID=47","")</f>
        <v/>
      </c>
      <c r="V1062" s="4" t="str">
        <f>HYPERLINK("http://141.218.60.56/~jnz1568/getInfo.php?workbook=16_15.xlsx&amp;sheet=A0&amp;row=1062&amp;col=22&amp;number=&amp;sourceID=47","")</f>
        <v/>
      </c>
    </row>
    <row r="1063" spans="1:22">
      <c r="A1063" s="3">
        <v>16</v>
      </c>
      <c r="B1063" s="3">
        <v>15</v>
      </c>
      <c r="C1063" s="3">
        <v>52</v>
      </c>
      <c r="D1063" s="3">
        <v>43</v>
      </c>
      <c r="E1063" s="3">
        <f>((1/(INDEX(E0!J$4:J$73,C1063,1)-INDEX(E0!J$4:J$73,D1063,1))))*100000000</f>
        <v>0</v>
      </c>
      <c r="F1063" s="4" t="str">
        <f>HYPERLINK("http://141.218.60.56/~jnz1568/getInfo.php?workbook=16_15.xlsx&amp;sheet=A0&amp;row=1063&amp;col=6&amp;number=&amp;sourceID=54","")</f>
        <v/>
      </c>
      <c r="G1063" s="4" t="str">
        <f>HYPERLINK("http://141.218.60.56/~jnz1568/getInfo.php?workbook=16_15.xlsx&amp;sheet=A0&amp;row=1063&amp;col=7&amp;number=3.008e-05&amp;sourceID=54","3.008e-05")</f>
        <v>3.008e-05</v>
      </c>
      <c r="H1063" s="4" t="str">
        <f>HYPERLINK("http://141.218.60.56/~jnz1568/getInfo.php?workbook=16_15.xlsx&amp;sheet=A0&amp;row=1063&amp;col=8&amp;number=1.114e-05&amp;sourceID=54","1.114e-05")</f>
        <v>1.114e-05</v>
      </c>
      <c r="I1063" s="4" t="str">
        <f>HYPERLINK("http://141.218.60.56/~jnz1568/getInfo.php?workbook=16_15.xlsx&amp;sheet=A0&amp;row=1063&amp;col=9&amp;number=&amp;sourceID=54","")</f>
        <v/>
      </c>
      <c r="J1063" s="4" t="str">
        <f>HYPERLINK("http://141.218.60.56/~jnz1568/getInfo.php?workbook=16_15.xlsx&amp;sheet=A0&amp;row=1063&amp;col=10&amp;number=1.6379e-05&amp;sourceID=54","1.6379e-05")</f>
        <v>1.6379e-05</v>
      </c>
      <c r="K1063" s="4" t="str">
        <f>HYPERLINK("http://141.218.60.56/~jnz1568/getInfo.php?workbook=16_15.xlsx&amp;sheet=A0&amp;row=1063&amp;col=11&amp;number=8.6899e-06&amp;sourceID=54","8.6899e-06")</f>
        <v>8.6899e-06</v>
      </c>
      <c r="L1063" s="4" t="str">
        <f>HYPERLINK("http://141.218.60.56/~jnz1568/getInfo.php?workbook=16_15.xlsx&amp;sheet=A0&amp;row=1063&amp;col=12&amp;number=&amp;sourceID=53","")</f>
        <v/>
      </c>
      <c r="M1063" s="4" t="str">
        <f>HYPERLINK("http://141.218.60.56/~jnz1568/getInfo.php?workbook=16_15.xlsx&amp;sheet=A0&amp;row=1063&amp;col=13&amp;number=&amp;sourceID=53","")</f>
        <v/>
      </c>
      <c r="N1063" s="4" t="str">
        <f>HYPERLINK("http://141.218.60.56/~jnz1568/getInfo.php?workbook=16_15.xlsx&amp;sheet=A0&amp;row=1063&amp;col=14&amp;number=&amp;sourceID=53","")</f>
        <v/>
      </c>
      <c r="O1063" s="4" t="str">
        <f>HYPERLINK("http://141.218.60.56/~jnz1568/getInfo.php?workbook=16_15.xlsx&amp;sheet=A0&amp;row=1063&amp;col=15&amp;number=&amp;sourceID=55","")</f>
        <v/>
      </c>
      <c r="P1063" s="4" t="str">
        <f>HYPERLINK("http://141.218.60.56/~jnz1568/getInfo.php?workbook=16_15.xlsx&amp;sheet=A0&amp;row=1063&amp;col=16&amp;number=&amp;sourceID=55","")</f>
        <v/>
      </c>
      <c r="Q1063" s="4" t="str">
        <f>HYPERLINK("http://141.218.60.56/~jnz1568/getInfo.php?workbook=16_15.xlsx&amp;sheet=A0&amp;row=1063&amp;col=17&amp;number=&amp;sourceID=56","")</f>
        <v/>
      </c>
      <c r="R1063" s="4" t="str">
        <f>HYPERLINK("http://141.218.60.56/~jnz1568/getInfo.php?workbook=16_15.xlsx&amp;sheet=A0&amp;row=1063&amp;col=18&amp;number=&amp;sourceID=56","")</f>
        <v/>
      </c>
      <c r="S1063" s="4" t="str">
        <f>HYPERLINK("http://141.218.60.56/~jnz1568/getInfo.php?workbook=16_15.xlsx&amp;sheet=A0&amp;row=1063&amp;col=19&amp;number=&amp;sourceID=57","")</f>
        <v/>
      </c>
      <c r="T1063" s="4" t="str">
        <f>HYPERLINK("http://141.218.60.56/~jnz1568/getInfo.php?workbook=16_15.xlsx&amp;sheet=A0&amp;row=1063&amp;col=20&amp;number=&amp;sourceID=57","")</f>
        <v/>
      </c>
      <c r="U1063" s="4" t="str">
        <f>HYPERLINK("http://141.218.60.56/~jnz1568/getInfo.php?workbook=16_15.xlsx&amp;sheet=A0&amp;row=1063&amp;col=21&amp;number=&amp;sourceID=47","")</f>
        <v/>
      </c>
      <c r="V1063" s="4" t="str">
        <f>HYPERLINK("http://141.218.60.56/~jnz1568/getInfo.php?workbook=16_15.xlsx&amp;sheet=A0&amp;row=1063&amp;col=22&amp;number=&amp;sourceID=47","")</f>
        <v/>
      </c>
    </row>
    <row r="1064" spans="1:22">
      <c r="A1064" s="3">
        <v>16</v>
      </c>
      <c r="B1064" s="3">
        <v>15</v>
      </c>
      <c r="C1064" s="3">
        <v>52</v>
      </c>
      <c r="D1064" s="3">
        <v>44</v>
      </c>
      <c r="E1064" s="3">
        <f>((1/(INDEX(E0!J$4:J$73,C1064,1)-INDEX(E0!J$4:J$73,D1064,1))))*100000000</f>
        <v>0</v>
      </c>
      <c r="F1064" s="4" t="str">
        <f>HYPERLINK("http://141.218.60.56/~jnz1568/getInfo.php?workbook=16_15.xlsx&amp;sheet=A0&amp;row=1064&amp;col=6&amp;number=&amp;sourceID=54","")</f>
        <v/>
      </c>
      <c r="G1064" s="4" t="str">
        <f>HYPERLINK("http://141.218.60.56/~jnz1568/getInfo.php?workbook=16_15.xlsx&amp;sheet=A0&amp;row=1064&amp;col=7&amp;number=9.4719e-06&amp;sourceID=54","9.4719e-06")</f>
        <v>9.4719e-06</v>
      </c>
      <c r="H1064" s="4" t="str">
        <f>HYPERLINK("http://141.218.60.56/~jnz1568/getInfo.php?workbook=16_15.xlsx&amp;sheet=A0&amp;row=1064&amp;col=8&amp;number=&amp;sourceID=54","")</f>
        <v/>
      </c>
      <c r="I1064" s="4" t="str">
        <f>HYPERLINK("http://141.218.60.56/~jnz1568/getInfo.php?workbook=16_15.xlsx&amp;sheet=A0&amp;row=1064&amp;col=9&amp;number=&amp;sourceID=54","")</f>
        <v/>
      </c>
      <c r="J1064" s="4" t="str">
        <f>HYPERLINK("http://141.218.60.56/~jnz1568/getInfo.php?workbook=16_15.xlsx&amp;sheet=A0&amp;row=1064&amp;col=10&amp;number=4.2537e-06&amp;sourceID=54","4.2537e-06")</f>
        <v>4.2537e-06</v>
      </c>
      <c r="K1064" s="4" t="str">
        <f>HYPERLINK("http://141.218.60.56/~jnz1568/getInfo.php?workbook=16_15.xlsx&amp;sheet=A0&amp;row=1064&amp;col=11&amp;number=&amp;sourceID=54","")</f>
        <v/>
      </c>
      <c r="L1064" s="4" t="str">
        <f>HYPERLINK("http://141.218.60.56/~jnz1568/getInfo.php?workbook=16_15.xlsx&amp;sheet=A0&amp;row=1064&amp;col=12&amp;number=&amp;sourceID=53","")</f>
        <v/>
      </c>
      <c r="M1064" s="4" t="str">
        <f>HYPERLINK("http://141.218.60.56/~jnz1568/getInfo.php?workbook=16_15.xlsx&amp;sheet=A0&amp;row=1064&amp;col=13&amp;number=&amp;sourceID=53","")</f>
        <v/>
      </c>
      <c r="N1064" s="4" t="str">
        <f>HYPERLINK("http://141.218.60.56/~jnz1568/getInfo.php?workbook=16_15.xlsx&amp;sheet=A0&amp;row=1064&amp;col=14&amp;number=&amp;sourceID=53","")</f>
        <v/>
      </c>
      <c r="O1064" s="4" t="str">
        <f>HYPERLINK("http://141.218.60.56/~jnz1568/getInfo.php?workbook=16_15.xlsx&amp;sheet=A0&amp;row=1064&amp;col=15&amp;number=&amp;sourceID=55","")</f>
        <v/>
      </c>
      <c r="P1064" s="4" t="str">
        <f>HYPERLINK("http://141.218.60.56/~jnz1568/getInfo.php?workbook=16_15.xlsx&amp;sheet=A0&amp;row=1064&amp;col=16&amp;number=&amp;sourceID=55","")</f>
        <v/>
      </c>
      <c r="Q1064" s="4" t="str">
        <f>HYPERLINK("http://141.218.60.56/~jnz1568/getInfo.php?workbook=16_15.xlsx&amp;sheet=A0&amp;row=1064&amp;col=17&amp;number=&amp;sourceID=56","")</f>
        <v/>
      </c>
      <c r="R1064" s="4" t="str">
        <f>HYPERLINK("http://141.218.60.56/~jnz1568/getInfo.php?workbook=16_15.xlsx&amp;sheet=A0&amp;row=1064&amp;col=18&amp;number=&amp;sourceID=56","")</f>
        <v/>
      </c>
      <c r="S1064" s="4" t="str">
        <f>HYPERLINK("http://141.218.60.56/~jnz1568/getInfo.php?workbook=16_15.xlsx&amp;sheet=A0&amp;row=1064&amp;col=19&amp;number=&amp;sourceID=57","")</f>
        <v/>
      </c>
      <c r="T1064" s="4" t="str">
        <f>HYPERLINK("http://141.218.60.56/~jnz1568/getInfo.php?workbook=16_15.xlsx&amp;sheet=A0&amp;row=1064&amp;col=20&amp;number=&amp;sourceID=57","")</f>
        <v/>
      </c>
      <c r="U1064" s="4" t="str">
        <f>HYPERLINK("http://141.218.60.56/~jnz1568/getInfo.php?workbook=16_15.xlsx&amp;sheet=A0&amp;row=1064&amp;col=21&amp;number=&amp;sourceID=47","")</f>
        <v/>
      </c>
      <c r="V1064" s="4" t="str">
        <f>HYPERLINK("http://141.218.60.56/~jnz1568/getInfo.php?workbook=16_15.xlsx&amp;sheet=A0&amp;row=1064&amp;col=22&amp;number=&amp;sourceID=47","")</f>
        <v/>
      </c>
    </row>
    <row r="1065" spans="1:22">
      <c r="A1065" s="3">
        <v>16</v>
      </c>
      <c r="B1065" s="3">
        <v>15</v>
      </c>
      <c r="C1065" s="3">
        <v>52</v>
      </c>
      <c r="D1065" s="3">
        <v>45</v>
      </c>
      <c r="E1065" s="3">
        <f>((1/(INDEX(E0!J$4:J$73,C1065,1)-INDEX(E0!J$4:J$73,D1065,1))))*100000000</f>
        <v>0</v>
      </c>
      <c r="F1065" s="4" t="str">
        <f>HYPERLINK("http://141.218.60.56/~jnz1568/getInfo.php?workbook=16_15.xlsx&amp;sheet=A0&amp;row=1065&amp;col=6&amp;number=24672&amp;sourceID=54","24672")</f>
        <v>24672</v>
      </c>
      <c r="G1065" s="4" t="str">
        <f>HYPERLINK("http://141.218.60.56/~jnz1568/getInfo.php?workbook=16_15.xlsx&amp;sheet=A0&amp;row=1065&amp;col=7&amp;number=&amp;sourceID=54","")</f>
        <v/>
      </c>
      <c r="H1065" s="4" t="str">
        <f>HYPERLINK("http://141.218.60.56/~jnz1568/getInfo.php?workbook=16_15.xlsx&amp;sheet=A0&amp;row=1065&amp;col=8&amp;number=&amp;sourceID=54","")</f>
        <v/>
      </c>
      <c r="I1065" s="4" t="str">
        <f>HYPERLINK("http://141.218.60.56/~jnz1568/getInfo.php?workbook=16_15.xlsx&amp;sheet=A0&amp;row=1065&amp;col=9&amp;number=3146.4&amp;sourceID=54","3146.4")</f>
        <v>3146.4</v>
      </c>
      <c r="J1065" s="4" t="str">
        <f>HYPERLINK("http://141.218.60.56/~jnz1568/getInfo.php?workbook=16_15.xlsx&amp;sheet=A0&amp;row=1065&amp;col=10&amp;number=&amp;sourceID=54","")</f>
        <v/>
      </c>
      <c r="K1065" s="4" t="str">
        <f>HYPERLINK("http://141.218.60.56/~jnz1568/getInfo.php?workbook=16_15.xlsx&amp;sheet=A0&amp;row=1065&amp;col=11&amp;number=&amp;sourceID=54","")</f>
        <v/>
      </c>
      <c r="L1065" s="4" t="str">
        <f>HYPERLINK("http://141.218.60.56/~jnz1568/getInfo.php?workbook=16_15.xlsx&amp;sheet=A0&amp;row=1065&amp;col=12&amp;number=1809.19713994&amp;sourceID=53","1809.19713994")</f>
        <v>1809.19713994</v>
      </c>
      <c r="M1065" s="4" t="str">
        <f>HYPERLINK("http://141.218.60.56/~jnz1568/getInfo.php?workbook=16_15.xlsx&amp;sheet=A0&amp;row=1065&amp;col=13&amp;number=&amp;sourceID=53","")</f>
        <v/>
      </c>
      <c r="N1065" s="4" t="str">
        <f>HYPERLINK("http://141.218.60.56/~jnz1568/getInfo.php?workbook=16_15.xlsx&amp;sheet=A0&amp;row=1065&amp;col=14&amp;number=&amp;sourceID=53","")</f>
        <v/>
      </c>
      <c r="O1065" s="4" t="str">
        <f>HYPERLINK("http://141.218.60.56/~jnz1568/getInfo.php?workbook=16_15.xlsx&amp;sheet=A0&amp;row=1065&amp;col=15&amp;number=&amp;sourceID=55","")</f>
        <v/>
      </c>
      <c r="P1065" s="4" t="str">
        <f>HYPERLINK("http://141.218.60.56/~jnz1568/getInfo.php?workbook=16_15.xlsx&amp;sheet=A0&amp;row=1065&amp;col=16&amp;number=&amp;sourceID=55","")</f>
        <v/>
      </c>
      <c r="Q1065" s="4" t="str">
        <f>HYPERLINK("http://141.218.60.56/~jnz1568/getInfo.php?workbook=16_15.xlsx&amp;sheet=A0&amp;row=1065&amp;col=17&amp;number=&amp;sourceID=56","")</f>
        <v/>
      </c>
      <c r="R1065" s="4" t="str">
        <f>HYPERLINK("http://141.218.60.56/~jnz1568/getInfo.php?workbook=16_15.xlsx&amp;sheet=A0&amp;row=1065&amp;col=18&amp;number=&amp;sourceID=56","")</f>
        <v/>
      </c>
      <c r="S1065" s="4" t="str">
        <f>HYPERLINK("http://141.218.60.56/~jnz1568/getInfo.php?workbook=16_15.xlsx&amp;sheet=A0&amp;row=1065&amp;col=19&amp;number=&amp;sourceID=57","")</f>
        <v/>
      </c>
      <c r="T1065" s="4" t="str">
        <f>HYPERLINK("http://141.218.60.56/~jnz1568/getInfo.php?workbook=16_15.xlsx&amp;sheet=A0&amp;row=1065&amp;col=20&amp;number=&amp;sourceID=57","")</f>
        <v/>
      </c>
      <c r="U1065" s="4" t="str">
        <f>HYPERLINK("http://141.218.60.56/~jnz1568/getInfo.php?workbook=16_15.xlsx&amp;sheet=A0&amp;row=1065&amp;col=21&amp;number=&amp;sourceID=47","")</f>
        <v/>
      </c>
      <c r="V1065" s="4" t="str">
        <f>HYPERLINK("http://141.218.60.56/~jnz1568/getInfo.php?workbook=16_15.xlsx&amp;sheet=A0&amp;row=1065&amp;col=22&amp;number=&amp;sourceID=47","")</f>
        <v/>
      </c>
    </row>
    <row r="1066" spans="1:22">
      <c r="A1066" s="3">
        <v>16</v>
      </c>
      <c r="B1066" s="3">
        <v>15</v>
      </c>
      <c r="C1066" s="3">
        <v>52</v>
      </c>
      <c r="D1066" s="3">
        <v>46</v>
      </c>
      <c r="E1066" s="3">
        <f>((1/(INDEX(E0!J$4:J$73,C1066,1)-INDEX(E0!J$4:J$73,D1066,1))))*100000000</f>
        <v>0</v>
      </c>
      <c r="F1066" s="4" t="str">
        <f>HYPERLINK("http://141.218.60.56/~jnz1568/getInfo.php?workbook=16_15.xlsx&amp;sheet=A0&amp;row=1066&amp;col=6&amp;number=254180&amp;sourceID=54","254180")</f>
        <v>254180</v>
      </c>
      <c r="G1066" s="4" t="str">
        <f>HYPERLINK("http://141.218.60.56/~jnz1568/getInfo.php?workbook=16_15.xlsx&amp;sheet=A0&amp;row=1066&amp;col=7&amp;number=&amp;sourceID=54","")</f>
        <v/>
      </c>
      <c r="H1066" s="4" t="str">
        <f>HYPERLINK("http://141.218.60.56/~jnz1568/getInfo.php?workbook=16_15.xlsx&amp;sheet=A0&amp;row=1066&amp;col=8&amp;number=&amp;sourceID=54","")</f>
        <v/>
      </c>
      <c r="I1066" s="4" t="str">
        <f>HYPERLINK("http://141.218.60.56/~jnz1568/getInfo.php?workbook=16_15.xlsx&amp;sheet=A0&amp;row=1066&amp;col=9&amp;number=136890&amp;sourceID=54","136890")</f>
        <v>136890</v>
      </c>
      <c r="J1066" s="4" t="str">
        <f>HYPERLINK("http://141.218.60.56/~jnz1568/getInfo.php?workbook=16_15.xlsx&amp;sheet=A0&amp;row=1066&amp;col=10&amp;number=&amp;sourceID=54","")</f>
        <v/>
      </c>
      <c r="K1066" s="4" t="str">
        <f>HYPERLINK("http://141.218.60.56/~jnz1568/getInfo.php?workbook=16_15.xlsx&amp;sheet=A0&amp;row=1066&amp;col=11&amp;number=&amp;sourceID=54","")</f>
        <v/>
      </c>
      <c r="L1066" s="4" t="str">
        <f>HYPERLINK("http://141.218.60.56/~jnz1568/getInfo.php?workbook=16_15.xlsx&amp;sheet=A0&amp;row=1066&amp;col=12&amp;number=114926.479793&amp;sourceID=53","114926.479793")</f>
        <v>114926.479793</v>
      </c>
      <c r="M1066" s="4" t="str">
        <f>HYPERLINK("http://141.218.60.56/~jnz1568/getInfo.php?workbook=16_15.xlsx&amp;sheet=A0&amp;row=1066&amp;col=13&amp;number=&amp;sourceID=53","")</f>
        <v/>
      </c>
      <c r="N1066" s="4" t="str">
        <f>HYPERLINK("http://141.218.60.56/~jnz1568/getInfo.php?workbook=16_15.xlsx&amp;sheet=A0&amp;row=1066&amp;col=14&amp;number=&amp;sourceID=53","")</f>
        <v/>
      </c>
      <c r="O1066" s="4" t="str">
        <f>HYPERLINK("http://141.218.60.56/~jnz1568/getInfo.php?workbook=16_15.xlsx&amp;sheet=A0&amp;row=1066&amp;col=15&amp;number=&amp;sourceID=55","")</f>
        <v/>
      </c>
      <c r="P1066" s="4" t="str">
        <f>HYPERLINK("http://141.218.60.56/~jnz1568/getInfo.php?workbook=16_15.xlsx&amp;sheet=A0&amp;row=1066&amp;col=16&amp;number=&amp;sourceID=55","")</f>
        <v/>
      </c>
      <c r="Q1066" s="4" t="str">
        <f>HYPERLINK("http://141.218.60.56/~jnz1568/getInfo.php?workbook=16_15.xlsx&amp;sheet=A0&amp;row=1066&amp;col=17&amp;number=&amp;sourceID=56","")</f>
        <v/>
      </c>
      <c r="R1066" s="4" t="str">
        <f>HYPERLINK("http://141.218.60.56/~jnz1568/getInfo.php?workbook=16_15.xlsx&amp;sheet=A0&amp;row=1066&amp;col=18&amp;number=&amp;sourceID=56","")</f>
        <v/>
      </c>
      <c r="S1066" s="4" t="str">
        <f>HYPERLINK("http://141.218.60.56/~jnz1568/getInfo.php?workbook=16_15.xlsx&amp;sheet=A0&amp;row=1066&amp;col=19&amp;number=&amp;sourceID=57","")</f>
        <v/>
      </c>
      <c r="T1066" s="4" t="str">
        <f>HYPERLINK("http://141.218.60.56/~jnz1568/getInfo.php?workbook=16_15.xlsx&amp;sheet=A0&amp;row=1066&amp;col=20&amp;number=&amp;sourceID=57","")</f>
        <v/>
      </c>
      <c r="U1066" s="4" t="str">
        <f>HYPERLINK("http://141.218.60.56/~jnz1568/getInfo.php?workbook=16_15.xlsx&amp;sheet=A0&amp;row=1066&amp;col=21&amp;number=&amp;sourceID=47","")</f>
        <v/>
      </c>
      <c r="V1066" s="4" t="str">
        <f>HYPERLINK("http://141.218.60.56/~jnz1568/getInfo.php?workbook=16_15.xlsx&amp;sheet=A0&amp;row=1066&amp;col=22&amp;number=&amp;sourceID=47","")</f>
        <v/>
      </c>
    </row>
    <row r="1067" spans="1:22">
      <c r="A1067" s="3">
        <v>16</v>
      </c>
      <c r="B1067" s="3">
        <v>15</v>
      </c>
      <c r="C1067" s="3">
        <v>52</v>
      </c>
      <c r="D1067" s="3">
        <v>48</v>
      </c>
      <c r="E1067" s="3">
        <f>((1/(INDEX(E0!J$4:J$73,C1067,1)-INDEX(E0!J$4:J$73,D1067,1))))*100000000</f>
        <v>0</v>
      </c>
      <c r="F1067" s="4" t="str">
        <f>HYPERLINK("http://141.218.60.56/~jnz1568/getInfo.php?workbook=16_15.xlsx&amp;sheet=A0&amp;row=1067&amp;col=6&amp;number=&amp;sourceID=54","")</f>
        <v/>
      </c>
      <c r="G1067" s="4" t="str">
        <f>HYPERLINK("http://141.218.60.56/~jnz1568/getInfo.php?workbook=16_15.xlsx&amp;sheet=A0&amp;row=1067&amp;col=7&amp;number=0.017715&amp;sourceID=54","0.017715")</f>
        <v>0.017715</v>
      </c>
      <c r="H1067" s="4" t="str">
        <f>HYPERLINK("http://141.218.60.56/~jnz1568/getInfo.php?workbook=16_15.xlsx&amp;sheet=A0&amp;row=1067&amp;col=8&amp;number=0.0034155&amp;sourceID=54","0.0034155")</f>
        <v>0.0034155</v>
      </c>
      <c r="I1067" s="4" t="str">
        <f>HYPERLINK("http://141.218.60.56/~jnz1568/getInfo.php?workbook=16_15.xlsx&amp;sheet=A0&amp;row=1067&amp;col=9&amp;number=&amp;sourceID=54","")</f>
        <v/>
      </c>
      <c r="J1067" s="4" t="str">
        <f>HYPERLINK("http://141.218.60.56/~jnz1568/getInfo.php?workbook=16_15.xlsx&amp;sheet=A0&amp;row=1067&amp;col=10&amp;number=0.0080104&amp;sourceID=54","0.0080104")</f>
        <v>0.0080104</v>
      </c>
      <c r="K1067" s="4" t="str">
        <f>HYPERLINK("http://141.218.60.56/~jnz1568/getInfo.php?workbook=16_15.xlsx&amp;sheet=A0&amp;row=1067&amp;col=11&amp;number=0.0029465&amp;sourceID=54","0.0029465")</f>
        <v>0.0029465</v>
      </c>
      <c r="L1067" s="4" t="str">
        <f>HYPERLINK("http://141.218.60.56/~jnz1568/getInfo.php?workbook=16_15.xlsx&amp;sheet=A0&amp;row=1067&amp;col=12&amp;number=&amp;sourceID=53","")</f>
        <v/>
      </c>
      <c r="M1067" s="4" t="str">
        <f>HYPERLINK("http://141.218.60.56/~jnz1568/getInfo.php?workbook=16_15.xlsx&amp;sheet=A0&amp;row=1067&amp;col=13&amp;number=&amp;sourceID=53","")</f>
        <v/>
      </c>
      <c r="N1067" s="4" t="str">
        <f>HYPERLINK("http://141.218.60.56/~jnz1568/getInfo.php?workbook=16_15.xlsx&amp;sheet=A0&amp;row=1067&amp;col=14&amp;number=&amp;sourceID=53","")</f>
        <v/>
      </c>
      <c r="O1067" s="4" t="str">
        <f>HYPERLINK("http://141.218.60.56/~jnz1568/getInfo.php?workbook=16_15.xlsx&amp;sheet=A0&amp;row=1067&amp;col=15&amp;number=&amp;sourceID=55","")</f>
        <v/>
      </c>
      <c r="P1067" s="4" t="str">
        <f>HYPERLINK("http://141.218.60.56/~jnz1568/getInfo.php?workbook=16_15.xlsx&amp;sheet=A0&amp;row=1067&amp;col=16&amp;number=&amp;sourceID=55","")</f>
        <v/>
      </c>
      <c r="Q1067" s="4" t="str">
        <f>HYPERLINK("http://141.218.60.56/~jnz1568/getInfo.php?workbook=16_15.xlsx&amp;sheet=A0&amp;row=1067&amp;col=17&amp;number=&amp;sourceID=56","")</f>
        <v/>
      </c>
      <c r="R1067" s="4" t="str">
        <f>HYPERLINK("http://141.218.60.56/~jnz1568/getInfo.php?workbook=16_15.xlsx&amp;sheet=A0&amp;row=1067&amp;col=18&amp;number=&amp;sourceID=56","")</f>
        <v/>
      </c>
      <c r="S1067" s="4" t="str">
        <f>HYPERLINK("http://141.218.60.56/~jnz1568/getInfo.php?workbook=16_15.xlsx&amp;sheet=A0&amp;row=1067&amp;col=19&amp;number=&amp;sourceID=57","")</f>
        <v/>
      </c>
      <c r="T1067" s="4" t="str">
        <f>HYPERLINK("http://141.218.60.56/~jnz1568/getInfo.php?workbook=16_15.xlsx&amp;sheet=A0&amp;row=1067&amp;col=20&amp;number=&amp;sourceID=57","")</f>
        <v/>
      </c>
      <c r="U1067" s="4" t="str">
        <f>HYPERLINK("http://141.218.60.56/~jnz1568/getInfo.php?workbook=16_15.xlsx&amp;sheet=A0&amp;row=1067&amp;col=21&amp;number=&amp;sourceID=47","")</f>
        <v/>
      </c>
      <c r="V1067" s="4" t="str">
        <f>HYPERLINK("http://141.218.60.56/~jnz1568/getInfo.php?workbook=16_15.xlsx&amp;sheet=A0&amp;row=1067&amp;col=22&amp;number=&amp;sourceID=47","")</f>
        <v/>
      </c>
    </row>
    <row r="1068" spans="1:22">
      <c r="A1068" s="3">
        <v>16</v>
      </c>
      <c r="B1068" s="3">
        <v>15</v>
      </c>
      <c r="C1068" s="3">
        <v>52</v>
      </c>
      <c r="D1068" s="3">
        <v>49</v>
      </c>
      <c r="E1068" s="3">
        <f>((1/(INDEX(E0!J$4:J$73,C1068,1)-INDEX(E0!J$4:J$73,D1068,1))))*100000000</f>
        <v>0</v>
      </c>
      <c r="F1068" s="4" t="str">
        <f>HYPERLINK("http://141.218.60.56/~jnz1568/getInfo.php?workbook=16_15.xlsx&amp;sheet=A0&amp;row=1068&amp;col=6&amp;number=1.1244&amp;sourceID=54","1.1244")</f>
        <v>1.1244</v>
      </c>
      <c r="G1068" s="4" t="str">
        <f>HYPERLINK("http://141.218.60.56/~jnz1568/getInfo.php?workbook=16_15.xlsx&amp;sheet=A0&amp;row=1068&amp;col=7&amp;number=&amp;sourceID=54","")</f>
        <v/>
      </c>
      <c r="H1068" s="4" t="str">
        <f>HYPERLINK("http://141.218.60.56/~jnz1568/getInfo.php?workbook=16_15.xlsx&amp;sheet=A0&amp;row=1068&amp;col=8&amp;number=&amp;sourceID=54","")</f>
        <v/>
      </c>
      <c r="I1068" s="4" t="str">
        <f>HYPERLINK("http://141.218.60.56/~jnz1568/getInfo.php?workbook=16_15.xlsx&amp;sheet=A0&amp;row=1068&amp;col=9&amp;number=107.21&amp;sourceID=54","107.21")</f>
        <v>107.21</v>
      </c>
      <c r="J1068" s="4" t="str">
        <f>HYPERLINK("http://141.218.60.56/~jnz1568/getInfo.php?workbook=16_15.xlsx&amp;sheet=A0&amp;row=1068&amp;col=10&amp;number=&amp;sourceID=54","")</f>
        <v/>
      </c>
      <c r="K1068" s="4" t="str">
        <f>HYPERLINK("http://141.218.60.56/~jnz1568/getInfo.php?workbook=16_15.xlsx&amp;sheet=A0&amp;row=1068&amp;col=11&amp;number=&amp;sourceID=54","")</f>
        <v/>
      </c>
      <c r="L1068" s="4" t="str">
        <f>HYPERLINK("http://141.218.60.56/~jnz1568/getInfo.php?workbook=16_15.xlsx&amp;sheet=A0&amp;row=1068&amp;col=12&amp;number=752.125951299&amp;sourceID=53","752.125951299")</f>
        <v>752.125951299</v>
      </c>
      <c r="M1068" s="4" t="str">
        <f>HYPERLINK("http://141.218.60.56/~jnz1568/getInfo.php?workbook=16_15.xlsx&amp;sheet=A0&amp;row=1068&amp;col=13&amp;number=&amp;sourceID=53","")</f>
        <v/>
      </c>
      <c r="N1068" s="4" t="str">
        <f>HYPERLINK("http://141.218.60.56/~jnz1568/getInfo.php?workbook=16_15.xlsx&amp;sheet=A0&amp;row=1068&amp;col=14&amp;number=&amp;sourceID=53","")</f>
        <v/>
      </c>
      <c r="O1068" s="4" t="str">
        <f>HYPERLINK("http://141.218.60.56/~jnz1568/getInfo.php?workbook=16_15.xlsx&amp;sheet=A0&amp;row=1068&amp;col=15&amp;number=&amp;sourceID=55","")</f>
        <v/>
      </c>
      <c r="P1068" s="4" t="str">
        <f>HYPERLINK("http://141.218.60.56/~jnz1568/getInfo.php?workbook=16_15.xlsx&amp;sheet=A0&amp;row=1068&amp;col=16&amp;number=&amp;sourceID=55","")</f>
        <v/>
      </c>
      <c r="Q1068" s="4" t="str">
        <f>HYPERLINK("http://141.218.60.56/~jnz1568/getInfo.php?workbook=16_15.xlsx&amp;sheet=A0&amp;row=1068&amp;col=17&amp;number=&amp;sourceID=56","")</f>
        <v/>
      </c>
      <c r="R1068" s="4" t="str">
        <f>HYPERLINK("http://141.218.60.56/~jnz1568/getInfo.php?workbook=16_15.xlsx&amp;sheet=A0&amp;row=1068&amp;col=18&amp;number=&amp;sourceID=56","")</f>
        <v/>
      </c>
      <c r="S1068" s="4" t="str">
        <f>HYPERLINK("http://141.218.60.56/~jnz1568/getInfo.php?workbook=16_15.xlsx&amp;sheet=A0&amp;row=1068&amp;col=19&amp;number=&amp;sourceID=57","")</f>
        <v/>
      </c>
      <c r="T1068" s="4" t="str">
        <f>HYPERLINK("http://141.218.60.56/~jnz1568/getInfo.php?workbook=16_15.xlsx&amp;sheet=A0&amp;row=1068&amp;col=20&amp;number=&amp;sourceID=57","")</f>
        <v/>
      </c>
      <c r="U1068" s="4" t="str">
        <f>HYPERLINK("http://141.218.60.56/~jnz1568/getInfo.php?workbook=16_15.xlsx&amp;sheet=A0&amp;row=1068&amp;col=21&amp;number=&amp;sourceID=47","")</f>
        <v/>
      </c>
      <c r="V1068" s="4" t="str">
        <f>HYPERLINK("http://141.218.60.56/~jnz1568/getInfo.php?workbook=16_15.xlsx&amp;sheet=A0&amp;row=1068&amp;col=22&amp;number=&amp;sourceID=47","")</f>
        <v/>
      </c>
    </row>
    <row r="1069" spans="1:22">
      <c r="A1069" s="3">
        <v>16</v>
      </c>
      <c r="B1069" s="3">
        <v>15</v>
      </c>
      <c r="C1069" s="3">
        <v>52</v>
      </c>
      <c r="D1069" s="3">
        <v>50</v>
      </c>
      <c r="E1069" s="3">
        <f>((1/(INDEX(E0!J$4:J$73,C1069,1)-INDEX(E0!J$4:J$73,D1069,1))))*100000000</f>
        <v>0</v>
      </c>
      <c r="F1069" s="4" t="str">
        <f>HYPERLINK("http://141.218.60.56/~jnz1568/getInfo.php?workbook=16_15.xlsx&amp;sheet=A0&amp;row=1069&amp;col=6&amp;number=&amp;sourceID=54","")</f>
        <v/>
      </c>
      <c r="G1069" s="4" t="str">
        <f>HYPERLINK("http://141.218.60.56/~jnz1568/getInfo.php?workbook=16_15.xlsx&amp;sheet=A0&amp;row=1069&amp;col=7&amp;number=0.0032312&amp;sourceID=54","0.0032312")</f>
        <v>0.0032312</v>
      </c>
      <c r="H1069" s="4" t="str">
        <f>HYPERLINK("http://141.218.60.56/~jnz1568/getInfo.php?workbook=16_15.xlsx&amp;sheet=A0&amp;row=1069&amp;col=8&amp;number=0.0066271&amp;sourceID=54","0.0066271")</f>
        <v>0.0066271</v>
      </c>
      <c r="I1069" s="4" t="str">
        <f>HYPERLINK("http://141.218.60.56/~jnz1568/getInfo.php?workbook=16_15.xlsx&amp;sheet=A0&amp;row=1069&amp;col=9&amp;number=&amp;sourceID=54","")</f>
        <v/>
      </c>
      <c r="J1069" s="4" t="str">
        <f>HYPERLINK("http://141.218.60.56/~jnz1568/getInfo.php?workbook=16_15.xlsx&amp;sheet=A0&amp;row=1069&amp;col=10&amp;number=0.0013549&amp;sourceID=54","0.0013549")</f>
        <v>0.0013549</v>
      </c>
      <c r="K1069" s="4" t="str">
        <f>HYPERLINK("http://141.218.60.56/~jnz1568/getInfo.php?workbook=16_15.xlsx&amp;sheet=A0&amp;row=1069&amp;col=11&amp;number=0.0055744&amp;sourceID=54","0.0055744")</f>
        <v>0.0055744</v>
      </c>
      <c r="L1069" s="4" t="str">
        <f>HYPERLINK("http://141.218.60.56/~jnz1568/getInfo.php?workbook=16_15.xlsx&amp;sheet=A0&amp;row=1069&amp;col=12&amp;number=&amp;sourceID=53","")</f>
        <v/>
      </c>
      <c r="M1069" s="4" t="str">
        <f>HYPERLINK("http://141.218.60.56/~jnz1568/getInfo.php?workbook=16_15.xlsx&amp;sheet=A0&amp;row=1069&amp;col=13&amp;number=&amp;sourceID=53","")</f>
        <v/>
      </c>
      <c r="N1069" s="4" t="str">
        <f>HYPERLINK("http://141.218.60.56/~jnz1568/getInfo.php?workbook=16_15.xlsx&amp;sheet=A0&amp;row=1069&amp;col=14&amp;number=&amp;sourceID=53","")</f>
        <v/>
      </c>
      <c r="O1069" s="4" t="str">
        <f>HYPERLINK("http://141.218.60.56/~jnz1568/getInfo.php?workbook=16_15.xlsx&amp;sheet=A0&amp;row=1069&amp;col=15&amp;number=&amp;sourceID=55","")</f>
        <v/>
      </c>
      <c r="P1069" s="4" t="str">
        <f>HYPERLINK("http://141.218.60.56/~jnz1568/getInfo.php?workbook=16_15.xlsx&amp;sheet=A0&amp;row=1069&amp;col=16&amp;number=&amp;sourceID=55","")</f>
        <v/>
      </c>
      <c r="Q1069" s="4" t="str">
        <f>HYPERLINK("http://141.218.60.56/~jnz1568/getInfo.php?workbook=16_15.xlsx&amp;sheet=A0&amp;row=1069&amp;col=17&amp;number=&amp;sourceID=56","")</f>
        <v/>
      </c>
      <c r="R1069" s="4" t="str">
        <f>HYPERLINK("http://141.218.60.56/~jnz1568/getInfo.php?workbook=16_15.xlsx&amp;sheet=A0&amp;row=1069&amp;col=18&amp;number=&amp;sourceID=56","")</f>
        <v/>
      </c>
      <c r="S1069" s="4" t="str">
        <f>HYPERLINK("http://141.218.60.56/~jnz1568/getInfo.php?workbook=16_15.xlsx&amp;sheet=A0&amp;row=1069&amp;col=19&amp;number=&amp;sourceID=57","")</f>
        <v/>
      </c>
      <c r="T1069" s="4" t="str">
        <f>HYPERLINK("http://141.218.60.56/~jnz1568/getInfo.php?workbook=16_15.xlsx&amp;sheet=A0&amp;row=1069&amp;col=20&amp;number=&amp;sourceID=57","")</f>
        <v/>
      </c>
      <c r="U1069" s="4" t="str">
        <f>HYPERLINK("http://141.218.60.56/~jnz1568/getInfo.php?workbook=16_15.xlsx&amp;sheet=A0&amp;row=1069&amp;col=21&amp;number=&amp;sourceID=47","")</f>
        <v/>
      </c>
      <c r="V1069" s="4" t="str">
        <f>HYPERLINK("http://141.218.60.56/~jnz1568/getInfo.php?workbook=16_15.xlsx&amp;sheet=A0&amp;row=1069&amp;col=22&amp;number=&amp;sourceID=47","")</f>
        <v/>
      </c>
    </row>
    <row r="1070" spans="1:22">
      <c r="A1070" s="3">
        <v>16</v>
      </c>
      <c r="B1070" s="3">
        <v>15</v>
      </c>
      <c r="C1070" s="3">
        <v>52</v>
      </c>
      <c r="D1070" s="3">
        <v>51</v>
      </c>
      <c r="E1070" s="3">
        <f>((1/(INDEX(E0!J$4:J$73,C1070,1)-INDEX(E0!J$4:J$73,D1070,1))))*100000000</f>
        <v>0</v>
      </c>
      <c r="F1070" s="4" t="str">
        <f>HYPERLINK("http://141.218.60.56/~jnz1568/getInfo.php?workbook=16_15.xlsx&amp;sheet=A0&amp;row=1070&amp;col=6&amp;number=&amp;sourceID=54","")</f>
        <v/>
      </c>
      <c r="G1070" s="4" t="str">
        <f>HYPERLINK("http://141.218.60.56/~jnz1568/getInfo.php?workbook=16_15.xlsx&amp;sheet=A0&amp;row=1070&amp;col=7&amp;number=3.9745e-06&amp;sourceID=54","3.9745e-06")</f>
        <v>3.9745e-06</v>
      </c>
      <c r="H1070" s="4" t="str">
        <f>HYPERLINK("http://141.218.60.56/~jnz1568/getInfo.php?workbook=16_15.xlsx&amp;sheet=A0&amp;row=1070&amp;col=8&amp;number=&amp;sourceID=54","")</f>
        <v/>
      </c>
      <c r="I1070" s="4" t="str">
        <f>HYPERLINK("http://141.218.60.56/~jnz1568/getInfo.php?workbook=16_15.xlsx&amp;sheet=A0&amp;row=1070&amp;col=9&amp;number=&amp;sourceID=54","")</f>
        <v/>
      </c>
      <c r="J1070" s="4" t="str">
        <f>HYPERLINK("http://141.218.60.56/~jnz1568/getInfo.php?workbook=16_15.xlsx&amp;sheet=A0&amp;row=1070&amp;col=10&amp;number=2.0556e-07&amp;sourceID=54","2.0556e-07")</f>
        <v>2.0556e-07</v>
      </c>
      <c r="K1070" s="4" t="str">
        <f>HYPERLINK("http://141.218.60.56/~jnz1568/getInfo.php?workbook=16_15.xlsx&amp;sheet=A0&amp;row=1070&amp;col=11&amp;number=&amp;sourceID=54","")</f>
        <v/>
      </c>
      <c r="L1070" s="4" t="str">
        <f>HYPERLINK("http://141.218.60.56/~jnz1568/getInfo.php?workbook=16_15.xlsx&amp;sheet=A0&amp;row=1070&amp;col=12&amp;number=&amp;sourceID=53","")</f>
        <v/>
      </c>
      <c r="M1070" s="4" t="str">
        <f>HYPERLINK("http://141.218.60.56/~jnz1568/getInfo.php?workbook=16_15.xlsx&amp;sheet=A0&amp;row=1070&amp;col=13&amp;number=&amp;sourceID=53","")</f>
        <v/>
      </c>
      <c r="N1070" s="4" t="str">
        <f>HYPERLINK("http://141.218.60.56/~jnz1568/getInfo.php?workbook=16_15.xlsx&amp;sheet=A0&amp;row=1070&amp;col=14&amp;number=&amp;sourceID=53","")</f>
        <v/>
      </c>
      <c r="O1070" s="4" t="str">
        <f>HYPERLINK("http://141.218.60.56/~jnz1568/getInfo.php?workbook=16_15.xlsx&amp;sheet=A0&amp;row=1070&amp;col=15&amp;number=&amp;sourceID=55","")</f>
        <v/>
      </c>
      <c r="P1070" s="4" t="str">
        <f>HYPERLINK("http://141.218.60.56/~jnz1568/getInfo.php?workbook=16_15.xlsx&amp;sheet=A0&amp;row=1070&amp;col=16&amp;number=&amp;sourceID=55","")</f>
        <v/>
      </c>
      <c r="Q1070" s="4" t="str">
        <f>HYPERLINK("http://141.218.60.56/~jnz1568/getInfo.php?workbook=16_15.xlsx&amp;sheet=A0&amp;row=1070&amp;col=17&amp;number=&amp;sourceID=56","")</f>
        <v/>
      </c>
      <c r="R1070" s="4" t="str">
        <f>HYPERLINK("http://141.218.60.56/~jnz1568/getInfo.php?workbook=16_15.xlsx&amp;sheet=A0&amp;row=1070&amp;col=18&amp;number=&amp;sourceID=56","")</f>
        <v/>
      </c>
      <c r="S1070" s="4" t="str">
        <f>HYPERLINK("http://141.218.60.56/~jnz1568/getInfo.php?workbook=16_15.xlsx&amp;sheet=A0&amp;row=1070&amp;col=19&amp;number=&amp;sourceID=57","")</f>
        <v/>
      </c>
      <c r="T1070" s="4" t="str">
        <f>HYPERLINK("http://141.218.60.56/~jnz1568/getInfo.php?workbook=16_15.xlsx&amp;sheet=A0&amp;row=1070&amp;col=20&amp;number=&amp;sourceID=57","")</f>
        <v/>
      </c>
      <c r="U1070" s="4" t="str">
        <f>HYPERLINK("http://141.218.60.56/~jnz1568/getInfo.php?workbook=16_15.xlsx&amp;sheet=A0&amp;row=1070&amp;col=21&amp;number=&amp;sourceID=47","")</f>
        <v/>
      </c>
      <c r="V1070" s="4" t="str">
        <f>HYPERLINK("http://141.218.60.56/~jnz1568/getInfo.php?workbook=16_15.xlsx&amp;sheet=A0&amp;row=1070&amp;col=22&amp;number=&amp;sourceID=47","")</f>
        <v/>
      </c>
    </row>
    <row r="1071" spans="1:22">
      <c r="A1071" s="3">
        <v>16</v>
      </c>
      <c r="B1071" s="3">
        <v>15</v>
      </c>
      <c r="C1071" s="3">
        <v>53</v>
      </c>
      <c r="D1071" s="3">
        <v>3</v>
      </c>
      <c r="E1071" s="3">
        <f>((1/(INDEX(E0!J$4:J$73,C1071,1)-INDEX(E0!J$4:J$73,D1071,1))))*100000000</f>
        <v>0</v>
      </c>
      <c r="F1071" s="4" t="str">
        <f>HYPERLINK("http://141.218.60.56/~jnz1568/getInfo.php?workbook=16_15.xlsx&amp;sheet=A0&amp;row=1071&amp;col=6&amp;number=8760200000&amp;sourceID=54","8760200000")</f>
        <v>8760200000</v>
      </c>
      <c r="G1071" s="4" t="str">
        <f>HYPERLINK("http://141.218.60.56/~jnz1568/getInfo.php?workbook=16_15.xlsx&amp;sheet=A0&amp;row=1071&amp;col=7&amp;number=&amp;sourceID=54","")</f>
        <v/>
      </c>
      <c r="H1071" s="4" t="str">
        <f>HYPERLINK("http://141.218.60.56/~jnz1568/getInfo.php?workbook=16_15.xlsx&amp;sheet=A0&amp;row=1071&amp;col=8&amp;number=&amp;sourceID=54","")</f>
        <v/>
      </c>
      <c r="I1071" s="4" t="str">
        <f>HYPERLINK("http://141.218.60.56/~jnz1568/getInfo.php?workbook=16_15.xlsx&amp;sheet=A0&amp;row=1071&amp;col=9&amp;number=8550200000&amp;sourceID=54","8550200000")</f>
        <v>8550200000</v>
      </c>
      <c r="J1071" s="4" t="str">
        <f>HYPERLINK("http://141.218.60.56/~jnz1568/getInfo.php?workbook=16_15.xlsx&amp;sheet=A0&amp;row=1071&amp;col=10&amp;number=&amp;sourceID=54","")</f>
        <v/>
      </c>
      <c r="K1071" s="4" t="str">
        <f>HYPERLINK("http://141.218.60.56/~jnz1568/getInfo.php?workbook=16_15.xlsx&amp;sheet=A0&amp;row=1071&amp;col=11&amp;number=&amp;sourceID=54","")</f>
        <v/>
      </c>
      <c r="L1071" s="4" t="str">
        <f>HYPERLINK("http://141.218.60.56/~jnz1568/getInfo.php?workbook=16_15.xlsx&amp;sheet=A0&amp;row=1071&amp;col=12&amp;number=7324522588.04&amp;sourceID=53","7324522588.04")</f>
        <v>7324522588.04</v>
      </c>
      <c r="M1071" s="4" t="str">
        <f>HYPERLINK("http://141.218.60.56/~jnz1568/getInfo.php?workbook=16_15.xlsx&amp;sheet=A0&amp;row=1071&amp;col=13&amp;number=&amp;sourceID=53","")</f>
        <v/>
      </c>
      <c r="N1071" s="4" t="str">
        <f>HYPERLINK("http://141.218.60.56/~jnz1568/getInfo.php?workbook=16_15.xlsx&amp;sheet=A0&amp;row=1071&amp;col=14&amp;number=&amp;sourceID=53","")</f>
        <v/>
      </c>
      <c r="O1071" s="4" t="str">
        <f>HYPERLINK("http://141.218.60.56/~jnz1568/getInfo.php?workbook=16_15.xlsx&amp;sheet=A0&amp;row=1071&amp;col=15&amp;number=&amp;sourceID=55","")</f>
        <v/>
      </c>
      <c r="P1071" s="4" t="str">
        <f>HYPERLINK("http://141.218.60.56/~jnz1568/getInfo.php?workbook=16_15.xlsx&amp;sheet=A0&amp;row=1071&amp;col=16&amp;number=&amp;sourceID=55","")</f>
        <v/>
      </c>
      <c r="Q1071" s="4" t="str">
        <f>HYPERLINK("http://141.218.60.56/~jnz1568/getInfo.php?workbook=16_15.xlsx&amp;sheet=A0&amp;row=1071&amp;col=17&amp;number=&amp;sourceID=56","")</f>
        <v/>
      </c>
      <c r="R1071" s="4" t="str">
        <f>HYPERLINK("http://141.218.60.56/~jnz1568/getInfo.php?workbook=16_15.xlsx&amp;sheet=A0&amp;row=1071&amp;col=18&amp;number=&amp;sourceID=56","")</f>
        <v/>
      </c>
      <c r="S1071" s="4" t="str">
        <f>HYPERLINK("http://141.218.60.56/~jnz1568/getInfo.php?workbook=16_15.xlsx&amp;sheet=A0&amp;row=1071&amp;col=19&amp;number=&amp;sourceID=57","")</f>
        <v/>
      </c>
      <c r="T1071" s="4" t="str">
        <f>HYPERLINK("http://141.218.60.56/~jnz1568/getInfo.php?workbook=16_15.xlsx&amp;sheet=A0&amp;row=1071&amp;col=20&amp;number=&amp;sourceID=57","")</f>
        <v/>
      </c>
      <c r="U1071" s="4" t="str">
        <f>HYPERLINK("http://141.218.60.56/~jnz1568/getInfo.php?workbook=16_15.xlsx&amp;sheet=A0&amp;row=1071&amp;col=21&amp;number=&amp;sourceID=47","")</f>
        <v/>
      </c>
      <c r="V1071" s="4" t="str">
        <f>HYPERLINK("http://141.218.60.56/~jnz1568/getInfo.php?workbook=16_15.xlsx&amp;sheet=A0&amp;row=1071&amp;col=22&amp;number=&amp;sourceID=47","")</f>
        <v/>
      </c>
    </row>
    <row r="1072" spans="1:22">
      <c r="A1072" s="3">
        <v>16</v>
      </c>
      <c r="B1072" s="3">
        <v>15</v>
      </c>
      <c r="C1072" s="3">
        <v>53</v>
      </c>
      <c r="D1072" s="3">
        <v>6</v>
      </c>
      <c r="E1072" s="3">
        <f>((1/(INDEX(E0!J$4:J$73,C1072,1)-INDEX(E0!J$4:J$73,D1072,1))))*100000000</f>
        <v>0</v>
      </c>
      <c r="F1072" s="4" t="str">
        <f>HYPERLINK("http://141.218.60.56/~jnz1568/getInfo.php?workbook=16_15.xlsx&amp;sheet=A0&amp;row=1072&amp;col=6&amp;number=&amp;sourceID=54","")</f>
        <v/>
      </c>
      <c r="G1072" s="4" t="str">
        <f>HYPERLINK("http://141.218.60.56/~jnz1568/getInfo.php?workbook=16_15.xlsx&amp;sheet=A0&amp;row=1072&amp;col=7&amp;number=0.0033951&amp;sourceID=54","0.0033951")</f>
        <v>0.0033951</v>
      </c>
      <c r="H1072" s="4" t="str">
        <f>HYPERLINK("http://141.218.60.56/~jnz1568/getInfo.php?workbook=16_15.xlsx&amp;sheet=A0&amp;row=1072&amp;col=8&amp;number=0&amp;sourceID=54","0")</f>
        <v>0</v>
      </c>
      <c r="I1072" s="4" t="str">
        <f>HYPERLINK("http://141.218.60.56/~jnz1568/getInfo.php?workbook=16_15.xlsx&amp;sheet=A0&amp;row=1072&amp;col=9&amp;number=&amp;sourceID=54","")</f>
        <v/>
      </c>
      <c r="J1072" s="4" t="str">
        <f>HYPERLINK("http://141.218.60.56/~jnz1568/getInfo.php?workbook=16_15.xlsx&amp;sheet=A0&amp;row=1072&amp;col=10&amp;number=0.0029512&amp;sourceID=54","0.0029512")</f>
        <v>0.0029512</v>
      </c>
      <c r="K1072" s="4" t="str">
        <f>HYPERLINK("http://141.218.60.56/~jnz1568/getInfo.php?workbook=16_15.xlsx&amp;sheet=A0&amp;row=1072&amp;col=11&amp;number=0&amp;sourceID=54","0")</f>
        <v>0</v>
      </c>
      <c r="L1072" s="4" t="str">
        <f>HYPERLINK("http://141.218.60.56/~jnz1568/getInfo.php?workbook=16_15.xlsx&amp;sheet=A0&amp;row=1072&amp;col=12&amp;number=&amp;sourceID=53","")</f>
        <v/>
      </c>
      <c r="M1072" s="4" t="str">
        <f>HYPERLINK("http://141.218.60.56/~jnz1568/getInfo.php?workbook=16_15.xlsx&amp;sheet=A0&amp;row=1072&amp;col=13&amp;number=&amp;sourceID=53","")</f>
        <v/>
      </c>
      <c r="N1072" s="4" t="str">
        <f>HYPERLINK("http://141.218.60.56/~jnz1568/getInfo.php?workbook=16_15.xlsx&amp;sheet=A0&amp;row=1072&amp;col=14&amp;number=&amp;sourceID=53","")</f>
        <v/>
      </c>
      <c r="O1072" s="4" t="str">
        <f>HYPERLINK("http://141.218.60.56/~jnz1568/getInfo.php?workbook=16_15.xlsx&amp;sheet=A0&amp;row=1072&amp;col=15&amp;number=&amp;sourceID=55","")</f>
        <v/>
      </c>
      <c r="P1072" s="4" t="str">
        <f>HYPERLINK("http://141.218.60.56/~jnz1568/getInfo.php?workbook=16_15.xlsx&amp;sheet=A0&amp;row=1072&amp;col=16&amp;number=&amp;sourceID=55","")</f>
        <v/>
      </c>
      <c r="Q1072" s="4" t="str">
        <f>HYPERLINK("http://141.218.60.56/~jnz1568/getInfo.php?workbook=16_15.xlsx&amp;sheet=A0&amp;row=1072&amp;col=17&amp;number=&amp;sourceID=56","")</f>
        <v/>
      </c>
      <c r="R1072" s="4" t="str">
        <f>HYPERLINK("http://141.218.60.56/~jnz1568/getInfo.php?workbook=16_15.xlsx&amp;sheet=A0&amp;row=1072&amp;col=18&amp;number=&amp;sourceID=56","")</f>
        <v/>
      </c>
      <c r="S1072" s="4" t="str">
        <f>HYPERLINK("http://141.218.60.56/~jnz1568/getInfo.php?workbook=16_15.xlsx&amp;sheet=A0&amp;row=1072&amp;col=19&amp;number=&amp;sourceID=57","")</f>
        <v/>
      </c>
      <c r="T1072" s="4" t="str">
        <f>HYPERLINK("http://141.218.60.56/~jnz1568/getInfo.php?workbook=16_15.xlsx&amp;sheet=A0&amp;row=1072&amp;col=20&amp;number=&amp;sourceID=57","")</f>
        <v/>
      </c>
      <c r="U1072" s="4" t="str">
        <f>HYPERLINK("http://141.218.60.56/~jnz1568/getInfo.php?workbook=16_15.xlsx&amp;sheet=A0&amp;row=1072&amp;col=21&amp;number=&amp;sourceID=47","")</f>
        <v/>
      </c>
      <c r="V1072" s="4" t="str">
        <f>HYPERLINK("http://141.218.60.56/~jnz1568/getInfo.php?workbook=16_15.xlsx&amp;sheet=A0&amp;row=1072&amp;col=22&amp;number=&amp;sourceID=47","")</f>
        <v/>
      </c>
    </row>
    <row r="1073" spans="1:22">
      <c r="A1073" s="3">
        <v>16</v>
      </c>
      <c r="B1073" s="3">
        <v>15</v>
      </c>
      <c r="C1073" s="3">
        <v>53</v>
      </c>
      <c r="D1073" s="3">
        <v>7</v>
      </c>
      <c r="E1073" s="3">
        <f>((1/(INDEX(E0!J$4:J$73,C1073,1)-INDEX(E0!J$4:J$73,D1073,1))))*100000000</f>
        <v>0</v>
      </c>
      <c r="F1073" s="4" t="str">
        <f>HYPERLINK("http://141.218.60.56/~jnz1568/getInfo.php?workbook=16_15.xlsx&amp;sheet=A0&amp;row=1073&amp;col=6&amp;number=&amp;sourceID=54","")</f>
        <v/>
      </c>
      <c r="G1073" s="4" t="str">
        <f>HYPERLINK("http://141.218.60.56/~jnz1568/getInfo.php?workbook=16_15.xlsx&amp;sheet=A0&amp;row=1073&amp;col=7&amp;number=0.0011308&amp;sourceID=54","0.0011308")</f>
        <v>0.0011308</v>
      </c>
      <c r="H1073" s="4" t="str">
        <f>HYPERLINK("http://141.218.60.56/~jnz1568/getInfo.php?workbook=16_15.xlsx&amp;sheet=A0&amp;row=1073&amp;col=8&amp;number=&amp;sourceID=54","")</f>
        <v/>
      </c>
      <c r="I1073" s="4" t="str">
        <f>HYPERLINK("http://141.218.60.56/~jnz1568/getInfo.php?workbook=16_15.xlsx&amp;sheet=A0&amp;row=1073&amp;col=9&amp;number=&amp;sourceID=54","")</f>
        <v/>
      </c>
      <c r="J1073" s="4" t="str">
        <f>HYPERLINK("http://141.218.60.56/~jnz1568/getInfo.php?workbook=16_15.xlsx&amp;sheet=A0&amp;row=1073&amp;col=10&amp;number=0.00093249&amp;sourceID=54","0.00093249")</f>
        <v>0.00093249</v>
      </c>
      <c r="K1073" s="4" t="str">
        <f>HYPERLINK("http://141.218.60.56/~jnz1568/getInfo.php?workbook=16_15.xlsx&amp;sheet=A0&amp;row=1073&amp;col=11&amp;number=&amp;sourceID=54","")</f>
        <v/>
      </c>
      <c r="L1073" s="4" t="str">
        <f>HYPERLINK("http://141.218.60.56/~jnz1568/getInfo.php?workbook=16_15.xlsx&amp;sheet=A0&amp;row=1073&amp;col=12&amp;number=&amp;sourceID=53","")</f>
        <v/>
      </c>
      <c r="M1073" s="4" t="str">
        <f>HYPERLINK("http://141.218.60.56/~jnz1568/getInfo.php?workbook=16_15.xlsx&amp;sheet=A0&amp;row=1073&amp;col=13&amp;number=&amp;sourceID=53","")</f>
        <v/>
      </c>
      <c r="N1073" s="4" t="str">
        <f>HYPERLINK("http://141.218.60.56/~jnz1568/getInfo.php?workbook=16_15.xlsx&amp;sheet=A0&amp;row=1073&amp;col=14&amp;number=&amp;sourceID=53","")</f>
        <v/>
      </c>
      <c r="O1073" s="4" t="str">
        <f>HYPERLINK("http://141.218.60.56/~jnz1568/getInfo.php?workbook=16_15.xlsx&amp;sheet=A0&amp;row=1073&amp;col=15&amp;number=&amp;sourceID=55","")</f>
        <v/>
      </c>
      <c r="P1073" s="4" t="str">
        <f>HYPERLINK("http://141.218.60.56/~jnz1568/getInfo.php?workbook=16_15.xlsx&amp;sheet=A0&amp;row=1073&amp;col=16&amp;number=&amp;sourceID=55","")</f>
        <v/>
      </c>
      <c r="Q1073" s="4" t="str">
        <f>HYPERLINK("http://141.218.60.56/~jnz1568/getInfo.php?workbook=16_15.xlsx&amp;sheet=A0&amp;row=1073&amp;col=17&amp;number=&amp;sourceID=56","")</f>
        <v/>
      </c>
      <c r="R1073" s="4" t="str">
        <f>HYPERLINK("http://141.218.60.56/~jnz1568/getInfo.php?workbook=16_15.xlsx&amp;sheet=A0&amp;row=1073&amp;col=18&amp;number=&amp;sourceID=56","")</f>
        <v/>
      </c>
      <c r="S1073" s="4" t="str">
        <f>HYPERLINK("http://141.218.60.56/~jnz1568/getInfo.php?workbook=16_15.xlsx&amp;sheet=A0&amp;row=1073&amp;col=19&amp;number=&amp;sourceID=57","")</f>
        <v/>
      </c>
      <c r="T1073" s="4" t="str">
        <f>HYPERLINK("http://141.218.60.56/~jnz1568/getInfo.php?workbook=16_15.xlsx&amp;sheet=A0&amp;row=1073&amp;col=20&amp;number=&amp;sourceID=57","")</f>
        <v/>
      </c>
      <c r="U1073" s="4" t="str">
        <f>HYPERLINK("http://141.218.60.56/~jnz1568/getInfo.php?workbook=16_15.xlsx&amp;sheet=A0&amp;row=1073&amp;col=21&amp;number=&amp;sourceID=47","")</f>
        <v/>
      </c>
      <c r="V1073" s="4" t="str">
        <f>HYPERLINK("http://141.218.60.56/~jnz1568/getInfo.php?workbook=16_15.xlsx&amp;sheet=A0&amp;row=1073&amp;col=22&amp;number=&amp;sourceID=47","")</f>
        <v/>
      </c>
    </row>
    <row r="1074" spans="1:22">
      <c r="A1074" s="3">
        <v>16</v>
      </c>
      <c r="B1074" s="3">
        <v>15</v>
      </c>
      <c r="C1074" s="3">
        <v>53</v>
      </c>
      <c r="D1074" s="3">
        <v>9</v>
      </c>
      <c r="E1074" s="3">
        <f>((1/(INDEX(E0!J$4:J$73,C1074,1)-INDEX(E0!J$4:J$73,D1074,1))))*100000000</f>
        <v>0</v>
      </c>
      <c r="F1074" s="4" t="str">
        <f>HYPERLINK("http://141.218.60.56/~jnz1568/getInfo.php?workbook=16_15.xlsx&amp;sheet=A0&amp;row=1074&amp;col=6&amp;number=&amp;sourceID=54","")</f>
        <v/>
      </c>
      <c r="G1074" s="4" t="str">
        <f>HYPERLINK("http://141.218.60.56/~jnz1568/getInfo.php?workbook=16_15.xlsx&amp;sheet=A0&amp;row=1074&amp;col=7&amp;number=0.17847&amp;sourceID=54","0.17847")</f>
        <v>0.17847</v>
      </c>
      <c r="H1074" s="4" t="str">
        <f>HYPERLINK("http://141.218.60.56/~jnz1568/getInfo.php?workbook=16_15.xlsx&amp;sheet=A0&amp;row=1074&amp;col=8&amp;number=&amp;sourceID=54","")</f>
        <v/>
      </c>
      <c r="I1074" s="4" t="str">
        <f>HYPERLINK("http://141.218.60.56/~jnz1568/getInfo.php?workbook=16_15.xlsx&amp;sheet=A0&amp;row=1074&amp;col=9&amp;number=&amp;sourceID=54","")</f>
        <v/>
      </c>
      <c r="J1074" s="4" t="str">
        <f>HYPERLINK("http://141.218.60.56/~jnz1568/getInfo.php?workbook=16_15.xlsx&amp;sheet=A0&amp;row=1074&amp;col=10&amp;number=0.13981&amp;sourceID=54","0.13981")</f>
        <v>0.13981</v>
      </c>
      <c r="K1074" s="4" t="str">
        <f>HYPERLINK("http://141.218.60.56/~jnz1568/getInfo.php?workbook=16_15.xlsx&amp;sheet=A0&amp;row=1074&amp;col=11&amp;number=&amp;sourceID=54","")</f>
        <v/>
      </c>
      <c r="L1074" s="4" t="str">
        <f>HYPERLINK("http://141.218.60.56/~jnz1568/getInfo.php?workbook=16_15.xlsx&amp;sheet=A0&amp;row=1074&amp;col=12&amp;number=&amp;sourceID=53","")</f>
        <v/>
      </c>
      <c r="M1074" s="4" t="str">
        <f>HYPERLINK("http://141.218.60.56/~jnz1568/getInfo.php?workbook=16_15.xlsx&amp;sheet=A0&amp;row=1074&amp;col=13&amp;number=&amp;sourceID=53","")</f>
        <v/>
      </c>
      <c r="N1074" s="4" t="str">
        <f>HYPERLINK("http://141.218.60.56/~jnz1568/getInfo.php?workbook=16_15.xlsx&amp;sheet=A0&amp;row=1074&amp;col=14&amp;number=&amp;sourceID=53","")</f>
        <v/>
      </c>
      <c r="O1074" s="4" t="str">
        <f>HYPERLINK("http://141.218.60.56/~jnz1568/getInfo.php?workbook=16_15.xlsx&amp;sheet=A0&amp;row=1074&amp;col=15&amp;number=&amp;sourceID=55","")</f>
        <v/>
      </c>
      <c r="P1074" s="4" t="str">
        <f>HYPERLINK("http://141.218.60.56/~jnz1568/getInfo.php?workbook=16_15.xlsx&amp;sheet=A0&amp;row=1074&amp;col=16&amp;number=&amp;sourceID=55","")</f>
        <v/>
      </c>
      <c r="Q1074" s="4" t="str">
        <f>HYPERLINK("http://141.218.60.56/~jnz1568/getInfo.php?workbook=16_15.xlsx&amp;sheet=A0&amp;row=1074&amp;col=17&amp;number=&amp;sourceID=56","")</f>
        <v/>
      </c>
      <c r="R1074" s="4" t="str">
        <f>HYPERLINK("http://141.218.60.56/~jnz1568/getInfo.php?workbook=16_15.xlsx&amp;sheet=A0&amp;row=1074&amp;col=18&amp;number=&amp;sourceID=56","")</f>
        <v/>
      </c>
      <c r="S1074" s="4" t="str">
        <f>HYPERLINK("http://141.218.60.56/~jnz1568/getInfo.php?workbook=16_15.xlsx&amp;sheet=A0&amp;row=1074&amp;col=19&amp;number=&amp;sourceID=57","")</f>
        <v/>
      </c>
      <c r="T1074" s="4" t="str">
        <f>HYPERLINK("http://141.218.60.56/~jnz1568/getInfo.php?workbook=16_15.xlsx&amp;sheet=A0&amp;row=1074&amp;col=20&amp;number=&amp;sourceID=57","")</f>
        <v/>
      </c>
      <c r="U1074" s="4" t="str">
        <f>HYPERLINK("http://141.218.60.56/~jnz1568/getInfo.php?workbook=16_15.xlsx&amp;sheet=A0&amp;row=1074&amp;col=21&amp;number=&amp;sourceID=47","")</f>
        <v/>
      </c>
      <c r="V1074" s="4" t="str">
        <f>HYPERLINK("http://141.218.60.56/~jnz1568/getInfo.php?workbook=16_15.xlsx&amp;sheet=A0&amp;row=1074&amp;col=22&amp;number=&amp;sourceID=47","")</f>
        <v/>
      </c>
    </row>
    <row r="1075" spans="1:22">
      <c r="A1075" s="3">
        <v>16</v>
      </c>
      <c r="B1075" s="3">
        <v>15</v>
      </c>
      <c r="C1075" s="3">
        <v>53</v>
      </c>
      <c r="D1075" s="3">
        <v>10</v>
      </c>
      <c r="E1075" s="3">
        <f>((1/(INDEX(E0!J$4:J$73,C1075,1)-INDEX(E0!J$4:J$73,D1075,1))))*100000000</f>
        <v>0</v>
      </c>
      <c r="F1075" s="4" t="str">
        <f>HYPERLINK("http://141.218.60.56/~jnz1568/getInfo.php?workbook=16_15.xlsx&amp;sheet=A0&amp;row=1075&amp;col=6&amp;number=&amp;sourceID=54","")</f>
        <v/>
      </c>
      <c r="G1075" s="4" t="str">
        <f>HYPERLINK("http://141.218.60.56/~jnz1568/getInfo.php?workbook=16_15.xlsx&amp;sheet=A0&amp;row=1075&amp;col=7&amp;number=1.592&amp;sourceID=54","1.592")</f>
        <v>1.592</v>
      </c>
      <c r="H1075" s="4" t="str">
        <f>HYPERLINK("http://141.218.60.56/~jnz1568/getInfo.php?workbook=16_15.xlsx&amp;sheet=A0&amp;row=1075&amp;col=8&amp;number=0&amp;sourceID=54","0")</f>
        <v>0</v>
      </c>
      <c r="I1075" s="4" t="str">
        <f>HYPERLINK("http://141.218.60.56/~jnz1568/getInfo.php?workbook=16_15.xlsx&amp;sheet=A0&amp;row=1075&amp;col=9&amp;number=&amp;sourceID=54","")</f>
        <v/>
      </c>
      <c r="J1075" s="4" t="str">
        <f>HYPERLINK("http://141.218.60.56/~jnz1568/getInfo.php?workbook=16_15.xlsx&amp;sheet=A0&amp;row=1075&amp;col=10&amp;number=1.2723&amp;sourceID=54","1.2723")</f>
        <v>1.2723</v>
      </c>
      <c r="K1075" s="4" t="str">
        <f>HYPERLINK("http://141.218.60.56/~jnz1568/getInfo.php?workbook=16_15.xlsx&amp;sheet=A0&amp;row=1075&amp;col=11&amp;number=0&amp;sourceID=54","0")</f>
        <v>0</v>
      </c>
      <c r="L1075" s="4" t="str">
        <f>HYPERLINK("http://141.218.60.56/~jnz1568/getInfo.php?workbook=16_15.xlsx&amp;sheet=A0&amp;row=1075&amp;col=12&amp;number=&amp;sourceID=53","")</f>
        <v/>
      </c>
      <c r="M1075" s="4" t="str">
        <f>HYPERLINK("http://141.218.60.56/~jnz1568/getInfo.php?workbook=16_15.xlsx&amp;sheet=A0&amp;row=1075&amp;col=13&amp;number=&amp;sourceID=53","")</f>
        <v/>
      </c>
      <c r="N1075" s="4" t="str">
        <f>HYPERLINK("http://141.218.60.56/~jnz1568/getInfo.php?workbook=16_15.xlsx&amp;sheet=A0&amp;row=1075&amp;col=14&amp;number=&amp;sourceID=53","")</f>
        <v/>
      </c>
      <c r="O1075" s="4" t="str">
        <f>HYPERLINK("http://141.218.60.56/~jnz1568/getInfo.php?workbook=16_15.xlsx&amp;sheet=A0&amp;row=1075&amp;col=15&amp;number=&amp;sourceID=55","")</f>
        <v/>
      </c>
      <c r="P1075" s="4" t="str">
        <f>HYPERLINK("http://141.218.60.56/~jnz1568/getInfo.php?workbook=16_15.xlsx&amp;sheet=A0&amp;row=1075&amp;col=16&amp;number=&amp;sourceID=55","")</f>
        <v/>
      </c>
      <c r="Q1075" s="4" t="str">
        <f>HYPERLINK("http://141.218.60.56/~jnz1568/getInfo.php?workbook=16_15.xlsx&amp;sheet=A0&amp;row=1075&amp;col=17&amp;number=&amp;sourceID=56","")</f>
        <v/>
      </c>
      <c r="R1075" s="4" t="str">
        <f>HYPERLINK("http://141.218.60.56/~jnz1568/getInfo.php?workbook=16_15.xlsx&amp;sheet=A0&amp;row=1075&amp;col=18&amp;number=&amp;sourceID=56","")</f>
        <v/>
      </c>
      <c r="S1075" s="4" t="str">
        <f>HYPERLINK("http://141.218.60.56/~jnz1568/getInfo.php?workbook=16_15.xlsx&amp;sheet=A0&amp;row=1075&amp;col=19&amp;number=&amp;sourceID=57","")</f>
        <v/>
      </c>
      <c r="T1075" s="4" t="str">
        <f>HYPERLINK("http://141.218.60.56/~jnz1568/getInfo.php?workbook=16_15.xlsx&amp;sheet=A0&amp;row=1075&amp;col=20&amp;number=&amp;sourceID=57","")</f>
        <v/>
      </c>
      <c r="U1075" s="4" t="str">
        <f>HYPERLINK("http://141.218.60.56/~jnz1568/getInfo.php?workbook=16_15.xlsx&amp;sheet=A0&amp;row=1075&amp;col=21&amp;number=&amp;sourceID=47","")</f>
        <v/>
      </c>
      <c r="V1075" s="4" t="str">
        <f>HYPERLINK("http://141.218.60.56/~jnz1568/getInfo.php?workbook=16_15.xlsx&amp;sheet=A0&amp;row=1075&amp;col=22&amp;number=&amp;sourceID=47","")</f>
        <v/>
      </c>
    </row>
    <row r="1076" spans="1:22">
      <c r="A1076" s="3">
        <v>16</v>
      </c>
      <c r="B1076" s="3">
        <v>15</v>
      </c>
      <c r="C1076" s="3">
        <v>53</v>
      </c>
      <c r="D1076" s="3">
        <v>11</v>
      </c>
      <c r="E1076" s="3">
        <f>((1/(INDEX(E0!J$4:J$73,C1076,1)-INDEX(E0!J$4:J$73,D1076,1))))*100000000</f>
        <v>0</v>
      </c>
      <c r="F1076" s="4" t="str">
        <f>HYPERLINK("http://141.218.60.56/~jnz1568/getInfo.php?workbook=16_15.xlsx&amp;sheet=A0&amp;row=1076&amp;col=6&amp;number=&amp;sourceID=54","")</f>
        <v/>
      </c>
      <c r="G1076" s="4" t="str">
        <f>HYPERLINK("http://141.218.60.56/~jnz1568/getInfo.php?workbook=16_15.xlsx&amp;sheet=A0&amp;row=1076&amp;col=7&amp;number=3.2088&amp;sourceID=54","3.2088")</f>
        <v>3.2088</v>
      </c>
      <c r="H1076" s="4" t="str">
        <f>HYPERLINK("http://141.218.60.56/~jnz1568/getInfo.php?workbook=16_15.xlsx&amp;sheet=A0&amp;row=1076&amp;col=8&amp;number=&amp;sourceID=54","")</f>
        <v/>
      </c>
      <c r="I1076" s="4" t="str">
        <f>HYPERLINK("http://141.218.60.56/~jnz1568/getInfo.php?workbook=16_15.xlsx&amp;sheet=A0&amp;row=1076&amp;col=9&amp;number=&amp;sourceID=54","")</f>
        <v/>
      </c>
      <c r="J1076" s="4" t="str">
        <f>HYPERLINK("http://141.218.60.56/~jnz1568/getInfo.php?workbook=16_15.xlsx&amp;sheet=A0&amp;row=1076&amp;col=10&amp;number=2.5373&amp;sourceID=54","2.5373")</f>
        <v>2.5373</v>
      </c>
      <c r="K1076" s="4" t="str">
        <f>HYPERLINK("http://141.218.60.56/~jnz1568/getInfo.php?workbook=16_15.xlsx&amp;sheet=A0&amp;row=1076&amp;col=11&amp;number=&amp;sourceID=54","")</f>
        <v/>
      </c>
      <c r="L1076" s="4" t="str">
        <f>HYPERLINK("http://141.218.60.56/~jnz1568/getInfo.php?workbook=16_15.xlsx&amp;sheet=A0&amp;row=1076&amp;col=12&amp;number=&amp;sourceID=53","")</f>
        <v/>
      </c>
      <c r="M1076" s="4" t="str">
        <f>HYPERLINK("http://141.218.60.56/~jnz1568/getInfo.php?workbook=16_15.xlsx&amp;sheet=A0&amp;row=1076&amp;col=13&amp;number=&amp;sourceID=53","")</f>
        <v/>
      </c>
      <c r="N1076" s="4" t="str">
        <f>HYPERLINK("http://141.218.60.56/~jnz1568/getInfo.php?workbook=16_15.xlsx&amp;sheet=A0&amp;row=1076&amp;col=14&amp;number=&amp;sourceID=53","")</f>
        <v/>
      </c>
      <c r="O1076" s="4" t="str">
        <f>HYPERLINK("http://141.218.60.56/~jnz1568/getInfo.php?workbook=16_15.xlsx&amp;sheet=A0&amp;row=1076&amp;col=15&amp;number=&amp;sourceID=55","")</f>
        <v/>
      </c>
      <c r="P1076" s="4" t="str">
        <f>HYPERLINK("http://141.218.60.56/~jnz1568/getInfo.php?workbook=16_15.xlsx&amp;sheet=A0&amp;row=1076&amp;col=16&amp;number=&amp;sourceID=55","")</f>
        <v/>
      </c>
      <c r="Q1076" s="4" t="str">
        <f>HYPERLINK("http://141.218.60.56/~jnz1568/getInfo.php?workbook=16_15.xlsx&amp;sheet=A0&amp;row=1076&amp;col=17&amp;number=&amp;sourceID=56","")</f>
        <v/>
      </c>
      <c r="R1076" s="4" t="str">
        <f>HYPERLINK("http://141.218.60.56/~jnz1568/getInfo.php?workbook=16_15.xlsx&amp;sheet=A0&amp;row=1076&amp;col=18&amp;number=&amp;sourceID=56","")</f>
        <v/>
      </c>
      <c r="S1076" s="4" t="str">
        <f>HYPERLINK("http://141.218.60.56/~jnz1568/getInfo.php?workbook=16_15.xlsx&amp;sheet=A0&amp;row=1076&amp;col=19&amp;number=&amp;sourceID=57","")</f>
        <v/>
      </c>
      <c r="T1076" s="4" t="str">
        <f>HYPERLINK("http://141.218.60.56/~jnz1568/getInfo.php?workbook=16_15.xlsx&amp;sheet=A0&amp;row=1076&amp;col=20&amp;number=&amp;sourceID=57","")</f>
        <v/>
      </c>
      <c r="U1076" s="4" t="str">
        <f>HYPERLINK("http://141.218.60.56/~jnz1568/getInfo.php?workbook=16_15.xlsx&amp;sheet=A0&amp;row=1076&amp;col=21&amp;number=&amp;sourceID=47","")</f>
        <v/>
      </c>
      <c r="V1076" s="4" t="str">
        <f>HYPERLINK("http://141.218.60.56/~jnz1568/getInfo.php?workbook=16_15.xlsx&amp;sheet=A0&amp;row=1076&amp;col=22&amp;number=&amp;sourceID=47","")</f>
        <v/>
      </c>
    </row>
    <row r="1077" spans="1:22">
      <c r="A1077" s="3">
        <v>16</v>
      </c>
      <c r="B1077" s="3">
        <v>15</v>
      </c>
      <c r="C1077" s="3">
        <v>53</v>
      </c>
      <c r="D1077" s="3">
        <v>14</v>
      </c>
      <c r="E1077" s="3">
        <f>((1/(INDEX(E0!J$4:J$73,C1077,1)-INDEX(E0!J$4:J$73,D1077,1))))*100000000</f>
        <v>0</v>
      </c>
      <c r="F1077" s="4" t="str">
        <f>HYPERLINK("http://141.218.60.56/~jnz1568/getInfo.php?workbook=16_15.xlsx&amp;sheet=A0&amp;row=1077&amp;col=6&amp;number=&amp;sourceID=54","")</f>
        <v/>
      </c>
      <c r="G1077" s="4" t="str">
        <f>HYPERLINK("http://141.218.60.56/~jnz1568/getInfo.php?workbook=16_15.xlsx&amp;sheet=A0&amp;row=1077&amp;col=7&amp;number=0.3792&amp;sourceID=54","0.3792")</f>
        <v>0.3792</v>
      </c>
      <c r="H1077" s="4" t="str">
        <f>HYPERLINK("http://141.218.60.56/~jnz1568/getInfo.php?workbook=16_15.xlsx&amp;sheet=A0&amp;row=1077&amp;col=8&amp;number=&amp;sourceID=54","")</f>
        <v/>
      </c>
      <c r="I1077" s="4" t="str">
        <f>HYPERLINK("http://141.218.60.56/~jnz1568/getInfo.php?workbook=16_15.xlsx&amp;sheet=A0&amp;row=1077&amp;col=9&amp;number=&amp;sourceID=54","")</f>
        <v/>
      </c>
      <c r="J1077" s="4" t="str">
        <f>HYPERLINK("http://141.218.60.56/~jnz1568/getInfo.php?workbook=16_15.xlsx&amp;sheet=A0&amp;row=1077&amp;col=10&amp;number=0.35672&amp;sourceID=54","0.35672")</f>
        <v>0.35672</v>
      </c>
      <c r="K1077" s="4" t="str">
        <f>HYPERLINK("http://141.218.60.56/~jnz1568/getInfo.php?workbook=16_15.xlsx&amp;sheet=A0&amp;row=1077&amp;col=11&amp;number=&amp;sourceID=54","")</f>
        <v/>
      </c>
      <c r="L1077" s="4" t="str">
        <f>HYPERLINK("http://141.218.60.56/~jnz1568/getInfo.php?workbook=16_15.xlsx&amp;sheet=A0&amp;row=1077&amp;col=12&amp;number=&amp;sourceID=53","")</f>
        <v/>
      </c>
      <c r="M1077" s="4" t="str">
        <f>HYPERLINK("http://141.218.60.56/~jnz1568/getInfo.php?workbook=16_15.xlsx&amp;sheet=A0&amp;row=1077&amp;col=13&amp;number=&amp;sourceID=53","")</f>
        <v/>
      </c>
      <c r="N1077" s="4" t="str">
        <f>HYPERLINK("http://141.218.60.56/~jnz1568/getInfo.php?workbook=16_15.xlsx&amp;sheet=A0&amp;row=1077&amp;col=14&amp;number=&amp;sourceID=53","")</f>
        <v/>
      </c>
      <c r="O1077" s="4" t="str">
        <f>HYPERLINK("http://141.218.60.56/~jnz1568/getInfo.php?workbook=16_15.xlsx&amp;sheet=A0&amp;row=1077&amp;col=15&amp;number=&amp;sourceID=55","")</f>
        <v/>
      </c>
      <c r="P1077" s="4" t="str">
        <f>HYPERLINK("http://141.218.60.56/~jnz1568/getInfo.php?workbook=16_15.xlsx&amp;sheet=A0&amp;row=1077&amp;col=16&amp;number=&amp;sourceID=55","")</f>
        <v/>
      </c>
      <c r="Q1077" s="4" t="str">
        <f>HYPERLINK("http://141.218.60.56/~jnz1568/getInfo.php?workbook=16_15.xlsx&amp;sheet=A0&amp;row=1077&amp;col=17&amp;number=&amp;sourceID=56","")</f>
        <v/>
      </c>
      <c r="R1077" s="4" t="str">
        <f>HYPERLINK("http://141.218.60.56/~jnz1568/getInfo.php?workbook=16_15.xlsx&amp;sheet=A0&amp;row=1077&amp;col=18&amp;number=&amp;sourceID=56","")</f>
        <v/>
      </c>
      <c r="S1077" s="4" t="str">
        <f>HYPERLINK("http://141.218.60.56/~jnz1568/getInfo.php?workbook=16_15.xlsx&amp;sheet=A0&amp;row=1077&amp;col=19&amp;number=&amp;sourceID=57","")</f>
        <v/>
      </c>
      <c r="T1077" s="4" t="str">
        <f>HYPERLINK("http://141.218.60.56/~jnz1568/getInfo.php?workbook=16_15.xlsx&amp;sheet=A0&amp;row=1077&amp;col=20&amp;number=&amp;sourceID=57","")</f>
        <v/>
      </c>
      <c r="U1077" s="4" t="str">
        <f>HYPERLINK("http://141.218.60.56/~jnz1568/getInfo.php?workbook=16_15.xlsx&amp;sheet=A0&amp;row=1077&amp;col=21&amp;number=&amp;sourceID=47","")</f>
        <v/>
      </c>
      <c r="V1077" s="4" t="str">
        <f>HYPERLINK("http://141.218.60.56/~jnz1568/getInfo.php?workbook=16_15.xlsx&amp;sheet=A0&amp;row=1077&amp;col=22&amp;number=&amp;sourceID=47","")</f>
        <v/>
      </c>
    </row>
    <row r="1078" spans="1:22">
      <c r="A1078" s="3">
        <v>16</v>
      </c>
      <c r="B1078" s="3">
        <v>15</v>
      </c>
      <c r="C1078" s="3">
        <v>53</v>
      </c>
      <c r="D1078" s="3">
        <v>15</v>
      </c>
      <c r="E1078" s="3">
        <f>((1/(INDEX(E0!J$4:J$73,C1078,1)-INDEX(E0!J$4:J$73,D1078,1))))*100000000</f>
        <v>0</v>
      </c>
      <c r="F1078" s="4" t="str">
        <f>HYPERLINK("http://141.218.60.56/~jnz1568/getInfo.php?workbook=16_15.xlsx&amp;sheet=A0&amp;row=1078&amp;col=6&amp;number=&amp;sourceID=54","")</f>
        <v/>
      </c>
      <c r="G1078" s="4" t="str">
        <f>HYPERLINK("http://141.218.60.56/~jnz1568/getInfo.php?workbook=16_15.xlsx&amp;sheet=A0&amp;row=1078&amp;col=7&amp;number=2.7174e-05&amp;sourceID=54","2.7174e-05")</f>
        <v>2.7174e-05</v>
      </c>
      <c r="H1078" s="4" t="str">
        <f>HYPERLINK("http://141.218.60.56/~jnz1568/getInfo.php?workbook=16_15.xlsx&amp;sheet=A0&amp;row=1078&amp;col=8&amp;number=&amp;sourceID=54","")</f>
        <v/>
      </c>
      <c r="I1078" s="4" t="str">
        <f>HYPERLINK("http://141.218.60.56/~jnz1568/getInfo.php?workbook=16_15.xlsx&amp;sheet=A0&amp;row=1078&amp;col=9&amp;number=&amp;sourceID=54","")</f>
        <v/>
      </c>
      <c r="J1078" s="4" t="str">
        <f>HYPERLINK("http://141.218.60.56/~jnz1568/getInfo.php?workbook=16_15.xlsx&amp;sheet=A0&amp;row=1078&amp;col=10&amp;number=1.2187e-05&amp;sourceID=54","1.2187e-05")</f>
        <v>1.2187e-05</v>
      </c>
      <c r="K1078" s="4" t="str">
        <f>HYPERLINK("http://141.218.60.56/~jnz1568/getInfo.php?workbook=16_15.xlsx&amp;sheet=A0&amp;row=1078&amp;col=11&amp;number=&amp;sourceID=54","")</f>
        <v/>
      </c>
      <c r="L1078" s="4" t="str">
        <f>HYPERLINK("http://141.218.60.56/~jnz1568/getInfo.php?workbook=16_15.xlsx&amp;sheet=A0&amp;row=1078&amp;col=12&amp;number=&amp;sourceID=53","")</f>
        <v/>
      </c>
      <c r="M1078" s="4" t="str">
        <f>HYPERLINK("http://141.218.60.56/~jnz1568/getInfo.php?workbook=16_15.xlsx&amp;sheet=A0&amp;row=1078&amp;col=13&amp;number=&amp;sourceID=53","")</f>
        <v/>
      </c>
      <c r="N1078" s="4" t="str">
        <f>HYPERLINK("http://141.218.60.56/~jnz1568/getInfo.php?workbook=16_15.xlsx&amp;sheet=A0&amp;row=1078&amp;col=14&amp;number=&amp;sourceID=53","")</f>
        <v/>
      </c>
      <c r="O1078" s="4" t="str">
        <f>HYPERLINK("http://141.218.60.56/~jnz1568/getInfo.php?workbook=16_15.xlsx&amp;sheet=A0&amp;row=1078&amp;col=15&amp;number=&amp;sourceID=55","")</f>
        <v/>
      </c>
      <c r="P1078" s="4" t="str">
        <f>HYPERLINK("http://141.218.60.56/~jnz1568/getInfo.php?workbook=16_15.xlsx&amp;sheet=A0&amp;row=1078&amp;col=16&amp;number=&amp;sourceID=55","")</f>
        <v/>
      </c>
      <c r="Q1078" s="4" t="str">
        <f>HYPERLINK("http://141.218.60.56/~jnz1568/getInfo.php?workbook=16_15.xlsx&amp;sheet=A0&amp;row=1078&amp;col=17&amp;number=&amp;sourceID=56","")</f>
        <v/>
      </c>
      <c r="R1078" s="4" t="str">
        <f>HYPERLINK("http://141.218.60.56/~jnz1568/getInfo.php?workbook=16_15.xlsx&amp;sheet=A0&amp;row=1078&amp;col=18&amp;number=&amp;sourceID=56","")</f>
        <v/>
      </c>
      <c r="S1078" s="4" t="str">
        <f>HYPERLINK("http://141.218.60.56/~jnz1568/getInfo.php?workbook=16_15.xlsx&amp;sheet=A0&amp;row=1078&amp;col=19&amp;number=&amp;sourceID=57","")</f>
        <v/>
      </c>
      <c r="T1078" s="4" t="str">
        <f>HYPERLINK("http://141.218.60.56/~jnz1568/getInfo.php?workbook=16_15.xlsx&amp;sheet=A0&amp;row=1078&amp;col=20&amp;number=&amp;sourceID=57","")</f>
        <v/>
      </c>
      <c r="U1078" s="4" t="str">
        <f>HYPERLINK("http://141.218.60.56/~jnz1568/getInfo.php?workbook=16_15.xlsx&amp;sheet=A0&amp;row=1078&amp;col=21&amp;number=&amp;sourceID=47","")</f>
        <v/>
      </c>
      <c r="V1078" s="4" t="str">
        <f>HYPERLINK("http://141.218.60.56/~jnz1568/getInfo.php?workbook=16_15.xlsx&amp;sheet=A0&amp;row=1078&amp;col=22&amp;number=&amp;sourceID=47","")</f>
        <v/>
      </c>
    </row>
    <row r="1079" spans="1:22">
      <c r="A1079" s="3">
        <v>16</v>
      </c>
      <c r="B1079" s="3">
        <v>15</v>
      </c>
      <c r="C1079" s="3">
        <v>53</v>
      </c>
      <c r="D1079" s="3">
        <v>16</v>
      </c>
      <c r="E1079" s="3">
        <f>((1/(INDEX(E0!J$4:J$73,C1079,1)-INDEX(E0!J$4:J$73,D1079,1))))*100000000</f>
        <v>0</v>
      </c>
      <c r="F1079" s="4" t="str">
        <f>HYPERLINK("http://141.218.60.56/~jnz1568/getInfo.php?workbook=16_15.xlsx&amp;sheet=A0&amp;row=1079&amp;col=6&amp;number=&amp;sourceID=54","")</f>
        <v/>
      </c>
      <c r="G1079" s="4" t="str">
        <f>HYPERLINK("http://141.218.60.56/~jnz1568/getInfo.php?workbook=16_15.xlsx&amp;sheet=A0&amp;row=1079&amp;col=7&amp;number=0.049576&amp;sourceID=54","0.049576")</f>
        <v>0.049576</v>
      </c>
      <c r="H1079" s="4" t="str">
        <f>HYPERLINK("http://141.218.60.56/~jnz1568/getInfo.php?workbook=16_15.xlsx&amp;sheet=A0&amp;row=1079&amp;col=8&amp;number=2.5606e-07&amp;sourceID=54","2.5606e-07")</f>
        <v>2.5606e-07</v>
      </c>
      <c r="I1079" s="4" t="str">
        <f>HYPERLINK("http://141.218.60.56/~jnz1568/getInfo.php?workbook=16_15.xlsx&amp;sheet=A0&amp;row=1079&amp;col=9&amp;number=&amp;sourceID=54","")</f>
        <v/>
      </c>
      <c r="J1079" s="4" t="str">
        <f>HYPERLINK("http://141.218.60.56/~jnz1568/getInfo.php?workbook=16_15.xlsx&amp;sheet=A0&amp;row=1079&amp;col=10&amp;number=0.0355&amp;sourceID=54","0.0355")</f>
        <v>0.0355</v>
      </c>
      <c r="K1079" s="4" t="str">
        <f>HYPERLINK("http://141.218.60.56/~jnz1568/getInfo.php?workbook=16_15.xlsx&amp;sheet=A0&amp;row=1079&amp;col=11&amp;number=4.3329e-07&amp;sourceID=54","4.3329e-07")</f>
        <v>4.3329e-07</v>
      </c>
      <c r="L1079" s="4" t="str">
        <f>HYPERLINK("http://141.218.60.56/~jnz1568/getInfo.php?workbook=16_15.xlsx&amp;sheet=A0&amp;row=1079&amp;col=12&amp;number=&amp;sourceID=53","")</f>
        <v/>
      </c>
      <c r="M1079" s="4" t="str">
        <f>HYPERLINK("http://141.218.60.56/~jnz1568/getInfo.php?workbook=16_15.xlsx&amp;sheet=A0&amp;row=1079&amp;col=13&amp;number=&amp;sourceID=53","")</f>
        <v/>
      </c>
      <c r="N1079" s="4" t="str">
        <f>HYPERLINK("http://141.218.60.56/~jnz1568/getInfo.php?workbook=16_15.xlsx&amp;sheet=A0&amp;row=1079&amp;col=14&amp;number=&amp;sourceID=53","")</f>
        <v/>
      </c>
      <c r="O1079" s="4" t="str">
        <f>HYPERLINK("http://141.218.60.56/~jnz1568/getInfo.php?workbook=16_15.xlsx&amp;sheet=A0&amp;row=1079&amp;col=15&amp;number=&amp;sourceID=55","")</f>
        <v/>
      </c>
      <c r="P1079" s="4" t="str">
        <f>HYPERLINK("http://141.218.60.56/~jnz1568/getInfo.php?workbook=16_15.xlsx&amp;sheet=A0&amp;row=1079&amp;col=16&amp;number=&amp;sourceID=55","")</f>
        <v/>
      </c>
      <c r="Q1079" s="4" t="str">
        <f>HYPERLINK("http://141.218.60.56/~jnz1568/getInfo.php?workbook=16_15.xlsx&amp;sheet=A0&amp;row=1079&amp;col=17&amp;number=&amp;sourceID=56","")</f>
        <v/>
      </c>
      <c r="R1079" s="4" t="str">
        <f>HYPERLINK("http://141.218.60.56/~jnz1568/getInfo.php?workbook=16_15.xlsx&amp;sheet=A0&amp;row=1079&amp;col=18&amp;number=&amp;sourceID=56","")</f>
        <v/>
      </c>
      <c r="S1079" s="4" t="str">
        <f>HYPERLINK("http://141.218.60.56/~jnz1568/getInfo.php?workbook=16_15.xlsx&amp;sheet=A0&amp;row=1079&amp;col=19&amp;number=&amp;sourceID=57","")</f>
        <v/>
      </c>
      <c r="T1079" s="4" t="str">
        <f>HYPERLINK("http://141.218.60.56/~jnz1568/getInfo.php?workbook=16_15.xlsx&amp;sheet=A0&amp;row=1079&amp;col=20&amp;number=&amp;sourceID=57","")</f>
        <v/>
      </c>
      <c r="U1079" s="4" t="str">
        <f>HYPERLINK("http://141.218.60.56/~jnz1568/getInfo.php?workbook=16_15.xlsx&amp;sheet=A0&amp;row=1079&amp;col=21&amp;number=&amp;sourceID=47","")</f>
        <v/>
      </c>
      <c r="V1079" s="4" t="str">
        <f>HYPERLINK("http://141.218.60.56/~jnz1568/getInfo.php?workbook=16_15.xlsx&amp;sheet=A0&amp;row=1079&amp;col=22&amp;number=&amp;sourceID=47","")</f>
        <v/>
      </c>
    </row>
    <row r="1080" spans="1:22">
      <c r="A1080" s="3">
        <v>16</v>
      </c>
      <c r="B1080" s="3">
        <v>15</v>
      </c>
      <c r="C1080" s="3">
        <v>53</v>
      </c>
      <c r="D1080" s="3">
        <v>17</v>
      </c>
      <c r="E1080" s="3">
        <f>((1/(INDEX(E0!J$4:J$73,C1080,1)-INDEX(E0!J$4:J$73,D1080,1))))*100000000</f>
        <v>0</v>
      </c>
      <c r="F1080" s="4" t="str">
        <f>HYPERLINK("http://141.218.60.56/~jnz1568/getInfo.php?workbook=16_15.xlsx&amp;sheet=A0&amp;row=1080&amp;col=6&amp;number=&amp;sourceID=54","")</f>
        <v/>
      </c>
      <c r="G1080" s="4" t="str">
        <f>HYPERLINK("http://141.218.60.56/~jnz1568/getInfo.php?workbook=16_15.xlsx&amp;sheet=A0&amp;row=1080&amp;col=7&amp;number=0.00065037&amp;sourceID=54","0.00065037")</f>
        <v>0.00065037</v>
      </c>
      <c r="H1080" s="4" t="str">
        <f>HYPERLINK("http://141.218.60.56/~jnz1568/getInfo.php?workbook=16_15.xlsx&amp;sheet=A0&amp;row=1080&amp;col=8&amp;number=0.014303&amp;sourceID=54","0.014303")</f>
        <v>0.014303</v>
      </c>
      <c r="I1080" s="4" t="str">
        <f>HYPERLINK("http://141.218.60.56/~jnz1568/getInfo.php?workbook=16_15.xlsx&amp;sheet=A0&amp;row=1080&amp;col=9&amp;number=&amp;sourceID=54","")</f>
        <v/>
      </c>
      <c r="J1080" s="4" t="str">
        <f>HYPERLINK("http://141.218.60.56/~jnz1568/getInfo.php?workbook=16_15.xlsx&amp;sheet=A0&amp;row=1080&amp;col=10&amp;number=0.00052173&amp;sourceID=54","0.00052173")</f>
        <v>0.00052173</v>
      </c>
      <c r="K1080" s="4" t="str">
        <f>HYPERLINK("http://141.218.60.56/~jnz1568/getInfo.php?workbook=16_15.xlsx&amp;sheet=A0&amp;row=1080&amp;col=11&amp;number=0.014591&amp;sourceID=54","0.014591")</f>
        <v>0.014591</v>
      </c>
      <c r="L1080" s="4" t="str">
        <f>HYPERLINK("http://141.218.60.56/~jnz1568/getInfo.php?workbook=16_15.xlsx&amp;sheet=A0&amp;row=1080&amp;col=12&amp;number=&amp;sourceID=53","")</f>
        <v/>
      </c>
      <c r="M1080" s="4" t="str">
        <f>HYPERLINK("http://141.218.60.56/~jnz1568/getInfo.php?workbook=16_15.xlsx&amp;sheet=A0&amp;row=1080&amp;col=13&amp;number=&amp;sourceID=53","")</f>
        <v/>
      </c>
      <c r="N1080" s="4" t="str">
        <f>HYPERLINK("http://141.218.60.56/~jnz1568/getInfo.php?workbook=16_15.xlsx&amp;sheet=A0&amp;row=1080&amp;col=14&amp;number=&amp;sourceID=53","")</f>
        <v/>
      </c>
      <c r="O1080" s="4" t="str">
        <f>HYPERLINK("http://141.218.60.56/~jnz1568/getInfo.php?workbook=16_15.xlsx&amp;sheet=A0&amp;row=1080&amp;col=15&amp;number=&amp;sourceID=55","")</f>
        <v/>
      </c>
      <c r="P1080" s="4" t="str">
        <f>HYPERLINK("http://141.218.60.56/~jnz1568/getInfo.php?workbook=16_15.xlsx&amp;sheet=A0&amp;row=1080&amp;col=16&amp;number=&amp;sourceID=55","")</f>
        <v/>
      </c>
      <c r="Q1080" s="4" t="str">
        <f>HYPERLINK("http://141.218.60.56/~jnz1568/getInfo.php?workbook=16_15.xlsx&amp;sheet=A0&amp;row=1080&amp;col=17&amp;number=&amp;sourceID=56","")</f>
        <v/>
      </c>
      <c r="R1080" s="4" t="str">
        <f>HYPERLINK("http://141.218.60.56/~jnz1568/getInfo.php?workbook=16_15.xlsx&amp;sheet=A0&amp;row=1080&amp;col=18&amp;number=&amp;sourceID=56","")</f>
        <v/>
      </c>
      <c r="S1080" s="4" t="str">
        <f>HYPERLINK("http://141.218.60.56/~jnz1568/getInfo.php?workbook=16_15.xlsx&amp;sheet=A0&amp;row=1080&amp;col=19&amp;number=&amp;sourceID=57","")</f>
        <v/>
      </c>
      <c r="T1080" s="4" t="str">
        <f>HYPERLINK("http://141.218.60.56/~jnz1568/getInfo.php?workbook=16_15.xlsx&amp;sheet=A0&amp;row=1080&amp;col=20&amp;number=&amp;sourceID=57","")</f>
        <v/>
      </c>
      <c r="U1080" s="4" t="str">
        <f>HYPERLINK("http://141.218.60.56/~jnz1568/getInfo.php?workbook=16_15.xlsx&amp;sheet=A0&amp;row=1080&amp;col=21&amp;number=&amp;sourceID=47","")</f>
        <v/>
      </c>
      <c r="V1080" s="4" t="str">
        <f>HYPERLINK("http://141.218.60.56/~jnz1568/getInfo.php?workbook=16_15.xlsx&amp;sheet=A0&amp;row=1080&amp;col=22&amp;number=&amp;sourceID=47","")</f>
        <v/>
      </c>
    </row>
    <row r="1081" spans="1:22">
      <c r="A1081" s="3">
        <v>16</v>
      </c>
      <c r="B1081" s="3">
        <v>15</v>
      </c>
      <c r="C1081" s="3">
        <v>53</v>
      </c>
      <c r="D1081" s="3">
        <v>18</v>
      </c>
      <c r="E1081" s="3">
        <f>((1/(INDEX(E0!J$4:J$73,C1081,1)-INDEX(E0!J$4:J$73,D1081,1))))*100000000</f>
        <v>0</v>
      </c>
      <c r="F1081" s="4" t="str">
        <f>HYPERLINK("http://141.218.60.56/~jnz1568/getInfo.php?workbook=16_15.xlsx&amp;sheet=A0&amp;row=1081&amp;col=6&amp;number=&amp;sourceID=54","")</f>
        <v/>
      </c>
      <c r="G1081" s="4" t="str">
        <f>HYPERLINK("http://141.218.60.56/~jnz1568/getInfo.php?workbook=16_15.xlsx&amp;sheet=A0&amp;row=1081&amp;col=7&amp;number=0.0017821&amp;sourceID=54","0.0017821")</f>
        <v>0.0017821</v>
      </c>
      <c r="H1081" s="4" t="str">
        <f>HYPERLINK("http://141.218.60.56/~jnz1568/getInfo.php?workbook=16_15.xlsx&amp;sheet=A0&amp;row=1081&amp;col=8&amp;number=0.0038925&amp;sourceID=54","0.0038925")</f>
        <v>0.0038925</v>
      </c>
      <c r="I1081" s="4" t="str">
        <f>HYPERLINK("http://141.218.60.56/~jnz1568/getInfo.php?workbook=16_15.xlsx&amp;sheet=A0&amp;row=1081&amp;col=9&amp;number=&amp;sourceID=54","")</f>
        <v/>
      </c>
      <c r="J1081" s="4" t="str">
        <f>HYPERLINK("http://141.218.60.56/~jnz1568/getInfo.php?workbook=16_15.xlsx&amp;sheet=A0&amp;row=1081&amp;col=10&amp;number=0.0012595&amp;sourceID=54","0.0012595")</f>
        <v>0.0012595</v>
      </c>
      <c r="K1081" s="4" t="str">
        <f>HYPERLINK("http://141.218.60.56/~jnz1568/getInfo.php?workbook=16_15.xlsx&amp;sheet=A0&amp;row=1081&amp;col=11&amp;number=0.0084268&amp;sourceID=54","0.0084268")</f>
        <v>0.0084268</v>
      </c>
      <c r="L1081" s="4" t="str">
        <f>HYPERLINK("http://141.218.60.56/~jnz1568/getInfo.php?workbook=16_15.xlsx&amp;sheet=A0&amp;row=1081&amp;col=12&amp;number=&amp;sourceID=53","")</f>
        <v/>
      </c>
      <c r="M1081" s="4" t="str">
        <f>HYPERLINK("http://141.218.60.56/~jnz1568/getInfo.php?workbook=16_15.xlsx&amp;sheet=A0&amp;row=1081&amp;col=13&amp;number=&amp;sourceID=53","")</f>
        <v/>
      </c>
      <c r="N1081" s="4" t="str">
        <f>HYPERLINK("http://141.218.60.56/~jnz1568/getInfo.php?workbook=16_15.xlsx&amp;sheet=A0&amp;row=1081&amp;col=14&amp;number=&amp;sourceID=53","")</f>
        <v/>
      </c>
      <c r="O1081" s="4" t="str">
        <f>HYPERLINK("http://141.218.60.56/~jnz1568/getInfo.php?workbook=16_15.xlsx&amp;sheet=A0&amp;row=1081&amp;col=15&amp;number=&amp;sourceID=55","")</f>
        <v/>
      </c>
      <c r="P1081" s="4" t="str">
        <f>HYPERLINK("http://141.218.60.56/~jnz1568/getInfo.php?workbook=16_15.xlsx&amp;sheet=A0&amp;row=1081&amp;col=16&amp;number=&amp;sourceID=55","")</f>
        <v/>
      </c>
      <c r="Q1081" s="4" t="str">
        <f>HYPERLINK("http://141.218.60.56/~jnz1568/getInfo.php?workbook=16_15.xlsx&amp;sheet=A0&amp;row=1081&amp;col=17&amp;number=&amp;sourceID=56","")</f>
        <v/>
      </c>
      <c r="R1081" s="4" t="str">
        <f>HYPERLINK("http://141.218.60.56/~jnz1568/getInfo.php?workbook=16_15.xlsx&amp;sheet=A0&amp;row=1081&amp;col=18&amp;number=&amp;sourceID=56","")</f>
        <v/>
      </c>
      <c r="S1081" s="4" t="str">
        <f>HYPERLINK("http://141.218.60.56/~jnz1568/getInfo.php?workbook=16_15.xlsx&amp;sheet=A0&amp;row=1081&amp;col=19&amp;number=&amp;sourceID=57","")</f>
        <v/>
      </c>
      <c r="T1081" s="4" t="str">
        <f>HYPERLINK("http://141.218.60.56/~jnz1568/getInfo.php?workbook=16_15.xlsx&amp;sheet=A0&amp;row=1081&amp;col=20&amp;number=&amp;sourceID=57","")</f>
        <v/>
      </c>
      <c r="U1081" s="4" t="str">
        <f>HYPERLINK("http://141.218.60.56/~jnz1568/getInfo.php?workbook=16_15.xlsx&amp;sheet=A0&amp;row=1081&amp;col=21&amp;number=&amp;sourceID=47","")</f>
        <v/>
      </c>
      <c r="V1081" s="4" t="str">
        <f>HYPERLINK("http://141.218.60.56/~jnz1568/getInfo.php?workbook=16_15.xlsx&amp;sheet=A0&amp;row=1081&amp;col=22&amp;number=&amp;sourceID=47","")</f>
        <v/>
      </c>
    </row>
    <row r="1082" spans="1:22">
      <c r="A1082" s="3">
        <v>16</v>
      </c>
      <c r="B1082" s="3">
        <v>15</v>
      </c>
      <c r="C1082" s="3">
        <v>53</v>
      </c>
      <c r="D1082" s="3">
        <v>19</v>
      </c>
      <c r="E1082" s="3">
        <f>((1/(INDEX(E0!J$4:J$73,C1082,1)-INDEX(E0!J$4:J$73,D1082,1))))*100000000</f>
        <v>0</v>
      </c>
      <c r="F1082" s="4" t="str">
        <f>HYPERLINK("http://141.218.60.56/~jnz1568/getInfo.php?workbook=16_15.xlsx&amp;sheet=A0&amp;row=1082&amp;col=6&amp;number=&amp;sourceID=54","")</f>
        <v/>
      </c>
      <c r="G1082" s="4" t="str">
        <f>HYPERLINK("http://141.218.60.56/~jnz1568/getInfo.php?workbook=16_15.xlsx&amp;sheet=A0&amp;row=1082&amp;col=7&amp;number=0.00072046&amp;sourceID=54","0.00072046")</f>
        <v>0.00072046</v>
      </c>
      <c r="H1082" s="4" t="str">
        <f>HYPERLINK("http://141.218.60.56/~jnz1568/getInfo.php?workbook=16_15.xlsx&amp;sheet=A0&amp;row=1082&amp;col=8&amp;number=0.0331&amp;sourceID=54","0.0331")</f>
        <v>0.0331</v>
      </c>
      <c r="I1082" s="4" t="str">
        <f>HYPERLINK("http://141.218.60.56/~jnz1568/getInfo.php?workbook=16_15.xlsx&amp;sheet=A0&amp;row=1082&amp;col=9&amp;number=&amp;sourceID=54","")</f>
        <v/>
      </c>
      <c r="J1082" s="4" t="str">
        <f>HYPERLINK("http://141.218.60.56/~jnz1568/getInfo.php?workbook=16_15.xlsx&amp;sheet=A0&amp;row=1082&amp;col=10&amp;number=0.00051634&amp;sourceID=54","0.00051634")</f>
        <v>0.00051634</v>
      </c>
      <c r="K1082" s="4" t="str">
        <f>HYPERLINK("http://141.218.60.56/~jnz1568/getInfo.php?workbook=16_15.xlsx&amp;sheet=A0&amp;row=1082&amp;col=11&amp;number=0.031344&amp;sourceID=54","0.031344")</f>
        <v>0.031344</v>
      </c>
      <c r="L1082" s="4" t="str">
        <f>HYPERLINK("http://141.218.60.56/~jnz1568/getInfo.php?workbook=16_15.xlsx&amp;sheet=A0&amp;row=1082&amp;col=12&amp;number=&amp;sourceID=53","")</f>
        <v/>
      </c>
      <c r="M1082" s="4" t="str">
        <f>HYPERLINK("http://141.218.60.56/~jnz1568/getInfo.php?workbook=16_15.xlsx&amp;sheet=A0&amp;row=1082&amp;col=13&amp;number=&amp;sourceID=53","")</f>
        <v/>
      </c>
      <c r="N1082" s="4" t="str">
        <f>HYPERLINK("http://141.218.60.56/~jnz1568/getInfo.php?workbook=16_15.xlsx&amp;sheet=A0&amp;row=1082&amp;col=14&amp;number=&amp;sourceID=53","")</f>
        <v/>
      </c>
      <c r="O1082" s="4" t="str">
        <f>HYPERLINK("http://141.218.60.56/~jnz1568/getInfo.php?workbook=16_15.xlsx&amp;sheet=A0&amp;row=1082&amp;col=15&amp;number=&amp;sourceID=55","")</f>
        <v/>
      </c>
      <c r="P1082" s="4" t="str">
        <f>HYPERLINK("http://141.218.60.56/~jnz1568/getInfo.php?workbook=16_15.xlsx&amp;sheet=A0&amp;row=1082&amp;col=16&amp;number=&amp;sourceID=55","")</f>
        <v/>
      </c>
      <c r="Q1082" s="4" t="str">
        <f>HYPERLINK("http://141.218.60.56/~jnz1568/getInfo.php?workbook=16_15.xlsx&amp;sheet=A0&amp;row=1082&amp;col=17&amp;number=&amp;sourceID=56","")</f>
        <v/>
      </c>
      <c r="R1082" s="4" t="str">
        <f>HYPERLINK("http://141.218.60.56/~jnz1568/getInfo.php?workbook=16_15.xlsx&amp;sheet=A0&amp;row=1082&amp;col=18&amp;number=&amp;sourceID=56","")</f>
        <v/>
      </c>
      <c r="S1082" s="4" t="str">
        <f>HYPERLINK("http://141.218.60.56/~jnz1568/getInfo.php?workbook=16_15.xlsx&amp;sheet=A0&amp;row=1082&amp;col=19&amp;number=&amp;sourceID=57","")</f>
        <v/>
      </c>
      <c r="T1082" s="4" t="str">
        <f>HYPERLINK("http://141.218.60.56/~jnz1568/getInfo.php?workbook=16_15.xlsx&amp;sheet=A0&amp;row=1082&amp;col=20&amp;number=&amp;sourceID=57","")</f>
        <v/>
      </c>
      <c r="U1082" s="4" t="str">
        <f>HYPERLINK("http://141.218.60.56/~jnz1568/getInfo.php?workbook=16_15.xlsx&amp;sheet=A0&amp;row=1082&amp;col=21&amp;number=&amp;sourceID=47","")</f>
        <v/>
      </c>
      <c r="V1082" s="4" t="str">
        <f>HYPERLINK("http://141.218.60.56/~jnz1568/getInfo.php?workbook=16_15.xlsx&amp;sheet=A0&amp;row=1082&amp;col=22&amp;number=&amp;sourceID=47","")</f>
        <v/>
      </c>
    </row>
    <row r="1083" spans="1:22">
      <c r="A1083" s="3">
        <v>16</v>
      </c>
      <c r="B1083" s="3">
        <v>15</v>
      </c>
      <c r="C1083" s="3">
        <v>53</v>
      </c>
      <c r="D1083" s="3">
        <v>21</v>
      </c>
      <c r="E1083" s="3">
        <f>((1/(INDEX(E0!J$4:J$73,C1083,1)-INDEX(E0!J$4:J$73,D1083,1))))*100000000</f>
        <v>0</v>
      </c>
      <c r="F1083" s="4" t="str">
        <f>HYPERLINK("http://141.218.60.56/~jnz1568/getInfo.php?workbook=16_15.xlsx&amp;sheet=A0&amp;row=1083&amp;col=6&amp;number=&amp;sourceID=54","")</f>
        <v/>
      </c>
      <c r="G1083" s="4" t="str">
        <f>HYPERLINK("http://141.218.60.56/~jnz1568/getInfo.php?workbook=16_15.xlsx&amp;sheet=A0&amp;row=1083&amp;col=7&amp;number=97.222&amp;sourceID=54","97.222")</f>
        <v>97.222</v>
      </c>
      <c r="H1083" s="4" t="str">
        <f>HYPERLINK("http://141.218.60.56/~jnz1568/getInfo.php?workbook=16_15.xlsx&amp;sheet=A0&amp;row=1083&amp;col=8&amp;number=&amp;sourceID=54","")</f>
        <v/>
      </c>
      <c r="I1083" s="4" t="str">
        <f>HYPERLINK("http://141.218.60.56/~jnz1568/getInfo.php?workbook=16_15.xlsx&amp;sheet=A0&amp;row=1083&amp;col=9&amp;number=&amp;sourceID=54","")</f>
        <v/>
      </c>
      <c r="J1083" s="4" t="str">
        <f>HYPERLINK("http://141.218.60.56/~jnz1568/getInfo.php?workbook=16_15.xlsx&amp;sheet=A0&amp;row=1083&amp;col=10&amp;number=67.168&amp;sourceID=54","67.168")</f>
        <v>67.168</v>
      </c>
      <c r="K1083" s="4" t="str">
        <f>HYPERLINK("http://141.218.60.56/~jnz1568/getInfo.php?workbook=16_15.xlsx&amp;sheet=A0&amp;row=1083&amp;col=11&amp;number=&amp;sourceID=54","")</f>
        <v/>
      </c>
      <c r="L1083" s="4" t="str">
        <f>HYPERLINK("http://141.218.60.56/~jnz1568/getInfo.php?workbook=16_15.xlsx&amp;sheet=A0&amp;row=1083&amp;col=12&amp;number=&amp;sourceID=53","")</f>
        <v/>
      </c>
      <c r="M1083" s="4" t="str">
        <f>HYPERLINK("http://141.218.60.56/~jnz1568/getInfo.php?workbook=16_15.xlsx&amp;sheet=A0&amp;row=1083&amp;col=13&amp;number=&amp;sourceID=53","")</f>
        <v/>
      </c>
      <c r="N1083" s="4" t="str">
        <f>HYPERLINK("http://141.218.60.56/~jnz1568/getInfo.php?workbook=16_15.xlsx&amp;sheet=A0&amp;row=1083&amp;col=14&amp;number=&amp;sourceID=53","")</f>
        <v/>
      </c>
      <c r="O1083" s="4" t="str">
        <f>HYPERLINK("http://141.218.60.56/~jnz1568/getInfo.php?workbook=16_15.xlsx&amp;sheet=A0&amp;row=1083&amp;col=15&amp;number=&amp;sourceID=55","")</f>
        <v/>
      </c>
      <c r="P1083" s="4" t="str">
        <f>HYPERLINK("http://141.218.60.56/~jnz1568/getInfo.php?workbook=16_15.xlsx&amp;sheet=A0&amp;row=1083&amp;col=16&amp;number=&amp;sourceID=55","")</f>
        <v/>
      </c>
      <c r="Q1083" s="4" t="str">
        <f>HYPERLINK("http://141.218.60.56/~jnz1568/getInfo.php?workbook=16_15.xlsx&amp;sheet=A0&amp;row=1083&amp;col=17&amp;number=&amp;sourceID=56","")</f>
        <v/>
      </c>
      <c r="R1083" s="4" t="str">
        <f>HYPERLINK("http://141.218.60.56/~jnz1568/getInfo.php?workbook=16_15.xlsx&amp;sheet=A0&amp;row=1083&amp;col=18&amp;number=&amp;sourceID=56","")</f>
        <v/>
      </c>
      <c r="S1083" s="4" t="str">
        <f>HYPERLINK("http://141.218.60.56/~jnz1568/getInfo.php?workbook=16_15.xlsx&amp;sheet=A0&amp;row=1083&amp;col=19&amp;number=&amp;sourceID=57","")</f>
        <v/>
      </c>
      <c r="T1083" s="4" t="str">
        <f>HYPERLINK("http://141.218.60.56/~jnz1568/getInfo.php?workbook=16_15.xlsx&amp;sheet=A0&amp;row=1083&amp;col=20&amp;number=&amp;sourceID=57","")</f>
        <v/>
      </c>
      <c r="U1083" s="4" t="str">
        <f>HYPERLINK("http://141.218.60.56/~jnz1568/getInfo.php?workbook=16_15.xlsx&amp;sheet=A0&amp;row=1083&amp;col=21&amp;number=&amp;sourceID=47","")</f>
        <v/>
      </c>
      <c r="V1083" s="4" t="str">
        <f>HYPERLINK("http://141.218.60.56/~jnz1568/getInfo.php?workbook=16_15.xlsx&amp;sheet=A0&amp;row=1083&amp;col=22&amp;number=&amp;sourceID=47","")</f>
        <v/>
      </c>
    </row>
    <row r="1084" spans="1:22">
      <c r="A1084" s="3">
        <v>16</v>
      </c>
      <c r="B1084" s="3">
        <v>15</v>
      </c>
      <c r="C1084" s="3">
        <v>53</v>
      </c>
      <c r="D1084" s="3">
        <v>23</v>
      </c>
      <c r="E1084" s="3">
        <f>((1/(INDEX(E0!J$4:J$73,C1084,1)-INDEX(E0!J$4:J$73,D1084,1))))*100000000</f>
        <v>0</v>
      </c>
      <c r="F1084" s="4" t="str">
        <f>HYPERLINK("http://141.218.60.56/~jnz1568/getInfo.php?workbook=16_15.xlsx&amp;sheet=A0&amp;row=1084&amp;col=6&amp;number=&amp;sourceID=54","")</f>
        <v/>
      </c>
      <c r="G1084" s="4" t="str">
        <f>HYPERLINK("http://141.218.60.56/~jnz1568/getInfo.php?workbook=16_15.xlsx&amp;sheet=A0&amp;row=1084&amp;col=7&amp;number=4.8302e-05&amp;sourceID=54","4.8302e-05")</f>
        <v>4.8302e-05</v>
      </c>
      <c r="H1084" s="4" t="str">
        <f>HYPERLINK("http://141.218.60.56/~jnz1568/getInfo.php?workbook=16_15.xlsx&amp;sheet=A0&amp;row=1084&amp;col=8&amp;number=&amp;sourceID=54","")</f>
        <v/>
      </c>
      <c r="I1084" s="4" t="str">
        <f>HYPERLINK("http://141.218.60.56/~jnz1568/getInfo.php?workbook=16_15.xlsx&amp;sheet=A0&amp;row=1084&amp;col=9&amp;number=&amp;sourceID=54","")</f>
        <v/>
      </c>
      <c r="J1084" s="4" t="str">
        <f>HYPERLINK("http://141.218.60.56/~jnz1568/getInfo.php?workbook=16_15.xlsx&amp;sheet=A0&amp;row=1084&amp;col=10&amp;number=5.9075e-05&amp;sourceID=54","5.9075e-05")</f>
        <v>5.9075e-05</v>
      </c>
      <c r="K1084" s="4" t="str">
        <f>HYPERLINK("http://141.218.60.56/~jnz1568/getInfo.php?workbook=16_15.xlsx&amp;sheet=A0&amp;row=1084&amp;col=11&amp;number=&amp;sourceID=54","")</f>
        <v/>
      </c>
      <c r="L1084" s="4" t="str">
        <f>HYPERLINK("http://141.218.60.56/~jnz1568/getInfo.php?workbook=16_15.xlsx&amp;sheet=A0&amp;row=1084&amp;col=12&amp;number=&amp;sourceID=53","")</f>
        <v/>
      </c>
      <c r="M1084" s="4" t="str">
        <f>HYPERLINK("http://141.218.60.56/~jnz1568/getInfo.php?workbook=16_15.xlsx&amp;sheet=A0&amp;row=1084&amp;col=13&amp;number=&amp;sourceID=53","")</f>
        <v/>
      </c>
      <c r="N1084" s="4" t="str">
        <f>HYPERLINK("http://141.218.60.56/~jnz1568/getInfo.php?workbook=16_15.xlsx&amp;sheet=A0&amp;row=1084&amp;col=14&amp;number=&amp;sourceID=53","")</f>
        <v/>
      </c>
      <c r="O1084" s="4" t="str">
        <f>HYPERLINK("http://141.218.60.56/~jnz1568/getInfo.php?workbook=16_15.xlsx&amp;sheet=A0&amp;row=1084&amp;col=15&amp;number=&amp;sourceID=55","")</f>
        <v/>
      </c>
      <c r="P1084" s="4" t="str">
        <f>HYPERLINK("http://141.218.60.56/~jnz1568/getInfo.php?workbook=16_15.xlsx&amp;sheet=A0&amp;row=1084&amp;col=16&amp;number=&amp;sourceID=55","")</f>
        <v/>
      </c>
      <c r="Q1084" s="4" t="str">
        <f>HYPERLINK("http://141.218.60.56/~jnz1568/getInfo.php?workbook=16_15.xlsx&amp;sheet=A0&amp;row=1084&amp;col=17&amp;number=&amp;sourceID=56","")</f>
        <v/>
      </c>
      <c r="R1084" s="4" t="str">
        <f>HYPERLINK("http://141.218.60.56/~jnz1568/getInfo.php?workbook=16_15.xlsx&amp;sheet=A0&amp;row=1084&amp;col=18&amp;number=&amp;sourceID=56","")</f>
        <v/>
      </c>
      <c r="S1084" s="4" t="str">
        <f>HYPERLINK("http://141.218.60.56/~jnz1568/getInfo.php?workbook=16_15.xlsx&amp;sheet=A0&amp;row=1084&amp;col=19&amp;number=&amp;sourceID=57","")</f>
        <v/>
      </c>
      <c r="T1084" s="4" t="str">
        <f>HYPERLINK("http://141.218.60.56/~jnz1568/getInfo.php?workbook=16_15.xlsx&amp;sheet=A0&amp;row=1084&amp;col=20&amp;number=&amp;sourceID=57","")</f>
        <v/>
      </c>
      <c r="U1084" s="4" t="str">
        <f>HYPERLINK("http://141.218.60.56/~jnz1568/getInfo.php?workbook=16_15.xlsx&amp;sheet=A0&amp;row=1084&amp;col=21&amp;number=&amp;sourceID=47","")</f>
        <v/>
      </c>
      <c r="V1084" s="4" t="str">
        <f>HYPERLINK("http://141.218.60.56/~jnz1568/getInfo.php?workbook=16_15.xlsx&amp;sheet=A0&amp;row=1084&amp;col=22&amp;number=&amp;sourceID=47","")</f>
        <v/>
      </c>
    </row>
    <row r="1085" spans="1:22">
      <c r="A1085" s="3">
        <v>16</v>
      </c>
      <c r="B1085" s="3">
        <v>15</v>
      </c>
      <c r="C1085" s="3">
        <v>53</v>
      </c>
      <c r="D1085" s="3">
        <v>24</v>
      </c>
      <c r="E1085" s="3">
        <f>((1/(INDEX(E0!J$4:J$73,C1085,1)-INDEX(E0!J$4:J$73,D1085,1))))*100000000</f>
        <v>0</v>
      </c>
      <c r="F1085" s="4" t="str">
        <f>HYPERLINK("http://141.218.60.56/~jnz1568/getInfo.php?workbook=16_15.xlsx&amp;sheet=A0&amp;row=1085&amp;col=6&amp;number=&amp;sourceID=54","")</f>
        <v/>
      </c>
      <c r="G1085" s="4" t="str">
        <f>HYPERLINK("http://141.218.60.56/~jnz1568/getInfo.php?workbook=16_15.xlsx&amp;sheet=A0&amp;row=1085&amp;col=7&amp;number=0.0064306&amp;sourceID=54","0.0064306")</f>
        <v>0.0064306</v>
      </c>
      <c r="H1085" s="4" t="str">
        <f>HYPERLINK("http://141.218.60.56/~jnz1568/getInfo.php?workbook=16_15.xlsx&amp;sheet=A0&amp;row=1085&amp;col=8&amp;number=0.0045642&amp;sourceID=54","0.0045642")</f>
        <v>0.0045642</v>
      </c>
      <c r="I1085" s="4" t="str">
        <f>HYPERLINK("http://141.218.60.56/~jnz1568/getInfo.php?workbook=16_15.xlsx&amp;sheet=A0&amp;row=1085&amp;col=9&amp;number=&amp;sourceID=54","")</f>
        <v/>
      </c>
      <c r="J1085" s="4" t="str">
        <f>HYPERLINK("http://141.218.60.56/~jnz1568/getInfo.php?workbook=16_15.xlsx&amp;sheet=A0&amp;row=1085&amp;col=10&amp;number=0.01442&amp;sourceID=54","0.01442")</f>
        <v>0.01442</v>
      </c>
      <c r="K1085" s="4" t="str">
        <f>HYPERLINK("http://141.218.60.56/~jnz1568/getInfo.php?workbook=16_15.xlsx&amp;sheet=A0&amp;row=1085&amp;col=11&amp;number=0.0051231&amp;sourceID=54","0.0051231")</f>
        <v>0.0051231</v>
      </c>
      <c r="L1085" s="4" t="str">
        <f>HYPERLINK("http://141.218.60.56/~jnz1568/getInfo.php?workbook=16_15.xlsx&amp;sheet=A0&amp;row=1085&amp;col=12&amp;number=&amp;sourceID=53","")</f>
        <v/>
      </c>
      <c r="M1085" s="4" t="str">
        <f>HYPERLINK("http://141.218.60.56/~jnz1568/getInfo.php?workbook=16_15.xlsx&amp;sheet=A0&amp;row=1085&amp;col=13&amp;number=&amp;sourceID=53","")</f>
        <v/>
      </c>
      <c r="N1085" s="4" t="str">
        <f>HYPERLINK("http://141.218.60.56/~jnz1568/getInfo.php?workbook=16_15.xlsx&amp;sheet=A0&amp;row=1085&amp;col=14&amp;number=&amp;sourceID=53","")</f>
        <v/>
      </c>
      <c r="O1085" s="4" t="str">
        <f>HYPERLINK("http://141.218.60.56/~jnz1568/getInfo.php?workbook=16_15.xlsx&amp;sheet=A0&amp;row=1085&amp;col=15&amp;number=&amp;sourceID=55","")</f>
        <v/>
      </c>
      <c r="P1085" s="4" t="str">
        <f>HYPERLINK("http://141.218.60.56/~jnz1568/getInfo.php?workbook=16_15.xlsx&amp;sheet=A0&amp;row=1085&amp;col=16&amp;number=&amp;sourceID=55","")</f>
        <v/>
      </c>
      <c r="Q1085" s="4" t="str">
        <f>HYPERLINK("http://141.218.60.56/~jnz1568/getInfo.php?workbook=16_15.xlsx&amp;sheet=A0&amp;row=1085&amp;col=17&amp;number=&amp;sourceID=56","")</f>
        <v/>
      </c>
      <c r="R1085" s="4" t="str">
        <f>HYPERLINK("http://141.218.60.56/~jnz1568/getInfo.php?workbook=16_15.xlsx&amp;sheet=A0&amp;row=1085&amp;col=18&amp;number=&amp;sourceID=56","")</f>
        <v/>
      </c>
      <c r="S1085" s="4" t="str">
        <f>HYPERLINK("http://141.218.60.56/~jnz1568/getInfo.php?workbook=16_15.xlsx&amp;sheet=A0&amp;row=1085&amp;col=19&amp;number=&amp;sourceID=57","")</f>
        <v/>
      </c>
      <c r="T1085" s="4" t="str">
        <f>HYPERLINK("http://141.218.60.56/~jnz1568/getInfo.php?workbook=16_15.xlsx&amp;sheet=A0&amp;row=1085&amp;col=20&amp;number=&amp;sourceID=57","")</f>
        <v/>
      </c>
      <c r="U1085" s="4" t="str">
        <f>HYPERLINK("http://141.218.60.56/~jnz1568/getInfo.php?workbook=16_15.xlsx&amp;sheet=A0&amp;row=1085&amp;col=21&amp;number=&amp;sourceID=47","")</f>
        <v/>
      </c>
      <c r="V1085" s="4" t="str">
        <f>HYPERLINK("http://141.218.60.56/~jnz1568/getInfo.php?workbook=16_15.xlsx&amp;sheet=A0&amp;row=1085&amp;col=22&amp;number=&amp;sourceID=47","")</f>
        <v/>
      </c>
    </row>
    <row r="1086" spans="1:22">
      <c r="A1086" s="3">
        <v>16</v>
      </c>
      <c r="B1086" s="3">
        <v>15</v>
      </c>
      <c r="C1086" s="3">
        <v>53</v>
      </c>
      <c r="D1086" s="3">
        <v>25</v>
      </c>
      <c r="E1086" s="3">
        <f>((1/(INDEX(E0!J$4:J$73,C1086,1)-INDEX(E0!J$4:J$73,D1086,1))))*100000000</f>
        <v>0</v>
      </c>
      <c r="F1086" s="4" t="str">
        <f>HYPERLINK("http://141.218.60.56/~jnz1568/getInfo.php?workbook=16_15.xlsx&amp;sheet=A0&amp;row=1086&amp;col=6&amp;number=&amp;sourceID=54","")</f>
        <v/>
      </c>
      <c r="G1086" s="4" t="str">
        <f>HYPERLINK("http://141.218.60.56/~jnz1568/getInfo.php?workbook=16_15.xlsx&amp;sheet=A0&amp;row=1086&amp;col=7&amp;number=0.19758&amp;sourceID=54","0.19758")</f>
        <v>0.19758</v>
      </c>
      <c r="H1086" s="4" t="str">
        <f>HYPERLINK("http://141.218.60.56/~jnz1568/getInfo.php?workbook=16_15.xlsx&amp;sheet=A0&amp;row=1086&amp;col=8&amp;number=0.0085606&amp;sourceID=54","0.0085606")</f>
        <v>0.0085606</v>
      </c>
      <c r="I1086" s="4" t="str">
        <f>HYPERLINK("http://141.218.60.56/~jnz1568/getInfo.php?workbook=16_15.xlsx&amp;sheet=A0&amp;row=1086&amp;col=9&amp;number=&amp;sourceID=54","")</f>
        <v/>
      </c>
      <c r="J1086" s="4" t="str">
        <f>HYPERLINK("http://141.218.60.56/~jnz1568/getInfo.php?workbook=16_15.xlsx&amp;sheet=A0&amp;row=1086&amp;col=10&amp;number=0.26095&amp;sourceID=54","0.26095")</f>
        <v>0.26095</v>
      </c>
      <c r="K1086" s="4" t="str">
        <f>HYPERLINK("http://141.218.60.56/~jnz1568/getInfo.php?workbook=16_15.xlsx&amp;sheet=A0&amp;row=1086&amp;col=11&amp;number=0.01122&amp;sourceID=54","0.01122")</f>
        <v>0.01122</v>
      </c>
      <c r="L1086" s="4" t="str">
        <f>HYPERLINK("http://141.218.60.56/~jnz1568/getInfo.php?workbook=16_15.xlsx&amp;sheet=A0&amp;row=1086&amp;col=12&amp;number=&amp;sourceID=53","")</f>
        <v/>
      </c>
      <c r="M1086" s="4" t="str">
        <f>HYPERLINK("http://141.218.60.56/~jnz1568/getInfo.php?workbook=16_15.xlsx&amp;sheet=A0&amp;row=1086&amp;col=13&amp;number=&amp;sourceID=53","")</f>
        <v/>
      </c>
      <c r="N1086" s="4" t="str">
        <f>HYPERLINK("http://141.218.60.56/~jnz1568/getInfo.php?workbook=16_15.xlsx&amp;sheet=A0&amp;row=1086&amp;col=14&amp;number=&amp;sourceID=53","")</f>
        <v/>
      </c>
      <c r="O1086" s="4" t="str">
        <f>HYPERLINK("http://141.218.60.56/~jnz1568/getInfo.php?workbook=16_15.xlsx&amp;sheet=A0&amp;row=1086&amp;col=15&amp;number=&amp;sourceID=55","")</f>
        <v/>
      </c>
      <c r="P1086" s="4" t="str">
        <f>HYPERLINK("http://141.218.60.56/~jnz1568/getInfo.php?workbook=16_15.xlsx&amp;sheet=A0&amp;row=1086&amp;col=16&amp;number=&amp;sourceID=55","")</f>
        <v/>
      </c>
      <c r="Q1086" s="4" t="str">
        <f>HYPERLINK("http://141.218.60.56/~jnz1568/getInfo.php?workbook=16_15.xlsx&amp;sheet=A0&amp;row=1086&amp;col=17&amp;number=&amp;sourceID=56","")</f>
        <v/>
      </c>
      <c r="R1086" s="4" t="str">
        <f>HYPERLINK("http://141.218.60.56/~jnz1568/getInfo.php?workbook=16_15.xlsx&amp;sheet=A0&amp;row=1086&amp;col=18&amp;number=&amp;sourceID=56","")</f>
        <v/>
      </c>
      <c r="S1086" s="4" t="str">
        <f>HYPERLINK("http://141.218.60.56/~jnz1568/getInfo.php?workbook=16_15.xlsx&amp;sheet=A0&amp;row=1086&amp;col=19&amp;number=&amp;sourceID=57","")</f>
        <v/>
      </c>
      <c r="T1086" s="4" t="str">
        <f>HYPERLINK("http://141.218.60.56/~jnz1568/getInfo.php?workbook=16_15.xlsx&amp;sheet=A0&amp;row=1086&amp;col=20&amp;number=&amp;sourceID=57","")</f>
        <v/>
      </c>
      <c r="U1086" s="4" t="str">
        <f>HYPERLINK("http://141.218.60.56/~jnz1568/getInfo.php?workbook=16_15.xlsx&amp;sheet=A0&amp;row=1086&amp;col=21&amp;number=&amp;sourceID=47","")</f>
        <v/>
      </c>
      <c r="V1086" s="4" t="str">
        <f>HYPERLINK("http://141.218.60.56/~jnz1568/getInfo.php?workbook=16_15.xlsx&amp;sheet=A0&amp;row=1086&amp;col=22&amp;number=&amp;sourceID=47","")</f>
        <v/>
      </c>
    </row>
    <row r="1087" spans="1:22">
      <c r="A1087" s="3">
        <v>16</v>
      </c>
      <c r="B1087" s="3">
        <v>15</v>
      </c>
      <c r="C1087" s="3">
        <v>53</v>
      </c>
      <c r="D1087" s="3">
        <v>26</v>
      </c>
      <c r="E1087" s="3">
        <f>((1/(INDEX(E0!J$4:J$73,C1087,1)-INDEX(E0!J$4:J$73,D1087,1))))*100000000</f>
        <v>0</v>
      </c>
      <c r="F1087" s="4" t="str">
        <f>HYPERLINK("http://141.218.60.56/~jnz1568/getInfo.php?workbook=16_15.xlsx&amp;sheet=A0&amp;row=1087&amp;col=6&amp;number=&amp;sourceID=54","")</f>
        <v/>
      </c>
      <c r="G1087" s="4" t="str">
        <f>HYPERLINK("http://141.218.60.56/~jnz1568/getInfo.php?workbook=16_15.xlsx&amp;sheet=A0&amp;row=1087&amp;col=7&amp;number=0.5057&amp;sourceID=54","0.5057")</f>
        <v>0.5057</v>
      </c>
      <c r="H1087" s="4" t="str">
        <f>HYPERLINK("http://141.218.60.56/~jnz1568/getInfo.php?workbook=16_15.xlsx&amp;sheet=A0&amp;row=1087&amp;col=8&amp;number=0.0069004&amp;sourceID=54","0.0069004")</f>
        <v>0.0069004</v>
      </c>
      <c r="I1087" s="4" t="str">
        <f>HYPERLINK("http://141.218.60.56/~jnz1568/getInfo.php?workbook=16_15.xlsx&amp;sheet=A0&amp;row=1087&amp;col=9&amp;number=&amp;sourceID=54","")</f>
        <v/>
      </c>
      <c r="J1087" s="4" t="str">
        <f>HYPERLINK("http://141.218.60.56/~jnz1568/getInfo.php?workbook=16_15.xlsx&amp;sheet=A0&amp;row=1087&amp;col=10&amp;number=0.37946&amp;sourceID=54","0.37946")</f>
        <v>0.37946</v>
      </c>
      <c r="K1087" s="4" t="str">
        <f>HYPERLINK("http://141.218.60.56/~jnz1568/getInfo.php?workbook=16_15.xlsx&amp;sheet=A0&amp;row=1087&amp;col=11&amp;number=0.0050818&amp;sourceID=54","0.0050818")</f>
        <v>0.0050818</v>
      </c>
      <c r="L1087" s="4" t="str">
        <f>HYPERLINK("http://141.218.60.56/~jnz1568/getInfo.php?workbook=16_15.xlsx&amp;sheet=A0&amp;row=1087&amp;col=12&amp;number=&amp;sourceID=53","")</f>
        <v/>
      </c>
      <c r="M1087" s="4" t="str">
        <f>HYPERLINK("http://141.218.60.56/~jnz1568/getInfo.php?workbook=16_15.xlsx&amp;sheet=A0&amp;row=1087&amp;col=13&amp;number=&amp;sourceID=53","")</f>
        <v/>
      </c>
      <c r="N1087" s="4" t="str">
        <f>HYPERLINK("http://141.218.60.56/~jnz1568/getInfo.php?workbook=16_15.xlsx&amp;sheet=A0&amp;row=1087&amp;col=14&amp;number=&amp;sourceID=53","")</f>
        <v/>
      </c>
      <c r="O1087" s="4" t="str">
        <f>HYPERLINK("http://141.218.60.56/~jnz1568/getInfo.php?workbook=16_15.xlsx&amp;sheet=A0&amp;row=1087&amp;col=15&amp;number=&amp;sourceID=55","")</f>
        <v/>
      </c>
      <c r="P1087" s="4" t="str">
        <f>HYPERLINK("http://141.218.60.56/~jnz1568/getInfo.php?workbook=16_15.xlsx&amp;sheet=A0&amp;row=1087&amp;col=16&amp;number=&amp;sourceID=55","")</f>
        <v/>
      </c>
      <c r="Q1087" s="4" t="str">
        <f>HYPERLINK("http://141.218.60.56/~jnz1568/getInfo.php?workbook=16_15.xlsx&amp;sheet=A0&amp;row=1087&amp;col=17&amp;number=&amp;sourceID=56","")</f>
        <v/>
      </c>
      <c r="R1087" s="4" t="str">
        <f>HYPERLINK("http://141.218.60.56/~jnz1568/getInfo.php?workbook=16_15.xlsx&amp;sheet=A0&amp;row=1087&amp;col=18&amp;number=&amp;sourceID=56","")</f>
        <v/>
      </c>
      <c r="S1087" s="4" t="str">
        <f>HYPERLINK("http://141.218.60.56/~jnz1568/getInfo.php?workbook=16_15.xlsx&amp;sheet=A0&amp;row=1087&amp;col=19&amp;number=&amp;sourceID=57","")</f>
        <v/>
      </c>
      <c r="T1087" s="4" t="str">
        <f>HYPERLINK("http://141.218.60.56/~jnz1568/getInfo.php?workbook=16_15.xlsx&amp;sheet=A0&amp;row=1087&amp;col=20&amp;number=&amp;sourceID=57","")</f>
        <v/>
      </c>
      <c r="U1087" s="4" t="str">
        <f>HYPERLINK("http://141.218.60.56/~jnz1568/getInfo.php?workbook=16_15.xlsx&amp;sheet=A0&amp;row=1087&amp;col=21&amp;number=&amp;sourceID=47","")</f>
        <v/>
      </c>
      <c r="V1087" s="4" t="str">
        <f>HYPERLINK("http://141.218.60.56/~jnz1568/getInfo.php?workbook=16_15.xlsx&amp;sheet=A0&amp;row=1087&amp;col=22&amp;number=&amp;sourceID=47","")</f>
        <v/>
      </c>
    </row>
    <row r="1088" spans="1:22">
      <c r="A1088" s="3">
        <v>16</v>
      </c>
      <c r="B1088" s="3">
        <v>15</v>
      </c>
      <c r="C1088" s="3">
        <v>53</v>
      </c>
      <c r="D1088" s="3">
        <v>27</v>
      </c>
      <c r="E1088" s="3">
        <f>((1/(INDEX(E0!J$4:J$73,C1088,1)-INDEX(E0!J$4:J$73,D1088,1))))*100000000</f>
        <v>0</v>
      </c>
      <c r="F1088" s="4" t="str">
        <f>HYPERLINK("http://141.218.60.56/~jnz1568/getInfo.php?workbook=16_15.xlsx&amp;sheet=A0&amp;row=1088&amp;col=6&amp;number=&amp;sourceID=54","")</f>
        <v/>
      </c>
      <c r="G1088" s="4" t="str">
        <f>HYPERLINK("http://141.218.60.56/~jnz1568/getInfo.php?workbook=16_15.xlsx&amp;sheet=A0&amp;row=1088&amp;col=7&amp;number=3.8053&amp;sourceID=54","3.8053")</f>
        <v>3.8053</v>
      </c>
      <c r="H1088" s="4" t="str">
        <f>HYPERLINK("http://141.218.60.56/~jnz1568/getInfo.php?workbook=16_15.xlsx&amp;sheet=A0&amp;row=1088&amp;col=8&amp;number=0.00017581&amp;sourceID=54","0.00017581")</f>
        <v>0.00017581</v>
      </c>
      <c r="I1088" s="4" t="str">
        <f>HYPERLINK("http://141.218.60.56/~jnz1568/getInfo.php?workbook=16_15.xlsx&amp;sheet=A0&amp;row=1088&amp;col=9&amp;number=&amp;sourceID=54","")</f>
        <v/>
      </c>
      <c r="J1088" s="4" t="str">
        <f>HYPERLINK("http://141.218.60.56/~jnz1568/getInfo.php?workbook=16_15.xlsx&amp;sheet=A0&amp;row=1088&amp;col=10&amp;number=2.8194&amp;sourceID=54","2.8194")</f>
        <v>2.8194</v>
      </c>
      <c r="K1088" s="4" t="str">
        <f>HYPERLINK("http://141.218.60.56/~jnz1568/getInfo.php?workbook=16_15.xlsx&amp;sheet=A0&amp;row=1088&amp;col=11&amp;number=0.00061746&amp;sourceID=54","0.00061746")</f>
        <v>0.00061746</v>
      </c>
      <c r="L1088" s="4" t="str">
        <f>HYPERLINK("http://141.218.60.56/~jnz1568/getInfo.php?workbook=16_15.xlsx&amp;sheet=A0&amp;row=1088&amp;col=12&amp;number=&amp;sourceID=53","")</f>
        <v/>
      </c>
      <c r="M1088" s="4" t="str">
        <f>HYPERLINK("http://141.218.60.56/~jnz1568/getInfo.php?workbook=16_15.xlsx&amp;sheet=A0&amp;row=1088&amp;col=13&amp;number=&amp;sourceID=53","")</f>
        <v/>
      </c>
      <c r="N1088" s="4" t="str">
        <f>HYPERLINK("http://141.218.60.56/~jnz1568/getInfo.php?workbook=16_15.xlsx&amp;sheet=A0&amp;row=1088&amp;col=14&amp;number=&amp;sourceID=53","")</f>
        <v/>
      </c>
      <c r="O1088" s="4" t="str">
        <f>HYPERLINK("http://141.218.60.56/~jnz1568/getInfo.php?workbook=16_15.xlsx&amp;sheet=A0&amp;row=1088&amp;col=15&amp;number=&amp;sourceID=55","")</f>
        <v/>
      </c>
      <c r="P1088" s="4" t="str">
        <f>HYPERLINK("http://141.218.60.56/~jnz1568/getInfo.php?workbook=16_15.xlsx&amp;sheet=A0&amp;row=1088&amp;col=16&amp;number=&amp;sourceID=55","")</f>
        <v/>
      </c>
      <c r="Q1088" s="4" t="str">
        <f>HYPERLINK("http://141.218.60.56/~jnz1568/getInfo.php?workbook=16_15.xlsx&amp;sheet=A0&amp;row=1088&amp;col=17&amp;number=&amp;sourceID=56","")</f>
        <v/>
      </c>
      <c r="R1088" s="4" t="str">
        <f>HYPERLINK("http://141.218.60.56/~jnz1568/getInfo.php?workbook=16_15.xlsx&amp;sheet=A0&amp;row=1088&amp;col=18&amp;number=&amp;sourceID=56","")</f>
        <v/>
      </c>
      <c r="S1088" s="4" t="str">
        <f>HYPERLINK("http://141.218.60.56/~jnz1568/getInfo.php?workbook=16_15.xlsx&amp;sheet=A0&amp;row=1088&amp;col=19&amp;number=&amp;sourceID=57","")</f>
        <v/>
      </c>
      <c r="T1088" s="4" t="str">
        <f>HYPERLINK("http://141.218.60.56/~jnz1568/getInfo.php?workbook=16_15.xlsx&amp;sheet=A0&amp;row=1088&amp;col=20&amp;number=&amp;sourceID=57","")</f>
        <v/>
      </c>
      <c r="U1088" s="4" t="str">
        <f>HYPERLINK("http://141.218.60.56/~jnz1568/getInfo.php?workbook=16_15.xlsx&amp;sheet=A0&amp;row=1088&amp;col=21&amp;number=&amp;sourceID=47","")</f>
        <v/>
      </c>
      <c r="V1088" s="4" t="str">
        <f>HYPERLINK("http://141.218.60.56/~jnz1568/getInfo.php?workbook=16_15.xlsx&amp;sheet=A0&amp;row=1088&amp;col=22&amp;number=&amp;sourceID=47","")</f>
        <v/>
      </c>
    </row>
    <row r="1089" spans="1:22">
      <c r="A1089" s="3">
        <v>16</v>
      </c>
      <c r="B1089" s="3">
        <v>15</v>
      </c>
      <c r="C1089" s="3">
        <v>53</v>
      </c>
      <c r="D1089" s="3">
        <v>29</v>
      </c>
      <c r="E1089" s="3">
        <f>((1/(INDEX(E0!J$4:J$73,C1089,1)-INDEX(E0!J$4:J$73,D1089,1))))*100000000</f>
        <v>0</v>
      </c>
      <c r="F1089" s="4" t="str">
        <f>HYPERLINK("http://141.218.60.56/~jnz1568/getInfo.php?workbook=16_15.xlsx&amp;sheet=A0&amp;row=1089&amp;col=6&amp;number=&amp;sourceID=54","")</f>
        <v/>
      </c>
      <c r="G1089" s="4" t="str">
        <f>HYPERLINK("http://141.218.60.56/~jnz1568/getInfo.php?workbook=16_15.xlsx&amp;sheet=A0&amp;row=1089&amp;col=7&amp;number=0.43179&amp;sourceID=54","0.43179")</f>
        <v>0.43179</v>
      </c>
      <c r="H1089" s="4" t="str">
        <f>HYPERLINK("http://141.218.60.56/~jnz1568/getInfo.php?workbook=16_15.xlsx&amp;sheet=A0&amp;row=1089&amp;col=8&amp;number=&amp;sourceID=54","")</f>
        <v/>
      </c>
      <c r="I1089" s="4" t="str">
        <f>HYPERLINK("http://141.218.60.56/~jnz1568/getInfo.php?workbook=16_15.xlsx&amp;sheet=A0&amp;row=1089&amp;col=9&amp;number=&amp;sourceID=54","")</f>
        <v/>
      </c>
      <c r="J1089" s="4" t="str">
        <f>HYPERLINK("http://141.218.60.56/~jnz1568/getInfo.php?workbook=16_15.xlsx&amp;sheet=A0&amp;row=1089&amp;col=10&amp;number=0.2694&amp;sourceID=54","0.2694")</f>
        <v>0.2694</v>
      </c>
      <c r="K1089" s="4" t="str">
        <f>HYPERLINK("http://141.218.60.56/~jnz1568/getInfo.php?workbook=16_15.xlsx&amp;sheet=A0&amp;row=1089&amp;col=11&amp;number=&amp;sourceID=54","")</f>
        <v/>
      </c>
      <c r="L1089" s="4" t="str">
        <f>HYPERLINK("http://141.218.60.56/~jnz1568/getInfo.php?workbook=16_15.xlsx&amp;sheet=A0&amp;row=1089&amp;col=12&amp;number=&amp;sourceID=53","")</f>
        <v/>
      </c>
      <c r="M1089" s="4" t="str">
        <f>HYPERLINK("http://141.218.60.56/~jnz1568/getInfo.php?workbook=16_15.xlsx&amp;sheet=A0&amp;row=1089&amp;col=13&amp;number=&amp;sourceID=53","")</f>
        <v/>
      </c>
      <c r="N1089" s="4" t="str">
        <f>HYPERLINK("http://141.218.60.56/~jnz1568/getInfo.php?workbook=16_15.xlsx&amp;sheet=A0&amp;row=1089&amp;col=14&amp;number=&amp;sourceID=53","")</f>
        <v/>
      </c>
      <c r="O1089" s="4" t="str">
        <f>HYPERLINK("http://141.218.60.56/~jnz1568/getInfo.php?workbook=16_15.xlsx&amp;sheet=A0&amp;row=1089&amp;col=15&amp;number=&amp;sourceID=55","")</f>
        <v/>
      </c>
      <c r="P1089" s="4" t="str">
        <f>HYPERLINK("http://141.218.60.56/~jnz1568/getInfo.php?workbook=16_15.xlsx&amp;sheet=A0&amp;row=1089&amp;col=16&amp;number=&amp;sourceID=55","")</f>
        <v/>
      </c>
      <c r="Q1089" s="4" t="str">
        <f>HYPERLINK("http://141.218.60.56/~jnz1568/getInfo.php?workbook=16_15.xlsx&amp;sheet=A0&amp;row=1089&amp;col=17&amp;number=&amp;sourceID=56","")</f>
        <v/>
      </c>
      <c r="R1089" s="4" t="str">
        <f>HYPERLINK("http://141.218.60.56/~jnz1568/getInfo.php?workbook=16_15.xlsx&amp;sheet=A0&amp;row=1089&amp;col=18&amp;number=&amp;sourceID=56","")</f>
        <v/>
      </c>
      <c r="S1089" s="4" t="str">
        <f>HYPERLINK("http://141.218.60.56/~jnz1568/getInfo.php?workbook=16_15.xlsx&amp;sheet=A0&amp;row=1089&amp;col=19&amp;number=&amp;sourceID=57","")</f>
        <v/>
      </c>
      <c r="T1089" s="4" t="str">
        <f>HYPERLINK("http://141.218.60.56/~jnz1568/getInfo.php?workbook=16_15.xlsx&amp;sheet=A0&amp;row=1089&amp;col=20&amp;number=&amp;sourceID=57","")</f>
        <v/>
      </c>
      <c r="U1089" s="4" t="str">
        <f>HYPERLINK("http://141.218.60.56/~jnz1568/getInfo.php?workbook=16_15.xlsx&amp;sheet=A0&amp;row=1089&amp;col=21&amp;number=&amp;sourceID=47","")</f>
        <v/>
      </c>
      <c r="V1089" s="4" t="str">
        <f>HYPERLINK("http://141.218.60.56/~jnz1568/getInfo.php?workbook=16_15.xlsx&amp;sheet=A0&amp;row=1089&amp;col=22&amp;number=&amp;sourceID=47","")</f>
        <v/>
      </c>
    </row>
    <row r="1090" spans="1:22">
      <c r="A1090" s="3">
        <v>16</v>
      </c>
      <c r="B1090" s="3">
        <v>15</v>
      </c>
      <c r="C1090" s="3">
        <v>53</v>
      </c>
      <c r="D1090" s="3">
        <v>30</v>
      </c>
      <c r="E1090" s="3">
        <f>((1/(INDEX(E0!J$4:J$73,C1090,1)-INDEX(E0!J$4:J$73,D1090,1))))*100000000</f>
        <v>0</v>
      </c>
      <c r="F1090" s="4" t="str">
        <f>HYPERLINK("http://141.218.60.56/~jnz1568/getInfo.php?workbook=16_15.xlsx&amp;sheet=A0&amp;row=1090&amp;col=6&amp;number=&amp;sourceID=54","")</f>
        <v/>
      </c>
      <c r="G1090" s="4" t="str">
        <f>HYPERLINK("http://141.218.60.56/~jnz1568/getInfo.php?workbook=16_15.xlsx&amp;sheet=A0&amp;row=1090&amp;col=7&amp;number=6.3577&amp;sourceID=54","6.3577")</f>
        <v>6.3577</v>
      </c>
      <c r="H1090" s="4" t="str">
        <f>HYPERLINK("http://141.218.60.56/~jnz1568/getInfo.php?workbook=16_15.xlsx&amp;sheet=A0&amp;row=1090&amp;col=8&amp;number=3.6323e-06&amp;sourceID=54","3.6323e-06")</f>
        <v>3.6323e-06</v>
      </c>
      <c r="I1090" s="4" t="str">
        <f>HYPERLINK("http://141.218.60.56/~jnz1568/getInfo.php?workbook=16_15.xlsx&amp;sheet=A0&amp;row=1090&amp;col=9&amp;number=&amp;sourceID=54","")</f>
        <v/>
      </c>
      <c r="J1090" s="4" t="str">
        <f>HYPERLINK("http://141.218.60.56/~jnz1568/getInfo.php?workbook=16_15.xlsx&amp;sheet=A0&amp;row=1090&amp;col=10&amp;number=3.9947&amp;sourceID=54","3.9947")</f>
        <v>3.9947</v>
      </c>
      <c r="K1090" s="4" t="str">
        <f>HYPERLINK("http://141.218.60.56/~jnz1568/getInfo.php?workbook=16_15.xlsx&amp;sheet=A0&amp;row=1090&amp;col=11&amp;number=2.8669e-06&amp;sourceID=54","2.8669e-06")</f>
        <v>2.8669e-06</v>
      </c>
      <c r="L1090" s="4" t="str">
        <f>HYPERLINK("http://141.218.60.56/~jnz1568/getInfo.php?workbook=16_15.xlsx&amp;sheet=A0&amp;row=1090&amp;col=12&amp;number=&amp;sourceID=53","")</f>
        <v/>
      </c>
      <c r="M1090" s="4" t="str">
        <f>HYPERLINK("http://141.218.60.56/~jnz1568/getInfo.php?workbook=16_15.xlsx&amp;sheet=A0&amp;row=1090&amp;col=13&amp;number=&amp;sourceID=53","")</f>
        <v/>
      </c>
      <c r="N1090" s="4" t="str">
        <f>HYPERLINK("http://141.218.60.56/~jnz1568/getInfo.php?workbook=16_15.xlsx&amp;sheet=A0&amp;row=1090&amp;col=14&amp;number=&amp;sourceID=53","")</f>
        <v/>
      </c>
      <c r="O1090" s="4" t="str">
        <f>HYPERLINK("http://141.218.60.56/~jnz1568/getInfo.php?workbook=16_15.xlsx&amp;sheet=A0&amp;row=1090&amp;col=15&amp;number=&amp;sourceID=55","")</f>
        <v/>
      </c>
      <c r="P1090" s="4" t="str">
        <f>HYPERLINK("http://141.218.60.56/~jnz1568/getInfo.php?workbook=16_15.xlsx&amp;sheet=A0&amp;row=1090&amp;col=16&amp;number=&amp;sourceID=55","")</f>
        <v/>
      </c>
      <c r="Q1090" s="4" t="str">
        <f>HYPERLINK("http://141.218.60.56/~jnz1568/getInfo.php?workbook=16_15.xlsx&amp;sheet=A0&amp;row=1090&amp;col=17&amp;number=&amp;sourceID=56","")</f>
        <v/>
      </c>
      <c r="R1090" s="4" t="str">
        <f>HYPERLINK("http://141.218.60.56/~jnz1568/getInfo.php?workbook=16_15.xlsx&amp;sheet=A0&amp;row=1090&amp;col=18&amp;number=&amp;sourceID=56","")</f>
        <v/>
      </c>
      <c r="S1090" s="4" t="str">
        <f>HYPERLINK("http://141.218.60.56/~jnz1568/getInfo.php?workbook=16_15.xlsx&amp;sheet=A0&amp;row=1090&amp;col=19&amp;number=&amp;sourceID=57","")</f>
        <v/>
      </c>
      <c r="T1090" s="4" t="str">
        <f>HYPERLINK("http://141.218.60.56/~jnz1568/getInfo.php?workbook=16_15.xlsx&amp;sheet=A0&amp;row=1090&amp;col=20&amp;number=&amp;sourceID=57","")</f>
        <v/>
      </c>
      <c r="U1090" s="4" t="str">
        <f>HYPERLINK("http://141.218.60.56/~jnz1568/getInfo.php?workbook=16_15.xlsx&amp;sheet=A0&amp;row=1090&amp;col=21&amp;number=&amp;sourceID=47","")</f>
        <v/>
      </c>
      <c r="V1090" s="4" t="str">
        <f>HYPERLINK("http://141.218.60.56/~jnz1568/getInfo.php?workbook=16_15.xlsx&amp;sheet=A0&amp;row=1090&amp;col=22&amp;number=&amp;sourceID=47","")</f>
        <v/>
      </c>
    </row>
    <row r="1091" spans="1:22">
      <c r="A1091" s="3">
        <v>16</v>
      </c>
      <c r="B1091" s="3">
        <v>15</v>
      </c>
      <c r="C1091" s="3">
        <v>53</v>
      </c>
      <c r="D1091" s="3">
        <v>32</v>
      </c>
      <c r="E1091" s="3">
        <f>((1/(INDEX(E0!J$4:J$73,C1091,1)-INDEX(E0!J$4:J$73,D1091,1))))*100000000</f>
        <v>0</v>
      </c>
      <c r="F1091" s="4" t="str">
        <f>HYPERLINK("http://141.218.60.56/~jnz1568/getInfo.php?workbook=16_15.xlsx&amp;sheet=A0&amp;row=1091&amp;col=6&amp;number=&amp;sourceID=54","")</f>
        <v/>
      </c>
      <c r="G1091" s="4" t="str">
        <f>HYPERLINK("http://141.218.60.56/~jnz1568/getInfo.php?workbook=16_15.xlsx&amp;sheet=A0&amp;row=1091&amp;col=7&amp;number=0.0090635&amp;sourceID=54","0.0090635")</f>
        <v>0.0090635</v>
      </c>
      <c r="H1091" s="4" t="str">
        <f>HYPERLINK("http://141.218.60.56/~jnz1568/getInfo.php?workbook=16_15.xlsx&amp;sheet=A0&amp;row=1091&amp;col=8&amp;number=0.011789&amp;sourceID=54","0.011789")</f>
        <v>0.011789</v>
      </c>
      <c r="I1091" s="4" t="str">
        <f>HYPERLINK("http://141.218.60.56/~jnz1568/getInfo.php?workbook=16_15.xlsx&amp;sheet=A0&amp;row=1091&amp;col=9&amp;number=&amp;sourceID=54","")</f>
        <v/>
      </c>
      <c r="J1091" s="4" t="str">
        <f>HYPERLINK("http://141.218.60.56/~jnz1568/getInfo.php?workbook=16_15.xlsx&amp;sheet=A0&amp;row=1091&amp;col=10&amp;number=0.006227&amp;sourceID=54","0.006227")</f>
        <v>0.006227</v>
      </c>
      <c r="K1091" s="4" t="str">
        <f>HYPERLINK("http://141.218.60.56/~jnz1568/getInfo.php?workbook=16_15.xlsx&amp;sheet=A0&amp;row=1091&amp;col=11&amp;number=0.003343&amp;sourceID=54","0.003343")</f>
        <v>0.003343</v>
      </c>
      <c r="L1091" s="4" t="str">
        <f>HYPERLINK("http://141.218.60.56/~jnz1568/getInfo.php?workbook=16_15.xlsx&amp;sheet=A0&amp;row=1091&amp;col=12&amp;number=&amp;sourceID=53","")</f>
        <v/>
      </c>
      <c r="M1091" s="4" t="str">
        <f>HYPERLINK("http://141.218.60.56/~jnz1568/getInfo.php?workbook=16_15.xlsx&amp;sheet=A0&amp;row=1091&amp;col=13&amp;number=&amp;sourceID=53","")</f>
        <v/>
      </c>
      <c r="N1091" s="4" t="str">
        <f>HYPERLINK("http://141.218.60.56/~jnz1568/getInfo.php?workbook=16_15.xlsx&amp;sheet=A0&amp;row=1091&amp;col=14&amp;number=&amp;sourceID=53","")</f>
        <v/>
      </c>
      <c r="O1091" s="4" t="str">
        <f>HYPERLINK("http://141.218.60.56/~jnz1568/getInfo.php?workbook=16_15.xlsx&amp;sheet=A0&amp;row=1091&amp;col=15&amp;number=&amp;sourceID=55","")</f>
        <v/>
      </c>
      <c r="P1091" s="4" t="str">
        <f>HYPERLINK("http://141.218.60.56/~jnz1568/getInfo.php?workbook=16_15.xlsx&amp;sheet=A0&amp;row=1091&amp;col=16&amp;number=&amp;sourceID=55","")</f>
        <v/>
      </c>
      <c r="Q1091" s="4" t="str">
        <f>HYPERLINK("http://141.218.60.56/~jnz1568/getInfo.php?workbook=16_15.xlsx&amp;sheet=A0&amp;row=1091&amp;col=17&amp;number=&amp;sourceID=56","")</f>
        <v/>
      </c>
      <c r="R1091" s="4" t="str">
        <f>HYPERLINK("http://141.218.60.56/~jnz1568/getInfo.php?workbook=16_15.xlsx&amp;sheet=A0&amp;row=1091&amp;col=18&amp;number=&amp;sourceID=56","")</f>
        <v/>
      </c>
      <c r="S1091" s="4" t="str">
        <f>HYPERLINK("http://141.218.60.56/~jnz1568/getInfo.php?workbook=16_15.xlsx&amp;sheet=A0&amp;row=1091&amp;col=19&amp;number=&amp;sourceID=57","")</f>
        <v/>
      </c>
      <c r="T1091" s="4" t="str">
        <f>HYPERLINK("http://141.218.60.56/~jnz1568/getInfo.php?workbook=16_15.xlsx&amp;sheet=A0&amp;row=1091&amp;col=20&amp;number=&amp;sourceID=57","")</f>
        <v/>
      </c>
      <c r="U1091" s="4" t="str">
        <f>HYPERLINK("http://141.218.60.56/~jnz1568/getInfo.php?workbook=16_15.xlsx&amp;sheet=A0&amp;row=1091&amp;col=21&amp;number=&amp;sourceID=47","")</f>
        <v/>
      </c>
      <c r="V1091" s="4" t="str">
        <f>HYPERLINK("http://141.218.60.56/~jnz1568/getInfo.php?workbook=16_15.xlsx&amp;sheet=A0&amp;row=1091&amp;col=22&amp;number=&amp;sourceID=47","")</f>
        <v/>
      </c>
    </row>
    <row r="1092" spans="1:22">
      <c r="A1092" s="3">
        <v>16</v>
      </c>
      <c r="B1092" s="3">
        <v>15</v>
      </c>
      <c r="C1092" s="3">
        <v>53</v>
      </c>
      <c r="D1092" s="3">
        <v>33</v>
      </c>
      <c r="E1092" s="3">
        <f>((1/(INDEX(E0!J$4:J$73,C1092,1)-INDEX(E0!J$4:J$73,D1092,1))))*100000000</f>
        <v>0</v>
      </c>
      <c r="F1092" s="4" t="str">
        <f>HYPERLINK("http://141.218.60.56/~jnz1568/getInfo.php?workbook=16_15.xlsx&amp;sheet=A0&amp;row=1092&amp;col=6&amp;number=&amp;sourceID=54","")</f>
        <v/>
      </c>
      <c r="G1092" s="4" t="str">
        <f>HYPERLINK("http://141.218.60.56/~jnz1568/getInfo.php?workbook=16_15.xlsx&amp;sheet=A0&amp;row=1092&amp;col=7&amp;number=0.11161&amp;sourceID=54","0.11161")</f>
        <v>0.11161</v>
      </c>
      <c r="H1092" s="4" t="str">
        <f>HYPERLINK("http://141.218.60.56/~jnz1568/getInfo.php?workbook=16_15.xlsx&amp;sheet=A0&amp;row=1092&amp;col=8&amp;number=0.0066216&amp;sourceID=54","0.0066216")</f>
        <v>0.0066216</v>
      </c>
      <c r="I1092" s="4" t="str">
        <f>HYPERLINK("http://141.218.60.56/~jnz1568/getInfo.php?workbook=16_15.xlsx&amp;sheet=A0&amp;row=1092&amp;col=9&amp;number=&amp;sourceID=54","")</f>
        <v/>
      </c>
      <c r="J1092" s="4" t="str">
        <f>HYPERLINK("http://141.218.60.56/~jnz1568/getInfo.php?workbook=16_15.xlsx&amp;sheet=A0&amp;row=1092&amp;col=10&amp;number=0.080233&amp;sourceID=54","0.080233")</f>
        <v>0.080233</v>
      </c>
      <c r="K1092" s="4" t="str">
        <f>HYPERLINK("http://141.218.60.56/~jnz1568/getInfo.php?workbook=16_15.xlsx&amp;sheet=A0&amp;row=1092&amp;col=11&amp;number=0.0062027&amp;sourceID=54","0.0062027")</f>
        <v>0.0062027</v>
      </c>
      <c r="L1092" s="4" t="str">
        <f>HYPERLINK("http://141.218.60.56/~jnz1568/getInfo.php?workbook=16_15.xlsx&amp;sheet=A0&amp;row=1092&amp;col=12&amp;number=&amp;sourceID=53","")</f>
        <v/>
      </c>
      <c r="M1092" s="4" t="str">
        <f>HYPERLINK("http://141.218.60.56/~jnz1568/getInfo.php?workbook=16_15.xlsx&amp;sheet=A0&amp;row=1092&amp;col=13&amp;number=&amp;sourceID=53","")</f>
        <v/>
      </c>
      <c r="N1092" s="4" t="str">
        <f>HYPERLINK("http://141.218.60.56/~jnz1568/getInfo.php?workbook=16_15.xlsx&amp;sheet=A0&amp;row=1092&amp;col=14&amp;number=&amp;sourceID=53","")</f>
        <v/>
      </c>
      <c r="O1092" s="4" t="str">
        <f>HYPERLINK("http://141.218.60.56/~jnz1568/getInfo.php?workbook=16_15.xlsx&amp;sheet=A0&amp;row=1092&amp;col=15&amp;number=&amp;sourceID=55","")</f>
        <v/>
      </c>
      <c r="P1092" s="4" t="str">
        <f>HYPERLINK("http://141.218.60.56/~jnz1568/getInfo.php?workbook=16_15.xlsx&amp;sheet=A0&amp;row=1092&amp;col=16&amp;number=&amp;sourceID=55","")</f>
        <v/>
      </c>
      <c r="Q1092" s="4" t="str">
        <f>HYPERLINK("http://141.218.60.56/~jnz1568/getInfo.php?workbook=16_15.xlsx&amp;sheet=A0&amp;row=1092&amp;col=17&amp;number=&amp;sourceID=56","")</f>
        <v/>
      </c>
      <c r="R1092" s="4" t="str">
        <f>HYPERLINK("http://141.218.60.56/~jnz1568/getInfo.php?workbook=16_15.xlsx&amp;sheet=A0&amp;row=1092&amp;col=18&amp;number=&amp;sourceID=56","")</f>
        <v/>
      </c>
      <c r="S1092" s="4" t="str">
        <f>HYPERLINK("http://141.218.60.56/~jnz1568/getInfo.php?workbook=16_15.xlsx&amp;sheet=A0&amp;row=1092&amp;col=19&amp;number=&amp;sourceID=57","")</f>
        <v/>
      </c>
      <c r="T1092" s="4" t="str">
        <f>HYPERLINK("http://141.218.60.56/~jnz1568/getInfo.php?workbook=16_15.xlsx&amp;sheet=A0&amp;row=1092&amp;col=20&amp;number=&amp;sourceID=57","")</f>
        <v/>
      </c>
      <c r="U1092" s="4" t="str">
        <f>HYPERLINK("http://141.218.60.56/~jnz1568/getInfo.php?workbook=16_15.xlsx&amp;sheet=A0&amp;row=1092&amp;col=21&amp;number=&amp;sourceID=47","")</f>
        <v/>
      </c>
      <c r="V1092" s="4" t="str">
        <f>HYPERLINK("http://141.218.60.56/~jnz1568/getInfo.php?workbook=16_15.xlsx&amp;sheet=A0&amp;row=1092&amp;col=22&amp;number=&amp;sourceID=47","")</f>
        <v/>
      </c>
    </row>
    <row r="1093" spans="1:22">
      <c r="A1093" s="3">
        <v>16</v>
      </c>
      <c r="B1093" s="3">
        <v>15</v>
      </c>
      <c r="C1093" s="3">
        <v>53</v>
      </c>
      <c r="D1093" s="3">
        <v>36</v>
      </c>
      <c r="E1093" s="3">
        <f>((1/(INDEX(E0!J$4:J$73,C1093,1)-INDEX(E0!J$4:J$73,D1093,1))))*100000000</f>
        <v>0</v>
      </c>
      <c r="F1093" s="4" t="str">
        <f>HYPERLINK("http://141.218.60.56/~jnz1568/getInfo.php?workbook=16_15.xlsx&amp;sheet=A0&amp;row=1093&amp;col=6&amp;number=13326&amp;sourceID=54","13326")</f>
        <v>13326</v>
      </c>
      <c r="G1093" s="4" t="str">
        <f>HYPERLINK("http://141.218.60.56/~jnz1568/getInfo.php?workbook=16_15.xlsx&amp;sheet=A0&amp;row=1093&amp;col=7&amp;number=&amp;sourceID=54","")</f>
        <v/>
      </c>
      <c r="H1093" s="4" t="str">
        <f>HYPERLINK("http://141.218.60.56/~jnz1568/getInfo.php?workbook=16_15.xlsx&amp;sheet=A0&amp;row=1093&amp;col=8&amp;number=&amp;sourceID=54","")</f>
        <v/>
      </c>
      <c r="I1093" s="4" t="str">
        <f>HYPERLINK("http://141.218.60.56/~jnz1568/getInfo.php?workbook=16_15.xlsx&amp;sheet=A0&amp;row=1093&amp;col=9&amp;number=8024.9&amp;sourceID=54","8024.9")</f>
        <v>8024.9</v>
      </c>
      <c r="J1093" s="4" t="str">
        <f>HYPERLINK("http://141.218.60.56/~jnz1568/getInfo.php?workbook=16_15.xlsx&amp;sheet=A0&amp;row=1093&amp;col=10&amp;number=&amp;sourceID=54","")</f>
        <v/>
      </c>
      <c r="K1093" s="4" t="str">
        <f>HYPERLINK("http://141.218.60.56/~jnz1568/getInfo.php?workbook=16_15.xlsx&amp;sheet=A0&amp;row=1093&amp;col=11&amp;number=&amp;sourceID=54","")</f>
        <v/>
      </c>
      <c r="L1093" s="4" t="str">
        <f>HYPERLINK("http://141.218.60.56/~jnz1568/getInfo.php?workbook=16_15.xlsx&amp;sheet=A0&amp;row=1093&amp;col=12&amp;number=7875.40189879&amp;sourceID=53","7875.40189879")</f>
        <v>7875.40189879</v>
      </c>
      <c r="M1093" s="4" t="str">
        <f>HYPERLINK("http://141.218.60.56/~jnz1568/getInfo.php?workbook=16_15.xlsx&amp;sheet=A0&amp;row=1093&amp;col=13&amp;number=&amp;sourceID=53","")</f>
        <v/>
      </c>
      <c r="N1093" s="4" t="str">
        <f>HYPERLINK("http://141.218.60.56/~jnz1568/getInfo.php?workbook=16_15.xlsx&amp;sheet=A0&amp;row=1093&amp;col=14&amp;number=&amp;sourceID=53","")</f>
        <v/>
      </c>
      <c r="O1093" s="4" t="str">
        <f>HYPERLINK("http://141.218.60.56/~jnz1568/getInfo.php?workbook=16_15.xlsx&amp;sheet=A0&amp;row=1093&amp;col=15&amp;number=&amp;sourceID=55","")</f>
        <v/>
      </c>
      <c r="P1093" s="4" t="str">
        <f>HYPERLINK("http://141.218.60.56/~jnz1568/getInfo.php?workbook=16_15.xlsx&amp;sheet=A0&amp;row=1093&amp;col=16&amp;number=&amp;sourceID=55","")</f>
        <v/>
      </c>
      <c r="Q1093" s="4" t="str">
        <f>HYPERLINK("http://141.218.60.56/~jnz1568/getInfo.php?workbook=16_15.xlsx&amp;sheet=A0&amp;row=1093&amp;col=17&amp;number=&amp;sourceID=56","")</f>
        <v/>
      </c>
      <c r="R1093" s="4" t="str">
        <f>HYPERLINK("http://141.218.60.56/~jnz1568/getInfo.php?workbook=16_15.xlsx&amp;sheet=A0&amp;row=1093&amp;col=18&amp;number=&amp;sourceID=56","")</f>
        <v/>
      </c>
      <c r="S1093" s="4" t="str">
        <f>HYPERLINK("http://141.218.60.56/~jnz1568/getInfo.php?workbook=16_15.xlsx&amp;sheet=A0&amp;row=1093&amp;col=19&amp;number=&amp;sourceID=57","")</f>
        <v/>
      </c>
      <c r="T1093" s="4" t="str">
        <f>HYPERLINK("http://141.218.60.56/~jnz1568/getInfo.php?workbook=16_15.xlsx&amp;sheet=A0&amp;row=1093&amp;col=20&amp;number=&amp;sourceID=57","")</f>
        <v/>
      </c>
      <c r="U1093" s="4" t="str">
        <f>HYPERLINK("http://141.218.60.56/~jnz1568/getInfo.php?workbook=16_15.xlsx&amp;sheet=A0&amp;row=1093&amp;col=21&amp;number=&amp;sourceID=47","")</f>
        <v/>
      </c>
      <c r="V1093" s="4" t="str">
        <f>HYPERLINK("http://141.218.60.56/~jnz1568/getInfo.php?workbook=16_15.xlsx&amp;sheet=A0&amp;row=1093&amp;col=22&amp;number=&amp;sourceID=47","")</f>
        <v/>
      </c>
    </row>
    <row r="1094" spans="1:22">
      <c r="A1094" s="3">
        <v>16</v>
      </c>
      <c r="B1094" s="3">
        <v>15</v>
      </c>
      <c r="C1094" s="3">
        <v>53</v>
      </c>
      <c r="D1094" s="3">
        <v>37</v>
      </c>
      <c r="E1094" s="3">
        <f>((1/(INDEX(E0!J$4:J$73,C1094,1)-INDEX(E0!J$4:J$73,D1094,1))))*100000000</f>
        <v>0</v>
      </c>
      <c r="F1094" s="4" t="str">
        <f>HYPERLINK("http://141.218.60.56/~jnz1568/getInfo.php?workbook=16_15.xlsx&amp;sheet=A0&amp;row=1094&amp;col=6&amp;number=1418.5&amp;sourceID=54","1418.5")</f>
        <v>1418.5</v>
      </c>
      <c r="G1094" s="4" t="str">
        <f>HYPERLINK("http://141.218.60.56/~jnz1568/getInfo.php?workbook=16_15.xlsx&amp;sheet=A0&amp;row=1094&amp;col=7&amp;number=&amp;sourceID=54","")</f>
        <v/>
      </c>
      <c r="H1094" s="4" t="str">
        <f>HYPERLINK("http://141.218.60.56/~jnz1568/getInfo.php?workbook=16_15.xlsx&amp;sheet=A0&amp;row=1094&amp;col=8&amp;number=&amp;sourceID=54","")</f>
        <v/>
      </c>
      <c r="I1094" s="4" t="str">
        <f>HYPERLINK("http://141.218.60.56/~jnz1568/getInfo.php?workbook=16_15.xlsx&amp;sheet=A0&amp;row=1094&amp;col=9&amp;number=883.48&amp;sourceID=54","883.48")</f>
        <v>883.48</v>
      </c>
      <c r="J1094" s="4" t="str">
        <f>HYPERLINK("http://141.218.60.56/~jnz1568/getInfo.php?workbook=16_15.xlsx&amp;sheet=A0&amp;row=1094&amp;col=10&amp;number=&amp;sourceID=54","")</f>
        <v/>
      </c>
      <c r="K1094" s="4" t="str">
        <f>HYPERLINK("http://141.218.60.56/~jnz1568/getInfo.php?workbook=16_15.xlsx&amp;sheet=A0&amp;row=1094&amp;col=11&amp;number=&amp;sourceID=54","")</f>
        <v/>
      </c>
      <c r="L1094" s="4" t="str">
        <f>HYPERLINK("http://141.218.60.56/~jnz1568/getInfo.php?workbook=16_15.xlsx&amp;sheet=A0&amp;row=1094&amp;col=12&amp;number=1472.50240502&amp;sourceID=53","1472.50240502")</f>
        <v>1472.50240502</v>
      </c>
      <c r="M1094" s="4" t="str">
        <f>HYPERLINK("http://141.218.60.56/~jnz1568/getInfo.php?workbook=16_15.xlsx&amp;sheet=A0&amp;row=1094&amp;col=13&amp;number=&amp;sourceID=53","")</f>
        <v/>
      </c>
      <c r="N1094" s="4" t="str">
        <f>HYPERLINK("http://141.218.60.56/~jnz1568/getInfo.php?workbook=16_15.xlsx&amp;sheet=A0&amp;row=1094&amp;col=14&amp;number=&amp;sourceID=53","")</f>
        <v/>
      </c>
      <c r="O1094" s="4" t="str">
        <f>HYPERLINK("http://141.218.60.56/~jnz1568/getInfo.php?workbook=16_15.xlsx&amp;sheet=A0&amp;row=1094&amp;col=15&amp;number=&amp;sourceID=55","")</f>
        <v/>
      </c>
      <c r="P1094" s="4" t="str">
        <f>HYPERLINK("http://141.218.60.56/~jnz1568/getInfo.php?workbook=16_15.xlsx&amp;sheet=A0&amp;row=1094&amp;col=16&amp;number=&amp;sourceID=55","")</f>
        <v/>
      </c>
      <c r="Q1094" s="4" t="str">
        <f>HYPERLINK("http://141.218.60.56/~jnz1568/getInfo.php?workbook=16_15.xlsx&amp;sheet=A0&amp;row=1094&amp;col=17&amp;number=&amp;sourceID=56","")</f>
        <v/>
      </c>
      <c r="R1094" s="4" t="str">
        <f>HYPERLINK("http://141.218.60.56/~jnz1568/getInfo.php?workbook=16_15.xlsx&amp;sheet=A0&amp;row=1094&amp;col=18&amp;number=&amp;sourceID=56","")</f>
        <v/>
      </c>
      <c r="S1094" s="4" t="str">
        <f>HYPERLINK("http://141.218.60.56/~jnz1568/getInfo.php?workbook=16_15.xlsx&amp;sheet=A0&amp;row=1094&amp;col=19&amp;number=&amp;sourceID=57","")</f>
        <v/>
      </c>
      <c r="T1094" s="4" t="str">
        <f>HYPERLINK("http://141.218.60.56/~jnz1568/getInfo.php?workbook=16_15.xlsx&amp;sheet=A0&amp;row=1094&amp;col=20&amp;number=&amp;sourceID=57","")</f>
        <v/>
      </c>
      <c r="U1094" s="4" t="str">
        <f>HYPERLINK("http://141.218.60.56/~jnz1568/getInfo.php?workbook=16_15.xlsx&amp;sheet=A0&amp;row=1094&amp;col=21&amp;number=&amp;sourceID=47","")</f>
        <v/>
      </c>
      <c r="V1094" s="4" t="str">
        <f>HYPERLINK("http://141.218.60.56/~jnz1568/getInfo.php?workbook=16_15.xlsx&amp;sheet=A0&amp;row=1094&amp;col=22&amp;number=&amp;sourceID=47","")</f>
        <v/>
      </c>
    </row>
    <row r="1095" spans="1:22">
      <c r="A1095" s="3">
        <v>16</v>
      </c>
      <c r="B1095" s="3">
        <v>15</v>
      </c>
      <c r="C1095" s="3">
        <v>53</v>
      </c>
      <c r="D1095" s="3">
        <v>40</v>
      </c>
      <c r="E1095" s="3">
        <f>((1/(INDEX(E0!J$4:J$73,C1095,1)-INDEX(E0!J$4:J$73,D1095,1))))*100000000</f>
        <v>0</v>
      </c>
      <c r="F1095" s="4" t="str">
        <f>HYPERLINK("http://141.218.60.56/~jnz1568/getInfo.php?workbook=16_15.xlsx&amp;sheet=A0&amp;row=1095&amp;col=6&amp;number=147820&amp;sourceID=54","147820")</f>
        <v>147820</v>
      </c>
      <c r="G1095" s="4" t="str">
        <f>HYPERLINK("http://141.218.60.56/~jnz1568/getInfo.php?workbook=16_15.xlsx&amp;sheet=A0&amp;row=1095&amp;col=7&amp;number=&amp;sourceID=54","")</f>
        <v/>
      </c>
      <c r="H1095" s="4" t="str">
        <f>HYPERLINK("http://141.218.60.56/~jnz1568/getInfo.php?workbook=16_15.xlsx&amp;sheet=A0&amp;row=1095&amp;col=8&amp;number=&amp;sourceID=54","")</f>
        <v/>
      </c>
      <c r="I1095" s="4" t="str">
        <f>HYPERLINK("http://141.218.60.56/~jnz1568/getInfo.php?workbook=16_15.xlsx&amp;sheet=A0&amp;row=1095&amp;col=9&amp;number=98288&amp;sourceID=54","98288")</f>
        <v>98288</v>
      </c>
      <c r="J1095" s="4" t="str">
        <f>HYPERLINK("http://141.218.60.56/~jnz1568/getInfo.php?workbook=16_15.xlsx&amp;sheet=A0&amp;row=1095&amp;col=10&amp;number=&amp;sourceID=54","")</f>
        <v/>
      </c>
      <c r="K1095" s="4" t="str">
        <f>HYPERLINK("http://141.218.60.56/~jnz1568/getInfo.php?workbook=16_15.xlsx&amp;sheet=A0&amp;row=1095&amp;col=11&amp;number=&amp;sourceID=54","")</f>
        <v/>
      </c>
      <c r="L1095" s="4" t="str">
        <f>HYPERLINK("http://141.218.60.56/~jnz1568/getInfo.php?workbook=16_15.xlsx&amp;sheet=A0&amp;row=1095&amp;col=12&amp;number=83577.5834596&amp;sourceID=53","83577.5834596")</f>
        <v>83577.5834596</v>
      </c>
      <c r="M1095" s="4" t="str">
        <f>HYPERLINK("http://141.218.60.56/~jnz1568/getInfo.php?workbook=16_15.xlsx&amp;sheet=A0&amp;row=1095&amp;col=13&amp;number=&amp;sourceID=53","")</f>
        <v/>
      </c>
      <c r="N1095" s="4" t="str">
        <f>HYPERLINK("http://141.218.60.56/~jnz1568/getInfo.php?workbook=16_15.xlsx&amp;sheet=A0&amp;row=1095&amp;col=14&amp;number=&amp;sourceID=53","")</f>
        <v/>
      </c>
      <c r="O1095" s="4" t="str">
        <f>HYPERLINK("http://141.218.60.56/~jnz1568/getInfo.php?workbook=16_15.xlsx&amp;sheet=A0&amp;row=1095&amp;col=15&amp;number=&amp;sourceID=55","")</f>
        <v/>
      </c>
      <c r="P1095" s="4" t="str">
        <f>HYPERLINK("http://141.218.60.56/~jnz1568/getInfo.php?workbook=16_15.xlsx&amp;sheet=A0&amp;row=1095&amp;col=16&amp;number=&amp;sourceID=55","")</f>
        <v/>
      </c>
      <c r="Q1095" s="4" t="str">
        <f>HYPERLINK("http://141.218.60.56/~jnz1568/getInfo.php?workbook=16_15.xlsx&amp;sheet=A0&amp;row=1095&amp;col=17&amp;number=&amp;sourceID=56","")</f>
        <v/>
      </c>
      <c r="R1095" s="4" t="str">
        <f>HYPERLINK("http://141.218.60.56/~jnz1568/getInfo.php?workbook=16_15.xlsx&amp;sheet=A0&amp;row=1095&amp;col=18&amp;number=&amp;sourceID=56","")</f>
        <v/>
      </c>
      <c r="S1095" s="4" t="str">
        <f>HYPERLINK("http://141.218.60.56/~jnz1568/getInfo.php?workbook=16_15.xlsx&amp;sheet=A0&amp;row=1095&amp;col=19&amp;number=&amp;sourceID=57","")</f>
        <v/>
      </c>
      <c r="T1095" s="4" t="str">
        <f>HYPERLINK("http://141.218.60.56/~jnz1568/getInfo.php?workbook=16_15.xlsx&amp;sheet=A0&amp;row=1095&amp;col=20&amp;number=&amp;sourceID=57","")</f>
        <v/>
      </c>
      <c r="U1095" s="4" t="str">
        <f>HYPERLINK("http://141.218.60.56/~jnz1568/getInfo.php?workbook=16_15.xlsx&amp;sheet=A0&amp;row=1095&amp;col=21&amp;number=&amp;sourceID=47","")</f>
        <v/>
      </c>
      <c r="V1095" s="4" t="str">
        <f>HYPERLINK("http://141.218.60.56/~jnz1568/getInfo.php?workbook=16_15.xlsx&amp;sheet=A0&amp;row=1095&amp;col=22&amp;number=&amp;sourceID=47","")</f>
        <v/>
      </c>
    </row>
    <row r="1096" spans="1:22">
      <c r="A1096" s="3">
        <v>16</v>
      </c>
      <c r="B1096" s="3">
        <v>15</v>
      </c>
      <c r="C1096" s="3">
        <v>53</v>
      </c>
      <c r="D1096" s="3">
        <v>41</v>
      </c>
      <c r="E1096" s="3">
        <f>((1/(INDEX(E0!J$4:J$73,C1096,1)-INDEX(E0!J$4:J$73,D1096,1))))*100000000</f>
        <v>0</v>
      </c>
      <c r="F1096" s="4" t="str">
        <f>HYPERLINK("http://141.218.60.56/~jnz1568/getInfo.php?workbook=16_15.xlsx&amp;sheet=A0&amp;row=1096&amp;col=6&amp;number=&amp;sourceID=54","")</f>
        <v/>
      </c>
      <c r="G1096" s="4" t="str">
        <f>HYPERLINK("http://141.218.60.56/~jnz1568/getInfo.php?workbook=16_15.xlsx&amp;sheet=A0&amp;row=1096&amp;col=7&amp;number=6.9897e-05&amp;sourceID=54","6.9897e-05")</f>
        <v>6.9897e-05</v>
      </c>
      <c r="H1096" s="4" t="str">
        <f>HYPERLINK("http://141.218.60.56/~jnz1568/getInfo.php?workbook=16_15.xlsx&amp;sheet=A0&amp;row=1096&amp;col=8&amp;number=6.5981e-06&amp;sourceID=54","6.5981e-06")</f>
        <v>6.5981e-06</v>
      </c>
      <c r="I1096" s="4" t="str">
        <f>HYPERLINK("http://141.218.60.56/~jnz1568/getInfo.php?workbook=16_15.xlsx&amp;sheet=A0&amp;row=1096&amp;col=9&amp;number=&amp;sourceID=54","")</f>
        <v/>
      </c>
      <c r="J1096" s="4" t="str">
        <f>HYPERLINK("http://141.218.60.56/~jnz1568/getInfo.php?workbook=16_15.xlsx&amp;sheet=A0&amp;row=1096&amp;col=10&amp;number=4.0907e-05&amp;sourceID=54","4.0907e-05")</f>
        <v>4.0907e-05</v>
      </c>
      <c r="K1096" s="4" t="str">
        <f>HYPERLINK("http://141.218.60.56/~jnz1568/getInfo.php?workbook=16_15.xlsx&amp;sheet=A0&amp;row=1096&amp;col=11&amp;number=5.9935e-06&amp;sourceID=54","5.9935e-06")</f>
        <v>5.9935e-06</v>
      </c>
      <c r="L1096" s="4" t="str">
        <f>HYPERLINK("http://141.218.60.56/~jnz1568/getInfo.php?workbook=16_15.xlsx&amp;sheet=A0&amp;row=1096&amp;col=12&amp;number=&amp;sourceID=53","")</f>
        <v/>
      </c>
      <c r="M1096" s="4" t="str">
        <f>HYPERLINK("http://141.218.60.56/~jnz1568/getInfo.php?workbook=16_15.xlsx&amp;sheet=A0&amp;row=1096&amp;col=13&amp;number=&amp;sourceID=53","")</f>
        <v/>
      </c>
      <c r="N1096" s="4" t="str">
        <f>HYPERLINK("http://141.218.60.56/~jnz1568/getInfo.php?workbook=16_15.xlsx&amp;sheet=A0&amp;row=1096&amp;col=14&amp;number=&amp;sourceID=53","")</f>
        <v/>
      </c>
      <c r="O1096" s="4" t="str">
        <f>HYPERLINK("http://141.218.60.56/~jnz1568/getInfo.php?workbook=16_15.xlsx&amp;sheet=A0&amp;row=1096&amp;col=15&amp;number=&amp;sourceID=55","")</f>
        <v/>
      </c>
      <c r="P1096" s="4" t="str">
        <f>HYPERLINK("http://141.218.60.56/~jnz1568/getInfo.php?workbook=16_15.xlsx&amp;sheet=A0&amp;row=1096&amp;col=16&amp;number=&amp;sourceID=55","")</f>
        <v/>
      </c>
      <c r="Q1096" s="4" t="str">
        <f>HYPERLINK("http://141.218.60.56/~jnz1568/getInfo.php?workbook=16_15.xlsx&amp;sheet=A0&amp;row=1096&amp;col=17&amp;number=&amp;sourceID=56","")</f>
        <v/>
      </c>
      <c r="R1096" s="4" t="str">
        <f>HYPERLINK("http://141.218.60.56/~jnz1568/getInfo.php?workbook=16_15.xlsx&amp;sheet=A0&amp;row=1096&amp;col=18&amp;number=&amp;sourceID=56","")</f>
        <v/>
      </c>
      <c r="S1096" s="4" t="str">
        <f>HYPERLINK("http://141.218.60.56/~jnz1568/getInfo.php?workbook=16_15.xlsx&amp;sheet=A0&amp;row=1096&amp;col=19&amp;number=&amp;sourceID=57","")</f>
        <v/>
      </c>
      <c r="T1096" s="4" t="str">
        <f>HYPERLINK("http://141.218.60.56/~jnz1568/getInfo.php?workbook=16_15.xlsx&amp;sheet=A0&amp;row=1096&amp;col=20&amp;number=&amp;sourceID=57","")</f>
        <v/>
      </c>
      <c r="U1096" s="4" t="str">
        <f>HYPERLINK("http://141.218.60.56/~jnz1568/getInfo.php?workbook=16_15.xlsx&amp;sheet=A0&amp;row=1096&amp;col=21&amp;number=&amp;sourceID=47","")</f>
        <v/>
      </c>
      <c r="V1096" s="4" t="str">
        <f>HYPERLINK("http://141.218.60.56/~jnz1568/getInfo.php?workbook=16_15.xlsx&amp;sheet=A0&amp;row=1096&amp;col=22&amp;number=&amp;sourceID=47","")</f>
        <v/>
      </c>
    </row>
    <row r="1097" spans="1:22">
      <c r="A1097" s="3">
        <v>16</v>
      </c>
      <c r="B1097" s="3">
        <v>15</v>
      </c>
      <c r="C1097" s="3">
        <v>53</v>
      </c>
      <c r="D1097" s="3">
        <v>43</v>
      </c>
      <c r="E1097" s="3">
        <f>((1/(INDEX(E0!J$4:J$73,C1097,1)-INDEX(E0!J$4:J$73,D1097,1))))*100000000</f>
        <v>0</v>
      </c>
      <c r="F1097" s="4" t="str">
        <f>HYPERLINK("http://141.218.60.56/~jnz1568/getInfo.php?workbook=16_15.xlsx&amp;sheet=A0&amp;row=1097&amp;col=6&amp;number=&amp;sourceID=54","")</f>
        <v/>
      </c>
      <c r="G1097" s="4" t="str">
        <f>HYPERLINK("http://141.218.60.56/~jnz1568/getInfo.php?workbook=16_15.xlsx&amp;sheet=A0&amp;row=1097&amp;col=7&amp;number=2.4416e-05&amp;sourceID=54","2.4416e-05")</f>
        <v>2.4416e-05</v>
      </c>
      <c r="H1097" s="4" t="str">
        <f>HYPERLINK("http://141.218.60.56/~jnz1568/getInfo.php?workbook=16_15.xlsx&amp;sheet=A0&amp;row=1097&amp;col=8&amp;number=&amp;sourceID=54","")</f>
        <v/>
      </c>
      <c r="I1097" s="4" t="str">
        <f>HYPERLINK("http://141.218.60.56/~jnz1568/getInfo.php?workbook=16_15.xlsx&amp;sheet=A0&amp;row=1097&amp;col=9&amp;number=&amp;sourceID=54","")</f>
        <v/>
      </c>
      <c r="J1097" s="4" t="str">
        <f>HYPERLINK("http://141.218.60.56/~jnz1568/getInfo.php?workbook=16_15.xlsx&amp;sheet=A0&amp;row=1097&amp;col=10&amp;number=1.0745e-05&amp;sourceID=54","1.0745e-05")</f>
        <v>1.0745e-05</v>
      </c>
      <c r="K1097" s="4" t="str">
        <f>HYPERLINK("http://141.218.60.56/~jnz1568/getInfo.php?workbook=16_15.xlsx&amp;sheet=A0&amp;row=1097&amp;col=11&amp;number=&amp;sourceID=54","")</f>
        <v/>
      </c>
      <c r="L1097" s="4" t="str">
        <f>HYPERLINK("http://141.218.60.56/~jnz1568/getInfo.php?workbook=16_15.xlsx&amp;sheet=A0&amp;row=1097&amp;col=12&amp;number=&amp;sourceID=53","")</f>
        <v/>
      </c>
      <c r="M1097" s="4" t="str">
        <f>HYPERLINK("http://141.218.60.56/~jnz1568/getInfo.php?workbook=16_15.xlsx&amp;sheet=A0&amp;row=1097&amp;col=13&amp;number=&amp;sourceID=53","")</f>
        <v/>
      </c>
      <c r="N1097" s="4" t="str">
        <f>HYPERLINK("http://141.218.60.56/~jnz1568/getInfo.php?workbook=16_15.xlsx&amp;sheet=A0&amp;row=1097&amp;col=14&amp;number=&amp;sourceID=53","")</f>
        <v/>
      </c>
      <c r="O1097" s="4" t="str">
        <f>HYPERLINK("http://141.218.60.56/~jnz1568/getInfo.php?workbook=16_15.xlsx&amp;sheet=A0&amp;row=1097&amp;col=15&amp;number=&amp;sourceID=55","")</f>
        <v/>
      </c>
      <c r="P1097" s="4" t="str">
        <f>HYPERLINK("http://141.218.60.56/~jnz1568/getInfo.php?workbook=16_15.xlsx&amp;sheet=A0&amp;row=1097&amp;col=16&amp;number=&amp;sourceID=55","")</f>
        <v/>
      </c>
      <c r="Q1097" s="4" t="str">
        <f>HYPERLINK("http://141.218.60.56/~jnz1568/getInfo.php?workbook=16_15.xlsx&amp;sheet=A0&amp;row=1097&amp;col=17&amp;number=&amp;sourceID=56","")</f>
        <v/>
      </c>
      <c r="R1097" s="4" t="str">
        <f>HYPERLINK("http://141.218.60.56/~jnz1568/getInfo.php?workbook=16_15.xlsx&amp;sheet=A0&amp;row=1097&amp;col=18&amp;number=&amp;sourceID=56","")</f>
        <v/>
      </c>
      <c r="S1097" s="4" t="str">
        <f>HYPERLINK("http://141.218.60.56/~jnz1568/getInfo.php?workbook=16_15.xlsx&amp;sheet=A0&amp;row=1097&amp;col=19&amp;number=&amp;sourceID=57","")</f>
        <v/>
      </c>
      <c r="T1097" s="4" t="str">
        <f>HYPERLINK("http://141.218.60.56/~jnz1568/getInfo.php?workbook=16_15.xlsx&amp;sheet=A0&amp;row=1097&amp;col=20&amp;number=&amp;sourceID=57","")</f>
        <v/>
      </c>
      <c r="U1097" s="4" t="str">
        <f>HYPERLINK("http://141.218.60.56/~jnz1568/getInfo.php?workbook=16_15.xlsx&amp;sheet=A0&amp;row=1097&amp;col=21&amp;number=&amp;sourceID=47","")</f>
        <v/>
      </c>
      <c r="V1097" s="4" t="str">
        <f>HYPERLINK("http://141.218.60.56/~jnz1568/getInfo.php?workbook=16_15.xlsx&amp;sheet=A0&amp;row=1097&amp;col=22&amp;number=&amp;sourceID=47","")</f>
        <v/>
      </c>
    </row>
    <row r="1098" spans="1:22">
      <c r="A1098" s="3">
        <v>16</v>
      </c>
      <c r="B1098" s="3">
        <v>15</v>
      </c>
      <c r="C1098" s="3">
        <v>53</v>
      </c>
      <c r="D1098" s="3">
        <v>46</v>
      </c>
      <c r="E1098" s="3">
        <f>((1/(INDEX(E0!J$4:J$73,C1098,1)-INDEX(E0!J$4:J$73,D1098,1))))*100000000</f>
        <v>0</v>
      </c>
      <c r="F1098" s="4" t="str">
        <f>HYPERLINK("http://141.218.60.56/~jnz1568/getInfo.php?workbook=16_15.xlsx&amp;sheet=A0&amp;row=1098&amp;col=6&amp;number=4006900&amp;sourceID=54","4006900")</f>
        <v>4006900</v>
      </c>
      <c r="G1098" s="4" t="str">
        <f>HYPERLINK("http://141.218.60.56/~jnz1568/getInfo.php?workbook=16_15.xlsx&amp;sheet=A0&amp;row=1098&amp;col=7&amp;number=&amp;sourceID=54","")</f>
        <v/>
      </c>
      <c r="H1098" s="4" t="str">
        <f>HYPERLINK("http://141.218.60.56/~jnz1568/getInfo.php?workbook=16_15.xlsx&amp;sheet=A0&amp;row=1098&amp;col=8&amp;number=&amp;sourceID=54","")</f>
        <v/>
      </c>
      <c r="I1098" s="4" t="str">
        <f>HYPERLINK("http://141.218.60.56/~jnz1568/getInfo.php?workbook=16_15.xlsx&amp;sheet=A0&amp;row=1098&amp;col=9&amp;number=2083900&amp;sourceID=54","2083900")</f>
        <v>2083900</v>
      </c>
      <c r="J1098" s="4" t="str">
        <f>HYPERLINK("http://141.218.60.56/~jnz1568/getInfo.php?workbook=16_15.xlsx&amp;sheet=A0&amp;row=1098&amp;col=10&amp;number=&amp;sourceID=54","")</f>
        <v/>
      </c>
      <c r="K1098" s="4" t="str">
        <f>HYPERLINK("http://141.218.60.56/~jnz1568/getInfo.php?workbook=16_15.xlsx&amp;sheet=A0&amp;row=1098&amp;col=11&amp;number=&amp;sourceID=54","")</f>
        <v/>
      </c>
      <c r="L1098" s="4" t="str">
        <f>HYPERLINK("http://141.218.60.56/~jnz1568/getInfo.php?workbook=16_15.xlsx&amp;sheet=A0&amp;row=1098&amp;col=12&amp;number=1813358.32813&amp;sourceID=53","1813358.32813")</f>
        <v>1813358.32813</v>
      </c>
      <c r="M1098" s="4" t="str">
        <f>HYPERLINK("http://141.218.60.56/~jnz1568/getInfo.php?workbook=16_15.xlsx&amp;sheet=A0&amp;row=1098&amp;col=13&amp;number=&amp;sourceID=53","")</f>
        <v/>
      </c>
      <c r="N1098" s="4" t="str">
        <f>HYPERLINK("http://141.218.60.56/~jnz1568/getInfo.php?workbook=16_15.xlsx&amp;sheet=A0&amp;row=1098&amp;col=14&amp;number=&amp;sourceID=53","")</f>
        <v/>
      </c>
      <c r="O1098" s="4" t="str">
        <f>HYPERLINK("http://141.218.60.56/~jnz1568/getInfo.php?workbook=16_15.xlsx&amp;sheet=A0&amp;row=1098&amp;col=15&amp;number=&amp;sourceID=55","")</f>
        <v/>
      </c>
      <c r="P1098" s="4" t="str">
        <f>HYPERLINK("http://141.218.60.56/~jnz1568/getInfo.php?workbook=16_15.xlsx&amp;sheet=A0&amp;row=1098&amp;col=16&amp;number=&amp;sourceID=55","")</f>
        <v/>
      </c>
      <c r="Q1098" s="4" t="str">
        <f>HYPERLINK("http://141.218.60.56/~jnz1568/getInfo.php?workbook=16_15.xlsx&amp;sheet=A0&amp;row=1098&amp;col=17&amp;number=&amp;sourceID=56","")</f>
        <v/>
      </c>
      <c r="R1098" s="4" t="str">
        <f>HYPERLINK("http://141.218.60.56/~jnz1568/getInfo.php?workbook=16_15.xlsx&amp;sheet=A0&amp;row=1098&amp;col=18&amp;number=&amp;sourceID=56","")</f>
        <v/>
      </c>
      <c r="S1098" s="4" t="str">
        <f>HYPERLINK("http://141.218.60.56/~jnz1568/getInfo.php?workbook=16_15.xlsx&amp;sheet=A0&amp;row=1098&amp;col=19&amp;number=&amp;sourceID=57","")</f>
        <v/>
      </c>
      <c r="T1098" s="4" t="str">
        <f>HYPERLINK("http://141.218.60.56/~jnz1568/getInfo.php?workbook=16_15.xlsx&amp;sheet=A0&amp;row=1098&amp;col=20&amp;number=&amp;sourceID=57","")</f>
        <v/>
      </c>
      <c r="U1098" s="4" t="str">
        <f>HYPERLINK("http://141.218.60.56/~jnz1568/getInfo.php?workbook=16_15.xlsx&amp;sheet=A0&amp;row=1098&amp;col=21&amp;number=&amp;sourceID=47","")</f>
        <v/>
      </c>
      <c r="V1098" s="4" t="str">
        <f>HYPERLINK("http://141.218.60.56/~jnz1568/getInfo.php?workbook=16_15.xlsx&amp;sheet=A0&amp;row=1098&amp;col=22&amp;number=&amp;sourceID=47","")</f>
        <v/>
      </c>
    </row>
    <row r="1099" spans="1:22">
      <c r="A1099" s="3">
        <v>16</v>
      </c>
      <c r="B1099" s="3">
        <v>15</v>
      </c>
      <c r="C1099" s="3">
        <v>53</v>
      </c>
      <c r="D1099" s="3">
        <v>48</v>
      </c>
      <c r="E1099" s="3">
        <f>((1/(INDEX(E0!J$4:J$73,C1099,1)-INDEX(E0!J$4:J$73,D1099,1))))*100000000</f>
        <v>0</v>
      </c>
      <c r="F1099" s="4" t="str">
        <f>HYPERLINK("http://141.218.60.56/~jnz1568/getInfo.php?workbook=16_15.xlsx&amp;sheet=A0&amp;row=1099&amp;col=6&amp;number=&amp;sourceID=54","")</f>
        <v/>
      </c>
      <c r="G1099" s="4" t="str">
        <f>HYPERLINK("http://141.218.60.56/~jnz1568/getInfo.php?workbook=16_15.xlsx&amp;sheet=A0&amp;row=1099&amp;col=7&amp;number=0.0023349&amp;sourceID=54","0.0023349")</f>
        <v>0.0023349</v>
      </c>
      <c r="H1099" s="4" t="str">
        <f>HYPERLINK("http://141.218.60.56/~jnz1568/getInfo.php?workbook=16_15.xlsx&amp;sheet=A0&amp;row=1099&amp;col=8&amp;number=&amp;sourceID=54","")</f>
        <v/>
      </c>
      <c r="I1099" s="4" t="str">
        <f>HYPERLINK("http://141.218.60.56/~jnz1568/getInfo.php?workbook=16_15.xlsx&amp;sheet=A0&amp;row=1099&amp;col=9&amp;number=&amp;sourceID=54","")</f>
        <v/>
      </c>
      <c r="J1099" s="4" t="str">
        <f>HYPERLINK("http://141.218.60.56/~jnz1568/getInfo.php?workbook=16_15.xlsx&amp;sheet=A0&amp;row=1099&amp;col=10&amp;number=0.0010288&amp;sourceID=54","0.0010288")</f>
        <v>0.0010288</v>
      </c>
      <c r="K1099" s="4" t="str">
        <f>HYPERLINK("http://141.218.60.56/~jnz1568/getInfo.php?workbook=16_15.xlsx&amp;sheet=A0&amp;row=1099&amp;col=11&amp;number=&amp;sourceID=54","")</f>
        <v/>
      </c>
      <c r="L1099" s="4" t="str">
        <f>HYPERLINK("http://141.218.60.56/~jnz1568/getInfo.php?workbook=16_15.xlsx&amp;sheet=A0&amp;row=1099&amp;col=12&amp;number=&amp;sourceID=53","")</f>
        <v/>
      </c>
      <c r="M1099" s="4" t="str">
        <f>HYPERLINK("http://141.218.60.56/~jnz1568/getInfo.php?workbook=16_15.xlsx&amp;sheet=A0&amp;row=1099&amp;col=13&amp;number=&amp;sourceID=53","")</f>
        <v/>
      </c>
      <c r="N1099" s="4" t="str">
        <f>HYPERLINK("http://141.218.60.56/~jnz1568/getInfo.php?workbook=16_15.xlsx&amp;sheet=A0&amp;row=1099&amp;col=14&amp;number=&amp;sourceID=53","")</f>
        <v/>
      </c>
      <c r="O1099" s="4" t="str">
        <f>HYPERLINK("http://141.218.60.56/~jnz1568/getInfo.php?workbook=16_15.xlsx&amp;sheet=A0&amp;row=1099&amp;col=15&amp;number=&amp;sourceID=55","")</f>
        <v/>
      </c>
      <c r="P1099" s="4" t="str">
        <f>HYPERLINK("http://141.218.60.56/~jnz1568/getInfo.php?workbook=16_15.xlsx&amp;sheet=A0&amp;row=1099&amp;col=16&amp;number=&amp;sourceID=55","")</f>
        <v/>
      </c>
      <c r="Q1099" s="4" t="str">
        <f>HYPERLINK("http://141.218.60.56/~jnz1568/getInfo.php?workbook=16_15.xlsx&amp;sheet=A0&amp;row=1099&amp;col=17&amp;number=&amp;sourceID=56","")</f>
        <v/>
      </c>
      <c r="R1099" s="4" t="str">
        <f>HYPERLINK("http://141.218.60.56/~jnz1568/getInfo.php?workbook=16_15.xlsx&amp;sheet=A0&amp;row=1099&amp;col=18&amp;number=&amp;sourceID=56","")</f>
        <v/>
      </c>
      <c r="S1099" s="4" t="str">
        <f>HYPERLINK("http://141.218.60.56/~jnz1568/getInfo.php?workbook=16_15.xlsx&amp;sheet=A0&amp;row=1099&amp;col=19&amp;number=&amp;sourceID=57","")</f>
        <v/>
      </c>
      <c r="T1099" s="4" t="str">
        <f>HYPERLINK("http://141.218.60.56/~jnz1568/getInfo.php?workbook=16_15.xlsx&amp;sheet=A0&amp;row=1099&amp;col=20&amp;number=&amp;sourceID=57","")</f>
        <v/>
      </c>
      <c r="U1099" s="4" t="str">
        <f>HYPERLINK("http://141.218.60.56/~jnz1568/getInfo.php?workbook=16_15.xlsx&amp;sheet=A0&amp;row=1099&amp;col=21&amp;number=&amp;sourceID=47","")</f>
        <v/>
      </c>
      <c r="V1099" s="4" t="str">
        <f>HYPERLINK("http://141.218.60.56/~jnz1568/getInfo.php?workbook=16_15.xlsx&amp;sheet=A0&amp;row=1099&amp;col=22&amp;number=&amp;sourceID=47","")</f>
        <v/>
      </c>
    </row>
    <row r="1100" spans="1:22">
      <c r="A1100" s="3">
        <v>16</v>
      </c>
      <c r="B1100" s="3">
        <v>15</v>
      </c>
      <c r="C1100" s="3">
        <v>53</v>
      </c>
      <c r="D1100" s="3">
        <v>50</v>
      </c>
      <c r="E1100" s="3">
        <f>((1/(INDEX(E0!J$4:J$73,C1100,1)-INDEX(E0!J$4:J$73,D1100,1))))*100000000</f>
        <v>0</v>
      </c>
      <c r="F1100" s="4" t="str">
        <f>HYPERLINK("http://141.218.60.56/~jnz1568/getInfo.php?workbook=16_15.xlsx&amp;sheet=A0&amp;row=1100&amp;col=6&amp;number=&amp;sourceID=54","")</f>
        <v/>
      </c>
      <c r="G1100" s="4" t="str">
        <f>HYPERLINK("http://141.218.60.56/~jnz1568/getInfo.php?workbook=16_15.xlsx&amp;sheet=A0&amp;row=1100&amp;col=7&amp;number=0.013597&amp;sourceID=54","0.013597")</f>
        <v>0.013597</v>
      </c>
      <c r="H1100" s="4" t="str">
        <f>HYPERLINK("http://141.218.60.56/~jnz1568/getInfo.php?workbook=16_15.xlsx&amp;sheet=A0&amp;row=1100&amp;col=8&amp;number=0.0027793&amp;sourceID=54","0.0027793")</f>
        <v>0.0027793</v>
      </c>
      <c r="I1100" s="4" t="str">
        <f>HYPERLINK("http://141.218.60.56/~jnz1568/getInfo.php?workbook=16_15.xlsx&amp;sheet=A0&amp;row=1100&amp;col=9&amp;number=&amp;sourceID=54","")</f>
        <v/>
      </c>
      <c r="J1100" s="4" t="str">
        <f>HYPERLINK("http://141.218.60.56/~jnz1568/getInfo.php?workbook=16_15.xlsx&amp;sheet=A0&amp;row=1100&amp;col=10&amp;number=0.0056515&amp;sourceID=54","0.0056515")</f>
        <v>0.0056515</v>
      </c>
      <c r="K1100" s="4" t="str">
        <f>HYPERLINK("http://141.218.60.56/~jnz1568/getInfo.php?workbook=16_15.xlsx&amp;sheet=A0&amp;row=1100&amp;col=11&amp;number=0.0023357&amp;sourceID=54","0.0023357")</f>
        <v>0.0023357</v>
      </c>
      <c r="L1100" s="4" t="str">
        <f>HYPERLINK("http://141.218.60.56/~jnz1568/getInfo.php?workbook=16_15.xlsx&amp;sheet=A0&amp;row=1100&amp;col=12&amp;number=&amp;sourceID=53","")</f>
        <v/>
      </c>
      <c r="M1100" s="4" t="str">
        <f>HYPERLINK("http://141.218.60.56/~jnz1568/getInfo.php?workbook=16_15.xlsx&amp;sheet=A0&amp;row=1100&amp;col=13&amp;number=&amp;sourceID=53","")</f>
        <v/>
      </c>
      <c r="N1100" s="4" t="str">
        <f>HYPERLINK("http://141.218.60.56/~jnz1568/getInfo.php?workbook=16_15.xlsx&amp;sheet=A0&amp;row=1100&amp;col=14&amp;number=&amp;sourceID=53","")</f>
        <v/>
      </c>
      <c r="O1100" s="4" t="str">
        <f>HYPERLINK("http://141.218.60.56/~jnz1568/getInfo.php?workbook=16_15.xlsx&amp;sheet=A0&amp;row=1100&amp;col=15&amp;number=&amp;sourceID=55","")</f>
        <v/>
      </c>
      <c r="P1100" s="4" t="str">
        <f>HYPERLINK("http://141.218.60.56/~jnz1568/getInfo.php?workbook=16_15.xlsx&amp;sheet=A0&amp;row=1100&amp;col=16&amp;number=&amp;sourceID=55","")</f>
        <v/>
      </c>
      <c r="Q1100" s="4" t="str">
        <f>HYPERLINK("http://141.218.60.56/~jnz1568/getInfo.php?workbook=16_15.xlsx&amp;sheet=A0&amp;row=1100&amp;col=17&amp;number=&amp;sourceID=56","")</f>
        <v/>
      </c>
      <c r="R1100" s="4" t="str">
        <f>HYPERLINK("http://141.218.60.56/~jnz1568/getInfo.php?workbook=16_15.xlsx&amp;sheet=A0&amp;row=1100&amp;col=18&amp;number=&amp;sourceID=56","")</f>
        <v/>
      </c>
      <c r="S1100" s="4" t="str">
        <f>HYPERLINK("http://141.218.60.56/~jnz1568/getInfo.php?workbook=16_15.xlsx&amp;sheet=A0&amp;row=1100&amp;col=19&amp;number=&amp;sourceID=57","")</f>
        <v/>
      </c>
      <c r="T1100" s="4" t="str">
        <f>HYPERLINK("http://141.218.60.56/~jnz1568/getInfo.php?workbook=16_15.xlsx&amp;sheet=A0&amp;row=1100&amp;col=20&amp;number=&amp;sourceID=57","")</f>
        <v/>
      </c>
      <c r="U1100" s="4" t="str">
        <f>HYPERLINK("http://141.218.60.56/~jnz1568/getInfo.php?workbook=16_15.xlsx&amp;sheet=A0&amp;row=1100&amp;col=21&amp;number=&amp;sourceID=47","")</f>
        <v/>
      </c>
      <c r="V1100" s="4" t="str">
        <f>HYPERLINK("http://141.218.60.56/~jnz1568/getInfo.php?workbook=16_15.xlsx&amp;sheet=A0&amp;row=1100&amp;col=22&amp;number=&amp;sourceID=47","")</f>
        <v/>
      </c>
    </row>
    <row r="1101" spans="1:22">
      <c r="A1101" s="3">
        <v>16</v>
      </c>
      <c r="B1101" s="3">
        <v>15</v>
      </c>
      <c r="C1101" s="3">
        <v>53</v>
      </c>
      <c r="D1101" s="3">
        <v>52</v>
      </c>
      <c r="E1101" s="3">
        <f>((1/(INDEX(E0!J$4:J$73,C1101,1)-INDEX(E0!J$4:J$73,D1101,1))))*100000000</f>
        <v>0</v>
      </c>
      <c r="F1101" s="4" t="str">
        <f>HYPERLINK("http://141.218.60.56/~jnz1568/getInfo.php?workbook=16_15.xlsx&amp;sheet=A0&amp;row=1101&amp;col=6&amp;number=&amp;sourceID=54","")</f>
        <v/>
      </c>
      <c r="G1101" s="4" t="str">
        <f>HYPERLINK("http://141.218.60.56/~jnz1568/getInfo.php?workbook=16_15.xlsx&amp;sheet=A0&amp;row=1101&amp;col=7&amp;number=0&amp;sourceID=54","0")</f>
        <v>0</v>
      </c>
      <c r="H1101" s="4" t="str">
        <f>HYPERLINK("http://141.218.60.56/~jnz1568/getInfo.php?workbook=16_15.xlsx&amp;sheet=A0&amp;row=1101&amp;col=8&amp;number=2.5298e-09&amp;sourceID=54","2.5298e-09")</f>
        <v>2.5298e-09</v>
      </c>
      <c r="I1101" s="4" t="str">
        <f>HYPERLINK("http://141.218.60.56/~jnz1568/getInfo.php?workbook=16_15.xlsx&amp;sheet=A0&amp;row=1101&amp;col=9&amp;number=&amp;sourceID=54","")</f>
        <v/>
      </c>
      <c r="J1101" s="4" t="str">
        <f>HYPERLINK("http://141.218.60.56/~jnz1568/getInfo.php?workbook=16_15.xlsx&amp;sheet=A0&amp;row=1101&amp;col=10&amp;number=0&amp;sourceID=54","0")</f>
        <v>0</v>
      </c>
      <c r="K1101" s="4" t="str">
        <f>HYPERLINK("http://141.218.60.56/~jnz1568/getInfo.php?workbook=16_15.xlsx&amp;sheet=A0&amp;row=1101&amp;col=11&amp;number=5.5743e-10&amp;sourceID=54","5.5743e-10")</f>
        <v>5.5743e-10</v>
      </c>
      <c r="L1101" s="4" t="str">
        <f>HYPERLINK("http://141.218.60.56/~jnz1568/getInfo.php?workbook=16_15.xlsx&amp;sheet=A0&amp;row=1101&amp;col=12&amp;number=&amp;sourceID=53","")</f>
        <v/>
      </c>
      <c r="M1101" s="4" t="str">
        <f>HYPERLINK("http://141.218.60.56/~jnz1568/getInfo.php?workbook=16_15.xlsx&amp;sheet=A0&amp;row=1101&amp;col=13&amp;number=&amp;sourceID=53","")</f>
        <v/>
      </c>
      <c r="N1101" s="4" t="str">
        <f>HYPERLINK("http://141.218.60.56/~jnz1568/getInfo.php?workbook=16_15.xlsx&amp;sheet=A0&amp;row=1101&amp;col=14&amp;number=&amp;sourceID=53","")</f>
        <v/>
      </c>
      <c r="O1101" s="4" t="str">
        <f>HYPERLINK("http://141.218.60.56/~jnz1568/getInfo.php?workbook=16_15.xlsx&amp;sheet=A0&amp;row=1101&amp;col=15&amp;number=&amp;sourceID=55","")</f>
        <v/>
      </c>
      <c r="P1101" s="4" t="str">
        <f>HYPERLINK("http://141.218.60.56/~jnz1568/getInfo.php?workbook=16_15.xlsx&amp;sheet=A0&amp;row=1101&amp;col=16&amp;number=&amp;sourceID=55","")</f>
        <v/>
      </c>
      <c r="Q1101" s="4" t="str">
        <f>HYPERLINK("http://141.218.60.56/~jnz1568/getInfo.php?workbook=16_15.xlsx&amp;sheet=A0&amp;row=1101&amp;col=17&amp;number=&amp;sourceID=56","")</f>
        <v/>
      </c>
      <c r="R1101" s="4" t="str">
        <f>HYPERLINK("http://141.218.60.56/~jnz1568/getInfo.php?workbook=16_15.xlsx&amp;sheet=A0&amp;row=1101&amp;col=18&amp;number=&amp;sourceID=56","")</f>
        <v/>
      </c>
      <c r="S1101" s="4" t="str">
        <f>HYPERLINK("http://141.218.60.56/~jnz1568/getInfo.php?workbook=16_15.xlsx&amp;sheet=A0&amp;row=1101&amp;col=19&amp;number=&amp;sourceID=57","")</f>
        <v/>
      </c>
      <c r="T1101" s="4" t="str">
        <f>HYPERLINK("http://141.218.60.56/~jnz1568/getInfo.php?workbook=16_15.xlsx&amp;sheet=A0&amp;row=1101&amp;col=20&amp;number=&amp;sourceID=57","")</f>
        <v/>
      </c>
      <c r="U1101" s="4" t="str">
        <f>HYPERLINK("http://141.218.60.56/~jnz1568/getInfo.php?workbook=16_15.xlsx&amp;sheet=A0&amp;row=1101&amp;col=21&amp;number=&amp;sourceID=47","")</f>
        <v/>
      </c>
      <c r="V1101" s="4" t="str">
        <f>HYPERLINK("http://141.218.60.56/~jnz1568/getInfo.php?workbook=16_15.xlsx&amp;sheet=A0&amp;row=1101&amp;col=22&amp;number=&amp;sourceID=47","")</f>
        <v/>
      </c>
    </row>
    <row r="1102" spans="1:22">
      <c r="A1102" s="3">
        <v>16</v>
      </c>
      <c r="B1102" s="3">
        <v>15</v>
      </c>
      <c r="C1102" s="3">
        <v>54</v>
      </c>
      <c r="D1102" s="3">
        <v>1</v>
      </c>
      <c r="E1102" s="3">
        <f>((1/(INDEX(E0!J$4:J$73,C1102,1)-INDEX(E0!J$4:J$73,D1102,1))))*100000000</f>
        <v>0</v>
      </c>
      <c r="F1102" s="4" t="str">
        <f>HYPERLINK("http://141.218.60.56/~jnz1568/getInfo.php?workbook=16_15.xlsx&amp;sheet=A0&amp;row=1102&amp;col=6&amp;number=1556700&amp;sourceID=54","1556700")</f>
        <v>1556700</v>
      </c>
      <c r="G1102" s="4" t="str">
        <f>HYPERLINK("http://141.218.60.56/~jnz1568/getInfo.php?workbook=16_15.xlsx&amp;sheet=A0&amp;row=1102&amp;col=7&amp;number=&amp;sourceID=54","")</f>
        <v/>
      </c>
      <c r="H1102" s="4" t="str">
        <f>HYPERLINK("http://141.218.60.56/~jnz1568/getInfo.php?workbook=16_15.xlsx&amp;sheet=A0&amp;row=1102&amp;col=8&amp;number=&amp;sourceID=54","")</f>
        <v/>
      </c>
      <c r="I1102" s="4" t="str">
        <f>HYPERLINK("http://141.218.60.56/~jnz1568/getInfo.php?workbook=16_15.xlsx&amp;sheet=A0&amp;row=1102&amp;col=9&amp;number=1583100&amp;sourceID=54","1583100")</f>
        <v>1583100</v>
      </c>
      <c r="J1102" s="4" t="str">
        <f>HYPERLINK("http://141.218.60.56/~jnz1568/getInfo.php?workbook=16_15.xlsx&amp;sheet=A0&amp;row=1102&amp;col=10&amp;number=&amp;sourceID=54","")</f>
        <v/>
      </c>
      <c r="K1102" s="4" t="str">
        <f>HYPERLINK("http://141.218.60.56/~jnz1568/getInfo.php?workbook=16_15.xlsx&amp;sheet=A0&amp;row=1102&amp;col=11&amp;number=&amp;sourceID=54","")</f>
        <v/>
      </c>
      <c r="L1102" s="4" t="str">
        <f>HYPERLINK("http://141.218.60.56/~jnz1568/getInfo.php?workbook=16_15.xlsx&amp;sheet=A0&amp;row=1102&amp;col=12&amp;number=1460118.14746&amp;sourceID=53","1460118.14746")</f>
        <v>1460118.14746</v>
      </c>
      <c r="M1102" s="4" t="str">
        <f>HYPERLINK("http://141.218.60.56/~jnz1568/getInfo.php?workbook=16_15.xlsx&amp;sheet=A0&amp;row=1102&amp;col=13&amp;number=&amp;sourceID=53","")</f>
        <v/>
      </c>
      <c r="N1102" s="4" t="str">
        <f>HYPERLINK("http://141.218.60.56/~jnz1568/getInfo.php?workbook=16_15.xlsx&amp;sheet=A0&amp;row=1102&amp;col=14&amp;number=&amp;sourceID=53","")</f>
        <v/>
      </c>
      <c r="O1102" s="4" t="str">
        <f>HYPERLINK("http://141.218.60.56/~jnz1568/getInfo.php?workbook=16_15.xlsx&amp;sheet=A0&amp;row=1102&amp;col=15&amp;number=&amp;sourceID=55","")</f>
        <v/>
      </c>
      <c r="P1102" s="4" t="str">
        <f>HYPERLINK("http://141.218.60.56/~jnz1568/getInfo.php?workbook=16_15.xlsx&amp;sheet=A0&amp;row=1102&amp;col=16&amp;number=&amp;sourceID=55","")</f>
        <v/>
      </c>
      <c r="Q1102" s="4" t="str">
        <f>HYPERLINK("http://141.218.60.56/~jnz1568/getInfo.php?workbook=16_15.xlsx&amp;sheet=A0&amp;row=1102&amp;col=17&amp;number=&amp;sourceID=56","")</f>
        <v/>
      </c>
      <c r="R1102" s="4" t="str">
        <f>HYPERLINK("http://141.218.60.56/~jnz1568/getInfo.php?workbook=16_15.xlsx&amp;sheet=A0&amp;row=1102&amp;col=18&amp;number=&amp;sourceID=56","")</f>
        <v/>
      </c>
      <c r="S1102" s="4" t="str">
        <f>HYPERLINK("http://141.218.60.56/~jnz1568/getInfo.php?workbook=16_15.xlsx&amp;sheet=A0&amp;row=1102&amp;col=19&amp;number=&amp;sourceID=57","")</f>
        <v/>
      </c>
      <c r="T1102" s="4" t="str">
        <f>HYPERLINK("http://141.218.60.56/~jnz1568/getInfo.php?workbook=16_15.xlsx&amp;sheet=A0&amp;row=1102&amp;col=20&amp;number=&amp;sourceID=57","")</f>
        <v/>
      </c>
      <c r="U1102" s="4" t="str">
        <f>HYPERLINK("http://141.218.60.56/~jnz1568/getInfo.php?workbook=16_15.xlsx&amp;sheet=A0&amp;row=1102&amp;col=21&amp;number=&amp;sourceID=47","")</f>
        <v/>
      </c>
      <c r="V1102" s="4" t="str">
        <f>HYPERLINK("http://141.218.60.56/~jnz1568/getInfo.php?workbook=16_15.xlsx&amp;sheet=A0&amp;row=1102&amp;col=22&amp;number=&amp;sourceID=47","")</f>
        <v/>
      </c>
    </row>
    <row r="1103" spans="1:22">
      <c r="A1103" s="3">
        <v>16</v>
      </c>
      <c r="B1103" s="3">
        <v>15</v>
      </c>
      <c r="C1103" s="3">
        <v>54</v>
      </c>
      <c r="D1103" s="3">
        <v>2</v>
      </c>
      <c r="E1103" s="3">
        <f>((1/(INDEX(E0!J$4:J$73,C1103,1)-INDEX(E0!J$4:J$73,D1103,1))))*100000000</f>
        <v>0</v>
      </c>
      <c r="F1103" s="4" t="str">
        <f>HYPERLINK("http://141.218.60.56/~jnz1568/getInfo.php?workbook=16_15.xlsx&amp;sheet=A0&amp;row=1103&amp;col=6&amp;number=2630000000&amp;sourceID=54","2630000000")</f>
        <v>2630000000</v>
      </c>
      <c r="G1103" s="4" t="str">
        <f>HYPERLINK("http://141.218.60.56/~jnz1568/getInfo.php?workbook=16_15.xlsx&amp;sheet=A0&amp;row=1103&amp;col=7&amp;number=&amp;sourceID=54","")</f>
        <v/>
      </c>
      <c r="H1103" s="4" t="str">
        <f>HYPERLINK("http://141.218.60.56/~jnz1568/getInfo.php?workbook=16_15.xlsx&amp;sheet=A0&amp;row=1103&amp;col=8&amp;number=&amp;sourceID=54","")</f>
        <v/>
      </c>
      <c r="I1103" s="4" t="str">
        <f>HYPERLINK("http://141.218.60.56/~jnz1568/getInfo.php?workbook=16_15.xlsx&amp;sheet=A0&amp;row=1103&amp;col=9&amp;number=2615000000&amp;sourceID=54","2615000000")</f>
        <v>2615000000</v>
      </c>
      <c r="J1103" s="4" t="str">
        <f>HYPERLINK("http://141.218.60.56/~jnz1568/getInfo.php?workbook=16_15.xlsx&amp;sheet=A0&amp;row=1103&amp;col=10&amp;number=&amp;sourceID=54","")</f>
        <v/>
      </c>
      <c r="K1103" s="4" t="str">
        <f>HYPERLINK("http://141.218.60.56/~jnz1568/getInfo.php?workbook=16_15.xlsx&amp;sheet=A0&amp;row=1103&amp;col=11&amp;number=&amp;sourceID=54","")</f>
        <v/>
      </c>
      <c r="L1103" s="4" t="str">
        <f>HYPERLINK("http://141.218.60.56/~jnz1568/getInfo.php?workbook=16_15.xlsx&amp;sheet=A0&amp;row=1103&amp;col=12&amp;number=2908045214.04&amp;sourceID=53","2908045214.04")</f>
        <v>2908045214.04</v>
      </c>
      <c r="M1103" s="4" t="str">
        <f>HYPERLINK("http://141.218.60.56/~jnz1568/getInfo.php?workbook=16_15.xlsx&amp;sheet=A0&amp;row=1103&amp;col=13&amp;number=&amp;sourceID=53","")</f>
        <v/>
      </c>
      <c r="N1103" s="4" t="str">
        <f>HYPERLINK("http://141.218.60.56/~jnz1568/getInfo.php?workbook=16_15.xlsx&amp;sheet=A0&amp;row=1103&amp;col=14&amp;number=&amp;sourceID=53","")</f>
        <v/>
      </c>
      <c r="O1103" s="4" t="str">
        <f>HYPERLINK("http://141.218.60.56/~jnz1568/getInfo.php?workbook=16_15.xlsx&amp;sheet=A0&amp;row=1103&amp;col=15&amp;number=&amp;sourceID=55","")</f>
        <v/>
      </c>
      <c r="P1103" s="4" t="str">
        <f>HYPERLINK("http://141.218.60.56/~jnz1568/getInfo.php?workbook=16_15.xlsx&amp;sheet=A0&amp;row=1103&amp;col=16&amp;number=&amp;sourceID=55","")</f>
        <v/>
      </c>
      <c r="Q1103" s="4" t="str">
        <f>HYPERLINK("http://141.218.60.56/~jnz1568/getInfo.php?workbook=16_15.xlsx&amp;sheet=A0&amp;row=1103&amp;col=17&amp;number=&amp;sourceID=56","")</f>
        <v/>
      </c>
      <c r="R1103" s="4" t="str">
        <f>HYPERLINK("http://141.218.60.56/~jnz1568/getInfo.php?workbook=16_15.xlsx&amp;sheet=A0&amp;row=1103&amp;col=18&amp;number=&amp;sourceID=56","")</f>
        <v/>
      </c>
      <c r="S1103" s="4" t="str">
        <f>HYPERLINK("http://141.218.60.56/~jnz1568/getInfo.php?workbook=16_15.xlsx&amp;sheet=A0&amp;row=1103&amp;col=19&amp;number=&amp;sourceID=57","")</f>
        <v/>
      </c>
      <c r="T1103" s="4" t="str">
        <f>HYPERLINK("http://141.218.60.56/~jnz1568/getInfo.php?workbook=16_15.xlsx&amp;sheet=A0&amp;row=1103&amp;col=20&amp;number=&amp;sourceID=57","")</f>
        <v/>
      </c>
      <c r="U1103" s="4" t="str">
        <f>HYPERLINK("http://141.218.60.56/~jnz1568/getInfo.php?workbook=16_15.xlsx&amp;sheet=A0&amp;row=1103&amp;col=21&amp;number=&amp;sourceID=47","")</f>
        <v/>
      </c>
      <c r="V1103" s="4" t="str">
        <f>HYPERLINK("http://141.218.60.56/~jnz1568/getInfo.php?workbook=16_15.xlsx&amp;sheet=A0&amp;row=1103&amp;col=22&amp;number=&amp;sourceID=47","")</f>
        <v/>
      </c>
    </row>
    <row r="1104" spans="1:22">
      <c r="A1104" s="3">
        <v>16</v>
      </c>
      <c r="B1104" s="3">
        <v>15</v>
      </c>
      <c r="C1104" s="3">
        <v>54</v>
      </c>
      <c r="D1104" s="3">
        <v>4</v>
      </c>
      <c r="E1104" s="3">
        <f>((1/(INDEX(E0!J$4:J$73,C1104,1)-INDEX(E0!J$4:J$73,D1104,1))))*100000000</f>
        <v>0</v>
      </c>
      <c r="F1104" s="4" t="str">
        <f>HYPERLINK("http://141.218.60.56/~jnz1568/getInfo.php?workbook=16_15.xlsx&amp;sheet=A0&amp;row=1104&amp;col=6&amp;number=1511800000&amp;sourceID=54","1511800000")</f>
        <v>1511800000</v>
      </c>
      <c r="G1104" s="4" t="str">
        <f>HYPERLINK("http://141.218.60.56/~jnz1568/getInfo.php?workbook=16_15.xlsx&amp;sheet=A0&amp;row=1104&amp;col=7&amp;number=&amp;sourceID=54","")</f>
        <v/>
      </c>
      <c r="H1104" s="4" t="str">
        <f>HYPERLINK("http://141.218.60.56/~jnz1568/getInfo.php?workbook=16_15.xlsx&amp;sheet=A0&amp;row=1104&amp;col=8&amp;number=&amp;sourceID=54","")</f>
        <v/>
      </c>
      <c r="I1104" s="4" t="str">
        <f>HYPERLINK("http://141.218.60.56/~jnz1568/getInfo.php?workbook=16_15.xlsx&amp;sheet=A0&amp;row=1104&amp;col=9&amp;number=1498300000&amp;sourceID=54","1498300000")</f>
        <v>1498300000</v>
      </c>
      <c r="J1104" s="4" t="str">
        <f>HYPERLINK("http://141.218.60.56/~jnz1568/getInfo.php?workbook=16_15.xlsx&amp;sheet=A0&amp;row=1104&amp;col=10&amp;number=&amp;sourceID=54","")</f>
        <v/>
      </c>
      <c r="K1104" s="4" t="str">
        <f>HYPERLINK("http://141.218.60.56/~jnz1568/getInfo.php?workbook=16_15.xlsx&amp;sheet=A0&amp;row=1104&amp;col=11&amp;number=&amp;sourceID=54","")</f>
        <v/>
      </c>
      <c r="L1104" s="4" t="str">
        <f>HYPERLINK("http://141.218.60.56/~jnz1568/getInfo.php?workbook=16_15.xlsx&amp;sheet=A0&amp;row=1104&amp;col=12&amp;number=1345458317.2&amp;sourceID=53","1345458317.2")</f>
        <v>1345458317.2</v>
      </c>
      <c r="M1104" s="4" t="str">
        <f>HYPERLINK("http://141.218.60.56/~jnz1568/getInfo.php?workbook=16_15.xlsx&amp;sheet=A0&amp;row=1104&amp;col=13&amp;number=&amp;sourceID=53","")</f>
        <v/>
      </c>
      <c r="N1104" s="4" t="str">
        <f>HYPERLINK("http://141.218.60.56/~jnz1568/getInfo.php?workbook=16_15.xlsx&amp;sheet=A0&amp;row=1104&amp;col=14&amp;number=&amp;sourceID=53","")</f>
        <v/>
      </c>
      <c r="O1104" s="4" t="str">
        <f>HYPERLINK("http://141.218.60.56/~jnz1568/getInfo.php?workbook=16_15.xlsx&amp;sheet=A0&amp;row=1104&amp;col=15&amp;number=&amp;sourceID=55","")</f>
        <v/>
      </c>
      <c r="P1104" s="4" t="str">
        <f>HYPERLINK("http://141.218.60.56/~jnz1568/getInfo.php?workbook=16_15.xlsx&amp;sheet=A0&amp;row=1104&amp;col=16&amp;number=&amp;sourceID=55","")</f>
        <v/>
      </c>
      <c r="Q1104" s="4" t="str">
        <f>HYPERLINK("http://141.218.60.56/~jnz1568/getInfo.php?workbook=16_15.xlsx&amp;sheet=A0&amp;row=1104&amp;col=17&amp;number=&amp;sourceID=56","")</f>
        <v/>
      </c>
      <c r="R1104" s="4" t="str">
        <f>HYPERLINK("http://141.218.60.56/~jnz1568/getInfo.php?workbook=16_15.xlsx&amp;sheet=A0&amp;row=1104&amp;col=18&amp;number=&amp;sourceID=56","")</f>
        <v/>
      </c>
      <c r="S1104" s="4" t="str">
        <f>HYPERLINK("http://141.218.60.56/~jnz1568/getInfo.php?workbook=16_15.xlsx&amp;sheet=A0&amp;row=1104&amp;col=19&amp;number=&amp;sourceID=57","")</f>
        <v/>
      </c>
      <c r="T1104" s="4" t="str">
        <f>HYPERLINK("http://141.218.60.56/~jnz1568/getInfo.php?workbook=16_15.xlsx&amp;sheet=A0&amp;row=1104&amp;col=20&amp;number=&amp;sourceID=57","")</f>
        <v/>
      </c>
      <c r="U1104" s="4" t="str">
        <f>HYPERLINK("http://141.218.60.56/~jnz1568/getInfo.php?workbook=16_15.xlsx&amp;sheet=A0&amp;row=1104&amp;col=21&amp;number=&amp;sourceID=47","")</f>
        <v/>
      </c>
      <c r="V1104" s="4" t="str">
        <f>HYPERLINK("http://141.218.60.56/~jnz1568/getInfo.php?workbook=16_15.xlsx&amp;sheet=A0&amp;row=1104&amp;col=22&amp;number=&amp;sourceID=47","")</f>
        <v/>
      </c>
    </row>
    <row r="1105" spans="1:22">
      <c r="A1105" s="3">
        <v>16</v>
      </c>
      <c r="B1105" s="3">
        <v>15</v>
      </c>
      <c r="C1105" s="3">
        <v>54</v>
      </c>
      <c r="D1105" s="3">
        <v>5</v>
      </c>
      <c r="E1105" s="3">
        <f>((1/(INDEX(E0!J$4:J$73,C1105,1)-INDEX(E0!J$4:J$73,D1105,1))))*100000000</f>
        <v>0</v>
      </c>
      <c r="F1105" s="4" t="str">
        <f>HYPERLINK("http://141.218.60.56/~jnz1568/getInfo.php?workbook=16_15.xlsx&amp;sheet=A0&amp;row=1105&amp;col=6&amp;number=629550000&amp;sourceID=54","629550000")</f>
        <v>629550000</v>
      </c>
      <c r="G1105" s="4" t="str">
        <f>HYPERLINK("http://141.218.60.56/~jnz1568/getInfo.php?workbook=16_15.xlsx&amp;sheet=A0&amp;row=1105&amp;col=7&amp;number=&amp;sourceID=54","")</f>
        <v/>
      </c>
      <c r="H1105" s="4" t="str">
        <f>HYPERLINK("http://141.218.60.56/~jnz1568/getInfo.php?workbook=16_15.xlsx&amp;sheet=A0&amp;row=1105&amp;col=8&amp;number=&amp;sourceID=54","")</f>
        <v/>
      </c>
      <c r="I1105" s="4" t="str">
        <f>HYPERLINK("http://141.218.60.56/~jnz1568/getInfo.php?workbook=16_15.xlsx&amp;sheet=A0&amp;row=1105&amp;col=9&amp;number=625320000&amp;sourceID=54","625320000")</f>
        <v>625320000</v>
      </c>
      <c r="J1105" s="4" t="str">
        <f>HYPERLINK("http://141.218.60.56/~jnz1568/getInfo.php?workbook=16_15.xlsx&amp;sheet=A0&amp;row=1105&amp;col=10&amp;number=&amp;sourceID=54","")</f>
        <v/>
      </c>
      <c r="K1105" s="4" t="str">
        <f>HYPERLINK("http://141.218.60.56/~jnz1568/getInfo.php?workbook=16_15.xlsx&amp;sheet=A0&amp;row=1105&amp;col=11&amp;number=&amp;sourceID=54","")</f>
        <v/>
      </c>
      <c r="L1105" s="4" t="str">
        <f>HYPERLINK("http://141.218.60.56/~jnz1568/getInfo.php?workbook=16_15.xlsx&amp;sheet=A0&amp;row=1105&amp;col=12&amp;number=550874759.309&amp;sourceID=53","550874759.309")</f>
        <v>550874759.309</v>
      </c>
      <c r="M1105" s="4" t="str">
        <f>HYPERLINK("http://141.218.60.56/~jnz1568/getInfo.php?workbook=16_15.xlsx&amp;sheet=A0&amp;row=1105&amp;col=13&amp;number=&amp;sourceID=53","")</f>
        <v/>
      </c>
      <c r="N1105" s="4" t="str">
        <f>HYPERLINK("http://141.218.60.56/~jnz1568/getInfo.php?workbook=16_15.xlsx&amp;sheet=A0&amp;row=1105&amp;col=14&amp;number=&amp;sourceID=53","")</f>
        <v/>
      </c>
      <c r="O1105" s="4" t="str">
        <f>HYPERLINK("http://141.218.60.56/~jnz1568/getInfo.php?workbook=16_15.xlsx&amp;sheet=A0&amp;row=1105&amp;col=15&amp;number=&amp;sourceID=55","")</f>
        <v/>
      </c>
      <c r="P1105" s="4" t="str">
        <f>HYPERLINK("http://141.218.60.56/~jnz1568/getInfo.php?workbook=16_15.xlsx&amp;sheet=A0&amp;row=1105&amp;col=16&amp;number=&amp;sourceID=55","")</f>
        <v/>
      </c>
      <c r="Q1105" s="4" t="str">
        <f>HYPERLINK("http://141.218.60.56/~jnz1568/getInfo.php?workbook=16_15.xlsx&amp;sheet=A0&amp;row=1105&amp;col=17&amp;number=&amp;sourceID=56","")</f>
        <v/>
      </c>
      <c r="R1105" s="4" t="str">
        <f>HYPERLINK("http://141.218.60.56/~jnz1568/getInfo.php?workbook=16_15.xlsx&amp;sheet=A0&amp;row=1105&amp;col=18&amp;number=&amp;sourceID=56","")</f>
        <v/>
      </c>
      <c r="S1105" s="4" t="str">
        <f>HYPERLINK("http://141.218.60.56/~jnz1568/getInfo.php?workbook=16_15.xlsx&amp;sheet=A0&amp;row=1105&amp;col=19&amp;number=&amp;sourceID=57","")</f>
        <v/>
      </c>
      <c r="T1105" s="4" t="str">
        <f>HYPERLINK("http://141.218.60.56/~jnz1568/getInfo.php?workbook=16_15.xlsx&amp;sheet=A0&amp;row=1105&amp;col=20&amp;number=&amp;sourceID=57","")</f>
        <v/>
      </c>
      <c r="U1105" s="4" t="str">
        <f>HYPERLINK("http://141.218.60.56/~jnz1568/getInfo.php?workbook=16_15.xlsx&amp;sheet=A0&amp;row=1105&amp;col=21&amp;number=&amp;sourceID=47","")</f>
        <v/>
      </c>
      <c r="V1105" s="4" t="str">
        <f>HYPERLINK("http://141.218.60.56/~jnz1568/getInfo.php?workbook=16_15.xlsx&amp;sheet=A0&amp;row=1105&amp;col=22&amp;number=&amp;sourceID=47","")</f>
        <v/>
      </c>
    </row>
    <row r="1106" spans="1:22">
      <c r="A1106" s="3">
        <v>16</v>
      </c>
      <c r="B1106" s="3">
        <v>15</v>
      </c>
      <c r="C1106" s="3">
        <v>54</v>
      </c>
      <c r="D1106" s="3">
        <v>6</v>
      </c>
      <c r="E1106" s="3">
        <f>((1/(INDEX(E0!J$4:J$73,C1106,1)-INDEX(E0!J$4:J$73,D1106,1))))*100000000</f>
        <v>0</v>
      </c>
      <c r="F1106" s="4" t="str">
        <f>HYPERLINK("http://141.218.60.56/~jnz1568/getInfo.php?workbook=16_15.xlsx&amp;sheet=A0&amp;row=1106&amp;col=6&amp;number=&amp;sourceID=54","")</f>
        <v/>
      </c>
      <c r="G1106" s="4" t="str">
        <f>HYPERLINK("http://141.218.60.56/~jnz1568/getInfo.php?workbook=16_15.xlsx&amp;sheet=A0&amp;row=1106&amp;col=7&amp;number=0.016216&amp;sourceID=54","0.016216")</f>
        <v>0.016216</v>
      </c>
      <c r="H1106" s="4" t="str">
        <f>HYPERLINK("http://141.218.60.56/~jnz1568/getInfo.php?workbook=16_15.xlsx&amp;sheet=A0&amp;row=1106&amp;col=8&amp;number=&amp;sourceID=54","")</f>
        <v/>
      </c>
      <c r="I1106" s="4" t="str">
        <f>HYPERLINK("http://141.218.60.56/~jnz1568/getInfo.php?workbook=16_15.xlsx&amp;sheet=A0&amp;row=1106&amp;col=9&amp;number=&amp;sourceID=54","")</f>
        <v/>
      </c>
      <c r="J1106" s="4" t="str">
        <f>HYPERLINK("http://141.218.60.56/~jnz1568/getInfo.php?workbook=16_15.xlsx&amp;sheet=A0&amp;row=1106&amp;col=10&amp;number=0.015122&amp;sourceID=54","0.015122")</f>
        <v>0.015122</v>
      </c>
      <c r="K1106" s="4" t="str">
        <f>HYPERLINK("http://141.218.60.56/~jnz1568/getInfo.php?workbook=16_15.xlsx&amp;sheet=A0&amp;row=1106&amp;col=11&amp;number=&amp;sourceID=54","")</f>
        <v/>
      </c>
      <c r="L1106" s="4" t="str">
        <f>HYPERLINK("http://141.218.60.56/~jnz1568/getInfo.php?workbook=16_15.xlsx&amp;sheet=A0&amp;row=1106&amp;col=12&amp;number=&amp;sourceID=53","")</f>
        <v/>
      </c>
      <c r="M1106" s="4" t="str">
        <f>HYPERLINK("http://141.218.60.56/~jnz1568/getInfo.php?workbook=16_15.xlsx&amp;sheet=A0&amp;row=1106&amp;col=13&amp;number=&amp;sourceID=53","")</f>
        <v/>
      </c>
      <c r="N1106" s="4" t="str">
        <f>HYPERLINK("http://141.218.60.56/~jnz1568/getInfo.php?workbook=16_15.xlsx&amp;sheet=A0&amp;row=1106&amp;col=14&amp;number=&amp;sourceID=53","")</f>
        <v/>
      </c>
      <c r="O1106" s="4" t="str">
        <f>HYPERLINK("http://141.218.60.56/~jnz1568/getInfo.php?workbook=16_15.xlsx&amp;sheet=A0&amp;row=1106&amp;col=15&amp;number=&amp;sourceID=55","")</f>
        <v/>
      </c>
      <c r="P1106" s="4" t="str">
        <f>HYPERLINK("http://141.218.60.56/~jnz1568/getInfo.php?workbook=16_15.xlsx&amp;sheet=A0&amp;row=1106&amp;col=16&amp;number=&amp;sourceID=55","")</f>
        <v/>
      </c>
      <c r="Q1106" s="4" t="str">
        <f>HYPERLINK("http://141.218.60.56/~jnz1568/getInfo.php?workbook=16_15.xlsx&amp;sheet=A0&amp;row=1106&amp;col=17&amp;number=&amp;sourceID=56","")</f>
        <v/>
      </c>
      <c r="R1106" s="4" t="str">
        <f>HYPERLINK("http://141.218.60.56/~jnz1568/getInfo.php?workbook=16_15.xlsx&amp;sheet=A0&amp;row=1106&amp;col=18&amp;number=&amp;sourceID=56","")</f>
        <v/>
      </c>
      <c r="S1106" s="4" t="str">
        <f>HYPERLINK("http://141.218.60.56/~jnz1568/getInfo.php?workbook=16_15.xlsx&amp;sheet=A0&amp;row=1106&amp;col=19&amp;number=&amp;sourceID=57","")</f>
        <v/>
      </c>
      <c r="T1106" s="4" t="str">
        <f>HYPERLINK("http://141.218.60.56/~jnz1568/getInfo.php?workbook=16_15.xlsx&amp;sheet=A0&amp;row=1106&amp;col=20&amp;number=&amp;sourceID=57","")</f>
        <v/>
      </c>
      <c r="U1106" s="4" t="str">
        <f>HYPERLINK("http://141.218.60.56/~jnz1568/getInfo.php?workbook=16_15.xlsx&amp;sheet=A0&amp;row=1106&amp;col=21&amp;number=&amp;sourceID=47","")</f>
        <v/>
      </c>
      <c r="V1106" s="4" t="str">
        <f>HYPERLINK("http://141.218.60.56/~jnz1568/getInfo.php?workbook=16_15.xlsx&amp;sheet=A0&amp;row=1106&amp;col=22&amp;number=&amp;sourceID=47","")</f>
        <v/>
      </c>
    </row>
    <row r="1107" spans="1:22">
      <c r="A1107" s="3">
        <v>16</v>
      </c>
      <c r="B1107" s="3">
        <v>15</v>
      </c>
      <c r="C1107" s="3">
        <v>54</v>
      </c>
      <c r="D1107" s="3">
        <v>7</v>
      </c>
      <c r="E1107" s="3">
        <f>((1/(INDEX(E0!J$4:J$73,C1107,1)-INDEX(E0!J$4:J$73,D1107,1))))*100000000</f>
        <v>0</v>
      </c>
      <c r="F1107" s="4" t="str">
        <f>HYPERLINK("http://141.218.60.56/~jnz1568/getInfo.php?workbook=16_15.xlsx&amp;sheet=A0&amp;row=1107&amp;col=6&amp;number=&amp;sourceID=54","")</f>
        <v/>
      </c>
      <c r="G1107" s="4" t="str">
        <f>HYPERLINK("http://141.218.60.56/~jnz1568/getInfo.php?workbook=16_15.xlsx&amp;sheet=A0&amp;row=1107&amp;col=7&amp;number=0.00091018&amp;sourceID=54","0.00091018")</f>
        <v>0.00091018</v>
      </c>
      <c r="H1107" s="4" t="str">
        <f>HYPERLINK("http://141.218.60.56/~jnz1568/getInfo.php?workbook=16_15.xlsx&amp;sheet=A0&amp;row=1107&amp;col=8&amp;number=1.9546e-05&amp;sourceID=54","1.9546e-05")</f>
        <v>1.9546e-05</v>
      </c>
      <c r="I1107" s="4" t="str">
        <f>HYPERLINK("http://141.218.60.56/~jnz1568/getInfo.php?workbook=16_15.xlsx&amp;sheet=A0&amp;row=1107&amp;col=9&amp;number=&amp;sourceID=54","")</f>
        <v/>
      </c>
      <c r="J1107" s="4" t="str">
        <f>HYPERLINK("http://141.218.60.56/~jnz1568/getInfo.php?workbook=16_15.xlsx&amp;sheet=A0&amp;row=1107&amp;col=10&amp;number=0.00096435&amp;sourceID=54","0.00096435")</f>
        <v>0.00096435</v>
      </c>
      <c r="K1107" s="4" t="str">
        <f>HYPERLINK("http://141.218.60.56/~jnz1568/getInfo.php?workbook=16_15.xlsx&amp;sheet=A0&amp;row=1107&amp;col=11&amp;number=4.0209e-06&amp;sourceID=54","4.0209e-06")</f>
        <v>4.0209e-06</v>
      </c>
      <c r="L1107" s="4" t="str">
        <f>HYPERLINK("http://141.218.60.56/~jnz1568/getInfo.php?workbook=16_15.xlsx&amp;sheet=A0&amp;row=1107&amp;col=12&amp;number=&amp;sourceID=53","")</f>
        <v/>
      </c>
      <c r="M1107" s="4" t="str">
        <f>HYPERLINK("http://141.218.60.56/~jnz1568/getInfo.php?workbook=16_15.xlsx&amp;sheet=A0&amp;row=1107&amp;col=13&amp;number=&amp;sourceID=53","")</f>
        <v/>
      </c>
      <c r="N1107" s="4" t="str">
        <f>HYPERLINK("http://141.218.60.56/~jnz1568/getInfo.php?workbook=16_15.xlsx&amp;sheet=A0&amp;row=1107&amp;col=14&amp;number=&amp;sourceID=53","")</f>
        <v/>
      </c>
      <c r="O1107" s="4" t="str">
        <f>HYPERLINK("http://141.218.60.56/~jnz1568/getInfo.php?workbook=16_15.xlsx&amp;sheet=A0&amp;row=1107&amp;col=15&amp;number=&amp;sourceID=55","")</f>
        <v/>
      </c>
      <c r="P1107" s="4" t="str">
        <f>HYPERLINK("http://141.218.60.56/~jnz1568/getInfo.php?workbook=16_15.xlsx&amp;sheet=A0&amp;row=1107&amp;col=16&amp;number=&amp;sourceID=55","")</f>
        <v/>
      </c>
      <c r="Q1107" s="4" t="str">
        <f>HYPERLINK("http://141.218.60.56/~jnz1568/getInfo.php?workbook=16_15.xlsx&amp;sheet=A0&amp;row=1107&amp;col=17&amp;number=&amp;sourceID=56","")</f>
        <v/>
      </c>
      <c r="R1107" s="4" t="str">
        <f>HYPERLINK("http://141.218.60.56/~jnz1568/getInfo.php?workbook=16_15.xlsx&amp;sheet=A0&amp;row=1107&amp;col=18&amp;number=&amp;sourceID=56","")</f>
        <v/>
      </c>
      <c r="S1107" s="4" t="str">
        <f>HYPERLINK("http://141.218.60.56/~jnz1568/getInfo.php?workbook=16_15.xlsx&amp;sheet=A0&amp;row=1107&amp;col=19&amp;number=&amp;sourceID=57","")</f>
        <v/>
      </c>
      <c r="T1107" s="4" t="str">
        <f>HYPERLINK("http://141.218.60.56/~jnz1568/getInfo.php?workbook=16_15.xlsx&amp;sheet=A0&amp;row=1107&amp;col=20&amp;number=&amp;sourceID=57","")</f>
        <v/>
      </c>
      <c r="U1107" s="4" t="str">
        <f>HYPERLINK("http://141.218.60.56/~jnz1568/getInfo.php?workbook=16_15.xlsx&amp;sheet=A0&amp;row=1107&amp;col=21&amp;number=&amp;sourceID=47","")</f>
        <v/>
      </c>
      <c r="V1107" s="4" t="str">
        <f>HYPERLINK("http://141.218.60.56/~jnz1568/getInfo.php?workbook=16_15.xlsx&amp;sheet=A0&amp;row=1107&amp;col=22&amp;number=&amp;sourceID=47","")</f>
        <v/>
      </c>
    </row>
    <row r="1108" spans="1:22">
      <c r="A1108" s="3">
        <v>16</v>
      </c>
      <c r="B1108" s="3">
        <v>15</v>
      </c>
      <c r="C1108" s="3">
        <v>54</v>
      </c>
      <c r="D1108" s="3">
        <v>8</v>
      </c>
      <c r="E1108" s="3">
        <f>((1/(INDEX(E0!J$4:J$73,C1108,1)-INDEX(E0!J$4:J$73,D1108,1))))*100000000</f>
        <v>0</v>
      </c>
      <c r="F1108" s="4" t="str">
        <f>HYPERLINK("http://141.218.60.56/~jnz1568/getInfo.php?workbook=16_15.xlsx&amp;sheet=A0&amp;row=1108&amp;col=6&amp;number=&amp;sourceID=54","")</f>
        <v/>
      </c>
      <c r="G1108" s="4" t="str">
        <f>HYPERLINK("http://141.218.60.56/~jnz1568/getInfo.php?workbook=16_15.xlsx&amp;sheet=A0&amp;row=1108&amp;col=7&amp;number=&amp;sourceID=54","")</f>
        <v/>
      </c>
      <c r="H1108" s="4" t="str">
        <f>HYPERLINK("http://141.218.60.56/~jnz1568/getInfo.php?workbook=16_15.xlsx&amp;sheet=A0&amp;row=1108&amp;col=8&amp;number=0.020712&amp;sourceID=54","0.020712")</f>
        <v>0.020712</v>
      </c>
      <c r="I1108" s="4" t="str">
        <f>HYPERLINK("http://141.218.60.56/~jnz1568/getInfo.php?workbook=16_15.xlsx&amp;sheet=A0&amp;row=1108&amp;col=9&amp;number=&amp;sourceID=54","")</f>
        <v/>
      </c>
      <c r="J1108" s="4" t="str">
        <f>HYPERLINK("http://141.218.60.56/~jnz1568/getInfo.php?workbook=16_15.xlsx&amp;sheet=A0&amp;row=1108&amp;col=10&amp;number=&amp;sourceID=54","")</f>
        <v/>
      </c>
      <c r="K1108" s="4" t="str">
        <f>HYPERLINK("http://141.218.60.56/~jnz1568/getInfo.php?workbook=16_15.xlsx&amp;sheet=A0&amp;row=1108&amp;col=11&amp;number=0.018889&amp;sourceID=54","0.018889")</f>
        <v>0.018889</v>
      </c>
      <c r="L1108" s="4" t="str">
        <f>HYPERLINK("http://141.218.60.56/~jnz1568/getInfo.php?workbook=16_15.xlsx&amp;sheet=A0&amp;row=1108&amp;col=12&amp;number=&amp;sourceID=53","")</f>
        <v/>
      </c>
      <c r="M1108" s="4" t="str">
        <f>HYPERLINK("http://141.218.60.56/~jnz1568/getInfo.php?workbook=16_15.xlsx&amp;sheet=A0&amp;row=1108&amp;col=13&amp;number=&amp;sourceID=53","")</f>
        <v/>
      </c>
      <c r="N1108" s="4" t="str">
        <f>HYPERLINK("http://141.218.60.56/~jnz1568/getInfo.php?workbook=16_15.xlsx&amp;sheet=A0&amp;row=1108&amp;col=14&amp;number=&amp;sourceID=53","")</f>
        <v/>
      </c>
      <c r="O1108" s="4" t="str">
        <f>HYPERLINK("http://141.218.60.56/~jnz1568/getInfo.php?workbook=16_15.xlsx&amp;sheet=A0&amp;row=1108&amp;col=15&amp;number=&amp;sourceID=55","")</f>
        <v/>
      </c>
      <c r="P1108" s="4" t="str">
        <f>HYPERLINK("http://141.218.60.56/~jnz1568/getInfo.php?workbook=16_15.xlsx&amp;sheet=A0&amp;row=1108&amp;col=16&amp;number=&amp;sourceID=55","")</f>
        <v/>
      </c>
      <c r="Q1108" s="4" t="str">
        <f>HYPERLINK("http://141.218.60.56/~jnz1568/getInfo.php?workbook=16_15.xlsx&amp;sheet=A0&amp;row=1108&amp;col=17&amp;number=&amp;sourceID=56","")</f>
        <v/>
      </c>
      <c r="R1108" s="4" t="str">
        <f>HYPERLINK("http://141.218.60.56/~jnz1568/getInfo.php?workbook=16_15.xlsx&amp;sheet=A0&amp;row=1108&amp;col=18&amp;number=&amp;sourceID=56","")</f>
        <v/>
      </c>
      <c r="S1108" s="4" t="str">
        <f>HYPERLINK("http://141.218.60.56/~jnz1568/getInfo.php?workbook=16_15.xlsx&amp;sheet=A0&amp;row=1108&amp;col=19&amp;number=&amp;sourceID=57","")</f>
        <v/>
      </c>
      <c r="T1108" s="4" t="str">
        <f>HYPERLINK("http://141.218.60.56/~jnz1568/getInfo.php?workbook=16_15.xlsx&amp;sheet=A0&amp;row=1108&amp;col=20&amp;number=&amp;sourceID=57","")</f>
        <v/>
      </c>
      <c r="U1108" s="4" t="str">
        <f>HYPERLINK("http://141.218.60.56/~jnz1568/getInfo.php?workbook=16_15.xlsx&amp;sheet=A0&amp;row=1108&amp;col=21&amp;number=&amp;sourceID=47","")</f>
        <v/>
      </c>
      <c r="V1108" s="4" t="str">
        <f>HYPERLINK("http://141.218.60.56/~jnz1568/getInfo.php?workbook=16_15.xlsx&amp;sheet=A0&amp;row=1108&amp;col=22&amp;number=&amp;sourceID=47","")</f>
        <v/>
      </c>
    </row>
    <row r="1109" spans="1:22">
      <c r="A1109" s="3">
        <v>16</v>
      </c>
      <c r="B1109" s="3">
        <v>15</v>
      </c>
      <c r="C1109" s="3">
        <v>54</v>
      </c>
      <c r="D1109" s="3">
        <v>9</v>
      </c>
      <c r="E1109" s="3">
        <f>((1/(INDEX(E0!J$4:J$73,C1109,1)-INDEX(E0!J$4:J$73,D1109,1))))*100000000</f>
        <v>0</v>
      </c>
      <c r="F1109" s="4" t="str">
        <f>HYPERLINK("http://141.218.60.56/~jnz1568/getInfo.php?workbook=16_15.xlsx&amp;sheet=A0&amp;row=1109&amp;col=6&amp;number=&amp;sourceID=54","")</f>
        <v/>
      </c>
      <c r="G1109" s="4" t="str">
        <f>HYPERLINK("http://141.218.60.56/~jnz1568/getInfo.php?workbook=16_15.xlsx&amp;sheet=A0&amp;row=1109&amp;col=7&amp;number=11.814&amp;sourceID=54","11.814")</f>
        <v>11.814</v>
      </c>
      <c r="H1109" s="4" t="str">
        <f>HYPERLINK("http://141.218.60.56/~jnz1568/getInfo.php?workbook=16_15.xlsx&amp;sheet=A0&amp;row=1109&amp;col=8&amp;number=0.0029921&amp;sourceID=54","0.0029921")</f>
        <v>0.0029921</v>
      </c>
      <c r="I1109" s="4" t="str">
        <f>HYPERLINK("http://141.218.60.56/~jnz1568/getInfo.php?workbook=16_15.xlsx&amp;sheet=A0&amp;row=1109&amp;col=9&amp;number=&amp;sourceID=54","")</f>
        <v/>
      </c>
      <c r="J1109" s="4" t="str">
        <f>HYPERLINK("http://141.218.60.56/~jnz1568/getInfo.php?workbook=16_15.xlsx&amp;sheet=A0&amp;row=1109&amp;col=10&amp;number=10.619&amp;sourceID=54","10.619")</f>
        <v>10.619</v>
      </c>
      <c r="K1109" s="4" t="str">
        <f>HYPERLINK("http://141.218.60.56/~jnz1568/getInfo.php?workbook=16_15.xlsx&amp;sheet=A0&amp;row=1109&amp;col=11&amp;number=0.0028395&amp;sourceID=54","0.0028395")</f>
        <v>0.0028395</v>
      </c>
      <c r="L1109" s="4" t="str">
        <f>HYPERLINK("http://141.218.60.56/~jnz1568/getInfo.php?workbook=16_15.xlsx&amp;sheet=A0&amp;row=1109&amp;col=12&amp;number=&amp;sourceID=53","")</f>
        <v/>
      </c>
      <c r="M1109" s="4" t="str">
        <f>HYPERLINK("http://141.218.60.56/~jnz1568/getInfo.php?workbook=16_15.xlsx&amp;sheet=A0&amp;row=1109&amp;col=13&amp;number=&amp;sourceID=53","")</f>
        <v/>
      </c>
      <c r="N1109" s="4" t="str">
        <f>HYPERLINK("http://141.218.60.56/~jnz1568/getInfo.php?workbook=16_15.xlsx&amp;sheet=A0&amp;row=1109&amp;col=14&amp;number=&amp;sourceID=53","")</f>
        <v/>
      </c>
      <c r="O1109" s="4" t="str">
        <f>HYPERLINK("http://141.218.60.56/~jnz1568/getInfo.php?workbook=16_15.xlsx&amp;sheet=A0&amp;row=1109&amp;col=15&amp;number=&amp;sourceID=55","")</f>
        <v/>
      </c>
      <c r="P1109" s="4" t="str">
        <f>HYPERLINK("http://141.218.60.56/~jnz1568/getInfo.php?workbook=16_15.xlsx&amp;sheet=A0&amp;row=1109&amp;col=16&amp;number=&amp;sourceID=55","")</f>
        <v/>
      </c>
      <c r="Q1109" s="4" t="str">
        <f>HYPERLINK("http://141.218.60.56/~jnz1568/getInfo.php?workbook=16_15.xlsx&amp;sheet=A0&amp;row=1109&amp;col=17&amp;number=&amp;sourceID=56","")</f>
        <v/>
      </c>
      <c r="R1109" s="4" t="str">
        <f>HYPERLINK("http://141.218.60.56/~jnz1568/getInfo.php?workbook=16_15.xlsx&amp;sheet=A0&amp;row=1109&amp;col=18&amp;number=&amp;sourceID=56","")</f>
        <v/>
      </c>
      <c r="S1109" s="4" t="str">
        <f>HYPERLINK("http://141.218.60.56/~jnz1568/getInfo.php?workbook=16_15.xlsx&amp;sheet=A0&amp;row=1109&amp;col=19&amp;number=&amp;sourceID=57","")</f>
        <v/>
      </c>
      <c r="T1109" s="4" t="str">
        <f>HYPERLINK("http://141.218.60.56/~jnz1568/getInfo.php?workbook=16_15.xlsx&amp;sheet=A0&amp;row=1109&amp;col=20&amp;number=&amp;sourceID=57","")</f>
        <v/>
      </c>
      <c r="U1109" s="4" t="str">
        <f>HYPERLINK("http://141.218.60.56/~jnz1568/getInfo.php?workbook=16_15.xlsx&amp;sheet=A0&amp;row=1109&amp;col=21&amp;number=&amp;sourceID=47","")</f>
        <v/>
      </c>
      <c r="V1109" s="4" t="str">
        <f>HYPERLINK("http://141.218.60.56/~jnz1568/getInfo.php?workbook=16_15.xlsx&amp;sheet=A0&amp;row=1109&amp;col=22&amp;number=&amp;sourceID=47","")</f>
        <v/>
      </c>
    </row>
    <row r="1110" spans="1:22">
      <c r="A1110" s="3">
        <v>16</v>
      </c>
      <c r="B1110" s="3">
        <v>15</v>
      </c>
      <c r="C1110" s="3">
        <v>54</v>
      </c>
      <c r="D1110" s="3">
        <v>10</v>
      </c>
      <c r="E1110" s="3">
        <f>((1/(INDEX(E0!J$4:J$73,C1110,1)-INDEX(E0!J$4:J$73,D1110,1))))*100000000</f>
        <v>0</v>
      </c>
      <c r="F1110" s="4" t="str">
        <f>HYPERLINK("http://141.218.60.56/~jnz1568/getInfo.php?workbook=16_15.xlsx&amp;sheet=A0&amp;row=1110&amp;col=6&amp;number=&amp;sourceID=54","")</f>
        <v/>
      </c>
      <c r="G1110" s="4" t="str">
        <f>HYPERLINK("http://141.218.60.56/~jnz1568/getInfo.php?workbook=16_15.xlsx&amp;sheet=A0&amp;row=1110&amp;col=7&amp;number=7.475&amp;sourceID=54","7.475")</f>
        <v>7.475</v>
      </c>
      <c r="H1110" s="4" t="str">
        <f>HYPERLINK("http://141.218.60.56/~jnz1568/getInfo.php?workbook=16_15.xlsx&amp;sheet=A0&amp;row=1110&amp;col=8&amp;number=&amp;sourceID=54","")</f>
        <v/>
      </c>
      <c r="I1110" s="4" t="str">
        <f>HYPERLINK("http://141.218.60.56/~jnz1568/getInfo.php?workbook=16_15.xlsx&amp;sheet=A0&amp;row=1110&amp;col=9&amp;number=&amp;sourceID=54","")</f>
        <v/>
      </c>
      <c r="J1110" s="4" t="str">
        <f>HYPERLINK("http://141.218.60.56/~jnz1568/getInfo.php?workbook=16_15.xlsx&amp;sheet=A0&amp;row=1110&amp;col=10&amp;number=6.6157&amp;sourceID=54","6.6157")</f>
        <v>6.6157</v>
      </c>
      <c r="K1110" s="4" t="str">
        <f>HYPERLINK("http://141.218.60.56/~jnz1568/getInfo.php?workbook=16_15.xlsx&amp;sheet=A0&amp;row=1110&amp;col=11&amp;number=&amp;sourceID=54","")</f>
        <v/>
      </c>
      <c r="L1110" s="4" t="str">
        <f>HYPERLINK("http://141.218.60.56/~jnz1568/getInfo.php?workbook=16_15.xlsx&amp;sheet=A0&amp;row=1110&amp;col=12&amp;number=&amp;sourceID=53","")</f>
        <v/>
      </c>
      <c r="M1110" s="4" t="str">
        <f>HYPERLINK("http://141.218.60.56/~jnz1568/getInfo.php?workbook=16_15.xlsx&amp;sheet=A0&amp;row=1110&amp;col=13&amp;number=&amp;sourceID=53","")</f>
        <v/>
      </c>
      <c r="N1110" s="4" t="str">
        <f>HYPERLINK("http://141.218.60.56/~jnz1568/getInfo.php?workbook=16_15.xlsx&amp;sheet=A0&amp;row=1110&amp;col=14&amp;number=&amp;sourceID=53","")</f>
        <v/>
      </c>
      <c r="O1110" s="4" t="str">
        <f>HYPERLINK("http://141.218.60.56/~jnz1568/getInfo.php?workbook=16_15.xlsx&amp;sheet=A0&amp;row=1110&amp;col=15&amp;number=&amp;sourceID=55","")</f>
        <v/>
      </c>
      <c r="P1110" s="4" t="str">
        <f>HYPERLINK("http://141.218.60.56/~jnz1568/getInfo.php?workbook=16_15.xlsx&amp;sheet=A0&amp;row=1110&amp;col=16&amp;number=&amp;sourceID=55","")</f>
        <v/>
      </c>
      <c r="Q1110" s="4" t="str">
        <f>HYPERLINK("http://141.218.60.56/~jnz1568/getInfo.php?workbook=16_15.xlsx&amp;sheet=A0&amp;row=1110&amp;col=17&amp;number=&amp;sourceID=56","")</f>
        <v/>
      </c>
      <c r="R1110" s="4" t="str">
        <f>HYPERLINK("http://141.218.60.56/~jnz1568/getInfo.php?workbook=16_15.xlsx&amp;sheet=A0&amp;row=1110&amp;col=18&amp;number=&amp;sourceID=56","")</f>
        <v/>
      </c>
      <c r="S1110" s="4" t="str">
        <f>HYPERLINK("http://141.218.60.56/~jnz1568/getInfo.php?workbook=16_15.xlsx&amp;sheet=A0&amp;row=1110&amp;col=19&amp;number=&amp;sourceID=57","")</f>
        <v/>
      </c>
      <c r="T1110" s="4" t="str">
        <f>HYPERLINK("http://141.218.60.56/~jnz1568/getInfo.php?workbook=16_15.xlsx&amp;sheet=A0&amp;row=1110&amp;col=20&amp;number=&amp;sourceID=57","")</f>
        <v/>
      </c>
      <c r="U1110" s="4" t="str">
        <f>HYPERLINK("http://141.218.60.56/~jnz1568/getInfo.php?workbook=16_15.xlsx&amp;sheet=A0&amp;row=1110&amp;col=21&amp;number=&amp;sourceID=47","")</f>
        <v/>
      </c>
      <c r="V1110" s="4" t="str">
        <f>HYPERLINK("http://141.218.60.56/~jnz1568/getInfo.php?workbook=16_15.xlsx&amp;sheet=A0&amp;row=1110&amp;col=22&amp;number=&amp;sourceID=47","")</f>
        <v/>
      </c>
    </row>
    <row r="1111" spans="1:22">
      <c r="A1111" s="3">
        <v>16</v>
      </c>
      <c r="B1111" s="3">
        <v>15</v>
      </c>
      <c r="C1111" s="3">
        <v>54</v>
      </c>
      <c r="D1111" s="3">
        <v>11</v>
      </c>
      <c r="E1111" s="3">
        <f>((1/(INDEX(E0!J$4:J$73,C1111,1)-INDEX(E0!J$4:J$73,D1111,1))))*100000000</f>
        <v>0</v>
      </c>
      <c r="F1111" s="4" t="str">
        <f>HYPERLINK("http://141.218.60.56/~jnz1568/getInfo.php?workbook=16_15.xlsx&amp;sheet=A0&amp;row=1111&amp;col=6&amp;number=&amp;sourceID=54","")</f>
        <v/>
      </c>
      <c r="G1111" s="4" t="str">
        <f>HYPERLINK("http://141.218.60.56/~jnz1568/getInfo.php?workbook=16_15.xlsx&amp;sheet=A0&amp;row=1111&amp;col=7&amp;number=28.382&amp;sourceID=54","28.382")</f>
        <v>28.382</v>
      </c>
      <c r="H1111" s="4" t="str">
        <f>HYPERLINK("http://141.218.60.56/~jnz1568/getInfo.php?workbook=16_15.xlsx&amp;sheet=A0&amp;row=1111&amp;col=8&amp;number=0.017534&amp;sourceID=54","0.017534")</f>
        <v>0.017534</v>
      </c>
      <c r="I1111" s="4" t="str">
        <f>HYPERLINK("http://141.218.60.56/~jnz1568/getInfo.php?workbook=16_15.xlsx&amp;sheet=A0&amp;row=1111&amp;col=9&amp;number=&amp;sourceID=54","")</f>
        <v/>
      </c>
      <c r="J1111" s="4" t="str">
        <f>HYPERLINK("http://141.218.60.56/~jnz1568/getInfo.php?workbook=16_15.xlsx&amp;sheet=A0&amp;row=1111&amp;col=10&amp;number=25.343&amp;sourceID=54","25.343")</f>
        <v>25.343</v>
      </c>
      <c r="K1111" s="4" t="str">
        <f>HYPERLINK("http://141.218.60.56/~jnz1568/getInfo.php?workbook=16_15.xlsx&amp;sheet=A0&amp;row=1111&amp;col=11&amp;number=0.016362&amp;sourceID=54","0.016362")</f>
        <v>0.016362</v>
      </c>
      <c r="L1111" s="4" t="str">
        <f>HYPERLINK("http://141.218.60.56/~jnz1568/getInfo.php?workbook=16_15.xlsx&amp;sheet=A0&amp;row=1111&amp;col=12&amp;number=&amp;sourceID=53","")</f>
        <v/>
      </c>
      <c r="M1111" s="4" t="str">
        <f>HYPERLINK("http://141.218.60.56/~jnz1568/getInfo.php?workbook=16_15.xlsx&amp;sheet=A0&amp;row=1111&amp;col=13&amp;number=&amp;sourceID=53","")</f>
        <v/>
      </c>
      <c r="N1111" s="4" t="str">
        <f>HYPERLINK("http://141.218.60.56/~jnz1568/getInfo.php?workbook=16_15.xlsx&amp;sheet=A0&amp;row=1111&amp;col=14&amp;number=&amp;sourceID=53","")</f>
        <v/>
      </c>
      <c r="O1111" s="4" t="str">
        <f>HYPERLINK("http://141.218.60.56/~jnz1568/getInfo.php?workbook=16_15.xlsx&amp;sheet=A0&amp;row=1111&amp;col=15&amp;number=&amp;sourceID=55","")</f>
        <v/>
      </c>
      <c r="P1111" s="4" t="str">
        <f>HYPERLINK("http://141.218.60.56/~jnz1568/getInfo.php?workbook=16_15.xlsx&amp;sheet=A0&amp;row=1111&amp;col=16&amp;number=&amp;sourceID=55","")</f>
        <v/>
      </c>
      <c r="Q1111" s="4" t="str">
        <f>HYPERLINK("http://141.218.60.56/~jnz1568/getInfo.php?workbook=16_15.xlsx&amp;sheet=A0&amp;row=1111&amp;col=17&amp;number=&amp;sourceID=56","")</f>
        <v/>
      </c>
      <c r="R1111" s="4" t="str">
        <f>HYPERLINK("http://141.218.60.56/~jnz1568/getInfo.php?workbook=16_15.xlsx&amp;sheet=A0&amp;row=1111&amp;col=18&amp;number=&amp;sourceID=56","")</f>
        <v/>
      </c>
      <c r="S1111" s="4" t="str">
        <f>HYPERLINK("http://141.218.60.56/~jnz1568/getInfo.php?workbook=16_15.xlsx&amp;sheet=A0&amp;row=1111&amp;col=19&amp;number=&amp;sourceID=57","")</f>
        <v/>
      </c>
      <c r="T1111" s="4" t="str">
        <f>HYPERLINK("http://141.218.60.56/~jnz1568/getInfo.php?workbook=16_15.xlsx&amp;sheet=A0&amp;row=1111&amp;col=20&amp;number=&amp;sourceID=57","")</f>
        <v/>
      </c>
      <c r="U1111" s="4" t="str">
        <f>HYPERLINK("http://141.218.60.56/~jnz1568/getInfo.php?workbook=16_15.xlsx&amp;sheet=A0&amp;row=1111&amp;col=21&amp;number=&amp;sourceID=47","")</f>
        <v/>
      </c>
      <c r="V1111" s="4" t="str">
        <f>HYPERLINK("http://141.218.60.56/~jnz1568/getInfo.php?workbook=16_15.xlsx&amp;sheet=A0&amp;row=1111&amp;col=22&amp;number=&amp;sourceID=47","")</f>
        <v/>
      </c>
    </row>
    <row r="1112" spans="1:22">
      <c r="A1112" s="3">
        <v>16</v>
      </c>
      <c r="B1112" s="3">
        <v>15</v>
      </c>
      <c r="C1112" s="3">
        <v>54</v>
      </c>
      <c r="D1112" s="3">
        <v>12</v>
      </c>
      <c r="E1112" s="3">
        <f>((1/(INDEX(E0!J$4:J$73,C1112,1)-INDEX(E0!J$4:J$73,D1112,1))))*100000000</f>
        <v>0</v>
      </c>
      <c r="F1112" s="4" t="str">
        <f>HYPERLINK("http://141.218.60.56/~jnz1568/getInfo.php?workbook=16_15.xlsx&amp;sheet=A0&amp;row=1112&amp;col=6&amp;number=&amp;sourceID=54","")</f>
        <v/>
      </c>
      <c r="G1112" s="4" t="str">
        <f>HYPERLINK("http://141.218.60.56/~jnz1568/getInfo.php?workbook=16_15.xlsx&amp;sheet=A0&amp;row=1112&amp;col=7&amp;number=&amp;sourceID=54","")</f>
        <v/>
      </c>
      <c r="H1112" s="4" t="str">
        <f>HYPERLINK("http://141.218.60.56/~jnz1568/getInfo.php?workbook=16_15.xlsx&amp;sheet=A0&amp;row=1112&amp;col=8&amp;number=1.1358e-05&amp;sourceID=54","1.1358e-05")</f>
        <v>1.1358e-05</v>
      </c>
      <c r="I1112" s="4" t="str">
        <f>HYPERLINK("http://141.218.60.56/~jnz1568/getInfo.php?workbook=16_15.xlsx&amp;sheet=A0&amp;row=1112&amp;col=9&amp;number=&amp;sourceID=54","")</f>
        <v/>
      </c>
      <c r="J1112" s="4" t="str">
        <f>HYPERLINK("http://141.218.60.56/~jnz1568/getInfo.php?workbook=16_15.xlsx&amp;sheet=A0&amp;row=1112&amp;col=10&amp;number=&amp;sourceID=54","")</f>
        <v/>
      </c>
      <c r="K1112" s="4" t="str">
        <f>HYPERLINK("http://141.218.60.56/~jnz1568/getInfo.php?workbook=16_15.xlsx&amp;sheet=A0&amp;row=1112&amp;col=11&amp;number=1.1128e-05&amp;sourceID=54","1.1128e-05")</f>
        <v>1.1128e-05</v>
      </c>
      <c r="L1112" s="4" t="str">
        <f>HYPERLINK("http://141.218.60.56/~jnz1568/getInfo.php?workbook=16_15.xlsx&amp;sheet=A0&amp;row=1112&amp;col=12&amp;number=&amp;sourceID=53","")</f>
        <v/>
      </c>
      <c r="M1112" s="4" t="str">
        <f>HYPERLINK("http://141.218.60.56/~jnz1568/getInfo.php?workbook=16_15.xlsx&amp;sheet=A0&amp;row=1112&amp;col=13&amp;number=&amp;sourceID=53","")</f>
        <v/>
      </c>
      <c r="N1112" s="4" t="str">
        <f>HYPERLINK("http://141.218.60.56/~jnz1568/getInfo.php?workbook=16_15.xlsx&amp;sheet=A0&amp;row=1112&amp;col=14&amp;number=&amp;sourceID=53","")</f>
        <v/>
      </c>
      <c r="O1112" s="4" t="str">
        <f>HYPERLINK("http://141.218.60.56/~jnz1568/getInfo.php?workbook=16_15.xlsx&amp;sheet=A0&amp;row=1112&amp;col=15&amp;number=&amp;sourceID=55","")</f>
        <v/>
      </c>
      <c r="P1112" s="4" t="str">
        <f>HYPERLINK("http://141.218.60.56/~jnz1568/getInfo.php?workbook=16_15.xlsx&amp;sheet=A0&amp;row=1112&amp;col=16&amp;number=&amp;sourceID=55","")</f>
        <v/>
      </c>
      <c r="Q1112" s="4" t="str">
        <f>HYPERLINK("http://141.218.60.56/~jnz1568/getInfo.php?workbook=16_15.xlsx&amp;sheet=A0&amp;row=1112&amp;col=17&amp;number=&amp;sourceID=56","")</f>
        <v/>
      </c>
      <c r="R1112" s="4" t="str">
        <f>HYPERLINK("http://141.218.60.56/~jnz1568/getInfo.php?workbook=16_15.xlsx&amp;sheet=A0&amp;row=1112&amp;col=18&amp;number=&amp;sourceID=56","")</f>
        <v/>
      </c>
      <c r="S1112" s="4" t="str">
        <f>HYPERLINK("http://141.218.60.56/~jnz1568/getInfo.php?workbook=16_15.xlsx&amp;sheet=A0&amp;row=1112&amp;col=19&amp;number=&amp;sourceID=57","")</f>
        <v/>
      </c>
      <c r="T1112" s="4" t="str">
        <f>HYPERLINK("http://141.218.60.56/~jnz1568/getInfo.php?workbook=16_15.xlsx&amp;sheet=A0&amp;row=1112&amp;col=20&amp;number=&amp;sourceID=57","")</f>
        <v/>
      </c>
      <c r="U1112" s="4" t="str">
        <f>HYPERLINK("http://141.218.60.56/~jnz1568/getInfo.php?workbook=16_15.xlsx&amp;sheet=A0&amp;row=1112&amp;col=21&amp;number=&amp;sourceID=47","")</f>
        <v/>
      </c>
      <c r="V1112" s="4" t="str">
        <f>HYPERLINK("http://141.218.60.56/~jnz1568/getInfo.php?workbook=16_15.xlsx&amp;sheet=A0&amp;row=1112&amp;col=22&amp;number=&amp;sourceID=47","")</f>
        <v/>
      </c>
    </row>
    <row r="1113" spans="1:22">
      <c r="A1113" s="3">
        <v>16</v>
      </c>
      <c r="B1113" s="3">
        <v>15</v>
      </c>
      <c r="C1113" s="3">
        <v>54</v>
      </c>
      <c r="D1113" s="3">
        <v>13</v>
      </c>
      <c r="E1113" s="3">
        <f>((1/(INDEX(E0!J$4:J$73,C1113,1)-INDEX(E0!J$4:J$73,D1113,1))))*100000000</f>
        <v>0</v>
      </c>
      <c r="F1113" s="4" t="str">
        <f>HYPERLINK("http://141.218.60.56/~jnz1568/getInfo.php?workbook=16_15.xlsx&amp;sheet=A0&amp;row=1113&amp;col=6&amp;number=&amp;sourceID=54","")</f>
        <v/>
      </c>
      <c r="G1113" s="4" t="str">
        <f>HYPERLINK("http://141.218.60.56/~jnz1568/getInfo.php?workbook=16_15.xlsx&amp;sheet=A0&amp;row=1113&amp;col=7&amp;number=&amp;sourceID=54","")</f>
        <v/>
      </c>
      <c r="H1113" s="4" t="str">
        <f>HYPERLINK("http://141.218.60.56/~jnz1568/getInfo.php?workbook=16_15.xlsx&amp;sheet=A0&amp;row=1113&amp;col=8&amp;number=0.00078878&amp;sourceID=54","0.00078878")</f>
        <v>0.00078878</v>
      </c>
      <c r="I1113" s="4" t="str">
        <f>HYPERLINK("http://141.218.60.56/~jnz1568/getInfo.php?workbook=16_15.xlsx&amp;sheet=A0&amp;row=1113&amp;col=9&amp;number=&amp;sourceID=54","")</f>
        <v/>
      </c>
      <c r="J1113" s="4" t="str">
        <f>HYPERLINK("http://141.218.60.56/~jnz1568/getInfo.php?workbook=16_15.xlsx&amp;sheet=A0&amp;row=1113&amp;col=10&amp;number=&amp;sourceID=54","")</f>
        <v/>
      </c>
      <c r="K1113" s="4" t="str">
        <f>HYPERLINK("http://141.218.60.56/~jnz1568/getInfo.php?workbook=16_15.xlsx&amp;sheet=A0&amp;row=1113&amp;col=11&amp;number=0.000693&amp;sourceID=54","0.000693")</f>
        <v>0.000693</v>
      </c>
      <c r="L1113" s="4" t="str">
        <f>HYPERLINK("http://141.218.60.56/~jnz1568/getInfo.php?workbook=16_15.xlsx&amp;sheet=A0&amp;row=1113&amp;col=12&amp;number=&amp;sourceID=53","")</f>
        <v/>
      </c>
      <c r="M1113" s="4" t="str">
        <f>HYPERLINK("http://141.218.60.56/~jnz1568/getInfo.php?workbook=16_15.xlsx&amp;sheet=A0&amp;row=1113&amp;col=13&amp;number=&amp;sourceID=53","")</f>
        <v/>
      </c>
      <c r="N1113" s="4" t="str">
        <f>HYPERLINK("http://141.218.60.56/~jnz1568/getInfo.php?workbook=16_15.xlsx&amp;sheet=A0&amp;row=1113&amp;col=14&amp;number=&amp;sourceID=53","")</f>
        <v/>
      </c>
      <c r="O1113" s="4" t="str">
        <f>HYPERLINK("http://141.218.60.56/~jnz1568/getInfo.php?workbook=16_15.xlsx&amp;sheet=A0&amp;row=1113&amp;col=15&amp;number=&amp;sourceID=55","")</f>
        <v/>
      </c>
      <c r="P1113" s="4" t="str">
        <f>HYPERLINK("http://141.218.60.56/~jnz1568/getInfo.php?workbook=16_15.xlsx&amp;sheet=A0&amp;row=1113&amp;col=16&amp;number=&amp;sourceID=55","")</f>
        <v/>
      </c>
      <c r="Q1113" s="4" t="str">
        <f>HYPERLINK("http://141.218.60.56/~jnz1568/getInfo.php?workbook=16_15.xlsx&amp;sheet=A0&amp;row=1113&amp;col=17&amp;number=&amp;sourceID=56","")</f>
        <v/>
      </c>
      <c r="R1113" s="4" t="str">
        <f>HYPERLINK("http://141.218.60.56/~jnz1568/getInfo.php?workbook=16_15.xlsx&amp;sheet=A0&amp;row=1113&amp;col=18&amp;number=&amp;sourceID=56","")</f>
        <v/>
      </c>
      <c r="S1113" s="4" t="str">
        <f>HYPERLINK("http://141.218.60.56/~jnz1568/getInfo.php?workbook=16_15.xlsx&amp;sheet=A0&amp;row=1113&amp;col=19&amp;number=&amp;sourceID=57","")</f>
        <v/>
      </c>
      <c r="T1113" s="4" t="str">
        <f>HYPERLINK("http://141.218.60.56/~jnz1568/getInfo.php?workbook=16_15.xlsx&amp;sheet=A0&amp;row=1113&amp;col=20&amp;number=&amp;sourceID=57","")</f>
        <v/>
      </c>
      <c r="U1113" s="4" t="str">
        <f>HYPERLINK("http://141.218.60.56/~jnz1568/getInfo.php?workbook=16_15.xlsx&amp;sheet=A0&amp;row=1113&amp;col=21&amp;number=&amp;sourceID=47","")</f>
        <v/>
      </c>
      <c r="V1113" s="4" t="str">
        <f>HYPERLINK("http://141.218.60.56/~jnz1568/getInfo.php?workbook=16_15.xlsx&amp;sheet=A0&amp;row=1113&amp;col=22&amp;number=&amp;sourceID=47","")</f>
        <v/>
      </c>
    </row>
    <row r="1114" spans="1:22">
      <c r="A1114" s="3">
        <v>16</v>
      </c>
      <c r="B1114" s="3">
        <v>15</v>
      </c>
      <c r="C1114" s="3">
        <v>54</v>
      </c>
      <c r="D1114" s="3">
        <v>14</v>
      </c>
      <c r="E1114" s="3">
        <f>((1/(INDEX(E0!J$4:J$73,C1114,1)-INDEX(E0!J$4:J$73,D1114,1))))*100000000</f>
        <v>0</v>
      </c>
      <c r="F1114" s="4" t="str">
        <f>HYPERLINK("http://141.218.60.56/~jnz1568/getInfo.php?workbook=16_15.xlsx&amp;sheet=A0&amp;row=1114&amp;col=6&amp;number=&amp;sourceID=54","")</f>
        <v/>
      </c>
      <c r="G1114" s="4" t="str">
        <f>HYPERLINK("http://141.218.60.56/~jnz1568/getInfo.php?workbook=16_15.xlsx&amp;sheet=A0&amp;row=1114&amp;col=7&amp;number=0.012689&amp;sourceID=54","0.012689")</f>
        <v>0.012689</v>
      </c>
      <c r="H1114" s="4" t="str">
        <f>HYPERLINK("http://141.218.60.56/~jnz1568/getInfo.php?workbook=16_15.xlsx&amp;sheet=A0&amp;row=1114&amp;col=8&amp;number=3.9401e-07&amp;sourceID=54","3.9401e-07")</f>
        <v>3.9401e-07</v>
      </c>
      <c r="I1114" s="4" t="str">
        <f>HYPERLINK("http://141.218.60.56/~jnz1568/getInfo.php?workbook=16_15.xlsx&amp;sheet=A0&amp;row=1114&amp;col=9&amp;number=&amp;sourceID=54","")</f>
        <v/>
      </c>
      <c r="J1114" s="4" t="str">
        <f>HYPERLINK("http://141.218.60.56/~jnz1568/getInfo.php?workbook=16_15.xlsx&amp;sheet=A0&amp;row=1114&amp;col=10&amp;number=0.019558&amp;sourceID=54","0.019558")</f>
        <v>0.019558</v>
      </c>
      <c r="K1114" s="4" t="str">
        <f>HYPERLINK("http://141.218.60.56/~jnz1568/getInfo.php?workbook=16_15.xlsx&amp;sheet=A0&amp;row=1114&amp;col=11&amp;number=4.1875e-08&amp;sourceID=54","4.1875e-08")</f>
        <v>4.1875e-08</v>
      </c>
      <c r="L1114" s="4" t="str">
        <f>HYPERLINK("http://141.218.60.56/~jnz1568/getInfo.php?workbook=16_15.xlsx&amp;sheet=A0&amp;row=1114&amp;col=12&amp;number=&amp;sourceID=53","")</f>
        <v/>
      </c>
      <c r="M1114" s="4" t="str">
        <f>HYPERLINK("http://141.218.60.56/~jnz1568/getInfo.php?workbook=16_15.xlsx&amp;sheet=A0&amp;row=1114&amp;col=13&amp;number=&amp;sourceID=53","")</f>
        <v/>
      </c>
      <c r="N1114" s="4" t="str">
        <f>HYPERLINK("http://141.218.60.56/~jnz1568/getInfo.php?workbook=16_15.xlsx&amp;sheet=A0&amp;row=1114&amp;col=14&amp;number=&amp;sourceID=53","")</f>
        <v/>
      </c>
      <c r="O1114" s="4" t="str">
        <f>HYPERLINK("http://141.218.60.56/~jnz1568/getInfo.php?workbook=16_15.xlsx&amp;sheet=A0&amp;row=1114&amp;col=15&amp;number=&amp;sourceID=55","")</f>
        <v/>
      </c>
      <c r="P1114" s="4" t="str">
        <f>HYPERLINK("http://141.218.60.56/~jnz1568/getInfo.php?workbook=16_15.xlsx&amp;sheet=A0&amp;row=1114&amp;col=16&amp;number=&amp;sourceID=55","")</f>
        <v/>
      </c>
      <c r="Q1114" s="4" t="str">
        <f>HYPERLINK("http://141.218.60.56/~jnz1568/getInfo.php?workbook=16_15.xlsx&amp;sheet=A0&amp;row=1114&amp;col=17&amp;number=&amp;sourceID=56","")</f>
        <v/>
      </c>
      <c r="R1114" s="4" t="str">
        <f>HYPERLINK("http://141.218.60.56/~jnz1568/getInfo.php?workbook=16_15.xlsx&amp;sheet=A0&amp;row=1114&amp;col=18&amp;number=&amp;sourceID=56","")</f>
        <v/>
      </c>
      <c r="S1114" s="4" t="str">
        <f>HYPERLINK("http://141.218.60.56/~jnz1568/getInfo.php?workbook=16_15.xlsx&amp;sheet=A0&amp;row=1114&amp;col=19&amp;number=&amp;sourceID=57","")</f>
        <v/>
      </c>
      <c r="T1114" s="4" t="str">
        <f>HYPERLINK("http://141.218.60.56/~jnz1568/getInfo.php?workbook=16_15.xlsx&amp;sheet=A0&amp;row=1114&amp;col=20&amp;number=&amp;sourceID=57","")</f>
        <v/>
      </c>
      <c r="U1114" s="4" t="str">
        <f>HYPERLINK("http://141.218.60.56/~jnz1568/getInfo.php?workbook=16_15.xlsx&amp;sheet=A0&amp;row=1114&amp;col=21&amp;number=&amp;sourceID=47","")</f>
        <v/>
      </c>
      <c r="V1114" s="4" t="str">
        <f>HYPERLINK("http://141.218.60.56/~jnz1568/getInfo.php?workbook=16_15.xlsx&amp;sheet=A0&amp;row=1114&amp;col=22&amp;number=&amp;sourceID=47","")</f>
        <v/>
      </c>
    </row>
    <row r="1115" spans="1:22">
      <c r="A1115" s="3">
        <v>16</v>
      </c>
      <c r="B1115" s="3">
        <v>15</v>
      </c>
      <c r="C1115" s="3">
        <v>54</v>
      </c>
      <c r="D1115" s="3">
        <v>15</v>
      </c>
      <c r="E1115" s="3">
        <f>((1/(INDEX(E0!J$4:J$73,C1115,1)-INDEX(E0!J$4:J$73,D1115,1))))*100000000</f>
        <v>0</v>
      </c>
      <c r="F1115" s="4" t="str">
        <f>HYPERLINK("http://141.218.60.56/~jnz1568/getInfo.php?workbook=16_15.xlsx&amp;sheet=A0&amp;row=1115&amp;col=6&amp;number=&amp;sourceID=54","")</f>
        <v/>
      </c>
      <c r="G1115" s="4" t="str">
        <f>HYPERLINK("http://141.218.60.56/~jnz1568/getInfo.php?workbook=16_15.xlsx&amp;sheet=A0&amp;row=1115&amp;col=7&amp;number=0.0020282&amp;sourceID=54","0.0020282")</f>
        <v>0.0020282</v>
      </c>
      <c r="H1115" s="4" t="str">
        <f>HYPERLINK("http://141.218.60.56/~jnz1568/getInfo.php?workbook=16_15.xlsx&amp;sheet=A0&amp;row=1115&amp;col=8&amp;number=3.2422e-05&amp;sourceID=54","3.2422e-05")</f>
        <v>3.2422e-05</v>
      </c>
      <c r="I1115" s="4" t="str">
        <f>HYPERLINK("http://141.218.60.56/~jnz1568/getInfo.php?workbook=16_15.xlsx&amp;sheet=A0&amp;row=1115&amp;col=9&amp;number=&amp;sourceID=54","")</f>
        <v/>
      </c>
      <c r="J1115" s="4" t="str">
        <f>HYPERLINK("http://141.218.60.56/~jnz1568/getInfo.php?workbook=16_15.xlsx&amp;sheet=A0&amp;row=1115&amp;col=10&amp;number=0.0018907&amp;sourceID=54","0.0018907")</f>
        <v>0.0018907</v>
      </c>
      <c r="K1115" s="4" t="str">
        <f>HYPERLINK("http://141.218.60.56/~jnz1568/getInfo.php?workbook=16_15.xlsx&amp;sheet=A0&amp;row=1115&amp;col=11&amp;number=3.0745e-05&amp;sourceID=54","3.0745e-05")</f>
        <v>3.0745e-05</v>
      </c>
      <c r="L1115" s="4" t="str">
        <f>HYPERLINK("http://141.218.60.56/~jnz1568/getInfo.php?workbook=16_15.xlsx&amp;sheet=A0&amp;row=1115&amp;col=12&amp;number=&amp;sourceID=53","")</f>
        <v/>
      </c>
      <c r="M1115" s="4" t="str">
        <f>HYPERLINK("http://141.218.60.56/~jnz1568/getInfo.php?workbook=16_15.xlsx&amp;sheet=A0&amp;row=1115&amp;col=13&amp;number=&amp;sourceID=53","")</f>
        <v/>
      </c>
      <c r="N1115" s="4" t="str">
        <f>HYPERLINK("http://141.218.60.56/~jnz1568/getInfo.php?workbook=16_15.xlsx&amp;sheet=A0&amp;row=1115&amp;col=14&amp;number=&amp;sourceID=53","")</f>
        <v/>
      </c>
      <c r="O1115" s="4" t="str">
        <f>HYPERLINK("http://141.218.60.56/~jnz1568/getInfo.php?workbook=16_15.xlsx&amp;sheet=A0&amp;row=1115&amp;col=15&amp;number=&amp;sourceID=55","")</f>
        <v/>
      </c>
      <c r="P1115" s="4" t="str">
        <f>HYPERLINK("http://141.218.60.56/~jnz1568/getInfo.php?workbook=16_15.xlsx&amp;sheet=A0&amp;row=1115&amp;col=16&amp;number=&amp;sourceID=55","")</f>
        <v/>
      </c>
      <c r="Q1115" s="4" t="str">
        <f>HYPERLINK("http://141.218.60.56/~jnz1568/getInfo.php?workbook=16_15.xlsx&amp;sheet=A0&amp;row=1115&amp;col=17&amp;number=&amp;sourceID=56","")</f>
        <v/>
      </c>
      <c r="R1115" s="4" t="str">
        <f>HYPERLINK("http://141.218.60.56/~jnz1568/getInfo.php?workbook=16_15.xlsx&amp;sheet=A0&amp;row=1115&amp;col=18&amp;number=&amp;sourceID=56","")</f>
        <v/>
      </c>
      <c r="S1115" s="4" t="str">
        <f>HYPERLINK("http://141.218.60.56/~jnz1568/getInfo.php?workbook=16_15.xlsx&amp;sheet=A0&amp;row=1115&amp;col=19&amp;number=&amp;sourceID=57","")</f>
        <v/>
      </c>
      <c r="T1115" s="4" t="str">
        <f>HYPERLINK("http://141.218.60.56/~jnz1568/getInfo.php?workbook=16_15.xlsx&amp;sheet=A0&amp;row=1115&amp;col=20&amp;number=&amp;sourceID=57","")</f>
        <v/>
      </c>
      <c r="U1115" s="4" t="str">
        <f>HYPERLINK("http://141.218.60.56/~jnz1568/getInfo.php?workbook=16_15.xlsx&amp;sheet=A0&amp;row=1115&amp;col=21&amp;number=&amp;sourceID=47","")</f>
        <v/>
      </c>
      <c r="V1115" s="4" t="str">
        <f>HYPERLINK("http://141.218.60.56/~jnz1568/getInfo.php?workbook=16_15.xlsx&amp;sheet=A0&amp;row=1115&amp;col=22&amp;number=&amp;sourceID=47","")</f>
        <v/>
      </c>
    </row>
    <row r="1116" spans="1:22">
      <c r="A1116" s="3">
        <v>16</v>
      </c>
      <c r="B1116" s="3">
        <v>15</v>
      </c>
      <c r="C1116" s="3">
        <v>54</v>
      </c>
      <c r="D1116" s="3">
        <v>16</v>
      </c>
      <c r="E1116" s="3">
        <f>((1/(INDEX(E0!J$4:J$73,C1116,1)-INDEX(E0!J$4:J$73,D1116,1))))*100000000</f>
        <v>0</v>
      </c>
      <c r="F1116" s="4" t="str">
        <f>HYPERLINK("http://141.218.60.56/~jnz1568/getInfo.php?workbook=16_15.xlsx&amp;sheet=A0&amp;row=1116&amp;col=6&amp;number=&amp;sourceID=54","")</f>
        <v/>
      </c>
      <c r="G1116" s="4" t="str">
        <f>HYPERLINK("http://141.218.60.56/~jnz1568/getInfo.php?workbook=16_15.xlsx&amp;sheet=A0&amp;row=1116&amp;col=7&amp;number=0.00011667&amp;sourceID=54","0.00011667")</f>
        <v>0.00011667</v>
      </c>
      <c r="H1116" s="4" t="str">
        <f>HYPERLINK("http://141.218.60.56/~jnz1568/getInfo.php?workbook=16_15.xlsx&amp;sheet=A0&amp;row=1116&amp;col=8&amp;number=&amp;sourceID=54","")</f>
        <v/>
      </c>
      <c r="I1116" s="4" t="str">
        <f>HYPERLINK("http://141.218.60.56/~jnz1568/getInfo.php?workbook=16_15.xlsx&amp;sheet=A0&amp;row=1116&amp;col=9&amp;number=&amp;sourceID=54","")</f>
        <v/>
      </c>
      <c r="J1116" s="4" t="str">
        <f>HYPERLINK("http://141.218.60.56/~jnz1568/getInfo.php?workbook=16_15.xlsx&amp;sheet=A0&amp;row=1116&amp;col=10&amp;number=1.9225e-05&amp;sourceID=54","1.9225e-05")</f>
        <v>1.9225e-05</v>
      </c>
      <c r="K1116" s="4" t="str">
        <f>HYPERLINK("http://141.218.60.56/~jnz1568/getInfo.php?workbook=16_15.xlsx&amp;sheet=A0&amp;row=1116&amp;col=11&amp;number=&amp;sourceID=54","")</f>
        <v/>
      </c>
      <c r="L1116" s="4" t="str">
        <f>HYPERLINK("http://141.218.60.56/~jnz1568/getInfo.php?workbook=16_15.xlsx&amp;sheet=A0&amp;row=1116&amp;col=12&amp;number=&amp;sourceID=53","")</f>
        <v/>
      </c>
      <c r="M1116" s="4" t="str">
        <f>HYPERLINK("http://141.218.60.56/~jnz1568/getInfo.php?workbook=16_15.xlsx&amp;sheet=A0&amp;row=1116&amp;col=13&amp;number=&amp;sourceID=53","")</f>
        <v/>
      </c>
      <c r="N1116" s="4" t="str">
        <f>HYPERLINK("http://141.218.60.56/~jnz1568/getInfo.php?workbook=16_15.xlsx&amp;sheet=A0&amp;row=1116&amp;col=14&amp;number=&amp;sourceID=53","")</f>
        <v/>
      </c>
      <c r="O1116" s="4" t="str">
        <f>HYPERLINK("http://141.218.60.56/~jnz1568/getInfo.php?workbook=16_15.xlsx&amp;sheet=A0&amp;row=1116&amp;col=15&amp;number=&amp;sourceID=55","")</f>
        <v/>
      </c>
      <c r="P1116" s="4" t="str">
        <f>HYPERLINK("http://141.218.60.56/~jnz1568/getInfo.php?workbook=16_15.xlsx&amp;sheet=A0&amp;row=1116&amp;col=16&amp;number=&amp;sourceID=55","")</f>
        <v/>
      </c>
      <c r="Q1116" s="4" t="str">
        <f>HYPERLINK("http://141.218.60.56/~jnz1568/getInfo.php?workbook=16_15.xlsx&amp;sheet=A0&amp;row=1116&amp;col=17&amp;number=&amp;sourceID=56","")</f>
        <v/>
      </c>
      <c r="R1116" s="4" t="str">
        <f>HYPERLINK("http://141.218.60.56/~jnz1568/getInfo.php?workbook=16_15.xlsx&amp;sheet=A0&amp;row=1116&amp;col=18&amp;number=&amp;sourceID=56","")</f>
        <v/>
      </c>
      <c r="S1116" s="4" t="str">
        <f>HYPERLINK("http://141.218.60.56/~jnz1568/getInfo.php?workbook=16_15.xlsx&amp;sheet=A0&amp;row=1116&amp;col=19&amp;number=&amp;sourceID=57","")</f>
        <v/>
      </c>
      <c r="T1116" s="4" t="str">
        <f>HYPERLINK("http://141.218.60.56/~jnz1568/getInfo.php?workbook=16_15.xlsx&amp;sheet=A0&amp;row=1116&amp;col=20&amp;number=&amp;sourceID=57","")</f>
        <v/>
      </c>
      <c r="U1116" s="4" t="str">
        <f>HYPERLINK("http://141.218.60.56/~jnz1568/getInfo.php?workbook=16_15.xlsx&amp;sheet=A0&amp;row=1116&amp;col=21&amp;number=&amp;sourceID=47","")</f>
        <v/>
      </c>
      <c r="V1116" s="4" t="str">
        <f>HYPERLINK("http://141.218.60.56/~jnz1568/getInfo.php?workbook=16_15.xlsx&amp;sheet=A0&amp;row=1116&amp;col=22&amp;number=&amp;sourceID=47","")</f>
        <v/>
      </c>
    </row>
    <row r="1117" spans="1:22">
      <c r="A1117" s="3">
        <v>16</v>
      </c>
      <c r="B1117" s="3">
        <v>15</v>
      </c>
      <c r="C1117" s="3">
        <v>54</v>
      </c>
      <c r="D1117" s="3">
        <v>17</v>
      </c>
      <c r="E1117" s="3">
        <f>((1/(INDEX(E0!J$4:J$73,C1117,1)-INDEX(E0!J$4:J$73,D1117,1))))*100000000</f>
        <v>0</v>
      </c>
      <c r="F1117" s="4" t="str">
        <f>HYPERLINK("http://141.218.60.56/~jnz1568/getInfo.php?workbook=16_15.xlsx&amp;sheet=A0&amp;row=1117&amp;col=6&amp;number=&amp;sourceID=54","")</f>
        <v/>
      </c>
      <c r="G1117" s="4" t="str">
        <f>HYPERLINK("http://141.218.60.56/~jnz1568/getInfo.php?workbook=16_15.xlsx&amp;sheet=A0&amp;row=1117&amp;col=7&amp;number=0.0019652&amp;sourceID=54","0.0019652")</f>
        <v>0.0019652</v>
      </c>
      <c r="H1117" s="4" t="str">
        <f>HYPERLINK("http://141.218.60.56/~jnz1568/getInfo.php?workbook=16_15.xlsx&amp;sheet=A0&amp;row=1117&amp;col=8&amp;number=&amp;sourceID=54","")</f>
        <v/>
      </c>
      <c r="I1117" s="4" t="str">
        <f>HYPERLINK("http://141.218.60.56/~jnz1568/getInfo.php?workbook=16_15.xlsx&amp;sheet=A0&amp;row=1117&amp;col=9&amp;number=&amp;sourceID=54","")</f>
        <v/>
      </c>
      <c r="J1117" s="4" t="str">
        <f>HYPERLINK("http://141.218.60.56/~jnz1568/getInfo.php?workbook=16_15.xlsx&amp;sheet=A0&amp;row=1117&amp;col=10&amp;number=0.0017951&amp;sourceID=54","0.0017951")</f>
        <v>0.0017951</v>
      </c>
      <c r="K1117" s="4" t="str">
        <f>HYPERLINK("http://141.218.60.56/~jnz1568/getInfo.php?workbook=16_15.xlsx&amp;sheet=A0&amp;row=1117&amp;col=11&amp;number=&amp;sourceID=54","")</f>
        <v/>
      </c>
      <c r="L1117" s="4" t="str">
        <f>HYPERLINK("http://141.218.60.56/~jnz1568/getInfo.php?workbook=16_15.xlsx&amp;sheet=A0&amp;row=1117&amp;col=12&amp;number=&amp;sourceID=53","")</f>
        <v/>
      </c>
      <c r="M1117" s="4" t="str">
        <f>HYPERLINK("http://141.218.60.56/~jnz1568/getInfo.php?workbook=16_15.xlsx&amp;sheet=A0&amp;row=1117&amp;col=13&amp;number=&amp;sourceID=53","")</f>
        <v/>
      </c>
      <c r="N1117" s="4" t="str">
        <f>HYPERLINK("http://141.218.60.56/~jnz1568/getInfo.php?workbook=16_15.xlsx&amp;sheet=A0&amp;row=1117&amp;col=14&amp;number=&amp;sourceID=53","")</f>
        <v/>
      </c>
      <c r="O1117" s="4" t="str">
        <f>HYPERLINK("http://141.218.60.56/~jnz1568/getInfo.php?workbook=16_15.xlsx&amp;sheet=A0&amp;row=1117&amp;col=15&amp;number=&amp;sourceID=55","")</f>
        <v/>
      </c>
      <c r="P1117" s="4" t="str">
        <f>HYPERLINK("http://141.218.60.56/~jnz1568/getInfo.php?workbook=16_15.xlsx&amp;sheet=A0&amp;row=1117&amp;col=16&amp;number=&amp;sourceID=55","")</f>
        <v/>
      </c>
      <c r="Q1117" s="4" t="str">
        <f>HYPERLINK("http://141.218.60.56/~jnz1568/getInfo.php?workbook=16_15.xlsx&amp;sheet=A0&amp;row=1117&amp;col=17&amp;number=&amp;sourceID=56","")</f>
        <v/>
      </c>
      <c r="R1117" s="4" t="str">
        <f>HYPERLINK("http://141.218.60.56/~jnz1568/getInfo.php?workbook=16_15.xlsx&amp;sheet=A0&amp;row=1117&amp;col=18&amp;number=&amp;sourceID=56","")</f>
        <v/>
      </c>
      <c r="S1117" s="4" t="str">
        <f>HYPERLINK("http://141.218.60.56/~jnz1568/getInfo.php?workbook=16_15.xlsx&amp;sheet=A0&amp;row=1117&amp;col=19&amp;number=&amp;sourceID=57","")</f>
        <v/>
      </c>
      <c r="T1117" s="4" t="str">
        <f>HYPERLINK("http://141.218.60.56/~jnz1568/getInfo.php?workbook=16_15.xlsx&amp;sheet=A0&amp;row=1117&amp;col=20&amp;number=&amp;sourceID=57","")</f>
        <v/>
      </c>
      <c r="U1117" s="4" t="str">
        <f>HYPERLINK("http://141.218.60.56/~jnz1568/getInfo.php?workbook=16_15.xlsx&amp;sheet=A0&amp;row=1117&amp;col=21&amp;number=&amp;sourceID=47","")</f>
        <v/>
      </c>
      <c r="V1117" s="4" t="str">
        <f>HYPERLINK("http://141.218.60.56/~jnz1568/getInfo.php?workbook=16_15.xlsx&amp;sheet=A0&amp;row=1117&amp;col=22&amp;number=&amp;sourceID=47","")</f>
        <v/>
      </c>
    </row>
    <row r="1118" spans="1:22">
      <c r="A1118" s="3">
        <v>16</v>
      </c>
      <c r="B1118" s="3">
        <v>15</v>
      </c>
      <c r="C1118" s="3">
        <v>54</v>
      </c>
      <c r="D1118" s="3">
        <v>20</v>
      </c>
      <c r="E1118" s="3">
        <f>((1/(INDEX(E0!J$4:J$73,C1118,1)-INDEX(E0!J$4:J$73,D1118,1))))*100000000</f>
        <v>0</v>
      </c>
      <c r="F1118" s="4" t="str">
        <f>HYPERLINK("http://141.218.60.56/~jnz1568/getInfo.php?workbook=16_15.xlsx&amp;sheet=A0&amp;row=1118&amp;col=6&amp;number=&amp;sourceID=54","")</f>
        <v/>
      </c>
      <c r="G1118" s="4" t="str">
        <f>HYPERLINK("http://141.218.60.56/~jnz1568/getInfo.php?workbook=16_15.xlsx&amp;sheet=A0&amp;row=1118&amp;col=7&amp;number=&amp;sourceID=54","")</f>
        <v/>
      </c>
      <c r="H1118" s="4" t="str">
        <f>HYPERLINK("http://141.218.60.56/~jnz1568/getInfo.php?workbook=16_15.xlsx&amp;sheet=A0&amp;row=1118&amp;col=8&amp;number=3.149e-07&amp;sourceID=54","3.149e-07")</f>
        <v>3.149e-07</v>
      </c>
      <c r="I1118" s="4" t="str">
        <f>HYPERLINK("http://141.218.60.56/~jnz1568/getInfo.php?workbook=16_15.xlsx&amp;sheet=A0&amp;row=1118&amp;col=9&amp;number=&amp;sourceID=54","")</f>
        <v/>
      </c>
      <c r="J1118" s="4" t="str">
        <f>HYPERLINK("http://141.218.60.56/~jnz1568/getInfo.php?workbook=16_15.xlsx&amp;sheet=A0&amp;row=1118&amp;col=10&amp;number=&amp;sourceID=54","")</f>
        <v/>
      </c>
      <c r="K1118" s="4" t="str">
        <f>HYPERLINK("http://141.218.60.56/~jnz1568/getInfo.php?workbook=16_15.xlsx&amp;sheet=A0&amp;row=1118&amp;col=11&amp;number=8.3049e-08&amp;sourceID=54","8.3049e-08")</f>
        <v>8.3049e-08</v>
      </c>
      <c r="L1118" s="4" t="str">
        <f>HYPERLINK("http://141.218.60.56/~jnz1568/getInfo.php?workbook=16_15.xlsx&amp;sheet=A0&amp;row=1118&amp;col=12&amp;number=&amp;sourceID=53","")</f>
        <v/>
      </c>
      <c r="M1118" s="4" t="str">
        <f>HYPERLINK("http://141.218.60.56/~jnz1568/getInfo.php?workbook=16_15.xlsx&amp;sheet=A0&amp;row=1118&amp;col=13&amp;number=&amp;sourceID=53","")</f>
        <v/>
      </c>
      <c r="N1118" s="4" t="str">
        <f>HYPERLINK("http://141.218.60.56/~jnz1568/getInfo.php?workbook=16_15.xlsx&amp;sheet=A0&amp;row=1118&amp;col=14&amp;number=&amp;sourceID=53","")</f>
        <v/>
      </c>
      <c r="O1118" s="4" t="str">
        <f>HYPERLINK("http://141.218.60.56/~jnz1568/getInfo.php?workbook=16_15.xlsx&amp;sheet=A0&amp;row=1118&amp;col=15&amp;number=&amp;sourceID=55","")</f>
        <v/>
      </c>
      <c r="P1118" s="4" t="str">
        <f>HYPERLINK("http://141.218.60.56/~jnz1568/getInfo.php?workbook=16_15.xlsx&amp;sheet=A0&amp;row=1118&amp;col=16&amp;number=&amp;sourceID=55","")</f>
        <v/>
      </c>
      <c r="Q1118" s="4" t="str">
        <f>HYPERLINK("http://141.218.60.56/~jnz1568/getInfo.php?workbook=16_15.xlsx&amp;sheet=A0&amp;row=1118&amp;col=17&amp;number=&amp;sourceID=56","")</f>
        <v/>
      </c>
      <c r="R1118" s="4" t="str">
        <f>HYPERLINK("http://141.218.60.56/~jnz1568/getInfo.php?workbook=16_15.xlsx&amp;sheet=A0&amp;row=1118&amp;col=18&amp;number=&amp;sourceID=56","")</f>
        <v/>
      </c>
      <c r="S1118" s="4" t="str">
        <f>HYPERLINK("http://141.218.60.56/~jnz1568/getInfo.php?workbook=16_15.xlsx&amp;sheet=A0&amp;row=1118&amp;col=19&amp;number=&amp;sourceID=57","")</f>
        <v/>
      </c>
      <c r="T1118" s="4" t="str">
        <f>HYPERLINK("http://141.218.60.56/~jnz1568/getInfo.php?workbook=16_15.xlsx&amp;sheet=A0&amp;row=1118&amp;col=20&amp;number=&amp;sourceID=57","")</f>
        <v/>
      </c>
      <c r="U1118" s="4" t="str">
        <f>HYPERLINK("http://141.218.60.56/~jnz1568/getInfo.php?workbook=16_15.xlsx&amp;sheet=A0&amp;row=1118&amp;col=21&amp;number=&amp;sourceID=47","")</f>
        <v/>
      </c>
      <c r="V1118" s="4" t="str">
        <f>HYPERLINK("http://141.218.60.56/~jnz1568/getInfo.php?workbook=16_15.xlsx&amp;sheet=A0&amp;row=1118&amp;col=22&amp;number=&amp;sourceID=47","")</f>
        <v/>
      </c>
    </row>
    <row r="1119" spans="1:22">
      <c r="A1119" s="3">
        <v>16</v>
      </c>
      <c r="B1119" s="3">
        <v>15</v>
      </c>
      <c r="C1119" s="3">
        <v>54</v>
      </c>
      <c r="D1119" s="3">
        <v>21</v>
      </c>
      <c r="E1119" s="3">
        <f>((1/(INDEX(E0!J$4:J$73,C1119,1)-INDEX(E0!J$4:J$73,D1119,1))))*100000000</f>
        <v>0</v>
      </c>
      <c r="F1119" s="4" t="str">
        <f>HYPERLINK("http://141.218.60.56/~jnz1568/getInfo.php?workbook=16_15.xlsx&amp;sheet=A0&amp;row=1119&amp;col=6&amp;number=&amp;sourceID=54","")</f>
        <v/>
      </c>
      <c r="G1119" s="4" t="str">
        <f>HYPERLINK("http://141.218.60.56/~jnz1568/getInfo.php?workbook=16_15.xlsx&amp;sheet=A0&amp;row=1119&amp;col=7&amp;number=20.243&amp;sourceID=54","20.243")</f>
        <v>20.243</v>
      </c>
      <c r="H1119" s="4" t="str">
        <f>HYPERLINK("http://141.218.60.56/~jnz1568/getInfo.php?workbook=16_15.xlsx&amp;sheet=A0&amp;row=1119&amp;col=8&amp;number=2.367e-07&amp;sourceID=54","2.367e-07")</f>
        <v>2.367e-07</v>
      </c>
      <c r="I1119" s="4" t="str">
        <f>HYPERLINK("http://141.218.60.56/~jnz1568/getInfo.php?workbook=16_15.xlsx&amp;sheet=A0&amp;row=1119&amp;col=9&amp;number=&amp;sourceID=54","")</f>
        <v/>
      </c>
      <c r="J1119" s="4" t="str">
        <f>HYPERLINK("http://141.218.60.56/~jnz1568/getInfo.php?workbook=16_15.xlsx&amp;sheet=A0&amp;row=1119&amp;col=10&amp;number=16.673&amp;sourceID=54","16.673")</f>
        <v>16.673</v>
      </c>
      <c r="K1119" s="4" t="str">
        <f>HYPERLINK("http://141.218.60.56/~jnz1568/getInfo.php?workbook=16_15.xlsx&amp;sheet=A0&amp;row=1119&amp;col=11&amp;number=1.7055e-07&amp;sourceID=54","1.7055e-07")</f>
        <v>1.7055e-07</v>
      </c>
      <c r="L1119" s="4" t="str">
        <f>HYPERLINK("http://141.218.60.56/~jnz1568/getInfo.php?workbook=16_15.xlsx&amp;sheet=A0&amp;row=1119&amp;col=12&amp;number=&amp;sourceID=53","")</f>
        <v/>
      </c>
      <c r="M1119" s="4" t="str">
        <f>HYPERLINK("http://141.218.60.56/~jnz1568/getInfo.php?workbook=16_15.xlsx&amp;sheet=A0&amp;row=1119&amp;col=13&amp;number=&amp;sourceID=53","")</f>
        <v/>
      </c>
      <c r="N1119" s="4" t="str">
        <f>HYPERLINK("http://141.218.60.56/~jnz1568/getInfo.php?workbook=16_15.xlsx&amp;sheet=A0&amp;row=1119&amp;col=14&amp;number=&amp;sourceID=53","")</f>
        <v/>
      </c>
      <c r="O1119" s="4" t="str">
        <f>HYPERLINK("http://141.218.60.56/~jnz1568/getInfo.php?workbook=16_15.xlsx&amp;sheet=A0&amp;row=1119&amp;col=15&amp;number=&amp;sourceID=55","")</f>
        <v/>
      </c>
      <c r="P1119" s="4" t="str">
        <f>HYPERLINK("http://141.218.60.56/~jnz1568/getInfo.php?workbook=16_15.xlsx&amp;sheet=A0&amp;row=1119&amp;col=16&amp;number=&amp;sourceID=55","")</f>
        <v/>
      </c>
      <c r="Q1119" s="4" t="str">
        <f>HYPERLINK("http://141.218.60.56/~jnz1568/getInfo.php?workbook=16_15.xlsx&amp;sheet=A0&amp;row=1119&amp;col=17&amp;number=&amp;sourceID=56","")</f>
        <v/>
      </c>
      <c r="R1119" s="4" t="str">
        <f>HYPERLINK("http://141.218.60.56/~jnz1568/getInfo.php?workbook=16_15.xlsx&amp;sheet=A0&amp;row=1119&amp;col=18&amp;number=&amp;sourceID=56","")</f>
        <v/>
      </c>
      <c r="S1119" s="4" t="str">
        <f>HYPERLINK("http://141.218.60.56/~jnz1568/getInfo.php?workbook=16_15.xlsx&amp;sheet=A0&amp;row=1119&amp;col=19&amp;number=&amp;sourceID=57","")</f>
        <v/>
      </c>
      <c r="T1119" s="4" t="str">
        <f>HYPERLINK("http://141.218.60.56/~jnz1568/getInfo.php?workbook=16_15.xlsx&amp;sheet=A0&amp;row=1119&amp;col=20&amp;number=&amp;sourceID=57","")</f>
        <v/>
      </c>
      <c r="U1119" s="4" t="str">
        <f>HYPERLINK("http://141.218.60.56/~jnz1568/getInfo.php?workbook=16_15.xlsx&amp;sheet=A0&amp;row=1119&amp;col=21&amp;number=&amp;sourceID=47","")</f>
        <v/>
      </c>
      <c r="V1119" s="4" t="str">
        <f>HYPERLINK("http://141.218.60.56/~jnz1568/getInfo.php?workbook=16_15.xlsx&amp;sheet=A0&amp;row=1119&amp;col=22&amp;number=&amp;sourceID=47","")</f>
        <v/>
      </c>
    </row>
    <row r="1120" spans="1:22">
      <c r="A1120" s="3">
        <v>16</v>
      </c>
      <c r="B1120" s="3">
        <v>15</v>
      </c>
      <c r="C1120" s="3">
        <v>54</v>
      </c>
      <c r="D1120" s="3">
        <v>22</v>
      </c>
      <c r="E1120" s="3">
        <f>((1/(INDEX(E0!J$4:J$73,C1120,1)-INDEX(E0!J$4:J$73,D1120,1))))*100000000</f>
        <v>0</v>
      </c>
      <c r="F1120" s="4" t="str">
        <f>HYPERLINK("http://141.218.60.56/~jnz1568/getInfo.php?workbook=16_15.xlsx&amp;sheet=A0&amp;row=1120&amp;col=6&amp;number=&amp;sourceID=54","")</f>
        <v/>
      </c>
      <c r="G1120" s="4" t="str">
        <f>HYPERLINK("http://141.218.60.56/~jnz1568/getInfo.php?workbook=16_15.xlsx&amp;sheet=A0&amp;row=1120&amp;col=7&amp;number=&amp;sourceID=54","")</f>
        <v/>
      </c>
      <c r="H1120" s="4" t="str">
        <f>HYPERLINK("http://141.218.60.56/~jnz1568/getInfo.php?workbook=16_15.xlsx&amp;sheet=A0&amp;row=1120&amp;col=8&amp;number=0.0033166&amp;sourceID=54","0.0033166")</f>
        <v>0.0033166</v>
      </c>
      <c r="I1120" s="4" t="str">
        <f>HYPERLINK("http://141.218.60.56/~jnz1568/getInfo.php?workbook=16_15.xlsx&amp;sheet=A0&amp;row=1120&amp;col=9&amp;number=&amp;sourceID=54","")</f>
        <v/>
      </c>
      <c r="J1120" s="4" t="str">
        <f>HYPERLINK("http://141.218.60.56/~jnz1568/getInfo.php?workbook=16_15.xlsx&amp;sheet=A0&amp;row=1120&amp;col=10&amp;number=&amp;sourceID=54","")</f>
        <v/>
      </c>
      <c r="K1120" s="4" t="str">
        <f>HYPERLINK("http://141.218.60.56/~jnz1568/getInfo.php?workbook=16_15.xlsx&amp;sheet=A0&amp;row=1120&amp;col=11&amp;number=0.0030204&amp;sourceID=54","0.0030204")</f>
        <v>0.0030204</v>
      </c>
      <c r="L1120" s="4" t="str">
        <f>HYPERLINK("http://141.218.60.56/~jnz1568/getInfo.php?workbook=16_15.xlsx&amp;sheet=A0&amp;row=1120&amp;col=12&amp;number=&amp;sourceID=53","")</f>
        <v/>
      </c>
      <c r="M1120" s="4" t="str">
        <f>HYPERLINK("http://141.218.60.56/~jnz1568/getInfo.php?workbook=16_15.xlsx&amp;sheet=A0&amp;row=1120&amp;col=13&amp;number=&amp;sourceID=53","")</f>
        <v/>
      </c>
      <c r="N1120" s="4" t="str">
        <f>HYPERLINK("http://141.218.60.56/~jnz1568/getInfo.php?workbook=16_15.xlsx&amp;sheet=A0&amp;row=1120&amp;col=14&amp;number=&amp;sourceID=53","")</f>
        <v/>
      </c>
      <c r="O1120" s="4" t="str">
        <f>HYPERLINK("http://141.218.60.56/~jnz1568/getInfo.php?workbook=16_15.xlsx&amp;sheet=A0&amp;row=1120&amp;col=15&amp;number=&amp;sourceID=55","")</f>
        <v/>
      </c>
      <c r="P1120" s="4" t="str">
        <f>HYPERLINK("http://141.218.60.56/~jnz1568/getInfo.php?workbook=16_15.xlsx&amp;sheet=A0&amp;row=1120&amp;col=16&amp;number=&amp;sourceID=55","")</f>
        <v/>
      </c>
      <c r="Q1120" s="4" t="str">
        <f>HYPERLINK("http://141.218.60.56/~jnz1568/getInfo.php?workbook=16_15.xlsx&amp;sheet=A0&amp;row=1120&amp;col=17&amp;number=&amp;sourceID=56","")</f>
        <v/>
      </c>
      <c r="R1120" s="4" t="str">
        <f>HYPERLINK("http://141.218.60.56/~jnz1568/getInfo.php?workbook=16_15.xlsx&amp;sheet=A0&amp;row=1120&amp;col=18&amp;number=&amp;sourceID=56","")</f>
        <v/>
      </c>
      <c r="S1120" s="4" t="str">
        <f>HYPERLINK("http://141.218.60.56/~jnz1568/getInfo.php?workbook=16_15.xlsx&amp;sheet=A0&amp;row=1120&amp;col=19&amp;number=&amp;sourceID=57","")</f>
        <v/>
      </c>
      <c r="T1120" s="4" t="str">
        <f>HYPERLINK("http://141.218.60.56/~jnz1568/getInfo.php?workbook=16_15.xlsx&amp;sheet=A0&amp;row=1120&amp;col=20&amp;number=&amp;sourceID=57","")</f>
        <v/>
      </c>
      <c r="U1120" s="4" t="str">
        <f>HYPERLINK("http://141.218.60.56/~jnz1568/getInfo.php?workbook=16_15.xlsx&amp;sheet=A0&amp;row=1120&amp;col=21&amp;number=&amp;sourceID=47","")</f>
        <v/>
      </c>
      <c r="V1120" s="4" t="str">
        <f>HYPERLINK("http://141.218.60.56/~jnz1568/getInfo.php?workbook=16_15.xlsx&amp;sheet=A0&amp;row=1120&amp;col=22&amp;number=&amp;sourceID=47","")</f>
        <v/>
      </c>
    </row>
    <row r="1121" spans="1:22">
      <c r="A1121" s="3">
        <v>16</v>
      </c>
      <c r="B1121" s="3">
        <v>15</v>
      </c>
      <c r="C1121" s="3">
        <v>54</v>
      </c>
      <c r="D1121" s="3">
        <v>23</v>
      </c>
      <c r="E1121" s="3">
        <f>((1/(INDEX(E0!J$4:J$73,C1121,1)-INDEX(E0!J$4:J$73,D1121,1))))*100000000</f>
        <v>0</v>
      </c>
      <c r="F1121" s="4" t="str">
        <f>HYPERLINK("http://141.218.60.56/~jnz1568/getInfo.php?workbook=16_15.xlsx&amp;sheet=A0&amp;row=1121&amp;col=6&amp;number=&amp;sourceID=54","")</f>
        <v/>
      </c>
      <c r="G1121" s="4" t="str">
        <f>HYPERLINK("http://141.218.60.56/~jnz1568/getInfo.php?workbook=16_15.xlsx&amp;sheet=A0&amp;row=1121&amp;col=7&amp;number=0.0015092&amp;sourceID=54","0.0015092")</f>
        <v>0.0015092</v>
      </c>
      <c r="H1121" s="4" t="str">
        <f>HYPERLINK("http://141.218.60.56/~jnz1568/getInfo.php?workbook=16_15.xlsx&amp;sheet=A0&amp;row=1121&amp;col=8&amp;number=0.011444&amp;sourceID=54","0.011444")</f>
        <v>0.011444</v>
      </c>
      <c r="I1121" s="4" t="str">
        <f>HYPERLINK("http://141.218.60.56/~jnz1568/getInfo.php?workbook=16_15.xlsx&amp;sheet=A0&amp;row=1121&amp;col=9&amp;number=&amp;sourceID=54","")</f>
        <v/>
      </c>
      <c r="J1121" s="4" t="str">
        <f>HYPERLINK("http://141.218.60.56/~jnz1568/getInfo.php?workbook=16_15.xlsx&amp;sheet=A0&amp;row=1121&amp;col=10&amp;number=0.0013194&amp;sourceID=54","0.0013194")</f>
        <v>0.0013194</v>
      </c>
      <c r="K1121" s="4" t="str">
        <f>HYPERLINK("http://141.218.60.56/~jnz1568/getInfo.php?workbook=16_15.xlsx&amp;sheet=A0&amp;row=1121&amp;col=11&amp;number=0.011417&amp;sourceID=54","0.011417")</f>
        <v>0.011417</v>
      </c>
      <c r="L1121" s="4" t="str">
        <f>HYPERLINK("http://141.218.60.56/~jnz1568/getInfo.php?workbook=16_15.xlsx&amp;sheet=A0&amp;row=1121&amp;col=12&amp;number=&amp;sourceID=53","")</f>
        <v/>
      </c>
      <c r="M1121" s="4" t="str">
        <f>HYPERLINK("http://141.218.60.56/~jnz1568/getInfo.php?workbook=16_15.xlsx&amp;sheet=A0&amp;row=1121&amp;col=13&amp;number=&amp;sourceID=53","")</f>
        <v/>
      </c>
      <c r="N1121" s="4" t="str">
        <f>HYPERLINK("http://141.218.60.56/~jnz1568/getInfo.php?workbook=16_15.xlsx&amp;sheet=A0&amp;row=1121&amp;col=14&amp;number=&amp;sourceID=53","")</f>
        <v/>
      </c>
      <c r="O1121" s="4" t="str">
        <f>HYPERLINK("http://141.218.60.56/~jnz1568/getInfo.php?workbook=16_15.xlsx&amp;sheet=A0&amp;row=1121&amp;col=15&amp;number=&amp;sourceID=55","")</f>
        <v/>
      </c>
      <c r="P1121" s="4" t="str">
        <f>HYPERLINK("http://141.218.60.56/~jnz1568/getInfo.php?workbook=16_15.xlsx&amp;sheet=A0&amp;row=1121&amp;col=16&amp;number=&amp;sourceID=55","")</f>
        <v/>
      </c>
      <c r="Q1121" s="4" t="str">
        <f>HYPERLINK("http://141.218.60.56/~jnz1568/getInfo.php?workbook=16_15.xlsx&amp;sheet=A0&amp;row=1121&amp;col=17&amp;number=&amp;sourceID=56","")</f>
        <v/>
      </c>
      <c r="R1121" s="4" t="str">
        <f>HYPERLINK("http://141.218.60.56/~jnz1568/getInfo.php?workbook=16_15.xlsx&amp;sheet=A0&amp;row=1121&amp;col=18&amp;number=&amp;sourceID=56","")</f>
        <v/>
      </c>
      <c r="S1121" s="4" t="str">
        <f>HYPERLINK("http://141.218.60.56/~jnz1568/getInfo.php?workbook=16_15.xlsx&amp;sheet=A0&amp;row=1121&amp;col=19&amp;number=&amp;sourceID=57","")</f>
        <v/>
      </c>
      <c r="T1121" s="4" t="str">
        <f>HYPERLINK("http://141.218.60.56/~jnz1568/getInfo.php?workbook=16_15.xlsx&amp;sheet=A0&amp;row=1121&amp;col=20&amp;number=&amp;sourceID=57","")</f>
        <v/>
      </c>
      <c r="U1121" s="4" t="str">
        <f>HYPERLINK("http://141.218.60.56/~jnz1568/getInfo.php?workbook=16_15.xlsx&amp;sheet=A0&amp;row=1121&amp;col=21&amp;number=&amp;sourceID=47","")</f>
        <v/>
      </c>
      <c r="V1121" s="4" t="str">
        <f>HYPERLINK("http://141.218.60.56/~jnz1568/getInfo.php?workbook=16_15.xlsx&amp;sheet=A0&amp;row=1121&amp;col=22&amp;number=&amp;sourceID=47","")</f>
        <v/>
      </c>
    </row>
    <row r="1122" spans="1:22">
      <c r="A1122" s="3">
        <v>16</v>
      </c>
      <c r="B1122" s="3">
        <v>15</v>
      </c>
      <c r="C1122" s="3">
        <v>54</v>
      </c>
      <c r="D1122" s="3">
        <v>24</v>
      </c>
      <c r="E1122" s="3">
        <f>((1/(INDEX(E0!J$4:J$73,C1122,1)-INDEX(E0!J$4:J$73,D1122,1))))*100000000</f>
        <v>0</v>
      </c>
      <c r="F1122" s="4" t="str">
        <f>HYPERLINK("http://141.218.60.56/~jnz1568/getInfo.php?workbook=16_15.xlsx&amp;sheet=A0&amp;row=1122&amp;col=6&amp;number=&amp;sourceID=54","")</f>
        <v/>
      </c>
      <c r="G1122" s="4" t="str">
        <f>HYPERLINK("http://141.218.60.56/~jnz1568/getInfo.php?workbook=16_15.xlsx&amp;sheet=A0&amp;row=1122&amp;col=7&amp;number=0.22871&amp;sourceID=54","0.22871")</f>
        <v>0.22871</v>
      </c>
      <c r="H1122" s="4" t="str">
        <f>HYPERLINK("http://141.218.60.56/~jnz1568/getInfo.php?workbook=16_15.xlsx&amp;sheet=A0&amp;row=1122&amp;col=8&amp;number=&amp;sourceID=54","")</f>
        <v/>
      </c>
      <c r="I1122" s="4" t="str">
        <f>HYPERLINK("http://141.218.60.56/~jnz1568/getInfo.php?workbook=16_15.xlsx&amp;sheet=A0&amp;row=1122&amp;col=9&amp;number=&amp;sourceID=54","")</f>
        <v/>
      </c>
      <c r="J1122" s="4" t="str">
        <f>HYPERLINK("http://141.218.60.56/~jnz1568/getInfo.php?workbook=16_15.xlsx&amp;sheet=A0&amp;row=1122&amp;col=10&amp;number=0.53666&amp;sourceID=54","0.53666")</f>
        <v>0.53666</v>
      </c>
      <c r="K1122" s="4" t="str">
        <f>HYPERLINK("http://141.218.60.56/~jnz1568/getInfo.php?workbook=16_15.xlsx&amp;sheet=A0&amp;row=1122&amp;col=11&amp;number=&amp;sourceID=54","")</f>
        <v/>
      </c>
      <c r="L1122" s="4" t="str">
        <f>HYPERLINK("http://141.218.60.56/~jnz1568/getInfo.php?workbook=16_15.xlsx&amp;sheet=A0&amp;row=1122&amp;col=12&amp;number=&amp;sourceID=53","")</f>
        <v/>
      </c>
      <c r="M1122" s="4" t="str">
        <f>HYPERLINK("http://141.218.60.56/~jnz1568/getInfo.php?workbook=16_15.xlsx&amp;sheet=A0&amp;row=1122&amp;col=13&amp;number=&amp;sourceID=53","")</f>
        <v/>
      </c>
      <c r="N1122" s="4" t="str">
        <f>HYPERLINK("http://141.218.60.56/~jnz1568/getInfo.php?workbook=16_15.xlsx&amp;sheet=A0&amp;row=1122&amp;col=14&amp;number=&amp;sourceID=53","")</f>
        <v/>
      </c>
      <c r="O1122" s="4" t="str">
        <f>HYPERLINK("http://141.218.60.56/~jnz1568/getInfo.php?workbook=16_15.xlsx&amp;sheet=A0&amp;row=1122&amp;col=15&amp;number=&amp;sourceID=55","")</f>
        <v/>
      </c>
      <c r="P1122" s="4" t="str">
        <f>HYPERLINK("http://141.218.60.56/~jnz1568/getInfo.php?workbook=16_15.xlsx&amp;sheet=A0&amp;row=1122&amp;col=16&amp;number=&amp;sourceID=55","")</f>
        <v/>
      </c>
      <c r="Q1122" s="4" t="str">
        <f>HYPERLINK("http://141.218.60.56/~jnz1568/getInfo.php?workbook=16_15.xlsx&amp;sheet=A0&amp;row=1122&amp;col=17&amp;number=&amp;sourceID=56","")</f>
        <v/>
      </c>
      <c r="R1122" s="4" t="str">
        <f>HYPERLINK("http://141.218.60.56/~jnz1568/getInfo.php?workbook=16_15.xlsx&amp;sheet=A0&amp;row=1122&amp;col=18&amp;number=&amp;sourceID=56","")</f>
        <v/>
      </c>
      <c r="S1122" s="4" t="str">
        <f>HYPERLINK("http://141.218.60.56/~jnz1568/getInfo.php?workbook=16_15.xlsx&amp;sheet=A0&amp;row=1122&amp;col=19&amp;number=&amp;sourceID=57","")</f>
        <v/>
      </c>
      <c r="T1122" s="4" t="str">
        <f>HYPERLINK("http://141.218.60.56/~jnz1568/getInfo.php?workbook=16_15.xlsx&amp;sheet=A0&amp;row=1122&amp;col=20&amp;number=&amp;sourceID=57","")</f>
        <v/>
      </c>
      <c r="U1122" s="4" t="str">
        <f>HYPERLINK("http://141.218.60.56/~jnz1568/getInfo.php?workbook=16_15.xlsx&amp;sheet=A0&amp;row=1122&amp;col=21&amp;number=&amp;sourceID=47","")</f>
        <v/>
      </c>
      <c r="V1122" s="4" t="str">
        <f>HYPERLINK("http://141.218.60.56/~jnz1568/getInfo.php?workbook=16_15.xlsx&amp;sheet=A0&amp;row=1122&amp;col=22&amp;number=&amp;sourceID=47","")</f>
        <v/>
      </c>
    </row>
    <row r="1123" spans="1:22">
      <c r="A1123" s="3">
        <v>16</v>
      </c>
      <c r="B1123" s="3">
        <v>15</v>
      </c>
      <c r="C1123" s="3">
        <v>54</v>
      </c>
      <c r="D1123" s="3">
        <v>26</v>
      </c>
      <c r="E1123" s="3">
        <f>((1/(INDEX(E0!J$4:J$73,C1123,1)-INDEX(E0!J$4:J$73,D1123,1))))*100000000</f>
        <v>0</v>
      </c>
      <c r="F1123" s="4" t="str">
        <f>HYPERLINK("http://141.218.60.56/~jnz1568/getInfo.php?workbook=16_15.xlsx&amp;sheet=A0&amp;row=1123&amp;col=6&amp;number=&amp;sourceID=54","")</f>
        <v/>
      </c>
      <c r="G1123" s="4" t="str">
        <f>HYPERLINK("http://141.218.60.56/~jnz1568/getInfo.php?workbook=16_15.xlsx&amp;sheet=A0&amp;row=1123&amp;col=7&amp;number=14.623&amp;sourceID=54","14.623")</f>
        <v>14.623</v>
      </c>
      <c r="H1123" s="4" t="str">
        <f>HYPERLINK("http://141.218.60.56/~jnz1568/getInfo.php?workbook=16_15.xlsx&amp;sheet=A0&amp;row=1123&amp;col=8&amp;number=&amp;sourceID=54","")</f>
        <v/>
      </c>
      <c r="I1123" s="4" t="str">
        <f>HYPERLINK("http://141.218.60.56/~jnz1568/getInfo.php?workbook=16_15.xlsx&amp;sheet=A0&amp;row=1123&amp;col=9&amp;number=&amp;sourceID=54","")</f>
        <v/>
      </c>
      <c r="J1123" s="4" t="str">
        <f>HYPERLINK("http://141.218.60.56/~jnz1568/getInfo.php?workbook=16_15.xlsx&amp;sheet=A0&amp;row=1123&amp;col=10&amp;number=13.029&amp;sourceID=54","13.029")</f>
        <v>13.029</v>
      </c>
      <c r="K1123" s="4" t="str">
        <f>HYPERLINK("http://141.218.60.56/~jnz1568/getInfo.php?workbook=16_15.xlsx&amp;sheet=A0&amp;row=1123&amp;col=11&amp;number=&amp;sourceID=54","")</f>
        <v/>
      </c>
      <c r="L1123" s="4" t="str">
        <f>HYPERLINK("http://141.218.60.56/~jnz1568/getInfo.php?workbook=16_15.xlsx&amp;sheet=A0&amp;row=1123&amp;col=12&amp;number=&amp;sourceID=53","")</f>
        <v/>
      </c>
      <c r="M1123" s="4" t="str">
        <f>HYPERLINK("http://141.218.60.56/~jnz1568/getInfo.php?workbook=16_15.xlsx&amp;sheet=A0&amp;row=1123&amp;col=13&amp;number=&amp;sourceID=53","")</f>
        <v/>
      </c>
      <c r="N1123" s="4" t="str">
        <f>HYPERLINK("http://141.218.60.56/~jnz1568/getInfo.php?workbook=16_15.xlsx&amp;sheet=A0&amp;row=1123&amp;col=14&amp;number=&amp;sourceID=53","")</f>
        <v/>
      </c>
      <c r="O1123" s="4" t="str">
        <f>HYPERLINK("http://141.218.60.56/~jnz1568/getInfo.php?workbook=16_15.xlsx&amp;sheet=A0&amp;row=1123&amp;col=15&amp;number=&amp;sourceID=55","")</f>
        <v/>
      </c>
      <c r="P1123" s="4" t="str">
        <f>HYPERLINK("http://141.218.60.56/~jnz1568/getInfo.php?workbook=16_15.xlsx&amp;sheet=A0&amp;row=1123&amp;col=16&amp;number=&amp;sourceID=55","")</f>
        <v/>
      </c>
      <c r="Q1123" s="4" t="str">
        <f>HYPERLINK("http://141.218.60.56/~jnz1568/getInfo.php?workbook=16_15.xlsx&amp;sheet=A0&amp;row=1123&amp;col=17&amp;number=&amp;sourceID=56","")</f>
        <v/>
      </c>
      <c r="R1123" s="4" t="str">
        <f>HYPERLINK("http://141.218.60.56/~jnz1568/getInfo.php?workbook=16_15.xlsx&amp;sheet=A0&amp;row=1123&amp;col=18&amp;number=&amp;sourceID=56","")</f>
        <v/>
      </c>
      <c r="S1123" s="4" t="str">
        <f>HYPERLINK("http://141.218.60.56/~jnz1568/getInfo.php?workbook=16_15.xlsx&amp;sheet=A0&amp;row=1123&amp;col=19&amp;number=&amp;sourceID=57","")</f>
        <v/>
      </c>
      <c r="T1123" s="4" t="str">
        <f>HYPERLINK("http://141.218.60.56/~jnz1568/getInfo.php?workbook=16_15.xlsx&amp;sheet=A0&amp;row=1123&amp;col=20&amp;number=&amp;sourceID=57","")</f>
        <v/>
      </c>
      <c r="U1123" s="4" t="str">
        <f>HYPERLINK("http://141.218.60.56/~jnz1568/getInfo.php?workbook=16_15.xlsx&amp;sheet=A0&amp;row=1123&amp;col=21&amp;number=&amp;sourceID=47","")</f>
        <v/>
      </c>
      <c r="V1123" s="4" t="str">
        <f>HYPERLINK("http://141.218.60.56/~jnz1568/getInfo.php?workbook=16_15.xlsx&amp;sheet=A0&amp;row=1123&amp;col=22&amp;number=&amp;sourceID=47","")</f>
        <v/>
      </c>
    </row>
    <row r="1124" spans="1:22">
      <c r="A1124" s="3">
        <v>16</v>
      </c>
      <c r="B1124" s="3">
        <v>15</v>
      </c>
      <c r="C1124" s="3">
        <v>54</v>
      </c>
      <c r="D1124" s="3">
        <v>28</v>
      </c>
      <c r="E1124" s="3">
        <f>((1/(INDEX(E0!J$4:J$73,C1124,1)-INDEX(E0!J$4:J$73,D1124,1))))*100000000</f>
        <v>0</v>
      </c>
      <c r="F1124" s="4" t="str">
        <f>HYPERLINK("http://141.218.60.56/~jnz1568/getInfo.php?workbook=16_15.xlsx&amp;sheet=A0&amp;row=1124&amp;col=6&amp;number=&amp;sourceID=54","")</f>
        <v/>
      </c>
      <c r="G1124" s="4" t="str">
        <f>HYPERLINK("http://141.218.60.56/~jnz1568/getInfo.php?workbook=16_15.xlsx&amp;sheet=A0&amp;row=1124&amp;col=7&amp;number=&amp;sourceID=54","")</f>
        <v/>
      </c>
      <c r="H1124" s="4" t="str">
        <f>HYPERLINK("http://141.218.60.56/~jnz1568/getInfo.php?workbook=16_15.xlsx&amp;sheet=A0&amp;row=1124&amp;col=8&amp;number=0.0041832&amp;sourceID=54","0.0041832")</f>
        <v>0.0041832</v>
      </c>
      <c r="I1124" s="4" t="str">
        <f>HYPERLINK("http://141.218.60.56/~jnz1568/getInfo.php?workbook=16_15.xlsx&amp;sheet=A0&amp;row=1124&amp;col=9&amp;number=&amp;sourceID=54","")</f>
        <v/>
      </c>
      <c r="J1124" s="4" t="str">
        <f>HYPERLINK("http://141.218.60.56/~jnz1568/getInfo.php?workbook=16_15.xlsx&amp;sheet=A0&amp;row=1124&amp;col=10&amp;number=&amp;sourceID=54","")</f>
        <v/>
      </c>
      <c r="K1124" s="4" t="str">
        <f>HYPERLINK("http://141.218.60.56/~jnz1568/getInfo.php?workbook=16_15.xlsx&amp;sheet=A0&amp;row=1124&amp;col=11&amp;number=0.004647&amp;sourceID=54","0.004647")</f>
        <v>0.004647</v>
      </c>
      <c r="L1124" s="4" t="str">
        <f>HYPERLINK("http://141.218.60.56/~jnz1568/getInfo.php?workbook=16_15.xlsx&amp;sheet=A0&amp;row=1124&amp;col=12&amp;number=&amp;sourceID=53","")</f>
        <v/>
      </c>
      <c r="M1124" s="4" t="str">
        <f>HYPERLINK("http://141.218.60.56/~jnz1568/getInfo.php?workbook=16_15.xlsx&amp;sheet=A0&amp;row=1124&amp;col=13&amp;number=&amp;sourceID=53","")</f>
        <v/>
      </c>
      <c r="N1124" s="4" t="str">
        <f>HYPERLINK("http://141.218.60.56/~jnz1568/getInfo.php?workbook=16_15.xlsx&amp;sheet=A0&amp;row=1124&amp;col=14&amp;number=&amp;sourceID=53","")</f>
        <v/>
      </c>
      <c r="O1124" s="4" t="str">
        <f>HYPERLINK("http://141.218.60.56/~jnz1568/getInfo.php?workbook=16_15.xlsx&amp;sheet=A0&amp;row=1124&amp;col=15&amp;number=&amp;sourceID=55","")</f>
        <v/>
      </c>
      <c r="P1124" s="4" t="str">
        <f>HYPERLINK("http://141.218.60.56/~jnz1568/getInfo.php?workbook=16_15.xlsx&amp;sheet=A0&amp;row=1124&amp;col=16&amp;number=&amp;sourceID=55","")</f>
        <v/>
      </c>
      <c r="Q1124" s="4" t="str">
        <f>HYPERLINK("http://141.218.60.56/~jnz1568/getInfo.php?workbook=16_15.xlsx&amp;sheet=A0&amp;row=1124&amp;col=17&amp;number=&amp;sourceID=56","")</f>
        <v/>
      </c>
      <c r="R1124" s="4" t="str">
        <f>HYPERLINK("http://141.218.60.56/~jnz1568/getInfo.php?workbook=16_15.xlsx&amp;sheet=A0&amp;row=1124&amp;col=18&amp;number=&amp;sourceID=56","")</f>
        <v/>
      </c>
      <c r="S1124" s="4" t="str">
        <f>HYPERLINK("http://141.218.60.56/~jnz1568/getInfo.php?workbook=16_15.xlsx&amp;sheet=A0&amp;row=1124&amp;col=19&amp;number=&amp;sourceID=57","")</f>
        <v/>
      </c>
      <c r="T1124" s="4" t="str">
        <f>HYPERLINK("http://141.218.60.56/~jnz1568/getInfo.php?workbook=16_15.xlsx&amp;sheet=A0&amp;row=1124&amp;col=20&amp;number=&amp;sourceID=57","")</f>
        <v/>
      </c>
      <c r="U1124" s="4" t="str">
        <f>HYPERLINK("http://141.218.60.56/~jnz1568/getInfo.php?workbook=16_15.xlsx&amp;sheet=A0&amp;row=1124&amp;col=21&amp;number=&amp;sourceID=47","")</f>
        <v/>
      </c>
      <c r="V1124" s="4" t="str">
        <f>HYPERLINK("http://141.218.60.56/~jnz1568/getInfo.php?workbook=16_15.xlsx&amp;sheet=A0&amp;row=1124&amp;col=22&amp;number=&amp;sourceID=47","")</f>
        <v/>
      </c>
    </row>
    <row r="1125" spans="1:22">
      <c r="A1125" s="3">
        <v>16</v>
      </c>
      <c r="B1125" s="3">
        <v>15</v>
      </c>
      <c r="C1125" s="3">
        <v>54</v>
      </c>
      <c r="D1125" s="3">
        <v>29</v>
      </c>
      <c r="E1125" s="3">
        <f>((1/(INDEX(E0!J$4:J$73,C1125,1)-INDEX(E0!J$4:J$73,D1125,1))))*100000000</f>
        <v>0</v>
      </c>
      <c r="F1125" s="4" t="str">
        <f>HYPERLINK("http://141.218.60.56/~jnz1568/getInfo.php?workbook=16_15.xlsx&amp;sheet=A0&amp;row=1125&amp;col=6&amp;number=&amp;sourceID=54","")</f>
        <v/>
      </c>
      <c r="G1125" s="4" t="str">
        <f>HYPERLINK("http://141.218.60.56/~jnz1568/getInfo.php?workbook=16_15.xlsx&amp;sheet=A0&amp;row=1125&amp;col=7&amp;number=8.6269&amp;sourceID=54","8.6269")</f>
        <v>8.6269</v>
      </c>
      <c r="H1125" s="4" t="str">
        <f>HYPERLINK("http://141.218.60.56/~jnz1568/getInfo.php?workbook=16_15.xlsx&amp;sheet=A0&amp;row=1125&amp;col=8&amp;number=1.4009e-06&amp;sourceID=54","1.4009e-06")</f>
        <v>1.4009e-06</v>
      </c>
      <c r="I1125" s="4" t="str">
        <f>HYPERLINK("http://141.218.60.56/~jnz1568/getInfo.php?workbook=16_15.xlsx&amp;sheet=A0&amp;row=1125&amp;col=9&amp;number=&amp;sourceID=54","")</f>
        <v/>
      </c>
      <c r="J1125" s="4" t="str">
        <f>HYPERLINK("http://141.218.60.56/~jnz1568/getInfo.php?workbook=16_15.xlsx&amp;sheet=A0&amp;row=1125&amp;col=10&amp;number=6.8637&amp;sourceID=54","6.8637")</f>
        <v>6.8637</v>
      </c>
      <c r="K1125" s="4" t="str">
        <f>HYPERLINK("http://141.218.60.56/~jnz1568/getInfo.php?workbook=16_15.xlsx&amp;sheet=A0&amp;row=1125&amp;col=11&amp;number=1.1972e-06&amp;sourceID=54","1.1972e-06")</f>
        <v>1.1972e-06</v>
      </c>
      <c r="L1125" s="4" t="str">
        <f>HYPERLINK("http://141.218.60.56/~jnz1568/getInfo.php?workbook=16_15.xlsx&amp;sheet=A0&amp;row=1125&amp;col=12&amp;number=&amp;sourceID=53","")</f>
        <v/>
      </c>
      <c r="M1125" s="4" t="str">
        <f>HYPERLINK("http://141.218.60.56/~jnz1568/getInfo.php?workbook=16_15.xlsx&amp;sheet=A0&amp;row=1125&amp;col=13&amp;number=&amp;sourceID=53","")</f>
        <v/>
      </c>
      <c r="N1125" s="4" t="str">
        <f>HYPERLINK("http://141.218.60.56/~jnz1568/getInfo.php?workbook=16_15.xlsx&amp;sheet=A0&amp;row=1125&amp;col=14&amp;number=&amp;sourceID=53","")</f>
        <v/>
      </c>
      <c r="O1125" s="4" t="str">
        <f>HYPERLINK("http://141.218.60.56/~jnz1568/getInfo.php?workbook=16_15.xlsx&amp;sheet=A0&amp;row=1125&amp;col=15&amp;number=&amp;sourceID=55","")</f>
        <v/>
      </c>
      <c r="P1125" s="4" t="str">
        <f>HYPERLINK("http://141.218.60.56/~jnz1568/getInfo.php?workbook=16_15.xlsx&amp;sheet=A0&amp;row=1125&amp;col=16&amp;number=&amp;sourceID=55","")</f>
        <v/>
      </c>
      <c r="Q1125" s="4" t="str">
        <f>HYPERLINK("http://141.218.60.56/~jnz1568/getInfo.php?workbook=16_15.xlsx&amp;sheet=A0&amp;row=1125&amp;col=17&amp;number=&amp;sourceID=56","")</f>
        <v/>
      </c>
      <c r="R1125" s="4" t="str">
        <f>HYPERLINK("http://141.218.60.56/~jnz1568/getInfo.php?workbook=16_15.xlsx&amp;sheet=A0&amp;row=1125&amp;col=18&amp;number=&amp;sourceID=56","")</f>
        <v/>
      </c>
      <c r="S1125" s="4" t="str">
        <f>HYPERLINK("http://141.218.60.56/~jnz1568/getInfo.php?workbook=16_15.xlsx&amp;sheet=A0&amp;row=1125&amp;col=19&amp;number=&amp;sourceID=57","")</f>
        <v/>
      </c>
      <c r="T1125" s="4" t="str">
        <f>HYPERLINK("http://141.218.60.56/~jnz1568/getInfo.php?workbook=16_15.xlsx&amp;sheet=A0&amp;row=1125&amp;col=20&amp;number=&amp;sourceID=57","")</f>
        <v/>
      </c>
      <c r="U1125" s="4" t="str">
        <f>HYPERLINK("http://141.218.60.56/~jnz1568/getInfo.php?workbook=16_15.xlsx&amp;sheet=A0&amp;row=1125&amp;col=21&amp;number=&amp;sourceID=47","")</f>
        <v/>
      </c>
      <c r="V1125" s="4" t="str">
        <f>HYPERLINK("http://141.218.60.56/~jnz1568/getInfo.php?workbook=16_15.xlsx&amp;sheet=A0&amp;row=1125&amp;col=22&amp;number=&amp;sourceID=47","")</f>
        <v/>
      </c>
    </row>
    <row r="1126" spans="1:22">
      <c r="A1126" s="3">
        <v>16</v>
      </c>
      <c r="B1126" s="3">
        <v>15</v>
      </c>
      <c r="C1126" s="3">
        <v>54</v>
      </c>
      <c r="D1126" s="3">
        <v>30</v>
      </c>
      <c r="E1126" s="3">
        <f>((1/(INDEX(E0!J$4:J$73,C1126,1)-INDEX(E0!J$4:J$73,D1126,1))))*100000000</f>
        <v>0</v>
      </c>
      <c r="F1126" s="4" t="str">
        <f>HYPERLINK("http://141.218.60.56/~jnz1568/getInfo.php?workbook=16_15.xlsx&amp;sheet=A0&amp;row=1126&amp;col=6&amp;number=&amp;sourceID=54","")</f>
        <v/>
      </c>
      <c r="G1126" s="4" t="str">
        <f>HYPERLINK("http://141.218.60.56/~jnz1568/getInfo.php?workbook=16_15.xlsx&amp;sheet=A0&amp;row=1126&amp;col=7&amp;number=6.0642&amp;sourceID=54","6.0642")</f>
        <v>6.0642</v>
      </c>
      <c r="H1126" s="4" t="str">
        <f>HYPERLINK("http://141.218.60.56/~jnz1568/getInfo.php?workbook=16_15.xlsx&amp;sheet=A0&amp;row=1126&amp;col=8&amp;number=&amp;sourceID=54","")</f>
        <v/>
      </c>
      <c r="I1126" s="4" t="str">
        <f>HYPERLINK("http://141.218.60.56/~jnz1568/getInfo.php?workbook=16_15.xlsx&amp;sheet=A0&amp;row=1126&amp;col=9&amp;number=&amp;sourceID=54","")</f>
        <v/>
      </c>
      <c r="J1126" s="4" t="str">
        <f>HYPERLINK("http://141.218.60.56/~jnz1568/getInfo.php?workbook=16_15.xlsx&amp;sheet=A0&amp;row=1126&amp;col=10&amp;number=4.8245&amp;sourceID=54","4.8245")</f>
        <v>4.8245</v>
      </c>
      <c r="K1126" s="4" t="str">
        <f>HYPERLINK("http://141.218.60.56/~jnz1568/getInfo.php?workbook=16_15.xlsx&amp;sheet=A0&amp;row=1126&amp;col=11&amp;number=&amp;sourceID=54","")</f>
        <v/>
      </c>
      <c r="L1126" s="4" t="str">
        <f>HYPERLINK("http://141.218.60.56/~jnz1568/getInfo.php?workbook=16_15.xlsx&amp;sheet=A0&amp;row=1126&amp;col=12&amp;number=&amp;sourceID=53","")</f>
        <v/>
      </c>
      <c r="M1126" s="4" t="str">
        <f>HYPERLINK("http://141.218.60.56/~jnz1568/getInfo.php?workbook=16_15.xlsx&amp;sheet=A0&amp;row=1126&amp;col=13&amp;number=&amp;sourceID=53","")</f>
        <v/>
      </c>
      <c r="N1126" s="4" t="str">
        <f>HYPERLINK("http://141.218.60.56/~jnz1568/getInfo.php?workbook=16_15.xlsx&amp;sheet=A0&amp;row=1126&amp;col=14&amp;number=&amp;sourceID=53","")</f>
        <v/>
      </c>
      <c r="O1126" s="4" t="str">
        <f>HYPERLINK("http://141.218.60.56/~jnz1568/getInfo.php?workbook=16_15.xlsx&amp;sheet=A0&amp;row=1126&amp;col=15&amp;number=&amp;sourceID=55","")</f>
        <v/>
      </c>
      <c r="P1126" s="4" t="str">
        <f>HYPERLINK("http://141.218.60.56/~jnz1568/getInfo.php?workbook=16_15.xlsx&amp;sheet=A0&amp;row=1126&amp;col=16&amp;number=&amp;sourceID=55","")</f>
        <v/>
      </c>
      <c r="Q1126" s="4" t="str">
        <f>HYPERLINK("http://141.218.60.56/~jnz1568/getInfo.php?workbook=16_15.xlsx&amp;sheet=A0&amp;row=1126&amp;col=17&amp;number=&amp;sourceID=56","")</f>
        <v/>
      </c>
      <c r="R1126" s="4" t="str">
        <f>HYPERLINK("http://141.218.60.56/~jnz1568/getInfo.php?workbook=16_15.xlsx&amp;sheet=A0&amp;row=1126&amp;col=18&amp;number=&amp;sourceID=56","")</f>
        <v/>
      </c>
      <c r="S1126" s="4" t="str">
        <f>HYPERLINK("http://141.218.60.56/~jnz1568/getInfo.php?workbook=16_15.xlsx&amp;sheet=A0&amp;row=1126&amp;col=19&amp;number=&amp;sourceID=57","")</f>
        <v/>
      </c>
      <c r="T1126" s="4" t="str">
        <f>HYPERLINK("http://141.218.60.56/~jnz1568/getInfo.php?workbook=16_15.xlsx&amp;sheet=A0&amp;row=1126&amp;col=20&amp;number=&amp;sourceID=57","")</f>
        <v/>
      </c>
      <c r="U1126" s="4" t="str">
        <f>HYPERLINK("http://141.218.60.56/~jnz1568/getInfo.php?workbook=16_15.xlsx&amp;sheet=A0&amp;row=1126&amp;col=21&amp;number=&amp;sourceID=47","")</f>
        <v/>
      </c>
      <c r="V1126" s="4" t="str">
        <f>HYPERLINK("http://141.218.60.56/~jnz1568/getInfo.php?workbook=16_15.xlsx&amp;sheet=A0&amp;row=1126&amp;col=22&amp;number=&amp;sourceID=47","")</f>
        <v/>
      </c>
    </row>
    <row r="1127" spans="1:22">
      <c r="A1127" s="3">
        <v>16</v>
      </c>
      <c r="B1127" s="3">
        <v>15</v>
      </c>
      <c r="C1127" s="3">
        <v>54</v>
      </c>
      <c r="D1127" s="3">
        <v>31</v>
      </c>
      <c r="E1127" s="3">
        <f>((1/(INDEX(E0!J$4:J$73,C1127,1)-INDEX(E0!J$4:J$73,D1127,1))))*100000000</f>
        <v>0</v>
      </c>
      <c r="F1127" s="4" t="str">
        <f>HYPERLINK("http://141.218.60.56/~jnz1568/getInfo.php?workbook=16_15.xlsx&amp;sheet=A0&amp;row=1127&amp;col=6&amp;number=2704100&amp;sourceID=54","2704100")</f>
        <v>2704100</v>
      </c>
      <c r="G1127" s="4" t="str">
        <f>HYPERLINK("http://141.218.60.56/~jnz1568/getInfo.php?workbook=16_15.xlsx&amp;sheet=A0&amp;row=1127&amp;col=7&amp;number=&amp;sourceID=54","")</f>
        <v/>
      </c>
      <c r="H1127" s="4" t="str">
        <f>HYPERLINK("http://141.218.60.56/~jnz1568/getInfo.php?workbook=16_15.xlsx&amp;sheet=A0&amp;row=1127&amp;col=8&amp;number=&amp;sourceID=54","")</f>
        <v/>
      </c>
      <c r="I1127" s="4" t="str">
        <f>HYPERLINK("http://141.218.60.56/~jnz1568/getInfo.php?workbook=16_15.xlsx&amp;sheet=A0&amp;row=1127&amp;col=9&amp;number=2185200&amp;sourceID=54","2185200")</f>
        <v>2185200</v>
      </c>
      <c r="J1127" s="4" t="str">
        <f>HYPERLINK("http://141.218.60.56/~jnz1568/getInfo.php?workbook=16_15.xlsx&amp;sheet=A0&amp;row=1127&amp;col=10&amp;number=&amp;sourceID=54","")</f>
        <v/>
      </c>
      <c r="K1127" s="4" t="str">
        <f>HYPERLINK("http://141.218.60.56/~jnz1568/getInfo.php?workbook=16_15.xlsx&amp;sheet=A0&amp;row=1127&amp;col=11&amp;number=&amp;sourceID=54","")</f>
        <v/>
      </c>
      <c r="L1127" s="4" t="str">
        <f>HYPERLINK("http://141.218.60.56/~jnz1568/getInfo.php?workbook=16_15.xlsx&amp;sheet=A0&amp;row=1127&amp;col=12&amp;number=2105764.78873&amp;sourceID=53","2105764.78873")</f>
        <v>2105764.78873</v>
      </c>
      <c r="M1127" s="4" t="str">
        <f>HYPERLINK("http://141.218.60.56/~jnz1568/getInfo.php?workbook=16_15.xlsx&amp;sheet=A0&amp;row=1127&amp;col=13&amp;number=&amp;sourceID=53","")</f>
        <v/>
      </c>
      <c r="N1127" s="4" t="str">
        <f>HYPERLINK("http://141.218.60.56/~jnz1568/getInfo.php?workbook=16_15.xlsx&amp;sheet=A0&amp;row=1127&amp;col=14&amp;number=&amp;sourceID=53","")</f>
        <v/>
      </c>
      <c r="O1127" s="4" t="str">
        <f>HYPERLINK("http://141.218.60.56/~jnz1568/getInfo.php?workbook=16_15.xlsx&amp;sheet=A0&amp;row=1127&amp;col=15&amp;number=&amp;sourceID=55","")</f>
        <v/>
      </c>
      <c r="P1127" s="4" t="str">
        <f>HYPERLINK("http://141.218.60.56/~jnz1568/getInfo.php?workbook=16_15.xlsx&amp;sheet=A0&amp;row=1127&amp;col=16&amp;number=&amp;sourceID=55","")</f>
        <v/>
      </c>
      <c r="Q1127" s="4" t="str">
        <f>HYPERLINK("http://141.218.60.56/~jnz1568/getInfo.php?workbook=16_15.xlsx&amp;sheet=A0&amp;row=1127&amp;col=17&amp;number=&amp;sourceID=56","")</f>
        <v/>
      </c>
      <c r="R1127" s="4" t="str">
        <f>HYPERLINK("http://141.218.60.56/~jnz1568/getInfo.php?workbook=16_15.xlsx&amp;sheet=A0&amp;row=1127&amp;col=18&amp;number=&amp;sourceID=56","")</f>
        <v/>
      </c>
      <c r="S1127" s="4" t="str">
        <f>HYPERLINK("http://141.218.60.56/~jnz1568/getInfo.php?workbook=16_15.xlsx&amp;sheet=A0&amp;row=1127&amp;col=19&amp;number=&amp;sourceID=57","")</f>
        <v/>
      </c>
      <c r="T1127" s="4" t="str">
        <f>HYPERLINK("http://141.218.60.56/~jnz1568/getInfo.php?workbook=16_15.xlsx&amp;sheet=A0&amp;row=1127&amp;col=20&amp;number=&amp;sourceID=57","")</f>
        <v/>
      </c>
      <c r="U1127" s="4" t="str">
        <f>HYPERLINK("http://141.218.60.56/~jnz1568/getInfo.php?workbook=16_15.xlsx&amp;sheet=A0&amp;row=1127&amp;col=21&amp;number=&amp;sourceID=47","")</f>
        <v/>
      </c>
      <c r="V1127" s="4" t="str">
        <f>HYPERLINK("http://141.218.60.56/~jnz1568/getInfo.php?workbook=16_15.xlsx&amp;sheet=A0&amp;row=1127&amp;col=22&amp;number=&amp;sourceID=47","")</f>
        <v/>
      </c>
    </row>
    <row r="1128" spans="1:22">
      <c r="A1128" s="3">
        <v>16</v>
      </c>
      <c r="B1128" s="3">
        <v>15</v>
      </c>
      <c r="C1128" s="3">
        <v>54</v>
      </c>
      <c r="D1128" s="3">
        <v>34</v>
      </c>
      <c r="E1128" s="3">
        <f>((1/(INDEX(E0!J$4:J$73,C1128,1)-INDEX(E0!J$4:J$73,D1128,1))))*100000000</f>
        <v>0</v>
      </c>
      <c r="F1128" s="4" t="str">
        <f>HYPERLINK("http://141.218.60.56/~jnz1568/getInfo.php?workbook=16_15.xlsx&amp;sheet=A0&amp;row=1128&amp;col=6&amp;number=333.96&amp;sourceID=54","333.96")</f>
        <v>333.96</v>
      </c>
      <c r="G1128" s="4" t="str">
        <f>HYPERLINK("http://141.218.60.56/~jnz1568/getInfo.php?workbook=16_15.xlsx&amp;sheet=A0&amp;row=1128&amp;col=7&amp;number=&amp;sourceID=54","")</f>
        <v/>
      </c>
      <c r="H1128" s="4" t="str">
        <f>HYPERLINK("http://141.218.60.56/~jnz1568/getInfo.php?workbook=16_15.xlsx&amp;sheet=A0&amp;row=1128&amp;col=8&amp;number=&amp;sourceID=54","")</f>
        <v/>
      </c>
      <c r="I1128" s="4" t="str">
        <f>HYPERLINK("http://141.218.60.56/~jnz1568/getInfo.php?workbook=16_15.xlsx&amp;sheet=A0&amp;row=1128&amp;col=9&amp;number=274.05&amp;sourceID=54","274.05")</f>
        <v>274.05</v>
      </c>
      <c r="J1128" s="4" t="str">
        <f>HYPERLINK("http://141.218.60.56/~jnz1568/getInfo.php?workbook=16_15.xlsx&amp;sheet=A0&amp;row=1128&amp;col=10&amp;number=&amp;sourceID=54","")</f>
        <v/>
      </c>
      <c r="K1128" s="4" t="str">
        <f>HYPERLINK("http://141.218.60.56/~jnz1568/getInfo.php?workbook=16_15.xlsx&amp;sheet=A0&amp;row=1128&amp;col=11&amp;number=&amp;sourceID=54","")</f>
        <v/>
      </c>
      <c r="L1128" s="4" t="str">
        <f>HYPERLINK("http://141.218.60.56/~jnz1568/getInfo.php?workbook=16_15.xlsx&amp;sheet=A0&amp;row=1128&amp;col=12&amp;number=483.807936428&amp;sourceID=53","483.807936428")</f>
        <v>483.807936428</v>
      </c>
      <c r="M1128" s="4" t="str">
        <f>HYPERLINK("http://141.218.60.56/~jnz1568/getInfo.php?workbook=16_15.xlsx&amp;sheet=A0&amp;row=1128&amp;col=13&amp;number=&amp;sourceID=53","")</f>
        <v/>
      </c>
      <c r="N1128" s="4" t="str">
        <f>HYPERLINK("http://141.218.60.56/~jnz1568/getInfo.php?workbook=16_15.xlsx&amp;sheet=A0&amp;row=1128&amp;col=14&amp;number=&amp;sourceID=53","")</f>
        <v/>
      </c>
      <c r="O1128" s="4" t="str">
        <f>HYPERLINK("http://141.218.60.56/~jnz1568/getInfo.php?workbook=16_15.xlsx&amp;sheet=A0&amp;row=1128&amp;col=15&amp;number=&amp;sourceID=55","")</f>
        <v/>
      </c>
      <c r="P1128" s="4" t="str">
        <f>HYPERLINK("http://141.218.60.56/~jnz1568/getInfo.php?workbook=16_15.xlsx&amp;sheet=A0&amp;row=1128&amp;col=16&amp;number=&amp;sourceID=55","")</f>
        <v/>
      </c>
      <c r="Q1128" s="4" t="str">
        <f>HYPERLINK("http://141.218.60.56/~jnz1568/getInfo.php?workbook=16_15.xlsx&amp;sheet=A0&amp;row=1128&amp;col=17&amp;number=&amp;sourceID=56","")</f>
        <v/>
      </c>
      <c r="R1128" s="4" t="str">
        <f>HYPERLINK("http://141.218.60.56/~jnz1568/getInfo.php?workbook=16_15.xlsx&amp;sheet=A0&amp;row=1128&amp;col=18&amp;number=&amp;sourceID=56","")</f>
        <v/>
      </c>
      <c r="S1128" s="4" t="str">
        <f>HYPERLINK("http://141.218.60.56/~jnz1568/getInfo.php?workbook=16_15.xlsx&amp;sheet=A0&amp;row=1128&amp;col=19&amp;number=&amp;sourceID=57","")</f>
        <v/>
      </c>
      <c r="T1128" s="4" t="str">
        <f>HYPERLINK("http://141.218.60.56/~jnz1568/getInfo.php?workbook=16_15.xlsx&amp;sheet=A0&amp;row=1128&amp;col=20&amp;number=&amp;sourceID=57","")</f>
        <v/>
      </c>
      <c r="U1128" s="4" t="str">
        <f>HYPERLINK("http://141.218.60.56/~jnz1568/getInfo.php?workbook=16_15.xlsx&amp;sheet=A0&amp;row=1128&amp;col=21&amp;number=&amp;sourceID=47","")</f>
        <v/>
      </c>
      <c r="V1128" s="4" t="str">
        <f>HYPERLINK("http://141.218.60.56/~jnz1568/getInfo.php?workbook=16_15.xlsx&amp;sheet=A0&amp;row=1128&amp;col=22&amp;number=&amp;sourceID=47","")</f>
        <v/>
      </c>
    </row>
    <row r="1129" spans="1:22">
      <c r="A1129" s="3">
        <v>16</v>
      </c>
      <c r="B1129" s="3">
        <v>15</v>
      </c>
      <c r="C1129" s="3">
        <v>54</v>
      </c>
      <c r="D1129" s="3">
        <v>35</v>
      </c>
      <c r="E1129" s="3">
        <f>((1/(INDEX(E0!J$4:J$73,C1129,1)-INDEX(E0!J$4:J$73,D1129,1))))*100000000</f>
        <v>0</v>
      </c>
      <c r="F1129" s="4" t="str">
        <f>HYPERLINK("http://141.218.60.56/~jnz1568/getInfo.php?workbook=16_15.xlsx&amp;sheet=A0&amp;row=1129&amp;col=6&amp;number=25.866&amp;sourceID=54","25.866")</f>
        <v>25.866</v>
      </c>
      <c r="G1129" s="4" t="str">
        <f>HYPERLINK("http://141.218.60.56/~jnz1568/getInfo.php?workbook=16_15.xlsx&amp;sheet=A0&amp;row=1129&amp;col=7&amp;number=&amp;sourceID=54","")</f>
        <v/>
      </c>
      <c r="H1129" s="4" t="str">
        <f>HYPERLINK("http://141.218.60.56/~jnz1568/getInfo.php?workbook=16_15.xlsx&amp;sheet=A0&amp;row=1129&amp;col=8&amp;number=&amp;sourceID=54","")</f>
        <v/>
      </c>
      <c r="I1129" s="4" t="str">
        <f>HYPERLINK("http://141.218.60.56/~jnz1568/getInfo.php?workbook=16_15.xlsx&amp;sheet=A0&amp;row=1129&amp;col=9&amp;number=24.036&amp;sourceID=54","24.036")</f>
        <v>24.036</v>
      </c>
      <c r="J1129" s="4" t="str">
        <f>HYPERLINK("http://141.218.60.56/~jnz1568/getInfo.php?workbook=16_15.xlsx&amp;sheet=A0&amp;row=1129&amp;col=10&amp;number=&amp;sourceID=54","")</f>
        <v/>
      </c>
      <c r="K1129" s="4" t="str">
        <f>HYPERLINK("http://141.218.60.56/~jnz1568/getInfo.php?workbook=16_15.xlsx&amp;sheet=A0&amp;row=1129&amp;col=11&amp;number=&amp;sourceID=54","")</f>
        <v/>
      </c>
      <c r="L1129" s="4" t="str">
        <f>HYPERLINK("http://141.218.60.56/~jnz1568/getInfo.php?workbook=16_15.xlsx&amp;sheet=A0&amp;row=1129&amp;col=12&amp;number=110.091546449&amp;sourceID=53","110.091546449")</f>
        <v>110.091546449</v>
      </c>
      <c r="M1129" s="4" t="str">
        <f>HYPERLINK("http://141.218.60.56/~jnz1568/getInfo.php?workbook=16_15.xlsx&amp;sheet=A0&amp;row=1129&amp;col=13&amp;number=&amp;sourceID=53","")</f>
        <v/>
      </c>
      <c r="N1129" s="4" t="str">
        <f>HYPERLINK("http://141.218.60.56/~jnz1568/getInfo.php?workbook=16_15.xlsx&amp;sheet=A0&amp;row=1129&amp;col=14&amp;number=&amp;sourceID=53","")</f>
        <v/>
      </c>
      <c r="O1129" s="4" t="str">
        <f>HYPERLINK("http://141.218.60.56/~jnz1568/getInfo.php?workbook=16_15.xlsx&amp;sheet=A0&amp;row=1129&amp;col=15&amp;number=&amp;sourceID=55","")</f>
        <v/>
      </c>
      <c r="P1129" s="4" t="str">
        <f>HYPERLINK("http://141.218.60.56/~jnz1568/getInfo.php?workbook=16_15.xlsx&amp;sheet=A0&amp;row=1129&amp;col=16&amp;number=&amp;sourceID=55","")</f>
        <v/>
      </c>
      <c r="Q1129" s="4" t="str">
        <f>HYPERLINK("http://141.218.60.56/~jnz1568/getInfo.php?workbook=16_15.xlsx&amp;sheet=A0&amp;row=1129&amp;col=17&amp;number=&amp;sourceID=56","")</f>
        <v/>
      </c>
      <c r="R1129" s="4" t="str">
        <f>HYPERLINK("http://141.218.60.56/~jnz1568/getInfo.php?workbook=16_15.xlsx&amp;sheet=A0&amp;row=1129&amp;col=18&amp;number=&amp;sourceID=56","")</f>
        <v/>
      </c>
      <c r="S1129" s="4" t="str">
        <f>HYPERLINK("http://141.218.60.56/~jnz1568/getInfo.php?workbook=16_15.xlsx&amp;sheet=A0&amp;row=1129&amp;col=19&amp;number=&amp;sourceID=57","")</f>
        <v/>
      </c>
      <c r="T1129" s="4" t="str">
        <f>HYPERLINK("http://141.218.60.56/~jnz1568/getInfo.php?workbook=16_15.xlsx&amp;sheet=A0&amp;row=1129&amp;col=20&amp;number=&amp;sourceID=57","")</f>
        <v/>
      </c>
      <c r="U1129" s="4" t="str">
        <f>HYPERLINK("http://141.218.60.56/~jnz1568/getInfo.php?workbook=16_15.xlsx&amp;sheet=A0&amp;row=1129&amp;col=21&amp;number=&amp;sourceID=47","")</f>
        <v/>
      </c>
      <c r="V1129" s="4" t="str">
        <f>HYPERLINK("http://141.218.60.56/~jnz1568/getInfo.php?workbook=16_15.xlsx&amp;sheet=A0&amp;row=1129&amp;col=22&amp;number=&amp;sourceID=47","")</f>
        <v/>
      </c>
    </row>
    <row r="1130" spans="1:22">
      <c r="A1130" s="3">
        <v>16</v>
      </c>
      <c r="B1130" s="3">
        <v>15</v>
      </c>
      <c r="C1130" s="3">
        <v>54</v>
      </c>
      <c r="D1130" s="3">
        <v>38</v>
      </c>
      <c r="E1130" s="3">
        <f>((1/(INDEX(E0!J$4:J$73,C1130,1)-INDEX(E0!J$4:J$73,D1130,1))))*100000000</f>
        <v>0</v>
      </c>
      <c r="F1130" s="4" t="str">
        <f>HYPERLINK("http://141.218.60.56/~jnz1568/getInfo.php?workbook=16_15.xlsx&amp;sheet=A0&amp;row=1130&amp;col=6&amp;number=5236.6&amp;sourceID=54","5236.6")</f>
        <v>5236.6</v>
      </c>
      <c r="G1130" s="4" t="str">
        <f>HYPERLINK("http://141.218.60.56/~jnz1568/getInfo.php?workbook=16_15.xlsx&amp;sheet=A0&amp;row=1130&amp;col=7&amp;number=&amp;sourceID=54","")</f>
        <v/>
      </c>
      <c r="H1130" s="4" t="str">
        <f>HYPERLINK("http://141.218.60.56/~jnz1568/getInfo.php?workbook=16_15.xlsx&amp;sheet=A0&amp;row=1130&amp;col=8&amp;number=&amp;sourceID=54","")</f>
        <v/>
      </c>
      <c r="I1130" s="4" t="str">
        <f>HYPERLINK("http://141.218.60.56/~jnz1568/getInfo.php?workbook=16_15.xlsx&amp;sheet=A0&amp;row=1130&amp;col=9&amp;number=3856.3&amp;sourceID=54","3856.3")</f>
        <v>3856.3</v>
      </c>
      <c r="J1130" s="4" t="str">
        <f>HYPERLINK("http://141.218.60.56/~jnz1568/getInfo.php?workbook=16_15.xlsx&amp;sheet=A0&amp;row=1130&amp;col=10&amp;number=&amp;sourceID=54","")</f>
        <v/>
      </c>
      <c r="K1130" s="4" t="str">
        <f>HYPERLINK("http://141.218.60.56/~jnz1568/getInfo.php?workbook=16_15.xlsx&amp;sheet=A0&amp;row=1130&amp;col=11&amp;number=&amp;sourceID=54","")</f>
        <v/>
      </c>
      <c r="L1130" s="4" t="str">
        <f>HYPERLINK("http://141.218.60.56/~jnz1568/getInfo.php?workbook=16_15.xlsx&amp;sheet=A0&amp;row=1130&amp;col=12&amp;number=3720.23116827&amp;sourceID=53","3720.23116827")</f>
        <v>3720.23116827</v>
      </c>
      <c r="M1130" s="4" t="str">
        <f>HYPERLINK("http://141.218.60.56/~jnz1568/getInfo.php?workbook=16_15.xlsx&amp;sheet=A0&amp;row=1130&amp;col=13&amp;number=&amp;sourceID=53","")</f>
        <v/>
      </c>
      <c r="N1130" s="4" t="str">
        <f>HYPERLINK("http://141.218.60.56/~jnz1568/getInfo.php?workbook=16_15.xlsx&amp;sheet=A0&amp;row=1130&amp;col=14&amp;number=&amp;sourceID=53","")</f>
        <v/>
      </c>
      <c r="O1130" s="4" t="str">
        <f>HYPERLINK("http://141.218.60.56/~jnz1568/getInfo.php?workbook=16_15.xlsx&amp;sheet=A0&amp;row=1130&amp;col=15&amp;number=&amp;sourceID=55","")</f>
        <v/>
      </c>
      <c r="P1130" s="4" t="str">
        <f>HYPERLINK("http://141.218.60.56/~jnz1568/getInfo.php?workbook=16_15.xlsx&amp;sheet=A0&amp;row=1130&amp;col=16&amp;number=&amp;sourceID=55","")</f>
        <v/>
      </c>
      <c r="Q1130" s="4" t="str">
        <f>HYPERLINK("http://141.218.60.56/~jnz1568/getInfo.php?workbook=16_15.xlsx&amp;sheet=A0&amp;row=1130&amp;col=17&amp;number=&amp;sourceID=56","")</f>
        <v/>
      </c>
      <c r="R1130" s="4" t="str">
        <f>HYPERLINK("http://141.218.60.56/~jnz1568/getInfo.php?workbook=16_15.xlsx&amp;sheet=A0&amp;row=1130&amp;col=18&amp;number=&amp;sourceID=56","")</f>
        <v/>
      </c>
      <c r="S1130" s="4" t="str">
        <f>HYPERLINK("http://141.218.60.56/~jnz1568/getInfo.php?workbook=16_15.xlsx&amp;sheet=A0&amp;row=1130&amp;col=19&amp;number=&amp;sourceID=57","")</f>
        <v/>
      </c>
      <c r="T1130" s="4" t="str">
        <f>HYPERLINK("http://141.218.60.56/~jnz1568/getInfo.php?workbook=16_15.xlsx&amp;sheet=A0&amp;row=1130&amp;col=20&amp;number=&amp;sourceID=57","")</f>
        <v/>
      </c>
      <c r="U1130" s="4" t="str">
        <f>HYPERLINK("http://141.218.60.56/~jnz1568/getInfo.php?workbook=16_15.xlsx&amp;sheet=A0&amp;row=1130&amp;col=21&amp;number=&amp;sourceID=47","")</f>
        <v/>
      </c>
      <c r="V1130" s="4" t="str">
        <f>HYPERLINK("http://141.218.60.56/~jnz1568/getInfo.php?workbook=16_15.xlsx&amp;sheet=A0&amp;row=1130&amp;col=22&amp;number=&amp;sourceID=47","")</f>
        <v/>
      </c>
    </row>
    <row r="1131" spans="1:22">
      <c r="A1131" s="3">
        <v>16</v>
      </c>
      <c r="B1131" s="3">
        <v>15</v>
      </c>
      <c r="C1131" s="3">
        <v>54</v>
      </c>
      <c r="D1131" s="3">
        <v>39</v>
      </c>
      <c r="E1131" s="3">
        <f>((1/(INDEX(E0!J$4:J$73,C1131,1)-INDEX(E0!J$4:J$73,D1131,1))))*100000000</f>
        <v>0</v>
      </c>
      <c r="F1131" s="4" t="str">
        <f>HYPERLINK("http://141.218.60.56/~jnz1568/getInfo.php?workbook=16_15.xlsx&amp;sheet=A0&amp;row=1131&amp;col=6&amp;number=2223.2&amp;sourceID=54","2223.2")</f>
        <v>2223.2</v>
      </c>
      <c r="G1131" s="4" t="str">
        <f>HYPERLINK("http://141.218.60.56/~jnz1568/getInfo.php?workbook=16_15.xlsx&amp;sheet=A0&amp;row=1131&amp;col=7&amp;number=&amp;sourceID=54","")</f>
        <v/>
      </c>
      <c r="H1131" s="4" t="str">
        <f>HYPERLINK("http://141.218.60.56/~jnz1568/getInfo.php?workbook=16_15.xlsx&amp;sheet=A0&amp;row=1131&amp;col=8&amp;number=&amp;sourceID=54","")</f>
        <v/>
      </c>
      <c r="I1131" s="4" t="str">
        <f>HYPERLINK("http://141.218.60.56/~jnz1568/getInfo.php?workbook=16_15.xlsx&amp;sheet=A0&amp;row=1131&amp;col=9&amp;number=2113.7&amp;sourceID=54","2113.7")</f>
        <v>2113.7</v>
      </c>
      <c r="J1131" s="4" t="str">
        <f>HYPERLINK("http://141.218.60.56/~jnz1568/getInfo.php?workbook=16_15.xlsx&amp;sheet=A0&amp;row=1131&amp;col=10&amp;number=&amp;sourceID=54","")</f>
        <v/>
      </c>
      <c r="K1131" s="4" t="str">
        <f>HYPERLINK("http://141.218.60.56/~jnz1568/getInfo.php?workbook=16_15.xlsx&amp;sheet=A0&amp;row=1131&amp;col=11&amp;number=&amp;sourceID=54","")</f>
        <v/>
      </c>
      <c r="L1131" s="4" t="str">
        <f>HYPERLINK("http://141.218.60.56/~jnz1568/getInfo.php?workbook=16_15.xlsx&amp;sheet=A0&amp;row=1131&amp;col=12&amp;number=2018.12008614&amp;sourceID=53","2018.12008614")</f>
        <v>2018.12008614</v>
      </c>
      <c r="M1131" s="4" t="str">
        <f>HYPERLINK("http://141.218.60.56/~jnz1568/getInfo.php?workbook=16_15.xlsx&amp;sheet=A0&amp;row=1131&amp;col=13&amp;number=&amp;sourceID=53","")</f>
        <v/>
      </c>
      <c r="N1131" s="4" t="str">
        <f>HYPERLINK("http://141.218.60.56/~jnz1568/getInfo.php?workbook=16_15.xlsx&amp;sheet=A0&amp;row=1131&amp;col=14&amp;number=&amp;sourceID=53","")</f>
        <v/>
      </c>
      <c r="O1131" s="4" t="str">
        <f>HYPERLINK("http://141.218.60.56/~jnz1568/getInfo.php?workbook=16_15.xlsx&amp;sheet=A0&amp;row=1131&amp;col=15&amp;number=&amp;sourceID=55","")</f>
        <v/>
      </c>
      <c r="P1131" s="4" t="str">
        <f>HYPERLINK("http://141.218.60.56/~jnz1568/getInfo.php?workbook=16_15.xlsx&amp;sheet=A0&amp;row=1131&amp;col=16&amp;number=&amp;sourceID=55","")</f>
        <v/>
      </c>
      <c r="Q1131" s="4" t="str">
        <f>HYPERLINK("http://141.218.60.56/~jnz1568/getInfo.php?workbook=16_15.xlsx&amp;sheet=A0&amp;row=1131&amp;col=17&amp;number=&amp;sourceID=56","")</f>
        <v/>
      </c>
      <c r="R1131" s="4" t="str">
        <f>HYPERLINK("http://141.218.60.56/~jnz1568/getInfo.php?workbook=16_15.xlsx&amp;sheet=A0&amp;row=1131&amp;col=18&amp;number=&amp;sourceID=56","")</f>
        <v/>
      </c>
      <c r="S1131" s="4" t="str">
        <f>HYPERLINK("http://141.218.60.56/~jnz1568/getInfo.php?workbook=16_15.xlsx&amp;sheet=A0&amp;row=1131&amp;col=19&amp;number=&amp;sourceID=57","")</f>
        <v/>
      </c>
      <c r="T1131" s="4" t="str">
        <f>HYPERLINK("http://141.218.60.56/~jnz1568/getInfo.php?workbook=16_15.xlsx&amp;sheet=A0&amp;row=1131&amp;col=20&amp;number=&amp;sourceID=57","")</f>
        <v/>
      </c>
      <c r="U1131" s="4" t="str">
        <f>HYPERLINK("http://141.218.60.56/~jnz1568/getInfo.php?workbook=16_15.xlsx&amp;sheet=A0&amp;row=1131&amp;col=21&amp;number=&amp;sourceID=47","")</f>
        <v/>
      </c>
      <c r="V1131" s="4" t="str">
        <f>HYPERLINK("http://141.218.60.56/~jnz1568/getInfo.php?workbook=16_15.xlsx&amp;sheet=A0&amp;row=1131&amp;col=22&amp;number=&amp;sourceID=47","")</f>
        <v/>
      </c>
    </row>
    <row r="1132" spans="1:22">
      <c r="A1132" s="3">
        <v>16</v>
      </c>
      <c r="B1132" s="3">
        <v>15</v>
      </c>
      <c r="C1132" s="3">
        <v>54</v>
      </c>
      <c r="D1132" s="3">
        <v>41</v>
      </c>
      <c r="E1132" s="3">
        <f>((1/(INDEX(E0!J$4:J$73,C1132,1)-INDEX(E0!J$4:J$73,D1132,1))))*100000000</f>
        <v>0</v>
      </c>
      <c r="F1132" s="4" t="str">
        <f>HYPERLINK("http://141.218.60.56/~jnz1568/getInfo.php?workbook=16_15.xlsx&amp;sheet=A0&amp;row=1132&amp;col=6&amp;number=&amp;sourceID=54","")</f>
        <v/>
      </c>
      <c r="G1132" s="4" t="str">
        <f>HYPERLINK("http://141.218.60.56/~jnz1568/getInfo.php?workbook=16_15.xlsx&amp;sheet=A0&amp;row=1132&amp;col=7&amp;number=6.9642e-06&amp;sourceID=54","6.9642e-06")</f>
        <v>6.9642e-06</v>
      </c>
      <c r="H1132" s="4" t="str">
        <f>HYPERLINK("http://141.218.60.56/~jnz1568/getInfo.php?workbook=16_15.xlsx&amp;sheet=A0&amp;row=1132&amp;col=8&amp;number=&amp;sourceID=54","")</f>
        <v/>
      </c>
      <c r="I1132" s="4" t="str">
        <f>HYPERLINK("http://141.218.60.56/~jnz1568/getInfo.php?workbook=16_15.xlsx&amp;sheet=A0&amp;row=1132&amp;col=9&amp;number=&amp;sourceID=54","")</f>
        <v/>
      </c>
      <c r="J1132" s="4" t="str">
        <f>HYPERLINK("http://141.218.60.56/~jnz1568/getInfo.php?workbook=16_15.xlsx&amp;sheet=A0&amp;row=1132&amp;col=10&amp;number=6.4711e-06&amp;sourceID=54","6.4711e-06")</f>
        <v>6.4711e-06</v>
      </c>
      <c r="K1132" s="4" t="str">
        <f>HYPERLINK("http://141.218.60.56/~jnz1568/getInfo.php?workbook=16_15.xlsx&amp;sheet=A0&amp;row=1132&amp;col=11&amp;number=&amp;sourceID=54","")</f>
        <v/>
      </c>
      <c r="L1132" s="4" t="str">
        <f>HYPERLINK("http://141.218.60.56/~jnz1568/getInfo.php?workbook=16_15.xlsx&amp;sheet=A0&amp;row=1132&amp;col=12&amp;number=&amp;sourceID=53","")</f>
        <v/>
      </c>
      <c r="M1132" s="4" t="str">
        <f>HYPERLINK("http://141.218.60.56/~jnz1568/getInfo.php?workbook=16_15.xlsx&amp;sheet=A0&amp;row=1132&amp;col=13&amp;number=&amp;sourceID=53","")</f>
        <v/>
      </c>
      <c r="N1132" s="4" t="str">
        <f>HYPERLINK("http://141.218.60.56/~jnz1568/getInfo.php?workbook=16_15.xlsx&amp;sheet=A0&amp;row=1132&amp;col=14&amp;number=&amp;sourceID=53","")</f>
        <v/>
      </c>
      <c r="O1132" s="4" t="str">
        <f>HYPERLINK("http://141.218.60.56/~jnz1568/getInfo.php?workbook=16_15.xlsx&amp;sheet=A0&amp;row=1132&amp;col=15&amp;number=&amp;sourceID=55","")</f>
        <v/>
      </c>
      <c r="P1132" s="4" t="str">
        <f>HYPERLINK("http://141.218.60.56/~jnz1568/getInfo.php?workbook=16_15.xlsx&amp;sheet=A0&amp;row=1132&amp;col=16&amp;number=&amp;sourceID=55","")</f>
        <v/>
      </c>
      <c r="Q1132" s="4" t="str">
        <f>HYPERLINK("http://141.218.60.56/~jnz1568/getInfo.php?workbook=16_15.xlsx&amp;sheet=A0&amp;row=1132&amp;col=17&amp;number=&amp;sourceID=56","")</f>
        <v/>
      </c>
      <c r="R1132" s="4" t="str">
        <f>HYPERLINK("http://141.218.60.56/~jnz1568/getInfo.php?workbook=16_15.xlsx&amp;sheet=A0&amp;row=1132&amp;col=18&amp;number=&amp;sourceID=56","")</f>
        <v/>
      </c>
      <c r="S1132" s="4" t="str">
        <f>HYPERLINK("http://141.218.60.56/~jnz1568/getInfo.php?workbook=16_15.xlsx&amp;sheet=A0&amp;row=1132&amp;col=19&amp;number=&amp;sourceID=57","")</f>
        <v/>
      </c>
      <c r="T1132" s="4" t="str">
        <f>HYPERLINK("http://141.218.60.56/~jnz1568/getInfo.php?workbook=16_15.xlsx&amp;sheet=A0&amp;row=1132&amp;col=20&amp;number=&amp;sourceID=57","")</f>
        <v/>
      </c>
      <c r="U1132" s="4" t="str">
        <f>HYPERLINK("http://141.218.60.56/~jnz1568/getInfo.php?workbook=16_15.xlsx&amp;sheet=A0&amp;row=1132&amp;col=21&amp;number=&amp;sourceID=47","")</f>
        <v/>
      </c>
      <c r="V1132" s="4" t="str">
        <f>HYPERLINK("http://141.218.60.56/~jnz1568/getInfo.php?workbook=16_15.xlsx&amp;sheet=A0&amp;row=1132&amp;col=22&amp;number=&amp;sourceID=47","")</f>
        <v/>
      </c>
    </row>
    <row r="1133" spans="1:22">
      <c r="A1133" s="3">
        <v>16</v>
      </c>
      <c r="B1133" s="3">
        <v>15</v>
      </c>
      <c r="C1133" s="3">
        <v>54</v>
      </c>
      <c r="D1133" s="3">
        <v>42</v>
      </c>
      <c r="E1133" s="3">
        <f>((1/(INDEX(E0!J$4:J$73,C1133,1)-INDEX(E0!J$4:J$73,D1133,1))))*100000000</f>
        <v>0</v>
      </c>
      <c r="F1133" s="4" t="str">
        <f>HYPERLINK("http://141.218.60.56/~jnz1568/getInfo.php?workbook=16_15.xlsx&amp;sheet=A0&amp;row=1133&amp;col=6&amp;number=276130&amp;sourceID=54","276130")</f>
        <v>276130</v>
      </c>
      <c r="G1133" s="4" t="str">
        <f>HYPERLINK("http://141.218.60.56/~jnz1568/getInfo.php?workbook=16_15.xlsx&amp;sheet=A0&amp;row=1133&amp;col=7&amp;number=&amp;sourceID=54","")</f>
        <v/>
      </c>
      <c r="H1133" s="4" t="str">
        <f>HYPERLINK("http://141.218.60.56/~jnz1568/getInfo.php?workbook=16_15.xlsx&amp;sheet=A0&amp;row=1133&amp;col=8&amp;number=&amp;sourceID=54","")</f>
        <v/>
      </c>
      <c r="I1133" s="4" t="str">
        <f>HYPERLINK("http://141.218.60.56/~jnz1568/getInfo.php?workbook=16_15.xlsx&amp;sheet=A0&amp;row=1133&amp;col=9&amp;number=204620&amp;sourceID=54","204620")</f>
        <v>204620</v>
      </c>
      <c r="J1133" s="4" t="str">
        <f>HYPERLINK("http://141.218.60.56/~jnz1568/getInfo.php?workbook=16_15.xlsx&amp;sheet=A0&amp;row=1133&amp;col=10&amp;number=&amp;sourceID=54","")</f>
        <v/>
      </c>
      <c r="K1133" s="4" t="str">
        <f>HYPERLINK("http://141.218.60.56/~jnz1568/getInfo.php?workbook=16_15.xlsx&amp;sheet=A0&amp;row=1133&amp;col=11&amp;number=&amp;sourceID=54","")</f>
        <v/>
      </c>
      <c r="L1133" s="4" t="str">
        <f>HYPERLINK("http://141.218.60.56/~jnz1568/getInfo.php?workbook=16_15.xlsx&amp;sheet=A0&amp;row=1133&amp;col=12&amp;number=308834.811358&amp;sourceID=53","308834.811358")</f>
        <v>308834.811358</v>
      </c>
      <c r="M1133" s="4" t="str">
        <f>HYPERLINK("http://141.218.60.56/~jnz1568/getInfo.php?workbook=16_15.xlsx&amp;sheet=A0&amp;row=1133&amp;col=13&amp;number=&amp;sourceID=53","")</f>
        <v/>
      </c>
      <c r="N1133" s="4" t="str">
        <f>HYPERLINK("http://141.218.60.56/~jnz1568/getInfo.php?workbook=16_15.xlsx&amp;sheet=A0&amp;row=1133&amp;col=14&amp;number=&amp;sourceID=53","")</f>
        <v/>
      </c>
      <c r="O1133" s="4" t="str">
        <f>HYPERLINK("http://141.218.60.56/~jnz1568/getInfo.php?workbook=16_15.xlsx&amp;sheet=A0&amp;row=1133&amp;col=15&amp;number=&amp;sourceID=55","")</f>
        <v/>
      </c>
      <c r="P1133" s="4" t="str">
        <f>HYPERLINK("http://141.218.60.56/~jnz1568/getInfo.php?workbook=16_15.xlsx&amp;sheet=A0&amp;row=1133&amp;col=16&amp;number=&amp;sourceID=55","")</f>
        <v/>
      </c>
      <c r="Q1133" s="4" t="str">
        <f>HYPERLINK("http://141.218.60.56/~jnz1568/getInfo.php?workbook=16_15.xlsx&amp;sheet=A0&amp;row=1133&amp;col=17&amp;number=&amp;sourceID=56","")</f>
        <v/>
      </c>
      <c r="R1133" s="4" t="str">
        <f>HYPERLINK("http://141.218.60.56/~jnz1568/getInfo.php?workbook=16_15.xlsx&amp;sheet=A0&amp;row=1133&amp;col=18&amp;number=&amp;sourceID=56","")</f>
        <v/>
      </c>
      <c r="S1133" s="4" t="str">
        <f>HYPERLINK("http://141.218.60.56/~jnz1568/getInfo.php?workbook=16_15.xlsx&amp;sheet=A0&amp;row=1133&amp;col=19&amp;number=&amp;sourceID=57","")</f>
        <v/>
      </c>
      <c r="T1133" s="4" t="str">
        <f>HYPERLINK("http://141.218.60.56/~jnz1568/getInfo.php?workbook=16_15.xlsx&amp;sheet=A0&amp;row=1133&amp;col=20&amp;number=&amp;sourceID=57","")</f>
        <v/>
      </c>
      <c r="U1133" s="4" t="str">
        <f>HYPERLINK("http://141.218.60.56/~jnz1568/getInfo.php?workbook=16_15.xlsx&amp;sheet=A0&amp;row=1133&amp;col=21&amp;number=&amp;sourceID=47","")</f>
        <v/>
      </c>
      <c r="V1133" s="4" t="str">
        <f>HYPERLINK("http://141.218.60.56/~jnz1568/getInfo.php?workbook=16_15.xlsx&amp;sheet=A0&amp;row=1133&amp;col=22&amp;number=&amp;sourceID=47","")</f>
        <v/>
      </c>
    </row>
    <row r="1134" spans="1:22">
      <c r="A1134" s="3">
        <v>16</v>
      </c>
      <c r="B1134" s="3">
        <v>15</v>
      </c>
      <c r="C1134" s="3">
        <v>54</v>
      </c>
      <c r="D1134" s="3">
        <v>43</v>
      </c>
      <c r="E1134" s="3">
        <f>((1/(INDEX(E0!J$4:J$73,C1134,1)-INDEX(E0!J$4:J$73,D1134,1))))*100000000</f>
        <v>0</v>
      </c>
      <c r="F1134" s="4" t="str">
        <f>HYPERLINK("http://141.218.60.56/~jnz1568/getInfo.php?workbook=16_15.xlsx&amp;sheet=A0&amp;row=1134&amp;col=6&amp;number=&amp;sourceID=54","")</f>
        <v/>
      </c>
      <c r="G1134" s="4" t="str">
        <f>HYPERLINK("http://141.218.60.56/~jnz1568/getInfo.php?workbook=16_15.xlsx&amp;sheet=A0&amp;row=1134&amp;col=7&amp;number=3.7309e-05&amp;sourceID=54","3.7309e-05")</f>
        <v>3.7309e-05</v>
      </c>
      <c r="H1134" s="4" t="str">
        <f>HYPERLINK("http://141.218.60.56/~jnz1568/getInfo.php?workbook=16_15.xlsx&amp;sheet=A0&amp;row=1134&amp;col=8&amp;number=1.4684e-05&amp;sourceID=54","1.4684e-05")</f>
        <v>1.4684e-05</v>
      </c>
      <c r="I1134" s="4" t="str">
        <f>HYPERLINK("http://141.218.60.56/~jnz1568/getInfo.php?workbook=16_15.xlsx&amp;sheet=A0&amp;row=1134&amp;col=9&amp;number=&amp;sourceID=54","")</f>
        <v/>
      </c>
      <c r="J1134" s="4" t="str">
        <f>HYPERLINK("http://141.218.60.56/~jnz1568/getInfo.php?workbook=16_15.xlsx&amp;sheet=A0&amp;row=1134&amp;col=10&amp;number=2.1584e-05&amp;sourceID=54","2.1584e-05")</f>
        <v>2.1584e-05</v>
      </c>
      <c r="K1134" s="4" t="str">
        <f>HYPERLINK("http://141.218.60.56/~jnz1568/getInfo.php?workbook=16_15.xlsx&amp;sheet=A0&amp;row=1134&amp;col=11&amp;number=0.00021043&amp;sourceID=54","0.00021043")</f>
        <v>0.00021043</v>
      </c>
      <c r="L1134" s="4" t="str">
        <f>HYPERLINK("http://141.218.60.56/~jnz1568/getInfo.php?workbook=16_15.xlsx&amp;sheet=A0&amp;row=1134&amp;col=12&amp;number=&amp;sourceID=53","")</f>
        <v/>
      </c>
      <c r="M1134" s="4" t="str">
        <f>HYPERLINK("http://141.218.60.56/~jnz1568/getInfo.php?workbook=16_15.xlsx&amp;sheet=A0&amp;row=1134&amp;col=13&amp;number=&amp;sourceID=53","")</f>
        <v/>
      </c>
      <c r="N1134" s="4" t="str">
        <f>HYPERLINK("http://141.218.60.56/~jnz1568/getInfo.php?workbook=16_15.xlsx&amp;sheet=A0&amp;row=1134&amp;col=14&amp;number=&amp;sourceID=53","")</f>
        <v/>
      </c>
      <c r="O1134" s="4" t="str">
        <f>HYPERLINK("http://141.218.60.56/~jnz1568/getInfo.php?workbook=16_15.xlsx&amp;sheet=A0&amp;row=1134&amp;col=15&amp;number=&amp;sourceID=55","")</f>
        <v/>
      </c>
      <c r="P1134" s="4" t="str">
        <f>HYPERLINK("http://141.218.60.56/~jnz1568/getInfo.php?workbook=16_15.xlsx&amp;sheet=A0&amp;row=1134&amp;col=16&amp;number=&amp;sourceID=55","")</f>
        <v/>
      </c>
      <c r="Q1134" s="4" t="str">
        <f>HYPERLINK("http://141.218.60.56/~jnz1568/getInfo.php?workbook=16_15.xlsx&amp;sheet=A0&amp;row=1134&amp;col=17&amp;number=&amp;sourceID=56","")</f>
        <v/>
      </c>
      <c r="R1134" s="4" t="str">
        <f>HYPERLINK("http://141.218.60.56/~jnz1568/getInfo.php?workbook=16_15.xlsx&amp;sheet=A0&amp;row=1134&amp;col=18&amp;number=&amp;sourceID=56","")</f>
        <v/>
      </c>
      <c r="S1134" s="4" t="str">
        <f>HYPERLINK("http://141.218.60.56/~jnz1568/getInfo.php?workbook=16_15.xlsx&amp;sheet=A0&amp;row=1134&amp;col=19&amp;number=&amp;sourceID=57","")</f>
        <v/>
      </c>
      <c r="T1134" s="4" t="str">
        <f>HYPERLINK("http://141.218.60.56/~jnz1568/getInfo.php?workbook=16_15.xlsx&amp;sheet=A0&amp;row=1134&amp;col=20&amp;number=&amp;sourceID=57","")</f>
        <v/>
      </c>
      <c r="U1134" s="4" t="str">
        <f>HYPERLINK("http://141.218.60.56/~jnz1568/getInfo.php?workbook=16_15.xlsx&amp;sheet=A0&amp;row=1134&amp;col=21&amp;number=&amp;sourceID=47","")</f>
        <v/>
      </c>
      <c r="V1134" s="4" t="str">
        <f>HYPERLINK("http://141.218.60.56/~jnz1568/getInfo.php?workbook=16_15.xlsx&amp;sheet=A0&amp;row=1134&amp;col=22&amp;number=&amp;sourceID=47","")</f>
        <v/>
      </c>
    </row>
    <row r="1135" spans="1:22">
      <c r="A1135" s="3">
        <v>16</v>
      </c>
      <c r="B1135" s="3">
        <v>15</v>
      </c>
      <c r="C1135" s="3">
        <v>54</v>
      </c>
      <c r="D1135" s="3">
        <v>44</v>
      </c>
      <c r="E1135" s="3">
        <f>((1/(INDEX(E0!J$4:J$73,C1135,1)-INDEX(E0!J$4:J$73,D1135,1))))*100000000</f>
        <v>0</v>
      </c>
      <c r="F1135" s="4" t="str">
        <f>HYPERLINK("http://141.218.60.56/~jnz1568/getInfo.php?workbook=16_15.xlsx&amp;sheet=A0&amp;row=1135&amp;col=6&amp;number=&amp;sourceID=54","")</f>
        <v/>
      </c>
      <c r="G1135" s="4" t="str">
        <f>HYPERLINK("http://141.218.60.56/~jnz1568/getInfo.php?workbook=16_15.xlsx&amp;sheet=A0&amp;row=1135&amp;col=7&amp;number=&amp;sourceID=54","")</f>
        <v/>
      </c>
      <c r="H1135" s="4" t="str">
        <f>HYPERLINK("http://141.218.60.56/~jnz1568/getInfo.php?workbook=16_15.xlsx&amp;sheet=A0&amp;row=1135&amp;col=8&amp;number=0.017634&amp;sourceID=54","0.017634")</f>
        <v>0.017634</v>
      </c>
      <c r="I1135" s="4" t="str">
        <f>HYPERLINK("http://141.218.60.56/~jnz1568/getInfo.php?workbook=16_15.xlsx&amp;sheet=A0&amp;row=1135&amp;col=9&amp;number=&amp;sourceID=54","")</f>
        <v/>
      </c>
      <c r="J1135" s="4" t="str">
        <f>HYPERLINK("http://141.218.60.56/~jnz1568/getInfo.php?workbook=16_15.xlsx&amp;sheet=A0&amp;row=1135&amp;col=10&amp;number=&amp;sourceID=54","")</f>
        <v/>
      </c>
      <c r="K1135" s="4" t="str">
        <f>HYPERLINK("http://141.218.60.56/~jnz1568/getInfo.php?workbook=16_15.xlsx&amp;sheet=A0&amp;row=1135&amp;col=11&amp;number=0.018721&amp;sourceID=54","0.018721")</f>
        <v>0.018721</v>
      </c>
      <c r="L1135" s="4" t="str">
        <f>HYPERLINK("http://141.218.60.56/~jnz1568/getInfo.php?workbook=16_15.xlsx&amp;sheet=A0&amp;row=1135&amp;col=12&amp;number=&amp;sourceID=53","")</f>
        <v/>
      </c>
      <c r="M1135" s="4" t="str">
        <f>HYPERLINK("http://141.218.60.56/~jnz1568/getInfo.php?workbook=16_15.xlsx&amp;sheet=A0&amp;row=1135&amp;col=13&amp;number=&amp;sourceID=53","")</f>
        <v/>
      </c>
      <c r="N1135" s="4" t="str">
        <f>HYPERLINK("http://141.218.60.56/~jnz1568/getInfo.php?workbook=16_15.xlsx&amp;sheet=A0&amp;row=1135&amp;col=14&amp;number=&amp;sourceID=53","")</f>
        <v/>
      </c>
      <c r="O1135" s="4" t="str">
        <f>HYPERLINK("http://141.218.60.56/~jnz1568/getInfo.php?workbook=16_15.xlsx&amp;sheet=A0&amp;row=1135&amp;col=15&amp;number=&amp;sourceID=55","")</f>
        <v/>
      </c>
      <c r="P1135" s="4" t="str">
        <f>HYPERLINK("http://141.218.60.56/~jnz1568/getInfo.php?workbook=16_15.xlsx&amp;sheet=A0&amp;row=1135&amp;col=16&amp;number=&amp;sourceID=55","")</f>
        <v/>
      </c>
      <c r="Q1135" s="4" t="str">
        <f>HYPERLINK("http://141.218.60.56/~jnz1568/getInfo.php?workbook=16_15.xlsx&amp;sheet=A0&amp;row=1135&amp;col=17&amp;number=&amp;sourceID=56","")</f>
        <v/>
      </c>
      <c r="R1135" s="4" t="str">
        <f>HYPERLINK("http://141.218.60.56/~jnz1568/getInfo.php?workbook=16_15.xlsx&amp;sheet=A0&amp;row=1135&amp;col=18&amp;number=&amp;sourceID=56","")</f>
        <v/>
      </c>
      <c r="S1135" s="4" t="str">
        <f>HYPERLINK("http://141.218.60.56/~jnz1568/getInfo.php?workbook=16_15.xlsx&amp;sheet=A0&amp;row=1135&amp;col=19&amp;number=&amp;sourceID=57","")</f>
        <v/>
      </c>
      <c r="T1135" s="4" t="str">
        <f>HYPERLINK("http://141.218.60.56/~jnz1568/getInfo.php?workbook=16_15.xlsx&amp;sheet=A0&amp;row=1135&amp;col=20&amp;number=&amp;sourceID=57","")</f>
        <v/>
      </c>
      <c r="U1135" s="4" t="str">
        <f>HYPERLINK("http://141.218.60.56/~jnz1568/getInfo.php?workbook=16_15.xlsx&amp;sheet=A0&amp;row=1135&amp;col=21&amp;number=&amp;sourceID=47","")</f>
        <v/>
      </c>
      <c r="V1135" s="4" t="str">
        <f>HYPERLINK("http://141.218.60.56/~jnz1568/getInfo.php?workbook=16_15.xlsx&amp;sheet=A0&amp;row=1135&amp;col=22&amp;number=&amp;sourceID=47","")</f>
        <v/>
      </c>
    </row>
    <row r="1136" spans="1:22">
      <c r="A1136" s="3">
        <v>16</v>
      </c>
      <c r="B1136" s="3">
        <v>15</v>
      </c>
      <c r="C1136" s="3">
        <v>54</v>
      </c>
      <c r="D1136" s="3">
        <v>45</v>
      </c>
      <c r="E1136" s="3">
        <f>((1/(INDEX(E0!J$4:J$73,C1136,1)-INDEX(E0!J$4:J$73,D1136,1))))*100000000</f>
        <v>0</v>
      </c>
      <c r="F1136" s="4" t="str">
        <f>HYPERLINK("http://141.218.60.56/~jnz1568/getInfo.php?workbook=16_15.xlsx&amp;sheet=A0&amp;row=1136&amp;col=6&amp;number=1561.1&amp;sourceID=54","1561.1")</f>
        <v>1561.1</v>
      </c>
      <c r="G1136" s="4" t="str">
        <f>HYPERLINK("http://141.218.60.56/~jnz1568/getInfo.php?workbook=16_15.xlsx&amp;sheet=A0&amp;row=1136&amp;col=7&amp;number=&amp;sourceID=54","")</f>
        <v/>
      </c>
      <c r="H1136" s="4" t="str">
        <f>HYPERLINK("http://141.218.60.56/~jnz1568/getInfo.php?workbook=16_15.xlsx&amp;sheet=A0&amp;row=1136&amp;col=8&amp;number=&amp;sourceID=54","")</f>
        <v/>
      </c>
      <c r="I1136" s="4" t="str">
        <f>HYPERLINK("http://141.218.60.56/~jnz1568/getInfo.php?workbook=16_15.xlsx&amp;sheet=A0&amp;row=1136&amp;col=9&amp;number=272.6&amp;sourceID=54","272.6")</f>
        <v>272.6</v>
      </c>
      <c r="J1136" s="4" t="str">
        <f>HYPERLINK("http://141.218.60.56/~jnz1568/getInfo.php?workbook=16_15.xlsx&amp;sheet=A0&amp;row=1136&amp;col=10&amp;number=&amp;sourceID=54","")</f>
        <v/>
      </c>
      <c r="K1136" s="4" t="str">
        <f>HYPERLINK("http://141.218.60.56/~jnz1568/getInfo.php?workbook=16_15.xlsx&amp;sheet=A0&amp;row=1136&amp;col=11&amp;number=&amp;sourceID=54","")</f>
        <v/>
      </c>
      <c r="L1136" s="4" t="str">
        <f>HYPERLINK("http://141.218.60.56/~jnz1568/getInfo.php?workbook=16_15.xlsx&amp;sheet=A0&amp;row=1136&amp;col=12&amp;number=369.99792656&amp;sourceID=53","369.99792656")</f>
        <v>369.99792656</v>
      </c>
      <c r="M1136" s="4" t="str">
        <f>HYPERLINK("http://141.218.60.56/~jnz1568/getInfo.php?workbook=16_15.xlsx&amp;sheet=A0&amp;row=1136&amp;col=13&amp;number=&amp;sourceID=53","")</f>
        <v/>
      </c>
      <c r="N1136" s="4" t="str">
        <f>HYPERLINK("http://141.218.60.56/~jnz1568/getInfo.php?workbook=16_15.xlsx&amp;sheet=A0&amp;row=1136&amp;col=14&amp;number=&amp;sourceID=53","")</f>
        <v/>
      </c>
      <c r="O1136" s="4" t="str">
        <f>HYPERLINK("http://141.218.60.56/~jnz1568/getInfo.php?workbook=16_15.xlsx&amp;sheet=A0&amp;row=1136&amp;col=15&amp;number=&amp;sourceID=55","")</f>
        <v/>
      </c>
      <c r="P1136" s="4" t="str">
        <f>HYPERLINK("http://141.218.60.56/~jnz1568/getInfo.php?workbook=16_15.xlsx&amp;sheet=A0&amp;row=1136&amp;col=16&amp;number=&amp;sourceID=55","")</f>
        <v/>
      </c>
      <c r="Q1136" s="4" t="str">
        <f>HYPERLINK("http://141.218.60.56/~jnz1568/getInfo.php?workbook=16_15.xlsx&amp;sheet=A0&amp;row=1136&amp;col=17&amp;number=&amp;sourceID=56","")</f>
        <v/>
      </c>
      <c r="R1136" s="4" t="str">
        <f>HYPERLINK("http://141.218.60.56/~jnz1568/getInfo.php?workbook=16_15.xlsx&amp;sheet=A0&amp;row=1136&amp;col=18&amp;number=&amp;sourceID=56","")</f>
        <v/>
      </c>
      <c r="S1136" s="4" t="str">
        <f>HYPERLINK("http://141.218.60.56/~jnz1568/getInfo.php?workbook=16_15.xlsx&amp;sheet=A0&amp;row=1136&amp;col=19&amp;number=&amp;sourceID=57","")</f>
        <v/>
      </c>
      <c r="T1136" s="4" t="str">
        <f>HYPERLINK("http://141.218.60.56/~jnz1568/getInfo.php?workbook=16_15.xlsx&amp;sheet=A0&amp;row=1136&amp;col=20&amp;number=&amp;sourceID=57","")</f>
        <v/>
      </c>
      <c r="U1136" s="4" t="str">
        <f>HYPERLINK("http://141.218.60.56/~jnz1568/getInfo.php?workbook=16_15.xlsx&amp;sheet=A0&amp;row=1136&amp;col=21&amp;number=&amp;sourceID=47","")</f>
        <v/>
      </c>
      <c r="V1136" s="4" t="str">
        <f>HYPERLINK("http://141.218.60.56/~jnz1568/getInfo.php?workbook=16_15.xlsx&amp;sheet=A0&amp;row=1136&amp;col=22&amp;number=&amp;sourceID=47","")</f>
        <v/>
      </c>
    </row>
    <row r="1137" spans="1:22">
      <c r="A1137" s="3">
        <v>16</v>
      </c>
      <c r="B1137" s="3">
        <v>15</v>
      </c>
      <c r="C1137" s="3">
        <v>54</v>
      </c>
      <c r="D1137" s="3">
        <v>47</v>
      </c>
      <c r="E1137" s="3">
        <f>((1/(INDEX(E0!J$4:J$73,C1137,1)-INDEX(E0!J$4:J$73,D1137,1))))*100000000</f>
        <v>0</v>
      </c>
      <c r="F1137" s="4" t="str">
        <f>HYPERLINK("http://141.218.60.56/~jnz1568/getInfo.php?workbook=16_15.xlsx&amp;sheet=A0&amp;row=1137&amp;col=6&amp;number=18982&amp;sourceID=54","18982")</f>
        <v>18982</v>
      </c>
      <c r="G1137" s="4" t="str">
        <f>HYPERLINK("http://141.218.60.56/~jnz1568/getInfo.php?workbook=16_15.xlsx&amp;sheet=A0&amp;row=1137&amp;col=7&amp;number=&amp;sourceID=54","")</f>
        <v/>
      </c>
      <c r="H1137" s="4" t="str">
        <f>HYPERLINK("http://141.218.60.56/~jnz1568/getInfo.php?workbook=16_15.xlsx&amp;sheet=A0&amp;row=1137&amp;col=8&amp;number=&amp;sourceID=54","")</f>
        <v/>
      </c>
      <c r="I1137" s="4" t="str">
        <f>HYPERLINK("http://141.218.60.56/~jnz1568/getInfo.php?workbook=16_15.xlsx&amp;sheet=A0&amp;row=1137&amp;col=9&amp;number=12876&amp;sourceID=54","12876")</f>
        <v>12876</v>
      </c>
      <c r="J1137" s="4" t="str">
        <f>HYPERLINK("http://141.218.60.56/~jnz1568/getInfo.php?workbook=16_15.xlsx&amp;sheet=A0&amp;row=1137&amp;col=10&amp;number=&amp;sourceID=54","")</f>
        <v/>
      </c>
      <c r="K1137" s="4" t="str">
        <f>HYPERLINK("http://141.218.60.56/~jnz1568/getInfo.php?workbook=16_15.xlsx&amp;sheet=A0&amp;row=1137&amp;col=11&amp;number=&amp;sourceID=54","")</f>
        <v/>
      </c>
      <c r="L1137" s="4" t="str">
        <f>HYPERLINK("http://141.218.60.56/~jnz1568/getInfo.php?workbook=16_15.xlsx&amp;sheet=A0&amp;row=1137&amp;col=12&amp;number=23021.3219113&amp;sourceID=53","23021.3219113")</f>
        <v>23021.3219113</v>
      </c>
      <c r="M1137" s="4" t="str">
        <f>HYPERLINK("http://141.218.60.56/~jnz1568/getInfo.php?workbook=16_15.xlsx&amp;sheet=A0&amp;row=1137&amp;col=13&amp;number=&amp;sourceID=53","")</f>
        <v/>
      </c>
      <c r="N1137" s="4" t="str">
        <f>HYPERLINK("http://141.218.60.56/~jnz1568/getInfo.php?workbook=16_15.xlsx&amp;sheet=A0&amp;row=1137&amp;col=14&amp;number=&amp;sourceID=53","")</f>
        <v/>
      </c>
      <c r="O1137" s="4" t="str">
        <f>HYPERLINK("http://141.218.60.56/~jnz1568/getInfo.php?workbook=16_15.xlsx&amp;sheet=A0&amp;row=1137&amp;col=15&amp;number=&amp;sourceID=55","")</f>
        <v/>
      </c>
      <c r="P1137" s="4" t="str">
        <f>HYPERLINK("http://141.218.60.56/~jnz1568/getInfo.php?workbook=16_15.xlsx&amp;sheet=A0&amp;row=1137&amp;col=16&amp;number=&amp;sourceID=55","")</f>
        <v/>
      </c>
      <c r="Q1137" s="4" t="str">
        <f>HYPERLINK("http://141.218.60.56/~jnz1568/getInfo.php?workbook=16_15.xlsx&amp;sheet=A0&amp;row=1137&amp;col=17&amp;number=&amp;sourceID=56","")</f>
        <v/>
      </c>
      <c r="R1137" s="4" t="str">
        <f>HYPERLINK("http://141.218.60.56/~jnz1568/getInfo.php?workbook=16_15.xlsx&amp;sheet=A0&amp;row=1137&amp;col=18&amp;number=&amp;sourceID=56","")</f>
        <v/>
      </c>
      <c r="S1137" s="4" t="str">
        <f>HYPERLINK("http://141.218.60.56/~jnz1568/getInfo.php?workbook=16_15.xlsx&amp;sheet=A0&amp;row=1137&amp;col=19&amp;number=&amp;sourceID=57","")</f>
        <v/>
      </c>
      <c r="T1137" s="4" t="str">
        <f>HYPERLINK("http://141.218.60.56/~jnz1568/getInfo.php?workbook=16_15.xlsx&amp;sheet=A0&amp;row=1137&amp;col=20&amp;number=&amp;sourceID=57","")</f>
        <v/>
      </c>
      <c r="U1137" s="4" t="str">
        <f>HYPERLINK("http://141.218.60.56/~jnz1568/getInfo.php?workbook=16_15.xlsx&amp;sheet=A0&amp;row=1137&amp;col=21&amp;number=&amp;sourceID=47","")</f>
        <v/>
      </c>
      <c r="V1137" s="4" t="str">
        <f>HYPERLINK("http://141.218.60.56/~jnz1568/getInfo.php?workbook=16_15.xlsx&amp;sheet=A0&amp;row=1137&amp;col=22&amp;number=&amp;sourceID=47","")</f>
        <v/>
      </c>
    </row>
    <row r="1138" spans="1:22">
      <c r="A1138" s="3">
        <v>16</v>
      </c>
      <c r="B1138" s="3">
        <v>15</v>
      </c>
      <c r="C1138" s="3">
        <v>54</v>
      </c>
      <c r="D1138" s="3">
        <v>48</v>
      </c>
      <c r="E1138" s="3">
        <f>((1/(INDEX(E0!J$4:J$73,C1138,1)-INDEX(E0!J$4:J$73,D1138,1))))*100000000</f>
        <v>0</v>
      </c>
      <c r="F1138" s="4" t="str">
        <f>HYPERLINK("http://141.218.60.56/~jnz1568/getInfo.php?workbook=16_15.xlsx&amp;sheet=A0&amp;row=1138&amp;col=6&amp;number=&amp;sourceID=54","")</f>
        <v/>
      </c>
      <c r="G1138" s="4" t="str">
        <f>HYPERLINK("http://141.218.60.56/~jnz1568/getInfo.php?workbook=16_15.xlsx&amp;sheet=A0&amp;row=1138&amp;col=7&amp;number=0.0084241&amp;sourceID=54","0.0084241")</f>
        <v>0.0084241</v>
      </c>
      <c r="H1138" s="4" t="str">
        <f>HYPERLINK("http://141.218.60.56/~jnz1568/getInfo.php?workbook=16_15.xlsx&amp;sheet=A0&amp;row=1138&amp;col=8&amp;number=0.003471&amp;sourceID=54","0.003471")</f>
        <v>0.003471</v>
      </c>
      <c r="I1138" s="4" t="str">
        <f>HYPERLINK("http://141.218.60.56/~jnz1568/getInfo.php?workbook=16_15.xlsx&amp;sheet=A0&amp;row=1138&amp;col=9&amp;number=&amp;sourceID=54","")</f>
        <v/>
      </c>
      <c r="J1138" s="4" t="str">
        <f>HYPERLINK("http://141.218.60.56/~jnz1568/getInfo.php?workbook=16_15.xlsx&amp;sheet=A0&amp;row=1138&amp;col=10&amp;number=0.0076965&amp;sourceID=54","0.0076965")</f>
        <v>0.0076965</v>
      </c>
      <c r="K1138" s="4" t="str">
        <f>HYPERLINK("http://141.218.60.56/~jnz1568/getInfo.php?workbook=16_15.xlsx&amp;sheet=A0&amp;row=1138&amp;col=11&amp;number=0.0024886&amp;sourceID=54","0.0024886")</f>
        <v>0.0024886</v>
      </c>
      <c r="L1138" s="4" t="str">
        <f>HYPERLINK("http://141.218.60.56/~jnz1568/getInfo.php?workbook=16_15.xlsx&amp;sheet=A0&amp;row=1138&amp;col=12&amp;number=&amp;sourceID=53","")</f>
        <v/>
      </c>
      <c r="M1138" s="4" t="str">
        <f>HYPERLINK("http://141.218.60.56/~jnz1568/getInfo.php?workbook=16_15.xlsx&amp;sheet=A0&amp;row=1138&amp;col=13&amp;number=&amp;sourceID=53","")</f>
        <v/>
      </c>
      <c r="N1138" s="4" t="str">
        <f>HYPERLINK("http://141.218.60.56/~jnz1568/getInfo.php?workbook=16_15.xlsx&amp;sheet=A0&amp;row=1138&amp;col=14&amp;number=&amp;sourceID=53","")</f>
        <v/>
      </c>
      <c r="O1138" s="4" t="str">
        <f>HYPERLINK("http://141.218.60.56/~jnz1568/getInfo.php?workbook=16_15.xlsx&amp;sheet=A0&amp;row=1138&amp;col=15&amp;number=&amp;sourceID=55","")</f>
        <v/>
      </c>
      <c r="P1138" s="4" t="str">
        <f>HYPERLINK("http://141.218.60.56/~jnz1568/getInfo.php?workbook=16_15.xlsx&amp;sheet=A0&amp;row=1138&amp;col=16&amp;number=&amp;sourceID=55","")</f>
        <v/>
      </c>
      <c r="Q1138" s="4" t="str">
        <f>HYPERLINK("http://141.218.60.56/~jnz1568/getInfo.php?workbook=16_15.xlsx&amp;sheet=A0&amp;row=1138&amp;col=17&amp;number=&amp;sourceID=56","")</f>
        <v/>
      </c>
      <c r="R1138" s="4" t="str">
        <f>HYPERLINK("http://141.218.60.56/~jnz1568/getInfo.php?workbook=16_15.xlsx&amp;sheet=A0&amp;row=1138&amp;col=18&amp;number=&amp;sourceID=56","")</f>
        <v/>
      </c>
      <c r="S1138" s="4" t="str">
        <f>HYPERLINK("http://141.218.60.56/~jnz1568/getInfo.php?workbook=16_15.xlsx&amp;sheet=A0&amp;row=1138&amp;col=19&amp;number=&amp;sourceID=57","")</f>
        <v/>
      </c>
      <c r="T1138" s="4" t="str">
        <f>HYPERLINK("http://141.218.60.56/~jnz1568/getInfo.php?workbook=16_15.xlsx&amp;sheet=A0&amp;row=1138&amp;col=20&amp;number=&amp;sourceID=57","")</f>
        <v/>
      </c>
      <c r="U1138" s="4" t="str">
        <f>HYPERLINK("http://141.218.60.56/~jnz1568/getInfo.php?workbook=16_15.xlsx&amp;sheet=A0&amp;row=1138&amp;col=21&amp;number=&amp;sourceID=47","")</f>
        <v/>
      </c>
      <c r="V1138" s="4" t="str">
        <f>HYPERLINK("http://141.218.60.56/~jnz1568/getInfo.php?workbook=16_15.xlsx&amp;sheet=A0&amp;row=1138&amp;col=22&amp;number=&amp;sourceID=47","")</f>
        <v/>
      </c>
    </row>
    <row r="1139" spans="1:22">
      <c r="A1139" s="3">
        <v>16</v>
      </c>
      <c r="B1139" s="3">
        <v>15</v>
      </c>
      <c r="C1139" s="3">
        <v>54</v>
      </c>
      <c r="D1139" s="3">
        <v>49</v>
      </c>
      <c r="E1139" s="3">
        <f>((1/(INDEX(E0!J$4:J$73,C1139,1)-INDEX(E0!J$4:J$73,D1139,1))))*100000000</f>
        <v>0</v>
      </c>
      <c r="F1139" s="4" t="str">
        <f>HYPERLINK("http://141.218.60.56/~jnz1568/getInfo.php?workbook=16_15.xlsx&amp;sheet=A0&amp;row=1139&amp;col=6&amp;number=7924.2&amp;sourceID=54","7924.2")</f>
        <v>7924.2</v>
      </c>
      <c r="G1139" s="4" t="str">
        <f>HYPERLINK("http://141.218.60.56/~jnz1568/getInfo.php?workbook=16_15.xlsx&amp;sheet=A0&amp;row=1139&amp;col=7&amp;number=&amp;sourceID=54","")</f>
        <v/>
      </c>
      <c r="H1139" s="4" t="str">
        <f>HYPERLINK("http://141.218.60.56/~jnz1568/getInfo.php?workbook=16_15.xlsx&amp;sheet=A0&amp;row=1139&amp;col=8&amp;number=&amp;sourceID=54","")</f>
        <v/>
      </c>
      <c r="I1139" s="4" t="str">
        <f>HYPERLINK("http://141.218.60.56/~jnz1568/getInfo.php?workbook=16_15.xlsx&amp;sheet=A0&amp;row=1139&amp;col=9&amp;number=5296.8&amp;sourceID=54","5296.8")</f>
        <v>5296.8</v>
      </c>
      <c r="J1139" s="4" t="str">
        <f>HYPERLINK("http://141.218.60.56/~jnz1568/getInfo.php?workbook=16_15.xlsx&amp;sheet=A0&amp;row=1139&amp;col=10&amp;number=&amp;sourceID=54","")</f>
        <v/>
      </c>
      <c r="K1139" s="4" t="str">
        <f>HYPERLINK("http://141.218.60.56/~jnz1568/getInfo.php?workbook=16_15.xlsx&amp;sheet=A0&amp;row=1139&amp;col=11&amp;number=&amp;sourceID=54","")</f>
        <v/>
      </c>
      <c r="L1139" s="4" t="str">
        <f>HYPERLINK("http://141.218.60.56/~jnz1568/getInfo.php?workbook=16_15.xlsx&amp;sheet=A0&amp;row=1139&amp;col=12&amp;number=6292.12642162&amp;sourceID=53","6292.12642162")</f>
        <v>6292.12642162</v>
      </c>
      <c r="M1139" s="4" t="str">
        <f>HYPERLINK("http://141.218.60.56/~jnz1568/getInfo.php?workbook=16_15.xlsx&amp;sheet=A0&amp;row=1139&amp;col=13&amp;number=&amp;sourceID=53","")</f>
        <v/>
      </c>
      <c r="N1139" s="4" t="str">
        <f>HYPERLINK("http://141.218.60.56/~jnz1568/getInfo.php?workbook=16_15.xlsx&amp;sheet=A0&amp;row=1139&amp;col=14&amp;number=&amp;sourceID=53","")</f>
        <v/>
      </c>
      <c r="O1139" s="4" t="str">
        <f>HYPERLINK("http://141.218.60.56/~jnz1568/getInfo.php?workbook=16_15.xlsx&amp;sheet=A0&amp;row=1139&amp;col=15&amp;number=&amp;sourceID=55","")</f>
        <v/>
      </c>
      <c r="P1139" s="4" t="str">
        <f>HYPERLINK("http://141.218.60.56/~jnz1568/getInfo.php?workbook=16_15.xlsx&amp;sheet=A0&amp;row=1139&amp;col=16&amp;number=&amp;sourceID=55","")</f>
        <v/>
      </c>
      <c r="Q1139" s="4" t="str">
        <f>HYPERLINK("http://141.218.60.56/~jnz1568/getInfo.php?workbook=16_15.xlsx&amp;sheet=A0&amp;row=1139&amp;col=17&amp;number=&amp;sourceID=56","")</f>
        <v/>
      </c>
      <c r="R1139" s="4" t="str">
        <f>HYPERLINK("http://141.218.60.56/~jnz1568/getInfo.php?workbook=16_15.xlsx&amp;sheet=A0&amp;row=1139&amp;col=18&amp;number=&amp;sourceID=56","")</f>
        <v/>
      </c>
      <c r="S1139" s="4" t="str">
        <f>HYPERLINK("http://141.218.60.56/~jnz1568/getInfo.php?workbook=16_15.xlsx&amp;sheet=A0&amp;row=1139&amp;col=19&amp;number=&amp;sourceID=57","")</f>
        <v/>
      </c>
      <c r="T1139" s="4" t="str">
        <f>HYPERLINK("http://141.218.60.56/~jnz1568/getInfo.php?workbook=16_15.xlsx&amp;sheet=A0&amp;row=1139&amp;col=20&amp;number=&amp;sourceID=57","")</f>
        <v/>
      </c>
      <c r="U1139" s="4" t="str">
        <f>HYPERLINK("http://141.218.60.56/~jnz1568/getInfo.php?workbook=16_15.xlsx&amp;sheet=A0&amp;row=1139&amp;col=21&amp;number=&amp;sourceID=47","")</f>
        <v/>
      </c>
      <c r="V1139" s="4" t="str">
        <f>HYPERLINK("http://141.218.60.56/~jnz1568/getInfo.php?workbook=16_15.xlsx&amp;sheet=A0&amp;row=1139&amp;col=22&amp;number=&amp;sourceID=47","")</f>
        <v/>
      </c>
    </row>
    <row r="1140" spans="1:22">
      <c r="A1140" s="3">
        <v>16</v>
      </c>
      <c r="B1140" s="3">
        <v>15</v>
      </c>
      <c r="C1140" s="3">
        <v>54</v>
      </c>
      <c r="D1140" s="3">
        <v>50</v>
      </c>
      <c r="E1140" s="3">
        <f>((1/(INDEX(E0!J$4:J$73,C1140,1)-INDEX(E0!J$4:J$73,D1140,1))))*100000000</f>
        <v>0</v>
      </c>
      <c r="F1140" s="4" t="str">
        <f>HYPERLINK("http://141.218.60.56/~jnz1568/getInfo.php?workbook=16_15.xlsx&amp;sheet=A0&amp;row=1140&amp;col=6&amp;number=&amp;sourceID=54","")</f>
        <v/>
      </c>
      <c r="G1140" s="4" t="str">
        <f>HYPERLINK("http://141.218.60.56/~jnz1568/getInfo.php?workbook=16_15.xlsx&amp;sheet=A0&amp;row=1140&amp;col=7&amp;number=0.0040555&amp;sourceID=54","0.0040555")</f>
        <v>0.0040555</v>
      </c>
      <c r="H1140" s="4" t="str">
        <f>HYPERLINK("http://141.218.60.56/~jnz1568/getInfo.php?workbook=16_15.xlsx&amp;sheet=A0&amp;row=1140&amp;col=8&amp;number=&amp;sourceID=54","")</f>
        <v/>
      </c>
      <c r="I1140" s="4" t="str">
        <f>HYPERLINK("http://141.218.60.56/~jnz1568/getInfo.php?workbook=16_15.xlsx&amp;sheet=A0&amp;row=1140&amp;col=9&amp;number=&amp;sourceID=54","")</f>
        <v/>
      </c>
      <c r="J1140" s="4" t="str">
        <f>HYPERLINK("http://141.218.60.56/~jnz1568/getInfo.php?workbook=16_15.xlsx&amp;sheet=A0&amp;row=1140&amp;col=10&amp;number=0.0038649&amp;sourceID=54","0.0038649")</f>
        <v>0.0038649</v>
      </c>
      <c r="K1140" s="4" t="str">
        <f>HYPERLINK("http://141.218.60.56/~jnz1568/getInfo.php?workbook=16_15.xlsx&amp;sheet=A0&amp;row=1140&amp;col=11&amp;number=&amp;sourceID=54","")</f>
        <v/>
      </c>
      <c r="L1140" s="4" t="str">
        <f>HYPERLINK("http://141.218.60.56/~jnz1568/getInfo.php?workbook=16_15.xlsx&amp;sheet=A0&amp;row=1140&amp;col=12&amp;number=&amp;sourceID=53","")</f>
        <v/>
      </c>
      <c r="M1140" s="4" t="str">
        <f>HYPERLINK("http://141.218.60.56/~jnz1568/getInfo.php?workbook=16_15.xlsx&amp;sheet=A0&amp;row=1140&amp;col=13&amp;number=&amp;sourceID=53","")</f>
        <v/>
      </c>
      <c r="N1140" s="4" t="str">
        <f>HYPERLINK("http://141.218.60.56/~jnz1568/getInfo.php?workbook=16_15.xlsx&amp;sheet=A0&amp;row=1140&amp;col=14&amp;number=&amp;sourceID=53","")</f>
        <v/>
      </c>
      <c r="O1140" s="4" t="str">
        <f>HYPERLINK("http://141.218.60.56/~jnz1568/getInfo.php?workbook=16_15.xlsx&amp;sheet=A0&amp;row=1140&amp;col=15&amp;number=&amp;sourceID=55","")</f>
        <v/>
      </c>
      <c r="P1140" s="4" t="str">
        <f>HYPERLINK("http://141.218.60.56/~jnz1568/getInfo.php?workbook=16_15.xlsx&amp;sheet=A0&amp;row=1140&amp;col=16&amp;number=&amp;sourceID=55","")</f>
        <v/>
      </c>
      <c r="Q1140" s="4" t="str">
        <f>HYPERLINK("http://141.218.60.56/~jnz1568/getInfo.php?workbook=16_15.xlsx&amp;sheet=A0&amp;row=1140&amp;col=17&amp;number=&amp;sourceID=56","")</f>
        <v/>
      </c>
      <c r="R1140" s="4" t="str">
        <f>HYPERLINK("http://141.218.60.56/~jnz1568/getInfo.php?workbook=16_15.xlsx&amp;sheet=A0&amp;row=1140&amp;col=18&amp;number=&amp;sourceID=56","")</f>
        <v/>
      </c>
      <c r="S1140" s="4" t="str">
        <f>HYPERLINK("http://141.218.60.56/~jnz1568/getInfo.php?workbook=16_15.xlsx&amp;sheet=A0&amp;row=1140&amp;col=19&amp;number=&amp;sourceID=57","")</f>
        <v/>
      </c>
      <c r="T1140" s="4" t="str">
        <f>HYPERLINK("http://141.218.60.56/~jnz1568/getInfo.php?workbook=16_15.xlsx&amp;sheet=A0&amp;row=1140&amp;col=20&amp;number=&amp;sourceID=57","")</f>
        <v/>
      </c>
      <c r="U1140" s="4" t="str">
        <f>HYPERLINK("http://141.218.60.56/~jnz1568/getInfo.php?workbook=16_15.xlsx&amp;sheet=A0&amp;row=1140&amp;col=21&amp;number=&amp;sourceID=47","")</f>
        <v/>
      </c>
      <c r="V1140" s="4" t="str">
        <f>HYPERLINK("http://141.218.60.56/~jnz1568/getInfo.php?workbook=16_15.xlsx&amp;sheet=A0&amp;row=1140&amp;col=22&amp;number=&amp;sourceID=47","")</f>
        <v/>
      </c>
    </row>
    <row r="1141" spans="1:22">
      <c r="A1141" s="3">
        <v>16</v>
      </c>
      <c r="B1141" s="3">
        <v>15</v>
      </c>
      <c r="C1141" s="3">
        <v>54</v>
      </c>
      <c r="D1141" s="3">
        <v>51</v>
      </c>
      <c r="E1141" s="3">
        <f>((1/(INDEX(E0!J$4:J$73,C1141,1)-INDEX(E0!J$4:J$73,D1141,1))))*100000000</f>
        <v>0</v>
      </c>
      <c r="F1141" s="4" t="str">
        <f>HYPERLINK("http://141.218.60.56/~jnz1568/getInfo.php?workbook=16_15.xlsx&amp;sheet=A0&amp;row=1141&amp;col=6&amp;number=&amp;sourceID=54","")</f>
        <v/>
      </c>
      <c r="G1141" s="4" t="str">
        <f>HYPERLINK("http://141.218.60.56/~jnz1568/getInfo.php?workbook=16_15.xlsx&amp;sheet=A0&amp;row=1141&amp;col=7&amp;number=&amp;sourceID=54","")</f>
        <v/>
      </c>
      <c r="H1141" s="4" t="str">
        <f>HYPERLINK("http://141.218.60.56/~jnz1568/getInfo.php?workbook=16_15.xlsx&amp;sheet=A0&amp;row=1141&amp;col=8&amp;number=3.0471e-07&amp;sourceID=54","3.0471e-07")</f>
        <v>3.0471e-07</v>
      </c>
      <c r="I1141" s="4" t="str">
        <f>HYPERLINK("http://141.218.60.56/~jnz1568/getInfo.php?workbook=16_15.xlsx&amp;sheet=A0&amp;row=1141&amp;col=9&amp;number=&amp;sourceID=54","")</f>
        <v/>
      </c>
      <c r="J1141" s="4" t="str">
        <f>HYPERLINK("http://141.218.60.56/~jnz1568/getInfo.php?workbook=16_15.xlsx&amp;sheet=A0&amp;row=1141&amp;col=10&amp;number=&amp;sourceID=54","")</f>
        <v/>
      </c>
      <c r="K1141" s="4" t="str">
        <f>HYPERLINK("http://141.218.60.56/~jnz1568/getInfo.php?workbook=16_15.xlsx&amp;sheet=A0&amp;row=1141&amp;col=11&amp;number=2.8e-07&amp;sourceID=54","2.8e-07")</f>
        <v>2.8e-07</v>
      </c>
      <c r="L1141" s="4" t="str">
        <f>HYPERLINK("http://141.218.60.56/~jnz1568/getInfo.php?workbook=16_15.xlsx&amp;sheet=A0&amp;row=1141&amp;col=12&amp;number=&amp;sourceID=53","")</f>
        <v/>
      </c>
      <c r="M1141" s="4" t="str">
        <f>HYPERLINK("http://141.218.60.56/~jnz1568/getInfo.php?workbook=16_15.xlsx&amp;sheet=A0&amp;row=1141&amp;col=13&amp;number=&amp;sourceID=53","")</f>
        <v/>
      </c>
      <c r="N1141" s="4" t="str">
        <f>HYPERLINK("http://141.218.60.56/~jnz1568/getInfo.php?workbook=16_15.xlsx&amp;sheet=A0&amp;row=1141&amp;col=14&amp;number=&amp;sourceID=53","")</f>
        <v/>
      </c>
      <c r="O1141" s="4" t="str">
        <f>HYPERLINK("http://141.218.60.56/~jnz1568/getInfo.php?workbook=16_15.xlsx&amp;sheet=A0&amp;row=1141&amp;col=15&amp;number=&amp;sourceID=55","")</f>
        <v/>
      </c>
      <c r="P1141" s="4" t="str">
        <f>HYPERLINK("http://141.218.60.56/~jnz1568/getInfo.php?workbook=16_15.xlsx&amp;sheet=A0&amp;row=1141&amp;col=16&amp;number=&amp;sourceID=55","")</f>
        <v/>
      </c>
      <c r="Q1141" s="4" t="str">
        <f>HYPERLINK("http://141.218.60.56/~jnz1568/getInfo.php?workbook=16_15.xlsx&amp;sheet=A0&amp;row=1141&amp;col=17&amp;number=&amp;sourceID=56","")</f>
        <v/>
      </c>
      <c r="R1141" s="4" t="str">
        <f>HYPERLINK("http://141.218.60.56/~jnz1568/getInfo.php?workbook=16_15.xlsx&amp;sheet=A0&amp;row=1141&amp;col=18&amp;number=&amp;sourceID=56","")</f>
        <v/>
      </c>
      <c r="S1141" s="4" t="str">
        <f>HYPERLINK("http://141.218.60.56/~jnz1568/getInfo.php?workbook=16_15.xlsx&amp;sheet=A0&amp;row=1141&amp;col=19&amp;number=&amp;sourceID=57","")</f>
        <v/>
      </c>
      <c r="T1141" s="4" t="str">
        <f>HYPERLINK("http://141.218.60.56/~jnz1568/getInfo.php?workbook=16_15.xlsx&amp;sheet=A0&amp;row=1141&amp;col=20&amp;number=&amp;sourceID=57","")</f>
        <v/>
      </c>
      <c r="U1141" s="4" t="str">
        <f>HYPERLINK("http://141.218.60.56/~jnz1568/getInfo.php?workbook=16_15.xlsx&amp;sheet=A0&amp;row=1141&amp;col=21&amp;number=&amp;sourceID=47","")</f>
        <v/>
      </c>
      <c r="V1141" s="4" t="str">
        <f>HYPERLINK("http://141.218.60.56/~jnz1568/getInfo.php?workbook=16_15.xlsx&amp;sheet=A0&amp;row=1141&amp;col=22&amp;number=&amp;sourceID=47","")</f>
        <v/>
      </c>
    </row>
    <row r="1142" spans="1:22">
      <c r="A1142" s="3">
        <v>16</v>
      </c>
      <c r="B1142" s="3">
        <v>15</v>
      </c>
      <c r="C1142" s="3">
        <v>54</v>
      </c>
      <c r="D1142" s="3">
        <v>52</v>
      </c>
      <c r="E1142" s="3">
        <f>((1/(INDEX(E0!J$4:J$73,C1142,1)-INDEX(E0!J$4:J$73,D1142,1))))*100000000</f>
        <v>0</v>
      </c>
      <c r="F1142" s="4" t="str">
        <f>HYPERLINK("http://141.218.60.56/~jnz1568/getInfo.php?workbook=16_15.xlsx&amp;sheet=A0&amp;row=1142&amp;col=6&amp;number=&amp;sourceID=54","")</f>
        <v/>
      </c>
      <c r="G1142" s="4" t="str">
        <f>HYPERLINK("http://141.218.60.56/~jnz1568/getInfo.php?workbook=16_15.xlsx&amp;sheet=A0&amp;row=1142&amp;col=7&amp;number=9.4199e-08&amp;sourceID=54","9.4199e-08")</f>
        <v>9.4199e-08</v>
      </c>
      <c r="H1142" s="4" t="str">
        <f>HYPERLINK("http://141.218.60.56/~jnz1568/getInfo.php?workbook=16_15.xlsx&amp;sheet=A0&amp;row=1142&amp;col=8&amp;number=&amp;sourceID=54","")</f>
        <v/>
      </c>
      <c r="I1142" s="4" t="str">
        <f>HYPERLINK("http://141.218.60.56/~jnz1568/getInfo.php?workbook=16_15.xlsx&amp;sheet=A0&amp;row=1142&amp;col=9&amp;number=&amp;sourceID=54","")</f>
        <v/>
      </c>
      <c r="J1142" s="4" t="str">
        <f>HYPERLINK("http://141.218.60.56/~jnz1568/getInfo.php?workbook=16_15.xlsx&amp;sheet=A0&amp;row=1142&amp;col=10&amp;number=8.9802e-06&amp;sourceID=54","8.9802e-06")</f>
        <v>8.9802e-06</v>
      </c>
      <c r="K1142" s="4" t="str">
        <f>HYPERLINK("http://141.218.60.56/~jnz1568/getInfo.php?workbook=16_15.xlsx&amp;sheet=A0&amp;row=1142&amp;col=11&amp;number=&amp;sourceID=54","")</f>
        <v/>
      </c>
      <c r="L1142" s="4" t="str">
        <f>HYPERLINK("http://141.218.60.56/~jnz1568/getInfo.php?workbook=16_15.xlsx&amp;sheet=A0&amp;row=1142&amp;col=12&amp;number=&amp;sourceID=53","")</f>
        <v/>
      </c>
      <c r="M1142" s="4" t="str">
        <f>HYPERLINK("http://141.218.60.56/~jnz1568/getInfo.php?workbook=16_15.xlsx&amp;sheet=A0&amp;row=1142&amp;col=13&amp;number=&amp;sourceID=53","")</f>
        <v/>
      </c>
      <c r="N1142" s="4" t="str">
        <f>HYPERLINK("http://141.218.60.56/~jnz1568/getInfo.php?workbook=16_15.xlsx&amp;sheet=A0&amp;row=1142&amp;col=14&amp;number=&amp;sourceID=53","")</f>
        <v/>
      </c>
      <c r="O1142" s="4" t="str">
        <f>HYPERLINK("http://141.218.60.56/~jnz1568/getInfo.php?workbook=16_15.xlsx&amp;sheet=A0&amp;row=1142&amp;col=15&amp;number=&amp;sourceID=55","")</f>
        <v/>
      </c>
      <c r="P1142" s="4" t="str">
        <f>HYPERLINK("http://141.218.60.56/~jnz1568/getInfo.php?workbook=16_15.xlsx&amp;sheet=A0&amp;row=1142&amp;col=16&amp;number=&amp;sourceID=55","")</f>
        <v/>
      </c>
      <c r="Q1142" s="4" t="str">
        <f>HYPERLINK("http://141.218.60.56/~jnz1568/getInfo.php?workbook=16_15.xlsx&amp;sheet=A0&amp;row=1142&amp;col=17&amp;number=&amp;sourceID=56","")</f>
        <v/>
      </c>
      <c r="R1142" s="4" t="str">
        <f>HYPERLINK("http://141.218.60.56/~jnz1568/getInfo.php?workbook=16_15.xlsx&amp;sheet=A0&amp;row=1142&amp;col=18&amp;number=&amp;sourceID=56","")</f>
        <v/>
      </c>
      <c r="S1142" s="4" t="str">
        <f>HYPERLINK("http://141.218.60.56/~jnz1568/getInfo.php?workbook=16_15.xlsx&amp;sheet=A0&amp;row=1142&amp;col=19&amp;number=&amp;sourceID=57","")</f>
        <v/>
      </c>
      <c r="T1142" s="4" t="str">
        <f>HYPERLINK("http://141.218.60.56/~jnz1568/getInfo.php?workbook=16_15.xlsx&amp;sheet=A0&amp;row=1142&amp;col=20&amp;number=&amp;sourceID=57","")</f>
        <v/>
      </c>
      <c r="U1142" s="4" t="str">
        <f>HYPERLINK("http://141.218.60.56/~jnz1568/getInfo.php?workbook=16_15.xlsx&amp;sheet=A0&amp;row=1142&amp;col=21&amp;number=&amp;sourceID=47","")</f>
        <v/>
      </c>
      <c r="V1142" s="4" t="str">
        <f>HYPERLINK("http://141.218.60.56/~jnz1568/getInfo.php?workbook=16_15.xlsx&amp;sheet=A0&amp;row=1142&amp;col=22&amp;number=&amp;sourceID=47","")</f>
        <v/>
      </c>
    </row>
    <row r="1143" spans="1:22">
      <c r="A1143" s="3">
        <v>16</v>
      </c>
      <c r="B1143" s="3">
        <v>15</v>
      </c>
      <c r="C1143" s="3">
        <v>55</v>
      </c>
      <c r="D1143" s="3">
        <v>1</v>
      </c>
      <c r="E1143" s="3">
        <f>((1/(INDEX(E0!J$4:J$73,C1143,1)-INDEX(E0!J$4:J$73,D1143,1))))*100000000</f>
        <v>0</v>
      </c>
      <c r="F1143" s="4" t="str">
        <f>HYPERLINK("http://141.218.60.56/~jnz1568/getInfo.php?workbook=16_15.xlsx&amp;sheet=A0&amp;row=1143&amp;col=6&amp;number=3880800&amp;sourceID=54","3880800")</f>
        <v>3880800</v>
      </c>
      <c r="G1143" s="4" t="str">
        <f>HYPERLINK("http://141.218.60.56/~jnz1568/getInfo.php?workbook=16_15.xlsx&amp;sheet=A0&amp;row=1143&amp;col=7&amp;number=&amp;sourceID=54","")</f>
        <v/>
      </c>
      <c r="H1143" s="4" t="str">
        <f>HYPERLINK("http://141.218.60.56/~jnz1568/getInfo.php?workbook=16_15.xlsx&amp;sheet=A0&amp;row=1143&amp;col=8&amp;number=&amp;sourceID=54","")</f>
        <v/>
      </c>
      <c r="I1143" s="4" t="str">
        <f>HYPERLINK("http://141.218.60.56/~jnz1568/getInfo.php?workbook=16_15.xlsx&amp;sheet=A0&amp;row=1143&amp;col=9&amp;number=3862300&amp;sourceID=54","3862300")</f>
        <v>3862300</v>
      </c>
      <c r="J1143" s="4" t="str">
        <f>HYPERLINK("http://141.218.60.56/~jnz1568/getInfo.php?workbook=16_15.xlsx&amp;sheet=A0&amp;row=1143&amp;col=10&amp;number=&amp;sourceID=54","")</f>
        <v/>
      </c>
      <c r="K1143" s="4" t="str">
        <f>HYPERLINK("http://141.218.60.56/~jnz1568/getInfo.php?workbook=16_15.xlsx&amp;sheet=A0&amp;row=1143&amp;col=11&amp;number=&amp;sourceID=54","")</f>
        <v/>
      </c>
      <c r="L1143" s="4" t="str">
        <f>HYPERLINK("http://141.218.60.56/~jnz1568/getInfo.php?workbook=16_15.xlsx&amp;sheet=A0&amp;row=1143&amp;col=12&amp;number=3601194.51331&amp;sourceID=53","3601194.51331")</f>
        <v>3601194.51331</v>
      </c>
      <c r="M1143" s="4" t="str">
        <f>HYPERLINK("http://141.218.60.56/~jnz1568/getInfo.php?workbook=16_15.xlsx&amp;sheet=A0&amp;row=1143&amp;col=13&amp;number=&amp;sourceID=53","")</f>
        <v/>
      </c>
      <c r="N1143" s="4" t="str">
        <f>HYPERLINK("http://141.218.60.56/~jnz1568/getInfo.php?workbook=16_15.xlsx&amp;sheet=A0&amp;row=1143&amp;col=14&amp;number=&amp;sourceID=53","")</f>
        <v/>
      </c>
      <c r="O1143" s="4" t="str">
        <f>HYPERLINK("http://141.218.60.56/~jnz1568/getInfo.php?workbook=16_15.xlsx&amp;sheet=A0&amp;row=1143&amp;col=15&amp;number=&amp;sourceID=55","")</f>
        <v/>
      </c>
      <c r="P1143" s="4" t="str">
        <f>HYPERLINK("http://141.218.60.56/~jnz1568/getInfo.php?workbook=16_15.xlsx&amp;sheet=A0&amp;row=1143&amp;col=16&amp;number=&amp;sourceID=55","")</f>
        <v/>
      </c>
      <c r="Q1143" s="4" t="str">
        <f>HYPERLINK("http://141.218.60.56/~jnz1568/getInfo.php?workbook=16_15.xlsx&amp;sheet=A0&amp;row=1143&amp;col=17&amp;number=&amp;sourceID=56","")</f>
        <v/>
      </c>
      <c r="R1143" s="4" t="str">
        <f>HYPERLINK("http://141.218.60.56/~jnz1568/getInfo.php?workbook=16_15.xlsx&amp;sheet=A0&amp;row=1143&amp;col=18&amp;number=&amp;sourceID=56","")</f>
        <v/>
      </c>
      <c r="S1143" s="4" t="str">
        <f>HYPERLINK("http://141.218.60.56/~jnz1568/getInfo.php?workbook=16_15.xlsx&amp;sheet=A0&amp;row=1143&amp;col=19&amp;number=&amp;sourceID=57","")</f>
        <v/>
      </c>
      <c r="T1143" s="4" t="str">
        <f>HYPERLINK("http://141.218.60.56/~jnz1568/getInfo.php?workbook=16_15.xlsx&amp;sheet=A0&amp;row=1143&amp;col=20&amp;number=&amp;sourceID=57","")</f>
        <v/>
      </c>
      <c r="U1143" s="4" t="str">
        <f>HYPERLINK("http://141.218.60.56/~jnz1568/getInfo.php?workbook=16_15.xlsx&amp;sheet=A0&amp;row=1143&amp;col=21&amp;number=&amp;sourceID=47","")</f>
        <v/>
      </c>
      <c r="V1143" s="4" t="str">
        <f>HYPERLINK("http://141.218.60.56/~jnz1568/getInfo.php?workbook=16_15.xlsx&amp;sheet=A0&amp;row=1143&amp;col=22&amp;number=&amp;sourceID=47","")</f>
        <v/>
      </c>
    </row>
    <row r="1144" spans="1:22">
      <c r="A1144" s="3">
        <v>16</v>
      </c>
      <c r="B1144" s="3">
        <v>15</v>
      </c>
      <c r="C1144" s="3">
        <v>55</v>
      </c>
      <c r="D1144" s="3">
        <v>2</v>
      </c>
      <c r="E1144" s="3">
        <f>((1/(INDEX(E0!J$4:J$73,C1144,1)-INDEX(E0!J$4:J$73,D1144,1))))*100000000</f>
        <v>0</v>
      </c>
      <c r="F1144" s="4" t="str">
        <f>HYPERLINK("http://141.218.60.56/~jnz1568/getInfo.php?workbook=16_15.xlsx&amp;sheet=A0&amp;row=1144&amp;col=6&amp;number=209100000&amp;sourceID=54","209100000")</f>
        <v>209100000</v>
      </c>
      <c r="G1144" s="4" t="str">
        <f>HYPERLINK("http://141.218.60.56/~jnz1568/getInfo.php?workbook=16_15.xlsx&amp;sheet=A0&amp;row=1144&amp;col=7&amp;number=&amp;sourceID=54","")</f>
        <v/>
      </c>
      <c r="H1144" s="4" t="str">
        <f>HYPERLINK("http://141.218.60.56/~jnz1568/getInfo.php?workbook=16_15.xlsx&amp;sheet=A0&amp;row=1144&amp;col=8&amp;number=&amp;sourceID=54","")</f>
        <v/>
      </c>
      <c r="I1144" s="4" t="str">
        <f>HYPERLINK("http://141.218.60.56/~jnz1568/getInfo.php?workbook=16_15.xlsx&amp;sheet=A0&amp;row=1144&amp;col=9&amp;number=200900000&amp;sourceID=54","200900000")</f>
        <v>200900000</v>
      </c>
      <c r="J1144" s="4" t="str">
        <f>HYPERLINK("http://141.218.60.56/~jnz1568/getInfo.php?workbook=16_15.xlsx&amp;sheet=A0&amp;row=1144&amp;col=10&amp;number=&amp;sourceID=54","")</f>
        <v/>
      </c>
      <c r="K1144" s="4" t="str">
        <f>HYPERLINK("http://141.218.60.56/~jnz1568/getInfo.php?workbook=16_15.xlsx&amp;sheet=A0&amp;row=1144&amp;col=11&amp;number=&amp;sourceID=54","")</f>
        <v/>
      </c>
      <c r="L1144" s="4" t="str">
        <f>HYPERLINK("http://141.218.60.56/~jnz1568/getInfo.php?workbook=16_15.xlsx&amp;sheet=A0&amp;row=1144&amp;col=12&amp;number=246317270.926&amp;sourceID=53","246317270.926")</f>
        <v>246317270.926</v>
      </c>
      <c r="M1144" s="4" t="str">
        <f>HYPERLINK("http://141.218.60.56/~jnz1568/getInfo.php?workbook=16_15.xlsx&amp;sheet=A0&amp;row=1144&amp;col=13&amp;number=&amp;sourceID=53","")</f>
        <v/>
      </c>
      <c r="N1144" s="4" t="str">
        <f>HYPERLINK("http://141.218.60.56/~jnz1568/getInfo.php?workbook=16_15.xlsx&amp;sheet=A0&amp;row=1144&amp;col=14&amp;number=&amp;sourceID=53","")</f>
        <v/>
      </c>
      <c r="O1144" s="4" t="str">
        <f>HYPERLINK("http://141.218.60.56/~jnz1568/getInfo.php?workbook=16_15.xlsx&amp;sheet=A0&amp;row=1144&amp;col=15&amp;number=&amp;sourceID=55","")</f>
        <v/>
      </c>
      <c r="P1144" s="4" t="str">
        <f>HYPERLINK("http://141.218.60.56/~jnz1568/getInfo.php?workbook=16_15.xlsx&amp;sheet=A0&amp;row=1144&amp;col=16&amp;number=&amp;sourceID=55","")</f>
        <v/>
      </c>
      <c r="Q1144" s="4" t="str">
        <f>HYPERLINK("http://141.218.60.56/~jnz1568/getInfo.php?workbook=16_15.xlsx&amp;sheet=A0&amp;row=1144&amp;col=17&amp;number=&amp;sourceID=56","")</f>
        <v/>
      </c>
      <c r="R1144" s="4" t="str">
        <f>HYPERLINK("http://141.218.60.56/~jnz1568/getInfo.php?workbook=16_15.xlsx&amp;sheet=A0&amp;row=1144&amp;col=18&amp;number=&amp;sourceID=56","")</f>
        <v/>
      </c>
      <c r="S1144" s="4" t="str">
        <f>HYPERLINK("http://141.218.60.56/~jnz1568/getInfo.php?workbook=16_15.xlsx&amp;sheet=A0&amp;row=1144&amp;col=19&amp;number=&amp;sourceID=57","")</f>
        <v/>
      </c>
      <c r="T1144" s="4" t="str">
        <f>HYPERLINK("http://141.218.60.56/~jnz1568/getInfo.php?workbook=16_15.xlsx&amp;sheet=A0&amp;row=1144&amp;col=20&amp;number=&amp;sourceID=57","")</f>
        <v/>
      </c>
      <c r="U1144" s="4" t="str">
        <f>HYPERLINK("http://141.218.60.56/~jnz1568/getInfo.php?workbook=16_15.xlsx&amp;sheet=A0&amp;row=1144&amp;col=21&amp;number=&amp;sourceID=47","")</f>
        <v/>
      </c>
      <c r="V1144" s="4" t="str">
        <f>HYPERLINK("http://141.218.60.56/~jnz1568/getInfo.php?workbook=16_15.xlsx&amp;sheet=A0&amp;row=1144&amp;col=22&amp;number=&amp;sourceID=47","")</f>
        <v/>
      </c>
    </row>
    <row r="1145" spans="1:22">
      <c r="A1145" s="3">
        <v>16</v>
      </c>
      <c r="B1145" s="3">
        <v>15</v>
      </c>
      <c r="C1145" s="3">
        <v>55</v>
      </c>
      <c r="D1145" s="3">
        <v>3</v>
      </c>
      <c r="E1145" s="3">
        <f>((1/(INDEX(E0!J$4:J$73,C1145,1)-INDEX(E0!J$4:J$73,D1145,1))))*100000000</f>
        <v>0</v>
      </c>
      <c r="F1145" s="4" t="str">
        <f>HYPERLINK("http://141.218.60.56/~jnz1568/getInfo.php?workbook=16_15.xlsx&amp;sheet=A0&amp;row=1145&amp;col=6&amp;number=2400700000&amp;sourceID=54","2400700000")</f>
        <v>2400700000</v>
      </c>
      <c r="G1145" s="4" t="str">
        <f>HYPERLINK("http://141.218.60.56/~jnz1568/getInfo.php?workbook=16_15.xlsx&amp;sheet=A0&amp;row=1145&amp;col=7&amp;number=&amp;sourceID=54","")</f>
        <v/>
      </c>
      <c r="H1145" s="4" t="str">
        <f>HYPERLINK("http://141.218.60.56/~jnz1568/getInfo.php?workbook=16_15.xlsx&amp;sheet=A0&amp;row=1145&amp;col=8&amp;number=&amp;sourceID=54","")</f>
        <v/>
      </c>
      <c r="I1145" s="4" t="str">
        <f>HYPERLINK("http://141.218.60.56/~jnz1568/getInfo.php?workbook=16_15.xlsx&amp;sheet=A0&amp;row=1145&amp;col=9&amp;number=2367100000&amp;sourceID=54","2367100000")</f>
        <v>2367100000</v>
      </c>
      <c r="J1145" s="4" t="str">
        <f>HYPERLINK("http://141.218.60.56/~jnz1568/getInfo.php?workbook=16_15.xlsx&amp;sheet=A0&amp;row=1145&amp;col=10&amp;number=&amp;sourceID=54","")</f>
        <v/>
      </c>
      <c r="K1145" s="4" t="str">
        <f>HYPERLINK("http://141.218.60.56/~jnz1568/getInfo.php?workbook=16_15.xlsx&amp;sheet=A0&amp;row=1145&amp;col=11&amp;number=&amp;sourceID=54","")</f>
        <v/>
      </c>
      <c r="L1145" s="4" t="str">
        <f>HYPERLINK("http://141.218.60.56/~jnz1568/getInfo.php?workbook=16_15.xlsx&amp;sheet=A0&amp;row=1145&amp;col=12&amp;number=2689561730.23&amp;sourceID=53","2689561730.23")</f>
        <v>2689561730.23</v>
      </c>
      <c r="M1145" s="4" t="str">
        <f>HYPERLINK("http://141.218.60.56/~jnz1568/getInfo.php?workbook=16_15.xlsx&amp;sheet=A0&amp;row=1145&amp;col=13&amp;number=&amp;sourceID=53","")</f>
        <v/>
      </c>
      <c r="N1145" s="4" t="str">
        <f>HYPERLINK("http://141.218.60.56/~jnz1568/getInfo.php?workbook=16_15.xlsx&amp;sheet=A0&amp;row=1145&amp;col=14&amp;number=&amp;sourceID=53","")</f>
        <v/>
      </c>
      <c r="O1145" s="4" t="str">
        <f>HYPERLINK("http://141.218.60.56/~jnz1568/getInfo.php?workbook=16_15.xlsx&amp;sheet=A0&amp;row=1145&amp;col=15&amp;number=&amp;sourceID=55","")</f>
        <v/>
      </c>
      <c r="P1145" s="4" t="str">
        <f>HYPERLINK("http://141.218.60.56/~jnz1568/getInfo.php?workbook=16_15.xlsx&amp;sheet=A0&amp;row=1145&amp;col=16&amp;number=&amp;sourceID=55","")</f>
        <v/>
      </c>
      <c r="Q1145" s="4" t="str">
        <f>HYPERLINK("http://141.218.60.56/~jnz1568/getInfo.php?workbook=16_15.xlsx&amp;sheet=A0&amp;row=1145&amp;col=17&amp;number=&amp;sourceID=56","")</f>
        <v/>
      </c>
      <c r="R1145" s="4" t="str">
        <f>HYPERLINK("http://141.218.60.56/~jnz1568/getInfo.php?workbook=16_15.xlsx&amp;sheet=A0&amp;row=1145&amp;col=18&amp;number=&amp;sourceID=56","")</f>
        <v/>
      </c>
      <c r="S1145" s="4" t="str">
        <f>HYPERLINK("http://141.218.60.56/~jnz1568/getInfo.php?workbook=16_15.xlsx&amp;sheet=A0&amp;row=1145&amp;col=19&amp;number=&amp;sourceID=57","")</f>
        <v/>
      </c>
      <c r="T1145" s="4" t="str">
        <f>HYPERLINK("http://141.218.60.56/~jnz1568/getInfo.php?workbook=16_15.xlsx&amp;sheet=A0&amp;row=1145&amp;col=20&amp;number=&amp;sourceID=57","")</f>
        <v/>
      </c>
      <c r="U1145" s="4" t="str">
        <f>HYPERLINK("http://141.218.60.56/~jnz1568/getInfo.php?workbook=16_15.xlsx&amp;sheet=A0&amp;row=1145&amp;col=21&amp;number=&amp;sourceID=47","")</f>
        <v/>
      </c>
      <c r="V1145" s="4" t="str">
        <f>HYPERLINK("http://141.218.60.56/~jnz1568/getInfo.php?workbook=16_15.xlsx&amp;sheet=A0&amp;row=1145&amp;col=22&amp;number=&amp;sourceID=47","")</f>
        <v/>
      </c>
    </row>
    <row r="1146" spans="1:22">
      <c r="A1146" s="3">
        <v>16</v>
      </c>
      <c r="B1146" s="3">
        <v>15</v>
      </c>
      <c r="C1146" s="3">
        <v>55</v>
      </c>
      <c r="D1146" s="3">
        <v>4</v>
      </c>
      <c r="E1146" s="3">
        <f>((1/(INDEX(E0!J$4:J$73,C1146,1)-INDEX(E0!J$4:J$73,D1146,1))))*100000000</f>
        <v>0</v>
      </c>
      <c r="F1146" s="4" t="str">
        <f>HYPERLINK("http://141.218.60.56/~jnz1568/getInfo.php?workbook=16_15.xlsx&amp;sheet=A0&amp;row=1146&amp;col=6&amp;number=336740000&amp;sourceID=54","336740000")</f>
        <v>336740000</v>
      </c>
      <c r="G1146" s="4" t="str">
        <f>HYPERLINK("http://141.218.60.56/~jnz1568/getInfo.php?workbook=16_15.xlsx&amp;sheet=A0&amp;row=1146&amp;col=7&amp;number=&amp;sourceID=54","")</f>
        <v/>
      </c>
      <c r="H1146" s="4" t="str">
        <f>HYPERLINK("http://141.218.60.56/~jnz1568/getInfo.php?workbook=16_15.xlsx&amp;sheet=A0&amp;row=1146&amp;col=8&amp;number=&amp;sourceID=54","")</f>
        <v/>
      </c>
      <c r="I1146" s="4" t="str">
        <f>HYPERLINK("http://141.218.60.56/~jnz1568/getInfo.php?workbook=16_15.xlsx&amp;sheet=A0&amp;row=1146&amp;col=9&amp;number=324250000&amp;sourceID=54","324250000")</f>
        <v>324250000</v>
      </c>
      <c r="J1146" s="4" t="str">
        <f>HYPERLINK("http://141.218.60.56/~jnz1568/getInfo.php?workbook=16_15.xlsx&amp;sheet=A0&amp;row=1146&amp;col=10&amp;number=&amp;sourceID=54","")</f>
        <v/>
      </c>
      <c r="K1146" s="4" t="str">
        <f>HYPERLINK("http://141.218.60.56/~jnz1568/getInfo.php?workbook=16_15.xlsx&amp;sheet=A0&amp;row=1146&amp;col=11&amp;number=&amp;sourceID=54","")</f>
        <v/>
      </c>
      <c r="L1146" s="4" t="str">
        <f>HYPERLINK("http://141.218.60.56/~jnz1568/getInfo.php?workbook=16_15.xlsx&amp;sheet=A0&amp;row=1146&amp;col=12&amp;number=278567147.442&amp;sourceID=53","278567147.442")</f>
        <v>278567147.442</v>
      </c>
      <c r="M1146" s="4" t="str">
        <f>HYPERLINK("http://141.218.60.56/~jnz1568/getInfo.php?workbook=16_15.xlsx&amp;sheet=A0&amp;row=1146&amp;col=13&amp;number=&amp;sourceID=53","")</f>
        <v/>
      </c>
      <c r="N1146" s="4" t="str">
        <f>HYPERLINK("http://141.218.60.56/~jnz1568/getInfo.php?workbook=16_15.xlsx&amp;sheet=A0&amp;row=1146&amp;col=14&amp;number=&amp;sourceID=53","")</f>
        <v/>
      </c>
      <c r="O1146" s="4" t="str">
        <f>HYPERLINK("http://141.218.60.56/~jnz1568/getInfo.php?workbook=16_15.xlsx&amp;sheet=A0&amp;row=1146&amp;col=15&amp;number=&amp;sourceID=55","")</f>
        <v/>
      </c>
      <c r="P1146" s="4" t="str">
        <f>HYPERLINK("http://141.218.60.56/~jnz1568/getInfo.php?workbook=16_15.xlsx&amp;sheet=A0&amp;row=1146&amp;col=16&amp;number=&amp;sourceID=55","")</f>
        <v/>
      </c>
      <c r="Q1146" s="4" t="str">
        <f>HYPERLINK("http://141.218.60.56/~jnz1568/getInfo.php?workbook=16_15.xlsx&amp;sheet=A0&amp;row=1146&amp;col=17&amp;number=&amp;sourceID=56","")</f>
        <v/>
      </c>
      <c r="R1146" s="4" t="str">
        <f>HYPERLINK("http://141.218.60.56/~jnz1568/getInfo.php?workbook=16_15.xlsx&amp;sheet=A0&amp;row=1146&amp;col=18&amp;number=&amp;sourceID=56","")</f>
        <v/>
      </c>
      <c r="S1146" s="4" t="str">
        <f>HYPERLINK("http://141.218.60.56/~jnz1568/getInfo.php?workbook=16_15.xlsx&amp;sheet=A0&amp;row=1146&amp;col=19&amp;number=&amp;sourceID=57","")</f>
        <v/>
      </c>
      <c r="T1146" s="4" t="str">
        <f>HYPERLINK("http://141.218.60.56/~jnz1568/getInfo.php?workbook=16_15.xlsx&amp;sheet=A0&amp;row=1146&amp;col=20&amp;number=&amp;sourceID=57","")</f>
        <v/>
      </c>
      <c r="U1146" s="4" t="str">
        <f>HYPERLINK("http://141.218.60.56/~jnz1568/getInfo.php?workbook=16_15.xlsx&amp;sheet=A0&amp;row=1146&amp;col=21&amp;number=&amp;sourceID=47","")</f>
        <v/>
      </c>
      <c r="V1146" s="4" t="str">
        <f>HYPERLINK("http://141.218.60.56/~jnz1568/getInfo.php?workbook=16_15.xlsx&amp;sheet=A0&amp;row=1146&amp;col=22&amp;number=&amp;sourceID=47","")</f>
        <v/>
      </c>
    </row>
    <row r="1147" spans="1:22">
      <c r="A1147" s="3">
        <v>16</v>
      </c>
      <c r="B1147" s="3">
        <v>15</v>
      </c>
      <c r="C1147" s="3">
        <v>55</v>
      </c>
      <c r="D1147" s="3">
        <v>5</v>
      </c>
      <c r="E1147" s="3">
        <f>((1/(INDEX(E0!J$4:J$73,C1147,1)-INDEX(E0!J$4:J$73,D1147,1))))*100000000</f>
        <v>0</v>
      </c>
      <c r="F1147" s="4" t="str">
        <f>HYPERLINK("http://141.218.60.56/~jnz1568/getInfo.php?workbook=16_15.xlsx&amp;sheet=A0&amp;row=1147&amp;col=6&amp;number=1927100000&amp;sourceID=54","1927100000")</f>
        <v>1927100000</v>
      </c>
      <c r="G1147" s="4" t="str">
        <f>HYPERLINK("http://141.218.60.56/~jnz1568/getInfo.php?workbook=16_15.xlsx&amp;sheet=A0&amp;row=1147&amp;col=7&amp;number=&amp;sourceID=54","")</f>
        <v/>
      </c>
      <c r="H1147" s="4" t="str">
        <f>HYPERLINK("http://141.218.60.56/~jnz1568/getInfo.php?workbook=16_15.xlsx&amp;sheet=A0&amp;row=1147&amp;col=8&amp;number=&amp;sourceID=54","")</f>
        <v/>
      </c>
      <c r="I1147" s="4" t="str">
        <f>HYPERLINK("http://141.218.60.56/~jnz1568/getInfo.php?workbook=16_15.xlsx&amp;sheet=A0&amp;row=1147&amp;col=9&amp;number=1868900000&amp;sourceID=54","1868900000")</f>
        <v>1868900000</v>
      </c>
      <c r="J1147" s="4" t="str">
        <f>HYPERLINK("http://141.218.60.56/~jnz1568/getInfo.php?workbook=16_15.xlsx&amp;sheet=A0&amp;row=1147&amp;col=10&amp;number=&amp;sourceID=54","")</f>
        <v/>
      </c>
      <c r="K1147" s="4" t="str">
        <f>HYPERLINK("http://141.218.60.56/~jnz1568/getInfo.php?workbook=16_15.xlsx&amp;sheet=A0&amp;row=1147&amp;col=11&amp;number=&amp;sourceID=54","")</f>
        <v/>
      </c>
      <c r="L1147" s="4" t="str">
        <f>HYPERLINK("http://141.218.60.56/~jnz1568/getInfo.php?workbook=16_15.xlsx&amp;sheet=A0&amp;row=1147&amp;col=12&amp;number=1644436419&amp;sourceID=53","1644436419")</f>
        <v>1644436419</v>
      </c>
      <c r="M1147" s="4" t="str">
        <f>HYPERLINK("http://141.218.60.56/~jnz1568/getInfo.php?workbook=16_15.xlsx&amp;sheet=A0&amp;row=1147&amp;col=13&amp;number=&amp;sourceID=53","")</f>
        <v/>
      </c>
      <c r="N1147" s="4" t="str">
        <f>HYPERLINK("http://141.218.60.56/~jnz1568/getInfo.php?workbook=16_15.xlsx&amp;sheet=A0&amp;row=1147&amp;col=14&amp;number=&amp;sourceID=53","")</f>
        <v/>
      </c>
      <c r="O1147" s="4" t="str">
        <f>HYPERLINK("http://141.218.60.56/~jnz1568/getInfo.php?workbook=16_15.xlsx&amp;sheet=A0&amp;row=1147&amp;col=15&amp;number=&amp;sourceID=55","")</f>
        <v/>
      </c>
      <c r="P1147" s="4" t="str">
        <f>HYPERLINK("http://141.218.60.56/~jnz1568/getInfo.php?workbook=16_15.xlsx&amp;sheet=A0&amp;row=1147&amp;col=16&amp;number=&amp;sourceID=55","")</f>
        <v/>
      </c>
      <c r="Q1147" s="4" t="str">
        <f>HYPERLINK("http://141.218.60.56/~jnz1568/getInfo.php?workbook=16_15.xlsx&amp;sheet=A0&amp;row=1147&amp;col=17&amp;number=&amp;sourceID=56","")</f>
        <v/>
      </c>
      <c r="R1147" s="4" t="str">
        <f>HYPERLINK("http://141.218.60.56/~jnz1568/getInfo.php?workbook=16_15.xlsx&amp;sheet=A0&amp;row=1147&amp;col=18&amp;number=&amp;sourceID=56","")</f>
        <v/>
      </c>
      <c r="S1147" s="4" t="str">
        <f>HYPERLINK("http://141.218.60.56/~jnz1568/getInfo.php?workbook=16_15.xlsx&amp;sheet=A0&amp;row=1147&amp;col=19&amp;number=&amp;sourceID=57","")</f>
        <v/>
      </c>
      <c r="T1147" s="4" t="str">
        <f>HYPERLINK("http://141.218.60.56/~jnz1568/getInfo.php?workbook=16_15.xlsx&amp;sheet=A0&amp;row=1147&amp;col=20&amp;number=&amp;sourceID=57","")</f>
        <v/>
      </c>
      <c r="U1147" s="4" t="str">
        <f>HYPERLINK("http://141.218.60.56/~jnz1568/getInfo.php?workbook=16_15.xlsx&amp;sheet=A0&amp;row=1147&amp;col=21&amp;number=&amp;sourceID=47","")</f>
        <v/>
      </c>
      <c r="V1147" s="4" t="str">
        <f>HYPERLINK("http://141.218.60.56/~jnz1568/getInfo.php?workbook=16_15.xlsx&amp;sheet=A0&amp;row=1147&amp;col=22&amp;number=&amp;sourceID=47","")</f>
        <v/>
      </c>
    </row>
    <row r="1148" spans="1:22">
      <c r="A1148" s="3">
        <v>16</v>
      </c>
      <c r="B1148" s="3">
        <v>15</v>
      </c>
      <c r="C1148" s="3">
        <v>55</v>
      </c>
      <c r="D1148" s="3">
        <v>6</v>
      </c>
      <c r="E1148" s="3">
        <f>((1/(INDEX(E0!J$4:J$73,C1148,1)-INDEX(E0!J$4:J$73,D1148,1))))*100000000</f>
        <v>0</v>
      </c>
      <c r="F1148" s="4" t="str">
        <f>HYPERLINK("http://141.218.60.56/~jnz1568/getInfo.php?workbook=16_15.xlsx&amp;sheet=A0&amp;row=1148&amp;col=6&amp;number=&amp;sourceID=54","")</f>
        <v/>
      </c>
      <c r="G1148" s="4" t="str">
        <f>HYPERLINK("http://141.218.60.56/~jnz1568/getInfo.php?workbook=16_15.xlsx&amp;sheet=A0&amp;row=1148&amp;col=7&amp;number=0.01823&amp;sourceID=54","0.01823")</f>
        <v>0.01823</v>
      </c>
      <c r="H1148" s="4" t="str">
        <f>HYPERLINK("http://141.218.60.56/~jnz1568/getInfo.php?workbook=16_15.xlsx&amp;sheet=A0&amp;row=1148&amp;col=8&amp;number=0.014781&amp;sourceID=54","0.014781")</f>
        <v>0.014781</v>
      </c>
      <c r="I1148" s="4" t="str">
        <f>HYPERLINK("http://141.218.60.56/~jnz1568/getInfo.php?workbook=16_15.xlsx&amp;sheet=A0&amp;row=1148&amp;col=9&amp;number=&amp;sourceID=54","")</f>
        <v/>
      </c>
      <c r="J1148" s="4" t="str">
        <f>HYPERLINK("http://141.218.60.56/~jnz1568/getInfo.php?workbook=16_15.xlsx&amp;sheet=A0&amp;row=1148&amp;col=10&amp;number=0.025711&amp;sourceID=54","0.025711")</f>
        <v>0.025711</v>
      </c>
      <c r="K1148" s="4" t="str">
        <f>HYPERLINK("http://141.218.60.56/~jnz1568/getInfo.php?workbook=16_15.xlsx&amp;sheet=A0&amp;row=1148&amp;col=11&amp;number=0.015316&amp;sourceID=54","0.015316")</f>
        <v>0.015316</v>
      </c>
      <c r="L1148" s="4" t="str">
        <f>HYPERLINK("http://141.218.60.56/~jnz1568/getInfo.php?workbook=16_15.xlsx&amp;sheet=A0&amp;row=1148&amp;col=12&amp;number=&amp;sourceID=53","")</f>
        <v/>
      </c>
      <c r="M1148" s="4" t="str">
        <f>HYPERLINK("http://141.218.60.56/~jnz1568/getInfo.php?workbook=16_15.xlsx&amp;sheet=A0&amp;row=1148&amp;col=13&amp;number=&amp;sourceID=53","")</f>
        <v/>
      </c>
      <c r="N1148" s="4" t="str">
        <f>HYPERLINK("http://141.218.60.56/~jnz1568/getInfo.php?workbook=16_15.xlsx&amp;sheet=A0&amp;row=1148&amp;col=14&amp;number=&amp;sourceID=53","")</f>
        <v/>
      </c>
      <c r="O1148" s="4" t="str">
        <f>HYPERLINK("http://141.218.60.56/~jnz1568/getInfo.php?workbook=16_15.xlsx&amp;sheet=A0&amp;row=1148&amp;col=15&amp;number=&amp;sourceID=55","")</f>
        <v/>
      </c>
      <c r="P1148" s="4" t="str">
        <f>HYPERLINK("http://141.218.60.56/~jnz1568/getInfo.php?workbook=16_15.xlsx&amp;sheet=A0&amp;row=1148&amp;col=16&amp;number=&amp;sourceID=55","")</f>
        <v/>
      </c>
      <c r="Q1148" s="4" t="str">
        <f>HYPERLINK("http://141.218.60.56/~jnz1568/getInfo.php?workbook=16_15.xlsx&amp;sheet=A0&amp;row=1148&amp;col=17&amp;number=&amp;sourceID=56","")</f>
        <v/>
      </c>
      <c r="R1148" s="4" t="str">
        <f>HYPERLINK("http://141.218.60.56/~jnz1568/getInfo.php?workbook=16_15.xlsx&amp;sheet=A0&amp;row=1148&amp;col=18&amp;number=&amp;sourceID=56","")</f>
        <v/>
      </c>
      <c r="S1148" s="4" t="str">
        <f>HYPERLINK("http://141.218.60.56/~jnz1568/getInfo.php?workbook=16_15.xlsx&amp;sheet=A0&amp;row=1148&amp;col=19&amp;number=&amp;sourceID=57","")</f>
        <v/>
      </c>
      <c r="T1148" s="4" t="str">
        <f>HYPERLINK("http://141.218.60.56/~jnz1568/getInfo.php?workbook=16_15.xlsx&amp;sheet=A0&amp;row=1148&amp;col=20&amp;number=&amp;sourceID=57","")</f>
        <v/>
      </c>
      <c r="U1148" s="4" t="str">
        <f>HYPERLINK("http://141.218.60.56/~jnz1568/getInfo.php?workbook=16_15.xlsx&amp;sheet=A0&amp;row=1148&amp;col=21&amp;number=&amp;sourceID=47","")</f>
        <v/>
      </c>
      <c r="V1148" s="4" t="str">
        <f>HYPERLINK("http://141.218.60.56/~jnz1568/getInfo.php?workbook=16_15.xlsx&amp;sheet=A0&amp;row=1148&amp;col=22&amp;number=&amp;sourceID=47","")</f>
        <v/>
      </c>
    </row>
    <row r="1149" spans="1:22">
      <c r="A1149" s="3">
        <v>16</v>
      </c>
      <c r="B1149" s="3">
        <v>15</v>
      </c>
      <c r="C1149" s="3">
        <v>55</v>
      </c>
      <c r="D1149" s="3">
        <v>7</v>
      </c>
      <c r="E1149" s="3">
        <f>((1/(INDEX(E0!J$4:J$73,C1149,1)-INDEX(E0!J$4:J$73,D1149,1))))*100000000</f>
        <v>0</v>
      </c>
      <c r="F1149" s="4" t="str">
        <f>HYPERLINK("http://141.218.60.56/~jnz1568/getInfo.php?workbook=16_15.xlsx&amp;sheet=A0&amp;row=1149&amp;col=6&amp;number=&amp;sourceID=54","")</f>
        <v/>
      </c>
      <c r="G1149" s="4" t="str">
        <f>HYPERLINK("http://141.218.60.56/~jnz1568/getInfo.php?workbook=16_15.xlsx&amp;sheet=A0&amp;row=1149&amp;col=7&amp;number=0.0065033&amp;sourceID=54","0.0065033")</f>
        <v>0.0065033</v>
      </c>
      <c r="H1149" s="4" t="str">
        <f>HYPERLINK("http://141.218.60.56/~jnz1568/getInfo.php?workbook=16_15.xlsx&amp;sheet=A0&amp;row=1149&amp;col=8&amp;number=0.0074837&amp;sourceID=54","0.0074837")</f>
        <v>0.0074837</v>
      </c>
      <c r="I1149" s="4" t="str">
        <f>HYPERLINK("http://141.218.60.56/~jnz1568/getInfo.php?workbook=16_15.xlsx&amp;sheet=A0&amp;row=1149&amp;col=9&amp;number=&amp;sourceID=54","")</f>
        <v/>
      </c>
      <c r="J1149" s="4" t="str">
        <f>HYPERLINK("http://141.218.60.56/~jnz1568/getInfo.php?workbook=16_15.xlsx&amp;sheet=A0&amp;row=1149&amp;col=10&amp;number=0.0039408&amp;sourceID=54","0.0039408")</f>
        <v>0.0039408</v>
      </c>
      <c r="K1149" s="4" t="str">
        <f>HYPERLINK("http://141.218.60.56/~jnz1568/getInfo.php?workbook=16_15.xlsx&amp;sheet=A0&amp;row=1149&amp;col=11&amp;number=0.010139&amp;sourceID=54","0.010139")</f>
        <v>0.010139</v>
      </c>
      <c r="L1149" s="4" t="str">
        <f>HYPERLINK("http://141.218.60.56/~jnz1568/getInfo.php?workbook=16_15.xlsx&amp;sheet=A0&amp;row=1149&amp;col=12&amp;number=&amp;sourceID=53","")</f>
        <v/>
      </c>
      <c r="M1149" s="4" t="str">
        <f>HYPERLINK("http://141.218.60.56/~jnz1568/getInfo.php?workbook=16_15.xlsx&amp;sheet=A0&amp;row=1149&amp;col=13&amp;number=&amp;sourceID=53","")</f>
        <v/>
      </c>
      <c r="N1149" s="4" t="str">
        <f>HYPERLINK("http://141.218.60.56/~jnz1568/getInfo.php?workbook=16_15.xlsx&amp;sheet=A0&amp;row=1149&amp;col=14&amp;number=&amp;sourceID=53","")</f>
        <v/>
      </c>
      <c r="O1149" s="4" t="str">
        <f>HYPERLINK("http://141.218.60.56/~jnz1568/getInfo.php?workbook=16_15.xlsx&amp;sheet=A0&amp;row=1149&amp;col=15&amp;number=&amp;sourceID=55","")</f>
        <v/>
      </c>
      <c r="P1149" s="4" t="str">
        <f>HYPERLINK("http://141.218.60.56/~jnz1568/getInfo.php?workbook=16_15.xlsx&amp;sheet=A0&amp;row=1149&amp;col=16&amp;number=&amp;sourceID=55","")</f>
        <v/>
      </c>
      <c r="Q1149" s="4" t="str">
        <f>HYPERLINK("http://141.218.60.56/~jnz1568/getInfo.php?workbook=16_15.xlsx&amp;sheet=A0&amp;row=1149&amp;col=17&amp;number=&amp;sourceID=56","")</f>
        <v/>
      </c>
      <c r="R1149" s="4" t="str">
        <f>HYPERLINK("http://141.218.60.56/~jnz1568/getInfo.php?workbook=16_15.xlsx&amp;sheet=A0&amp;row=1149&amp;col=18&amp;number=&amp;sourceID=56","")</f>
        <v/>
      </c>
      <c r="S1149" s="4" t="str">
        <f>HYPERLINK("http://141.218.60.56/~jnz1568/getInfo.php?workbook=16_15.xlsx&amp;sheet=A0&amp;row=1149&amp;col=19&amp;number=&amp;sourceID=57","")</f>
        <v/>
      </c>
      <c r="T1149" s="4" t="str">
        <f>HYPERLINK("http://141.218.60.56/~jnz1568/getInfo.php?workbook=16_15.xlsx&amp;sheet=A0&amp;row=1149&amp;col=20&amp;number=&amp;sourceID=57","")</f>
        <v/>
      </c>
      <c r="U1149" s="4" t="str">
        <f>HYPERLINK("http://141.218.60.56/~jnz1568/getInfo.php?workbook=16_15.xlsx&amp;sheet=A0&amp;row=1149&amp;col=21&amp;number=&amp;sourceID=47","")</f>
        <v/>
      </c>
      <c r="V1149" s="4" t="str">
        <f>HYPERLINK("http://141.218.60.56/~jnz1568/getInfo.php?workbook=16_15.xlsx&amp;sheet=A0&amp;row=1149&amp;col=22&amp;number=&amp;sourceID=47","")</f>
        <v/>
      </c>
    </row>
    <row r="1150" spans="1:22">
      <c r="A1150" s="3">
        <v>16</v>
      </c>
      <c r="B1150" s="3">
        <v>15</v>
      </c>
      <c r="C1150" s="3">
        <v>55</v>
      </c>
      <c r="D1150" s="3">
        <v>8</v>
      </c>
      <c r="E1150" s="3">
        <f>((1/(INDEX(E0!J$4:J$73,C1150,1)-INDEX(E0!J$4:J$73,D1150,1))))*100000000</f>
        <v>0</v>
      </c>
      <c r="F1150" s="4" t="str">
        <f>HYPERLINK("http://141.218.60.56/~jnz1568/getInfo.php?workbook=16_15.xlsx&amp;sheet=A0&amp;row=1150&amp;col=6&amp;number=&amp;sourceID=54","")</f>
        <v/>
      </c>
      <c r="G1150" s="4" t="str">
        <f>HYPERLINK("http://141.218.60.56/~jnz1568/getInfo.php?workbook=16_15.xlsx&amp;sheet=A0&amp;row=1150&amp;col=7&amp;number=0.00073461&amp;sourceID=54","0.00073461")</f>
        <v>0.00073461</v>
      </c>
      <c r="H1150" s="4" t="str">
        <f>HYPERLINK("http://141.218.60.56/~jnz1568/getInfo.php?workbook=16_15.xlsx&amp;sheet=A0&amp;row=1150&amp;col=8&amp;number=0.0047519&amp;sourceID=54","0.0047519")</f>
        <v>0.0047519</v>
      </c>
      <c r="I1150" s="4" t="str">
        <f>HYPERLINK("http://141.218.60.56/~jnz1568/getInfo.php?workbook=16_15.xlsx&amp;sheet=A0&amp;row=1150&amp;col=9&amp;number=&amp;sourceID=54","")</f>
        <v/>
      </c>
      <c r="J1150" s="4" t="str">
        <f>HYPERLINK("http://141.218.60.56/~jnz1568/getInfo.php?workbook=16_15.xlsx&amp;sheet=A0&amp;row=1150&amp;col=10&amp;number=0.0001723&amp;sourceID=54","0.0001723")</f>
        <v>0.0001723</v>
      </c>
      <c r="K1150" s="4" t="str">
        <f>HYPERLINK("http://141.218.60.56/~jnz1568/getInfo.php?workbook=16_15.xlsx&amp;sheet=A0&amp;row=1150&amp;col=11&amp;number=0.0051402&amp;sourceID=54","0.0051402")</f>
        <v>0.0051402</v>
      </c>
      <c r="L1150" s="4" t="str">
        <f>HYPERLINK("http://141.218.60.56/~jnz1568/getInfo.php?workbook=16_15.xlsx&amp;sheet=A0&amp;row=1150&amp;col=12&amp;number=&amp;sourceID=53","")</f>
        <v/>
      </c>
      <c r="M1150" s="4" t="str">
        <f>HYPERLINK("http://141.218.60.56/~jnz1568/getInfo.php?workbook=16_15.xlsx&amp;sheet=A0&amp;row=1150&amp;col=13&amp;number=&amp;sourceID=53","")</f>
        <v/>
      </c>
      <c r="N1150" s="4" t="str">
        <f>HYPERLINK("http://141.218.60.56/~jnz1568/getInfo.php?workbook=16_15.xlsx&amp;sheet=A0&amp;row=1150&amp;col=14&amp;number=&amp;sourceID=53","")</f>
        <v/>
      </c>
      <c r="O1150" s="4" t="str">
        <f>HYPERLINK("http://141.218.60.56/~jnz1568/getInfo.php?workbook=16_15.xlsx&amp;sheet=A0&amp;row=1150&amp;col=15&amp;number=&amp;sourceID=55","")</f>
        <v/>
      </c>
      <c r="P1150" s="4" t="str">
        <f>HYPERLINK("http://141.218.60.56/~jnz1568/getInfo.php?workbook=16_15.xlsx&amp;sheet=A0&amp;row=1150&amp;col=16&amp;number=&amp;sourceID=55","")</f>
        <v/>
      </c>
      <c r="Q1150" s="4" t="str">
        <f>HYPERLINK("http://141.218.60.56/~jnz1568/getInfo.php?workbook=16_15.xlsx&amp;sheet=A0&amp;row=1150&amp;col=17&amp;number=&amp;sourceID=56","")</f>
        <v/>
      </c>
      <c r="R1150" s="4" t="str">
        <f>HYPERLINK("http://141.218.60.56/~jnz1568/getInfo.php?workbook=16_15.xlsx&amp;sheet=A0&amp;row=1150&amp;col=18&amp;number=&amp;sourceID=56","")</f>
        <v/>
      </c>
      <c r="S1150" s="4" t="str">
        <f>HYPERLINK("http://141.218.60.56/~jnz1568/getInfo.php?workbook=16_15.xlsx&amp;sheet=A0&amp;row=1150&amp;col=19&amp;number=&amp;sourceID=57","")</f>
        <v/>
      </c>
      <c r="T1150" s="4" t="str">
        <f>HYPERLINK("http://141.218.60.56/~jnz1568/getInfo.php?workbook=16_15.xlsx&amp;sheet=A0&amp;row=1150&amp;col=20&amp;number=&amp;sourceID=57","")</f>
        <v/>
      </c>
      <c r="U1150" s="4" t="str">
        <f>HYPERLINK("http://141.218.60.56/~jnz1568/getInfo.php?workbook=16_15.xlsx&amp;sheet=A0&amp;row=1150&amp;col=21&amp;number=&amp;sourceID=47","")</f>
        <v/>
      </c>
      <c r="V1150" s="4" t="str">
        <f>HYPERLINK("http://141.218.60.56/~jnz1568/getInfo.php?workbook=16_15.xlsx&amp;sheet=A0&amp;row=1150&amp;col=22&amp;number=&amp;sourceID=47","")</f>
        <v/>
      </c>
    </row>
    <row r="1151" spans="1:22">
      <c r="A1151" s="3">
        <v>16</v>
      </c>
      <c r="B1151" s="3">
        <v>15</v>
      </c>
      <c r="C1151" s="3">
        <v>55</v>
      </c>
      <c r="D1151" s="3">
        <v>9</v>
      </c>
      <c r="E1151" s="3">
        <f>((1/(INDEX(E0!J$4:J$73,C1151,1)-INDEX(E0!J$4:J$73,D1151,1))))*100000000</f>
        <v>0</v>
      </c>
      <c r="F1151" s="4" t="str">
        <f>HYPERLINK("http://141.218.60.56/~jnz1568/getInfo.php?workbook=16_15.xlsx&amp;sheet=A0&amp;row=1151&amp;col=6&amp;number=&amp;sourceID=54","")</f>
        <v/>
      </c>
      <c r="G1151" s="4" t="str">
        <f>HYPERLINK("http://141.218.60.56/~jnz1568/getInfo.php?workbook=16_15.xlsx&amp;sheet=A0&amp;row=1151&amp;col=7&amp;number=4.9446&amp;sourceID=54","4.9446")</f>
        <v>4.9446</v>
      </c>
      <c r="H1151" s="4" t="str">
        <f>HYPERLINK("http://141.218.60.56/~jnz1568/getInfo.php?workbook=16_15.xlsx&amp;sheet=A0&amp;row=1151&amp;col=8&amp;number=0.0042683&amp;sourceID=54","0.0042683")</f>
        <v>0.0042683</v>
      </c>
      <c r="I1151" s="4" t="str">
        <f>HYPERLINK("http://141.218.60.56/~jnz1568/getInfo.php?workbook=16_15.xlsx&amp;sheet=A0&amp;row=1151&amp;col=9&amp;number=&amp;sourceID=54","")</f>
        <v/>
      </c>
      <c r="J1151" s="4" t="str">
        <f>HYPERLINK("http://141.218.60.56/~jnz1568/getInfo.php?workbook=16_15.xlsx&amp;sheet=A0&amp;row=1151&amp;col=10&amp;number=4.316&amp;sourceID=54","4.316")</f>
        <v>4.316</v>
      </c>
      <c r="K1151" s="4" t="str">
        <f>HYPERLINK("http://141.218.60.56/~jnz1568/getInfo.php?workbook=16_15.xlsx&amp;sheet=A0&amp;row=1151&amp;col=11&amp;number=0.0037056&amp;sourceID=54","0.0037056")</f>
        <v>0.0037056</v>
      </c>
      <c r="L1151" s="4" t="str">
        <f>HYPERLINK("http://141.218.60.56/~jnz1568/getInfo.php?workbook=16_15.xlsx&amp;sheet=A0&amp;row=1151&amp;col=12&amp;number=&amp;sourceID=53","")</f>
        <v/>
      </c>
      <c r="M1151" s="4" t="str">
        <f>HYPERLINK("http://141.218.60.56/~jnz1568/getInfo.php?workbook=16_15.xlsx&amp;sheet=A0&amp;row=1151&amp;col=13&amp;number=&amp;sourceID=53","")</f>
        <v/>
      </c>
      <c r="N1151" s="4" t="str">
        <f>HYPERLINK("http://141.218.60.56/~jnz1568/getInfo.php?workbook=16_15.xlsx&amp;sheet=A0&amp;row=1151&amp;col=14&amp;number=&amp;sourceID=53","")</f>
        <v/>
      </c>
      <c r="O1151" s="4" t="str">
        <f>HYPERLINK("http://141.218.60.56/~jnz1568/getInfo.php?workbook=16_15.xlsx&amp;sheet=A0&amp;row=1151&amp;col=15&amp;number=&amp;sourceID=55","")</f>
        <v/>
      </c>
      <c r="P1151" s="4" t="str">
        <f>HYPERLINK("http://141.218.60.56/~jnz1568/getInfo.php?workbook=16_15.xlsx&amp;sheet=A0&amp;row=1151&amp;col=16&amp;number=&amp;sourceID=55","")</f>
        <v/>
      </c>
      <c r="Q1151" s="4" t="str">
        <f>HYPERLINK("http://141.218.60.56/~jnz1568/getInfo.php?workbook=16_15.xlsx&amp;sheet=A0&amp;row=1151&amp;col=17&amp;number=&amp;sourceID=56","")</f>
        <v/>
      </c>
      <c r="R1151" s="4" t="str">
        <f>HYPERLINK("http://141.218.60.56/~jnz1568/getInfo.php?workbook=16_15.xlsx&amp;sheet=A0&amp;row=1151&amp;col=18&amp;number=&amp;sourceID=56","")</f>
        <v/>
      </c>
      <c r="S1151" s="4" t="str">
        <f>HYPERLINK("http://141.218.60.56/~jnz1568/getInfo.php?workbook=16_15.xlsx&amp;sheet=A0&amp;row=1151&amp;col=19&amp;number=&amp;sourceID=57","")</f>
        <v/>
      </c>
      <c r="T1151" s="4" t="str">
        <f>HYPERLINK("http://141.218.60.56/~jnz1568/getInfo.php?workbook=16_15.xlsx&amp;sheet=A0&amp;row=1151&amp;col=20&amp;number=&amp;sourceID=57","")</f>
        <v/>
      </c>
      <c r="U1151" s="4" t="str">
        <f>HYPERLINK("http://141.218.60.56/~jnz1568/getInfo.php?workbook=16_15.xlsx&amp;sheet=A0&amp;row=1151&amp;col=21&amp;number=&amp;sourceID=47","")</f>
        <v/>
      </c>
      <c r="V1151" s="4" t="str">
        <f>HYPERLINK("http://141.218.60.56/~jnz1568/getInfo.php?workbook=16_15.xlsx&amp;sheet=A0&amp;row=1151&amp;col=22&amp;number=&amp;sourceID=47","")</f>
        <v/>
      </c>
    </row>
    <row r="1152" spans="1:22">
      <c r="A1152" s="3">
        <v>16</v>
      </c>
      <c r="B1152" s="3">
        <v>15</v>
      </c>
      <c r="C1152" s="3">
        <v>55</v>
      </c>
      <c r="D1152" s="3">
        <v>10</v>
      </c>
      <c r="E1152" s="3">
        <f>((1/(INDEX(E0!J$4:J$73,C1152,1)-INDEX(E0!J$4:J$73,D1152,1))))*100000000</f>
        <v>0</v>
      </c>
      <c r="F1152" s="4" t="str">
        <f>HYPERLINK("http://141.218.60.56/~jnz1568/getInfo.php?workbook=16_15.xlsx&amp;sheet=A0&amp;row=1152&amp;col=6&amp;number=&amp;sourceID=54","")</f>
        <v/>
      </c>
      <c r="G1152" s="4" t="str">
        <f>HYPERLINK("http://141.218.60.56/~jnz1568/getInfo.php?workbook=16_15.xlsx&amp;sheet=A0&amp;row=1152&amp;col=7&amp;number=12.841&amp;sourceID=54","12.841")</f>
        <v>12.841</v>
      </c>
      <c r="H1152" s="4" t="str">
        <f>HYPERLINK("http://141.218.60.56/~jnz1568/getInfo.php?workbook=16_15.xlsx&amp;sheet=A0&amp;row=1152&amp;col=8&amp;number=0.0044082&amp;sourceID=54","0.0044082")</f>
        <v>0.0044082</v>
      </c>
      <c r="I1152" s="4" t="str">
        <f>HYPERLINK("http://141.218.60.56/~jnz1568/getInfo.php?workbook=16_15.xlsx&amp;sheet=A0&amp;row=1152&amp;col=9&amp;number=&amp;sourceID=54","")</f>
        <v/>
      </c>
      <c r="J1152" s="4" t="str">
        <f>HYPERLINK("http://141.218.60.56/~jnz1568/getInfo.php?workbook=16_15.xlsx&amp;sheet=A0&amp;row=1152&amp;col=10&amp;number=11.445&amp;sourceID=54","11.445")</f>
        <v>11.445</v>
      </c>
      <c r="K1152" s="4" t="str">
        <f>HYPERLINK("http://141.218.60.56/~jnz1568/getInfo.php?workbook=16_15.xlsx&amp;sheet=A0&amp;row=1152&amp;col=11&amp;number=0.0043394&amp;sourceID=54","0.0043394")</f>
        <v>0.0043394</v>
      </c>
      <c r="L1152" s="4" t="str">
        <f>HYPERLINK("http://141.218.60.56/~jnz1568/getInfo.php?workbook=16_15.xlsx&amp;sheet=A0&amp;row=1152&amp;col=12&amp;number=&amp;sourceID=53","")</f>
        <v/>
      </c>
      <c r="M1152" s="4" t="str">
        <f>HYPERLINK("http://141.218.60.56/~jnz1568/getInfo.php?workbook=16_15.xlsx&amp;sheet=A0&amp;row=1152&amp;col=13&amp;number=&amp;sourceID=53","")</f>
        <v/>
      </c>
      <c r="N1152" s="4" t="str">
        <f>HYPERLINK("http://141.218.60.56/~jnz1568/getInfo.php?workbook=16_15.xlsx&amp;sheet=A0&amp;row=1152&amp;col=14&amp;number=&amp;sourceID=53","")</f>
        <v/>
      </c>
      <c r="O1152" s="4" t="str">
        <f>HYPERLINK("http://141.218.60.56/~jnz1568/getInfo.php?workbook=16_15.xlsx&amp;sheet=A0&amp;row=1152&amp;col=15&amp;number=&amp;sourceID=55","")</f>
        <v/>
      </c>
      <c r="P1152" s="4" t="str">
        <f>HYPERLINK("http://141.218.60.56/~jnz1568/getInfo.php?workbook=16_15.xlsx&amp;sheet=A0&amp;row=1152&amp;col=16&amp;number=&amp;sourceID=55","")</f>
        <v/>
      </c>
      <c r="Q1152" s="4" t="str">
        <f>HYPERLINK("http://141.218.60.56/~jnz1568/getInfo.php?workbook=16_15.xlsx&amp;sheet=A0&amp;row=1152&amp;col=17&amp;number=&amp;sourceID=56","")</f>
        <v/>
      </c>
      <c r="R1152" s="4" t="str">
        <f>HYPERLINK("http://141.218.60.56/~jnz1568/getInfo.php?workbook=16_15.xlsx&amp;sheet=A0&amp;row=1152&amp;col=18&amp;number=&amp;sourceID=56","")</f>
        <v/>
      </c>
      <c r="S1152" s="4" t="str">
        <f>HYPERLINK("http://141.218.60.56/~jnz1568/getInfo.php?workbook=16_15.xlsx&amp;sheet=A0&amp;row=1152&amp;col=19&amp;number=&amp;sourceID=57","")</f>
        <v/>
      </c>
      <c r="T1152" s="4" t="str">
        <f>HYPERLINK("http://141.218.60.56/~jnz1568/getInfo.php?workbook=16_15.xlsx&amp;sheet=A0&amp;row=1152&amp;col=20&amp;number=&amp;sourceID=57","")</f>
        <v/>
      </c>
      <c r="U1152" s="4" t="str">
        <f>HYPERLINK("http://141.218.60.56/~jnz1568/getInfo.php?workbook=16_15.xlsx&amp;sheet=A0&amp;row=1152&amp;col=21&amp;number=&amp;sourceID=47","")</f>
        <v/>
      </c>
      <c r="V1152" s="4" t="str">
        <f>HYPERLINK("http://141.218.60.56/~jnz1568/getInfo.php?workbook=16_15.xlsx&amp;sheet=A0&amp;row=1152&amp;col=22&amp;number=&amp;sourceID=47","")</f>
        <v/>
      </c>
    </row>
    <row r="1153" spans="1:22">
      <c r="A1153" s="3">
        <v>16</v>
      </c>
      <c r="B1153" s="3">
        <v>15</v>
      </c>
      <c r="C1153" s="3">
        <v>55</v>
      </c>
      <c r="D1153" s="3">
        <v>11</v>
      </c>
      <c r="E1153" s="3">
        <f>((1/(INDEX(E0!J$4:J$73,C1153,1)-INDEX(E0!J$4:J$73,D1153,1))))*100000000</f>
        <v>0</v>
      </c>
      <c r="F1153" s="4" t="str">
        <f>HYPERLINK("http://141.218.60.56/~jnz1568/getInfo.php?workbook=16_15.xlsx&amp;sheet=A0&amp;row=1153&amp;col=6&amp;number=&amp;sourceID=54","")</f>
        <v/>
      </c>
      <c r="G1153" s="4" t="str">
        <f>HYPERLINK("http://141.218.60.56/~jnz1568/getInfo.php?workbook=16_15.xlsx&amp;sheet=A0&amp;row=1153&amp;col=7&amp;number=14.008&amp;sourceID=54","14.008")</f>
        <v>14.008</v>
      </c>
      <c r="H1153" s="4" t="str">
        <f>HYPERLINK("http://141.218.60.56/~jnz1568/getInfo.php?workbook=16_15.xlsx&amp;sheet=A0&amp;row=1153&amp;col=8&amp;number=2.1833e-05&amp;sourceID=54","2.1833e-05")</f>
        <v>2.1833e-05</v>
      </c>
      <c r="I1153" s="4" t="str">
        <f>HYPERLINK("http://141.218.60.56/~jnz1568/getInfo.php?workbook=16_15.xlsx&amp;sheet=A0&amp;row=1153&amp;col=9&amp;number=&amp;sourceID=54","")</f>
        <v/>
      </c>
      <c r="J1153" s="4" t="str">
        <f>HYPERLINK("http://141.218.60.56/~jnz1568/getInfo.php?workbook=16_15.xlsx&amp;sheet=A0&amp;row=1153&amp;col=10&amp;number=12.822&amp;sourceID=54","12.822")</f>
        <v>12.822</v>
      </c>
      <c r="K1153" s="4" t="str">
        <f>HYPERLINK("http://141.218.60.56/~jnz1568/getInfo.php?workbook=16_15.xlsx&amp;sheet=A0&amp;row=1153&amp;col=11&amp;number=1.8322e-05&amp;sourceID=54","1.8322e-05")</f>
        <v>1.8322e-05</v>
      </c>
      <c r="L1153" s="4" t="str">
        <f>HYPERLINK("http://141.218.60.56/~jnz1568/getInfo.php?workbook=16_15.xlsx&amp;sheet=A0&amp;row=1153&amp;col=12&amp;number=&amp;sourceID=53","")</f>
        <v/>
      </c>
      <c r="M1153" s="4" t="str">
        <f>HYPERLINK("http://141.218.60.56/~jnz1568/getInfo.php?workbook=16_15.xlsx&amp;sheet=A0&amp;row=1153&amp;col=13&amp;number=&amp;sourceID=53","")</f>
        <v/>
      </c>
      <c r="N1153" s="4" t="str">
        <f>HYPERLINK("http://141.218.60.56/~jnz1568/getInfo.php?workbook=16_15.xlsx&amp;sheet=A0&amp;row=1153&amp;col=14&amp;number=&amp;sourceID=53","")</f>
        <v/>
      </c>
      <c r="O1153" s="4" t="str">
        <f>HYPERLINK("http://141.218.60.56/~jnz1568/getInfo.php?workbook=16_15.xlsx&amp;sheet=A0&amp;row=1153&amp;col=15&amp;number=&amp;sourceID=55","")</f>
        <v/>
      </c>
      <c r="P1153" s="4" t="str">
        <f>HYPERLINK("http://141.218.60.56/~jnz1568/getInfo.php?workbook=16_15.xlsx&amp;sheet=A0&amp;row=1153&amp;col=16&amp;number=&amp;sourceID=55","")</f>
        <v/>
      </c>
      <c r="Q1153" s="4" t="str">
        <f>HYPERLINK("http://141.218.60.56/~jnz1568/getInfo.php?workbook=16_15.xlsx&amp;sheet=A0&amp;row=1153&amp;col=17&amp;number=&amp;sourceID=56","")</f>
        <v/>
      </c>
      <c r="R1153" s="4" t="str">
        <f>HYPERLINK("http://141.218.60.56/~jnz1568/getInfo.php?workbook=16_15.xlsx&amp;sheet=A0&amp;row=1153&amp;col=18&amp;number=&amp;sourceID=56","")</f>
        <v/>
      </c>
      <c r="S1153" s="4" t="str">
        <f>HYPERLINK("http://141.218.60.56/~jnz1568/getInfo.php?workbook=16_15.xlsx&amp;sheet=A0&amp;row=1153&amp;col=19&amp;number=&amp;sourceID=57","")</f>
        <v/>
      </c>
      <c r="T1153" s="4" t="str">
        <f>HYPERLINK("http://141.218.60.56/~jnz1568/getInfo.php?workbook=16_15.xlsx&amp;sheet=A0&amp;row=1153&amp;col=20&amp;number=&amp;sourceID=57","")</f>
        <v/>
      </c>
      <c r="U1153" s="4" t="str">
        <f>HYPERLINK("http://141.218.60.56/~jnz1568/getInfo.php?workbook=16_15.xlsx&amp;sheet=A0&amp;row=1153&amp;col=21&amp;number=&amp;sourceID=47","")</f>
        <v/>
      </c>
      <c r="V1153" s="4" t="str">
        <f>HYPERLINK("http://141.218.60.56/~jnz1568/getInfo.php?workbook=16_15.xlsx&amp;sheet=A0&amp;row=1153&amp;col=22&amp;number=&amp;sourceID=47","")</f>
        <v/>
      </c>
    </row>
    <row r="1154" spans="1:22">
      <c r="A1154" s="3">
        <v>16</v>
      </c>
      <c r="B1154" s="3">
        <v>15</v>
      </c>
      <c r="C1154" s="3">
        <v>55</v>
      </c>
      <c r="D1154" s="3">
        <v>12</v>
      </c>
      <c r="E1154" s="3">
        <f>((1/(INDEX(E0!J$4:J$73,C1154,1)-INDEX(E0!J$4:J$73,D1154,1))))*100000000</f>
        <v>0</v>
      </c>
      <c r="F1154" s="4" t="str">
        <f>HYPERLINK("http://141.218.60.56/~jnz1568/getInfo.php?workbook=16_15.xlsx&amp;sheet=A0&amp;row=1154&amp;col=6&amp;number=&amp;sourceID=54","")</f>
        <v/>
      </c>
      <c r="G1154" s="4" t="str">
        <f>HYPERLINK("http://141.218.60.56/~jnz1568/getInfo.php?workbook=16_15.xlsx&amp;sheet=A0&amp;row=1154&amp;col=7&amp;number=14.012&amp;sourceID=54","14.012")</f>
        <v>14.012</v>
      </c>
      <c r="H1154" s="4" t="str">
        <f>HYPERLINK("http://141.218.60.56/~jnz1568/getInfo.php?workbook=16_15.xlsx&amp;sheet=A0&amp;row=1154&amp;col=8&amp;number=0.009921&amp;sourceID=54","0.009921")</f>
        <v>0.009921</v>
      </c>
      <c r="I1154" s="4" t="str">
        <f>HYPERLINK("http://141.218.60.56/~jnz1568/getInfo.php?workbook=16_15.xlsx&amp;sheet=A0&amp;row=1154&amp;col=9&amp;number=&amp;sourceID=54","")</f>
        <v/>
      </c>
      <c r="J1154" s="4" t="str">
        <f>HYPERLINK("http://141.218.60.56/~jnz1568/getInfo.php?workbook=16_15.xlsx&amp;sheet=A0&amp;row=1154&amp;col=10&amp;number=12.786&amp;sourceID=54","12.786")</f>
        <v>12.786</v>
      </c>
      <c r="K1154" s="4" t="str">
        <f>HYPERLINK("http://141.218.60.56/~jnz1568/getInfo.php?workbook=16_15.xlsx&amp;sheet=A0&amp;row=1154&amp;col=11&amp;number=0.0091822&amp;sourceID=54","0.0091822")</f>
        <v>0.0091822</v>
      </c>
      <c r="L1154" s="4" t="str">
        <f>HYPERLINK("http://141.218.60.56/~jnz1568/getInfo.php?workbook=16_15.xlsx&amp;sheet=A0&amp;row=1154&amp;col=12&amp;number=&amp;sourceID=53","")</f>
        <v/>
      </c>
      <c r="M1154" s="4" t="str">
        <f>HYPERLINK("http://141.218.60.56/~jnz1568/getInfo.php?workbook=16_15.xlsx&amp;sheet=A0&amp;row=1154&amp;col=13&amp;number=&amp;sourceID=53","")</f>
        <v/>
      </c>
      <c r="N1154" s="4" t="str">
        <f>HYPERLINK("http://141.218.60.56/~jnz1568/getInfo.php?workbook=16_15.xlsx&amp;sheet=A0&amp;row=1154&amp;col=14&amp;number=&amp;sourceID=53","")</f>
        <v/>
      </c>
      <c r="O1154" s="4" t="str">
        <f>HYPERLINK("http://141.218.60.56/~jnz1568/getInfo.php?workbook=16_15.xlsx&amp;sheet=A0&amp;row=1154&amp;col=15&amp;number=&amp;sourceID=55","")</f>
        <v/>
      </c>
      <c r="P1154" s="4" t="str">
        <f>HYPERLINK("http://141.218.60.56/~jnz1568/getInfo.php?workbook=16_15.xlsx&amp;sheet=A0&amp;row=1154&amp;col=16&amp;number=&amp;sourceID=55","")</f>
        <v/>
      </c>
      <c r="Q1154" s="4" t="str">
        <f>HYPERLINK("http://141.218.60.56/~jnz1568/getInfo.php?workbook=16_15.xlsx&amp;sheet=A0&amp;row=1154&amp;col=17&amp;number=&amp;sourceID=56","")</f>
        <v/>
      </c>
      <c r="R1154" s="4" t="str">
        <f>HYPERLINK("http://141.218.60.56/~jnz1568/getInfo.php?workbook=16_15.xlsx&amp;sheet=A0&amp;row=1154&amp;col=18&amp;number=&amp;sourceID=56","")</f>
        <v/>
      </c>
      <c r="S1154" s="4" t="str">
        <f>HYPERLINK("http://141.218.60.56/~jnz1568/getInfo.php?workbook=16_15.xlsx&amp;sheet=A0&amp;row=1154&amp;col=19&amp;number=&amp;sourceID=57","")</f>
        <v/>
      </c>
      <c r="T1154" s="4" t="str">
        <f>HYPERLINK("http://141.218.60.56/~jnz1568/getInfo.php?workbook=16_15.xlsx&amp;sheet=A0&amp;row=1154&amp;col=20&amp;number=&amp;sourceID=57","")</f>
        <v/>
      </c>
      <c r="U1154" s="4" t="str">
        <f>HYPERLINK("http://141.218.60.56/~jnz1568/getInfo.php?workbook=16_15.xlsx&amp;sheet=A0&amp;row=1154&amp;col=21&amp;number=&amp;sourceID=47","")</f>
        <v/>
      </c>
      <c r="V1154" s="4" t="str">
        <f>HYPERLINK("http://141.218.60.56/~jnz1568/getInfo.php?workbook=16_15.xlsx&amp;sheet=A0&amp;row=1154&amp;col=22&amp;number=&amp;sourceID=47","")</f>
        <v/>
      </c>
    </row>
    <row r="1155" spans="1:22">
      <c r="A1155" s="3">
        <v>16</v>
      </c>
      <c r="B1155" s="3">
        <v>15</v>
      </c>
      <c r="C1155" s="3">
        <v>55</v>
      </c>
      <c r="D1155" s="3">
        <v>13</v>
      </c>
      <c r="E1155" s="3">
        <f>((1/(INDEX(E0!J$4:J$73,C1155,1)-INDEX(E0!J$4:J$73,D1155,1))))*100000000</f>
        <v>0</v>
      </c>
      <c r="F1155" s="4" t="str">
        <f>HYPERLINK("http://141.218.60.56/~jnz1568/getInfo.php?workbook=16_15.xlsx&amp;sheet=A0&amp;row=1155&amp;col=6&amp;number=&amp;sourceID=54","")</f>
        <v/>
      </c>
      <c r="G1155" s="4" t="str">
        <f>HYPERLINK("http://141.218.60.56/~jnz1568/getInfo.php?workbook=16_15.xlsx&amp;sheet=A0&amp;row=1155&amp;col=7&amp;number=0.0011533&amp;sourceID=54","0.0011533")</f>
        <v>0.0011533</v>
      </c>
      <c r="H1155" s="4" t="str">
        <f>HYPERLINK("http://141.218.60.56/~jnz1568/getInfo.php?workbook=16_15.xlsx&amp;sheet=A0&amp;row=1155&amp;col=8&amp;number=0.00016285&amp;sourceID=54","0.00016285")</f>
        <v>0.00016285</v>
      </c>
      <c r="I1155" s="4" t="str">
        <f>HYPERLINK("http://141.218.60.56/~jnz1568/getInfo.php?workbook=16_15.xlsx&amp;sheet=A0&amp;row=1155&amp;col=9&amp;number=&amp;sourceID=54","")</f>
        <v/>
      </c>
      <c r="J1155" s="4" t="str">
        <f>HYPERLINK("http://141.218.60.56/~jnz1568/getInfo.php?workbook=16_15.xlsx&amp;sheet=A0&amp;row=1155&amp;col=10&amp;number=0.0046166&amp;sourceID=54","0.0046166")</f>
        <v>0.0046166</v>
      </c>
      <c r="K1155" s="4" t="str">
        <f>HYPERLINK("http://141.218.60.56/~jnz1568/getInfo.php?workbook=16_15.xlsx&amp;sheet=A0&amp;row=1155&amp;col=11&amp;number=0.00014197&amp;sourceID=54","0.00014197")</f>
        <v>0.00014197</v>
      </c>
      <c r="L1155" s="4" t="str">
        <f>HYPERLINK("http://141.218.60.56/~jnz1568/getInfo.php?workbook=16_15.xlsx&amp;sheet=A0&amp;row=1155&amp;col=12&amp;number=&amp;sourceID=53","")</f>
        <v/>
      </c>
      <c r="M1155" s="4" t="str">
        <f>HYPERLINK("http://141.218.60.56/~jnz1568/getInfo.php?workbook=16_15.xlsx&amp;sheet=A0&amp;row=1155&amp;col=13&amp;number=&amp;sourceID=53","")</f>
        <v/>
      </c>
      <c r="N1155" s="4" t="str">
        <f>HYPERLINK("http://141.218.60.56/~jnz1568/getInfo.php?workbook=16_15.xlsx&amp;sheet=A0&amp;row=1155&amp;col=14&amp;number=&amp;sourceID=53","")</f>
        <v/>
      </c>
      <c r="O1155" s="4" t="str">
        <f>HYPERLINK("http://141.218.60.56/~jnz1568/getInfo.php?workbook=16_15.xlsx&amp;sheet=A0&amp;row=1155&amp;col=15&amp;number=&amp;sourceID=55","")</f>
        <v/>
      </c>
      <c r="P1155" s="4" t="str">
        <f>HYPERLINK("http://141.218.60.56/~jnz1568/getInfo.php?workbook=16_15.xlsx&amp;sheet=A0&amp;row=1155&amp;col=16&amp;number=&amp;sourceID=55","")</f>
        <v/>
      </c>
      <c r="Q1155" s="4" t="str">
        <f>HYPERLINK("http://141.218.60.56/~jnz1568/getInfo.php?workbook=16_15.xlsx&amp;sheet=A0&amp;row=1155&amp;col=17&amp;number=&amp;sourceID=56","")</f>
        <v/>
      </c>
      <c r="R1155" s="4" t="str">
        <f>HYPERLINK("http://141.218.60.56/~jnz1568/getInfo.php?workbook=16_15.xlsx&amp;sheet=A0&amp;row=1155&amp;col=18&amp;number=&amp;sourceID=56","")</f>
        <v/>
      </c>
      <c r="S1155" s="4" t="str">
        <f>HYPERLINK("http://141.218.60.56/~jnz1568/getInfo.php?workbook=16_15.xlsx&amp;sheet=A0&amp;row=1155&amp;col=19&amp;number=&amp;sourceID=57","")</f>
        <v/>
      </c>
      <c r="T1155" s="4" t="str">
        <f>HYPERLINK("http://141.218.60.56/~jnz1568/getInfo.php?workbook=16_15.xlsx&amp;sheet=A0&amp;row=1155&amp;col=20&amp;number=&amp;sourceID=57","")</f>
        <v/>
      </c>
      <c r="U1155" s="4" t="str">
        <f>HYPERLINK("http://141.218.60.56/~jnz1568/getInfo.php?workbook=16_15.xlsx&amp;sheet=A0&amp;row=1155&amp;col=21&amp;number=&amp;sourceID=47","")</f>
        <v/>
      </c>
      <c r="V1155" s="4" t="str">
        <f>HYPERLINK("http://141.218.60.56/~jnz1568/getInfo.php?workbook=16_15.xlsx&amp;sheet=A0&amp;row=1155&amp;col=22&amp;number=&amp;sourceID=47","")</f>
        <v/>
      </c>
    </row>
    <row r="1156" spans="1:22">
      <c r="A1156" s="3">
        <v>16</v>
      </c>
      <c r="B1156" s="3">
        <v>15</v>
      </c>
      <c r="C1156" s="3">
        <v>55</v>
      </c>
      <c r="D1156" s="3">
        <v>14</v>
      </c>
      <c r="E1156" s="3">
        <f>((1/(INDEX(E0!J$4:J$73,C1156,1)-INDEX(E0!J$4:J$73,D1156,1))))*100000000</f>
        <v>0</v>
      </c>
      <c r="F1156" s="4" t="str">
        <f>HYPERLINK("http://141.218.60.56/~jnz1568/getInfo.php?workbook=16_15.xlsx&amp;sheet=A0&amp;row=1156&amp;col=6&amp;number=&amp;sourceID=54","")</f>
        <v/>
      </c>
      <c r="G1156" s="4" t="str">
        <f>HYPERLINK("http://141.218.60.56/~jnz1568/getInfo.php?workbook=16_15.xlsx&amp;sheet=A0&amp;row=1156&amp;col=7&amp;number=6.3333e-05&amp;sourceID=54","6.3333e-05")</f>
        <v>6.3333e-05</v>
      </c>
      <c r="H1156" s="4" t="str">
        <f>HYPERLINK("http://141.218.60.56/~jnz1568/getInfo.php?workbook=16_15.xlsx&amp;sheet=A0&amp;row=1156&amp;col=8&amp;number=0.00040081&amp;sourceID=54","0.00040081")</f>
        <v>0.00040081</v>
      </c>
      <c r="I1156" s="4" t="str">
        <f>HYPERLINK("http://141.218.60.56/~jnz1568/getInfo.php?workbook=16_15.xlsx&amp;sheet=A0&amp;row=1156&amp;col=9&amp;number=&amp;sourceID=54","")</f>
        <v/>
      </c>
      <c r="J1156" s="4" t="str">
        <f>HYPERLINK("http://141.218.60.56/~jnz1568/getInfo.php?workbook=16_15.xlsx&amp;sheet=A0&amp;row=1156&amp;col=10&amp;number=0.0066125&amp;sourceID=54","0.0066125")</f>
        <v>0.0066125</v>
      </c>
      <c r="K1156" s="4" t="str">
        <f>HYPERLINK("http://141.218.60.56/~jnz1568/getInfo.php?workbook=16_15.xlsx&amp;sheet=A0&amp;row=1156&amp;col=11&amp;number=0.00032566&amp;sourceID=54","0.00032566")</f>
        <v>0.00032566</v>
      </c>
      <c r="L1156" s="4" t="str">
        <f>HYPERLINK("http://141.218.60.56/~jnz1568/getInfo.php?workbook=16_15.xlsx&amp;sheet=A0&amp;row=1156&amp;col=12&amp;number=&amp;sourceID=53","")</f>
        <v/>
      </c>
      <c r="M1156" s="4" t="str">
        <f>HYPERLINK("http://141.218.60.56/~jnz1568/getInfo.php?workbook=16_15.xlsx&amp;sheet=A0&amp;row=1156&amp;col=13&amp;number=&amp;sourceID=53","")</f>
        <v/>
      </c>
      <c r="N1156" s="4" t="str">
        <f>HYPERLINK("http://141.218.60.56/~jnz1568/getInfo.php?workbook=16_15.xlsx&amp;sheet=A0&amp;row=1156&amp;col=14&amp;number=&amp;sourceID=53","")</f>
        <v/>
      </c>
      <c r="O1156" s="4" t="str">
        <f>HYPERLINK("http://141.218.60.56/~jnz1568/getInfo.php?workbook=16_15.xlsx&amp;sheet=A0&amp;row=1156&amp;col=15&amp;number=&amp;sourceID=55","")</f>
        <v/>
      </c>
      <c r="P1156" s="4" t="str">
        <f>HYPERLINK("http://141.218.60.56/~jnz1568/getInfo.php?workbook=16_15.xlsx&amp;sheet=A0&amp;row=1156&amp;col=16&amp;number=&amp;sourceID=55","")</f>
        <v/>
      </c>
      <c r="Q1156" s="4" t="str">
        <f>HYPERLINK("http://141.218.60.56/~jnz1568/getInfo.php?workbook=16_15.xlsx&amp;sheet=A0&amp;row=1156&amp;col=17&amp;number=&amp;sourceID=56","")</f>
        <v/>
      </c>
      <c r="R1156" s="4" t="str">
        <f>HYPERLINK("http://141.218.60.56/~jnz1568/getInfo.php?workbook=16_15.xlsx&amp;sheet=A0&amp;row=1156&amp;col=18&amp;number=&amp;sourceID=56","")</f>
        <v/>
      </c>
      <c r="S1156" s="4" t="str">
        <f>HYPERLINK("http://141.218.60.56/~jnz1568/getInfo.php?workbook=16_15.xlsx&amp;sheet=A0&amp;row=1156&amp;col=19&amp;number=&amp;sourceID=57","")</f>
        <v/>
      </c>
      <c r="T1156" s="4" t="str">
        <f>HYPERLINK("http://141.218.60.56/~jnz1568/getInfo.php?workbook=16_15.xlsx&amp;sheet=A0&amp;row=1156&amp;col=20&amp;number=&amp;sourceID=57","")</f>
        <v/>
      </c>
      <c r="U1156" s="4" t="str">
        <f>HYPERLINK("http://141.218.60.56/~jnz1568/getInfo.php?workbook=16_15.xlsx&amp;sheet=A0&amp;row=1156&amp;col=21&amp;number=&amp;sourceID=47","")</f>
        <v/>
      </c>
      <c r="V1156" s="4" t="str">
        <f>HYPERLINK("http://141.218.60.56/~jnz1568/getInfo.php?workbook=16_15.xlsx&amp;sheet=A0&amp;row=1156&amp;col=22&amp;number=&amp;sourceID=47","")</f>
        <v/>
      </c>
    </row>
    <row r="1157" spans="1:22">
      <c r="A1157" s="3">
        <v>16</v>
      </c>
      <c r="B1157" s="3">
        <v>15</v>
      </c>
      <c r="C1157" s="3">
        <v>55</v>
      </c>
      <c r="D1157" s="3">
        <v>15</v>
      </c>
      <c r="E1157" s="3">
        <f>((1/(INDEX(E0!J$4:J$73,C1157,1)-INDEX(E0!J$4:J$73,D1157,1))))*100000000</f>
        <v>0</v>
      </c>
      <c r="F1157" s="4" t="str">
        <f>HYPERLINK("http://141.218.60.56/~jnz1568/getInfo.php?workbook=16_15.xlsx&amp;sheet=A0&amp;row=1157&amp;col=6&amp;number=&amp;sourceID=54","")</f>
        <v/>
      </c>
      <c r="G1157" s="4" t="str">
        <f>HYPERLINK("http://141.218.60.56/~jnz1568/getInfo.php?workbook=16_15.xlsx&amp;sheet=A0&amp;row=1157&amp;col=7&amp;number=5.849e-05&amp;sourceID=54","5.849e-05")</f>
        <v>5.849e-05</v>
      </c>
      <c r="H1157" s="4" t="str">
        <f>HYPERLINK("http://141.218.60.56/~jnz1568/getInfo.php?workbook=16_15.xlsx&amp;sheet=A0&amp;row=1157&amp;col=8&amp;number=2.2762e-05&amp;sourceID=54","2.2762e-05")</f>
        <v>2.2762e-05</v>
      </c>
      <c r="I1157" s="4" t="str">
        <f>HYPERLINK("http://141.218.60.56/~jnz1568/getInfo.php?workbook=16_15.xlsx&amp;sheet=A0&amp;row=1157&amp;col=9&amp;number=&amp;sourceID=54","")</f>
        <v/>
      </c>
      <c r="J1157" s="4" t="str">
        <f>HYPERLINK("http://141.218.60.56/~jnz1568/getInfo.php?workbook=16_15.xlsx&amp;sheet=A0&amp;row=1157&amp;col=10&amp;number=0.000496&amp;sourceID=54","0.000496")</f>
        <v>0.000496</v>
      </c>
      <c r="K1157" s="4" t="str">
        <f>HYPERLINK("http://141.218.60.56/~jnz1568/getInfo.php?workbook=16_15.xlsx&amp;sheet=A0&amp;row=1157&amp;col=11&amp;number=1.4462e-05&amp;sourceID=54","1.4462e-05")</f>
        <v>1.4462e-05</v>
      </c>
      <c r="L1157" s="4" t="str">
        <f>HYPERLINK("http://141.218.60.56/~jnz1568/getInfo.php?workbook=16_15.xlsx&amp;sheet=A0&amp;row=1157&amp;col=12&amp;number=&amp;sourceID=53","")</f>
        <v/>
      </c>
      <c r="M1157" s="4" t="str">
        <f>HYPERLINK("http://141.218.60.56/~jnz1568/getInfo.php?workbook=16_15.xlsx&amp;sheet=A0&amp;row=1157&amp;col=13&amp;number=&amp;sourceID=53","")</f>
        <v/>
      </c>
      <c r="N1157" s="4" t="str">
        <f>HYPERLINK("http://141.218.60.56/~jnz1568/getInfo.php?workbook=16_15.xlsx&amp;sheet=A0&amp;row=1157&amp;col=14&amp;number=&amp;sourceID=53","")</f>
        <v/>
      </c>
      <c r="O1157" s="4" t="str">
        <f>HYPERLINK("http://141.218.60.56/~jnz1568/getInfo.php?workbook=16_15.xlsx&amp;sheet=A0&amp;row=1157&amp;col=15&amp;number=&amp;sourceID=55","")</f>
        <v/>
      </c>
      <c r="P1157" s="4" t="str">
        <f>HYPERLINK("http://141.218.60.56/~jnz1568/getInfo.php?workbook=16_15.xlsx&amp;sheet=A0&amp;row=1157&amp;col=16&amp;number=&amp;sourceID=55","")</f>
        <v/>
      </c>
      <c r="Q1157" s="4" t="str">
        <f>HYPERLINK("http://141.218.60.56/~jnz1568/getInfo.php?workbook=16_15.xlsx&amp;sheet=A0&amp;row=1157&amp;col=17&amp;number=&amp;sourceID=56","")</f>
        <v/>
      </c>
      <c r="R1157" s="4" t="str">
        <f>HYPERLINK("http://141.218.60.56/~jnz1568/getInfo.php?workbook=16_15.xlsx&amp;sheet=A0&amp;row=1157&amp;col=18&amp;number=&amp;sourceID=56","")</f>
        <v/>
      </c>
      <c r="S1157" s="4" t="str">
        <f>HYPERLINK("http://141.218.60.56/~jnz1568/getInfo.php?workbook=16_15.xlsx&amp;sheet=A0&amp;row=1157&amp;col=19&amp;number=&amp;sourceID=57","")</f>
        <v/>
      </c>
      <c r="T1157" s="4" t="str">
        <f>HYPERLINK("http://141.218.60.56/~jnz1568/getInfo.php?workbook=16_15.xlsx&amp;sheet=A0&amp;row=1157&amp;col=20&amp;number=&amp;sourceID=57","")</f>
        <v/>
      </c>
      <c r="U1157" s="4" t="str">
        <f>HYPERLINK("http://141.218.60.56/~jnz1568/getInfo.php?workbook=16_15.xlsx&amp;sheet=A0&amp;row=1157&amp;col=21&amp;number=&amp;sourceID=47","")</f>
        <v/>
      </c>
      <c r="V1157" s="4" t="str">
        <f>HYPERLINK("http://141.218.60.56/~jnz1568/getInfo.php?workbook=16_15.xlsx&amp;sheet=A0&amp;row=1157&amp;col=22&amp;number=&amp;sourceID=47","")</f>
        <v/>
      </c>
    </row>
    <row r="1158" spans="1:22">
      <c r="A1158" s="3">
        <v>16</v>
      </c>
      <c r="B1158" s="3">
        <v>15</v>
      </c>
      <c r="C1158" s="3">
        <v>55</v>
      </c>
      <c r="D1158" s="3">
        <v>16</v>
      </c>
      <c r="E1158" s="3">
        <f>((1/(INDEX(E0!J$4:J$73,C1158,1)-INDEX(E0!J$4:J$73,D1158,1))))*100000000</f>
        <v>0</v>
      </c>
      <c r="F1158" s="4" t="str">
        <f>HYPERLINK("http://141.218.60.56/~jnz1568/getInfo.php?workbook=16_15.xlsx&amp;sheet=A0&amp;row=1158&amp;col=6&amp;number=&amp;sourceID=54","")</f>
        <v/>
      </c>
      <c r="G1158" s="4" t="str">
        <f>HYPERLINK("http://141.218.60.56/~jnz1568/getInfo.php?workbook=16_15.xlsx&amp;sheet=A0&amp;row=1158&amp;col=7&amp;number=0.003177&amp;sourceID=54","0.003177")</f>
        <v>0.003177</v>
      </c>
      <c r="H1158" s="4" t="str">
        <f>HYPERLINK("http://141.218.60.56/~jnz1568/getInfo.php?workbook=16_15.xlsx&amp;sheet=A0&amp;row=1158&amp;col=8&amp;number=0.00058017&amp;sourceID=54","0.00058017")</f>
        <v>0.00058017</v>
      </c>
      <c r="I1158" s="4" t="str">
        <f>HYPERLINK("http://141.218.60.56/~jnz1568/getInfo.php?workbook=16_15.xlsx&amp;sheet=A0&amp;row=1158&amp;col=9&amp;number=&amp;sourceID=54","")</f>
        <v/>
      </c>
      <c r="J1158" s="4" t="str">
        <f>HYPERLINK("http://141.218.60.56/~jnz1568/getInfo.php?workbook=16_15.xlsx&amp;sheet=A0&amp;row=1158&amp;col=10&amp;number=4.6624e-05&amp;sourceID=54","4.6624e-05")</f>
        <v>4.6624e-05</v>
      </c>
      <c r="K1158" s="4" t="str">
        <f>HYPERLINK("http://141.218.60.56/~jnz1568/getInfo.php?workbook=16_15.xlsx&amp;sheet=A0&amp;row=1158&amp;col=11&amp;number=0.00050688&amp;sourceID=54","0.00050688")</f>
        <v>0.00050688</v>
      </c>
      <c r="L1158" s="4" t="str">
        <f>HYPERLINK("http://141.218.60.56/~jnz1568/getInfo.php?workbook=16_15.xlsx&amp;sheet=A0&amp;row=1158&amp;col=12&amp;number=&amp;sourceID=53","")</f>
        <v/>
      </c>
      <c r="M1158" s="4" t="str">
        <f>HYPERLINK("http://141.218.60.56/~jnz1568/getInfo.php?workbook=16_15.xlsx&amp;sheet=A0&amp;row=1158&amp;col=13&amp;number=&amp;sourceID=53","")</f>
        <v/>
      </c>
      <c r="N1158" s="4" t="str">
        <f>HYPERLINK("http://141.218.60.56/~jnz1568/getInfo.php?workbook=16_15.xlsx&amp;sheet=A0&amp;row=1158&amp;col=14&amp;number=&amp;sourceID=53","")</f>
        <v/>
      </c>
      <c r="O1158" s="4" t="str">
        <f>HYPERLINK("http://141.218.60.56/~jnz1568/getInfo.php?workbook=16_15.xlsx&amp;sheet=A0&amp;row=1158&amp;col=15&amp;number=&amp;sourceID=55","")</f>
        <v/>
      </c>
      <c r="P1158" s="4" t="str">
        <f>HYPERLINK("http://141.218.60.56/~jnz1568/getInfo.php?workbook=16_15.xlsx&amp;sheet=A0&amp;row=1158&amp;col=16&amp;number=&amp;sourceID=55","")</f>
        <v/>
      </c>
      <c r="Q1158" s="4" t="str">
        <f>HYPERLINK("http://141.218.60.56/~jnz1568/getInfo.php?workbook=16_15.xlsx&amp;sheet=A0&amp;row=1158&amp;col=17&amp;number=&amp;sourceID=56","")</f>
        <v/>
      </c>
      <c r="R1158" s="4" t="str">
        <f>HYPERLINK("http://141.218.60.56/~jnz1568/getInfo.php?workbook=16_15.xlsx&amp;sheet=A0&amp;row=1158&amp;col=18&amp;number=&amp;sourceID=56","")</f>
        <v/>
      </c>
      <c r="S1158" s="4" t="str">
        <f>HYPERLINK("http://141.218.60.56/~jnz1568/getInfo.php?workbook=16_15.xlsx&amp;sheet=A0&amp;row=1158&amp;col=19&amp;number=&amp;sourceID=57","")</f>
        <v/>
      </c>
      <c r="T1158" s="4" t="str">
        <f>HYPERLINK("http://141.218.60.56/~jnz1568/getInfo.php?workbook=16_15.xlsx&amp;sheet=A0&amp;row=1158&amp;col=20&amp;number=&amp;sourceID=57","")</f>
        <v/>
      </c>
      <c r="U1158" s="4" t="str">
        <f>HYPERLINK("http://141.218.60.56/~jnz1568/getInfo.php?workbook=16_15.xlsx&amp;sheet=A0&amp;row=1158&amp;col=21&amp;number=&amp;sourceID=47","")</f>
        <v/>
      </c>
      <c r="V1158" s="4" t="str">
        <f>HYPERLINK("http://141.218.60.56/~jnz1568/getInfo.php?workbook=16_15.xlsx&amp;sheet=A0&amp;row=1158&amp;col=22&amp;number=&amp;sourceID=47","")</f>
        <v/>
      </c>
    </row>
    <row r="1159" spans="1:22">
      <c r="A1159" s="3">
        <v>16</v>
      </c>
      <c r="B1159" s="3">
        <v>15</v>
      </c>
      <c r="C1159" s="3">
        <v>55</v>
      </c>
      <c r="D1159" s="3">
        <v>17</v>
      </c>
      <c r="E1159" s="3">
        <f>((1/(INDEX(E0!J$4:J$73,C1159,1)-INDEX(E0!J$4:J$73,D1159,1))))*100000000</f>
        <v>0</v>
      </c>
      <c r="F1159" s="4" t="str">
        <f>HYPERLINK("http://141.218.60.56/~jnz1568/getInfo.php?workbook=16_15.xlsx&amp;sheet=A0&amp;row=1159&amp;col=6&amp;number=&amp;sourceID=54","")</f>
        <v/>
      </c>
      <c r="G1159" s="4" t="str">
        <f>HYPERLINK("http://141.218.60.56/~jnz1568/getInfo.php?workbook=16_15.xlsx&amp;sheet=A0&amp;row=1159&amp;col=7&amp;number=0.0022189&amp;sourceID=54","0.0022189")</f>
        <v>0.0022189</v>
      </c>
      <c r="H1159" s="4" t="str">
        <f>HYPERLINK("http://141.218.60.56/~jnz1568/getInfo.php?workbook=16_15.xlsx&amp;sheet=A0&amp;row=1159&amp;col=8&amp;number=0.00014996&amp;sourceID=54","0.00014996")</f>
        <v>0.00014996</v>
      </c>
      <c r="I1159" s="4" t="str">
        <f>HYPERLINK("http://141.218.60.56/~jnz1568/getInfo.php?workbook=16_15.xlsx&amp;sheet=A0&amp;row=1159&amp;col=9&amp;number=&amp;sourceID=54","")</f>
        <v/>
      </c>
      <c r="J1159" s="4" t="str">
        <f>HYPERLINK("http://141.218.60.56/~jnz1568/getInfo.php?workbook=16_15.xlsx&amp;sheet=A0&amp;row=1159&amp;col=10&amp;number=0.0022893&amp;sourceID=54","0.0022893")</f>
        <v>0.0022893</v>
      </c>
      <c r="K1159" s="4" t="str">
        <f>HYPERLINK("http://141.218.60.56/~jnz1568/getInfo.php?workbook=16_15.xlsx&amp;sheet=A0&amp;row=1159&amp;col=11&amp;number=0.00014475&amp;sourceID=54","0.00014475")</f>
        <v>0.00014475</v>
      </c>
      <c r="L1159" s="4" t="str">
        <f>HYPERLINK("http://141.218.60.56/~jnz1568/getInfo.php?workbook=16_15.xlsx&amp;sheet=A0&amp;row=1159&amp;col=12&amp;number=&amp;sourceID=53","")</f>
        <v/>
      </c>
      <c r="M1159" s="4" t="str">
        <f>HYPERLINK("http://141.218.60.56/~jnz1568/getInfo.php?workbook=16_15.xlsx&amp;sheet=A0&amp;row=1159&amp;col=13&amp;number=&amp;sourceID=53","")</f>
        <v/>
      </c>
      <c r="N1159" s="4" t="str">
        <f>HYPERLINK("http://141.218.60.56/~jnz1568/getInfo.php?workbook=16_15.xlsx&amp;sheet=A0&amp;row=1159&amp;col=14&amp;number=&amp;sourceID=53","")</f>
        <v/>
      </c>
      <c r="O1159" s="4" t="str">
        <f>HYPERLINK("http://141.218.60.56/~jnz1568/getInfo.php?workbook=16_15.xlsx&amp;sheet=A0&amp;row=1159&amp;col=15&amp;number=&amp;sourceID=55","")</f>
        <v/>
      </c>
      <c r="P1159" s="4" t="str">
        <f>HYPERLINK("http://141.218.60.56/~jnz1568/getInfo.php?workbook=16_15.xlsx&amp;sheet=A0&amp;row=1159&amp;col=16&amp;number=&amp;sourceID=55","")</f>
        <v/>
      </c>
      <c r="Q1159" s="4" t="str">
        <f>HYPERLINK("http://141.218.60.56/~jnz1568/getInfo.php?workbook=16_15.xlsx&amp;sheet=A0&amp;row=1159&amp;col=17&amp;number=&amp;sourceID=56","")</f>
        <v/>
      </c>
      <c r="R1159" s="4" t="str">
        <f>HYPERLINK("http://141.218.60.56/~jnz1568/getInfo.php?workbook=16_15.xlsx&amp;sheet=A0&amp;row=1159&amp;col=18&amp;number=&amp;sourceID=56","")</f>
        <v/>
      </c>
      <c r="S1159" s="4" t="str">
        <f>HYPERLINK("http://141.218.60.56/~jnz1568/getInfo.php?workbook=16_15.xlsx&amp;sheet=A0&amp;row=1159&amp;col=19&amp;number=&amp;sourceID=57","")</f>
        <v/>
      </c>
      <c r="T1159" s="4" t="str">
        <f>HYPERLINK("http://141.218.60.56/~jnz1568/getInfo.php?workbook=16_15.xlsx&amp;sheet=A0&amp;row=1159&amp;col=20&amp;number=&amp;sourceID=57","")</f>
        <v/>
      </c>
      <c r="U1159" s="4" t="str">
        <f>HYPERLINK("http://141.218.60.56/~jnz1568/getInfo.php?workbook=16_15.xlsx&amp;sheet=A0&amp;row=1159&amp;col=21&amp;number=&amp;sourceID=47","")</f>
        <v/>
      </c>
      <c r="V1159" s="4" t="str">
        <f>HYPERLINK("http://141.218.60.56/~jnz1568/getInfo.php?workbook=16_15.xlsx&amp;sheet=A0&amp;row=1159&amp;col=22&amp;number=&amp;sourceID=47","")</f>
        <v/>
      </c>
    </row>
    <row r="1160" spans="1:22">
      <c r="A1160" s="3">
        <v>16</v>
      </c>
      <c r="B1160" s="3">
        <v>15</v>
      </c>
      <c r="C1160" s="3">
        <v>55</v>
      </c>
      <c r="D1160" s="3">
        <v>18</v>
      </c>
      <c r="E1160" s="3">
        <f>((1/(INDEX(E0!J$4:J$73,C1160,1)-INDEX(E0!J$4:J$73,D1160,1))))*100000000</f>
        <v>0</v>
      </c>
      <c r="F1160" s="4" t="str">
        <f>HYPERLINK("http://141.218.60.56/~jnz1568/getInfo.php?workbook=16_15.xlsx&amp;sheet=A0&amp;row=1160&amp;col=6&amp;number=&amp;sourceID=54","")</f>
        <v/>
      </c>
      <c r="G1160" s="4" t="str">
        <f>HYPERLINK("http://141.218.60.56/~jnz1568/getInfo.php?workbook=16_15.xlsx&amp;sheet=A0&amp;row=1160&amp;col=7&amp;number=0.0075837&amp;sourceID=54","0.0075837")</f>
        <v>0.0075837</v>
      </c>
      <c r="H1160" s="4" t="str">
        <f>HYPERLINK("http://141.218.60.56/~jnz1568/getInfo.php?workbook=16_15.xlsx&amp;sheet=A0&amp;row=1160&amp;col=8&amp;number=&amp;sourceID=54","")</f>
        <v/>
      </c>
      <c r="I1160" s="4" t="str">
        <f>HYPERLINK("http://141.218.60.56/~jnz1568/getInfo.php?workbook=16_15.xlsx&amp;sheet=A0&amp;row=1160&amp;col=9&amp;number=&amp;sourceID=54","")</f>
        <v/>
      </c>
      <c r="J1160" s="4" t="str">
        <f>HYPERLINK("http://141.218.60.56/~jnz1568/getInfo.php?workbook=16_15.xlsx&amp;sheet=A0&amp;row=1160&amp;col=10&amp;number=0.0044278&amp;sourceID=54","0.0044278")</f>
        <v>0.0044278</v>
      </c>
      <c r="K1160" s="4" t="str">
        <f>HYPERLINK("http://141.218.60.56/~jnz1568/getInfo.php?workbook=16_15.xlsx&amp;sheet=A0&amp;row=1160&amp;col=11&amp;number=&amp;sourceID=54","")</f>
        <v/>
      </c>
      <c r="L1160" s="4" t="str">
        <f>HYPERLINK("http://141.218.60.56/~jnz1568/getInfo.php?workbook=16_15.xlsx&amp;sheet=A0&amp;row=1160&amp;col=12&amp;number=&amp;sourceID=53","")</f>
        <v/>
      </c>
      <c r="M1160" s="4" t="str">
        <f>HYPERLINK("http://141.218.60.56/~jnz1568/getInfo.php?workbook=16_15.xlsx&amp;sheet=A0&amp;row=1160&amp;col=13&amp;number=&amp;sourceID=53","")</f>
        <v/>
      </c>
      <c r="N1160" s="4" t="str">
        <f>HYPERLINK("http://141.218.60.56/~jnz1568/getInfo.php?workbook=16_15.xlsx&amp;sheet=A0&amp;row=1160&amp;col=14&amp;number=&amp;sourceID=53","")</f>
        <v/>
      </c>
      <c r="O1160" s="4" t="str">
        <f>HYPERLINK("http://141.218.60.56/~jnz1568/getInfo.php?workbook=16_15.xlsx&amp;sheet=A0&amp;row=1160&amp;col=15&amp;number=&amp;sourceID=55","")</f>
        <v/>
      </c>
      <c r="P1160" s="4" t="str">
        <f>HYPERLINK("http://141.218.60.56/~jnz1568/getInfo.php?workbook=16_15.xlsx&amp;sheet=A0&amp;row=1160&amp;col=16&amp;number=&amp;sourceID=55","")</f>
        <v/>
      </c>
      <c r="Q1160" s="4" t="str">
        <f>HYPERLINK("http://141.218.60.56/~jnz1568/getInfo.php?workbook=16_15.xlsx&amp;sheet=A0&amp;row=1160&amp;col=17&amp;number=&amp;sourceID=56","")</f>
        <v/>
      </c>
      <c r="R1160" s="4" t="str">
        <f>HYPERLINK("http://141.218.60.56/~jnz1568/getInfo.php?workbook=16_15.xlsx&amp;sheet=A0&amp;row=1160&amp;col=18&amp;number=&amp;sourceID=56","")</f>
        <v/>
      </c>
      <c r="S1160" s="4" t="str">
        <f>HYPERLINK("http://141.218.60.56/~jnz1568/getInfo.php?workbook=16_15.xlsx&amp;sheet=A0&amp;row=1160&amp;col=19&amp;number=&amp;sourceID=57","")</f>
        <v/>
      </c>
      <c r="T1160" s="4" t="str">
        <f>HYPERLINK("http://141.218.60.56/~jnz1568/getInfo.php?workbook=16_15.xlsx&amp;sheet=A0&amp;row=1160&amp;col=20&amp;number=&amp;sourceID=57","")</f>
        <v/>
      </c>
      <c r="U1160" s="4" t="str">
        <f>HYPERLINK("http://141.218.60.56/~jnz1568/getInfo.php?workbook=16_15.xlsx&amp;sheet=A0&amp;row=1160&amp;col=21&amp;number=&amp;sourceID=47","")</f>
        <v/>
      </c>
      <c r="V1160" s="4" t="str">
        <f>HYPERLINK("http://141.218.60.56/~jnz1568/getInfo.php?workbook=16_15.xlsx&amp;sheet=A0&amp;row=1160&amp;col=22&amp;number=&amp;sourceID=47","")</f>
        <v/>
      </c>
    </row>
    <row r="1161" spans="1:22">
      <c r="A1161" s="3">
        <v>16</v>
      </c>
      <c r="B1161" s="3">
        <v>15</v>
      </c>
      <c r="C1161" s="3">
        <v>55</v>
      </c>
      <c r="D1161" s="3">
        <v>20</v>
      </c>
      <c r="E1161" s="3">
        <f>((1/(INDEX(E0!J$4:J$73,C1161,1)-INDEX(E0!J$4:J$73,D1161,1))))*100000000</f>
        <v>0</v>
      </c>
      <c r="F1161" s="4" t="str">
        <f>HYPERLINK("http://141.218.60.56/~jnz1568/getInfo.php?workbook=16_15.xlsx&amp;sheet=A0&amp;row=1161&amp;col=6&amp;number=&amp;sourceID=54","")</f>
        <v/>
      </c>
      <c r="G1161" s="4" t="str">
        <f>HYPERLINK("http://141.218.60.56/~jnz1568/getInfo.php?workbook=16_15.xlsx&amp;sheet=A0&amp;row=1161&amp;col=7&amp;number=7.2802&amp;sourceID=54","7.2802")</f>
        <v>7.2802</v>
      </c>
      <c r="H1161" s="4" t="str">
        <f>HYPERLINK("http://141.218.60.56/~jnz1568/getInfo.php?workbook=16_15.xlsx&amp;sheet=A0&amp;row=1161&amp;col=8&amp;number=8.0619e-07&amp;sourceID=54","8.0619e-07")</f>
        <v>8.0619e-07</v>
      </c>
      <c r="I1161" s="4" t="str">
        <f>HYPERLINK("http://141.218.60.56/~jnz1568/getInfo.php?workbook=16_15.xlsx&amp;sheet=A0&amp;row=1161&amp;col=9&amp;number=&amp;sourceID=54","")</f>
        <v/>
      </c>
      <c r="J1161" s="4" t="str">
        <f>HYPERLINK("http://141.218.60.56/~jnz1568/getInfo.php?workbook=16_15.xlsx&amp;sheet=A0&amp;row=1161&amp;col=10&amp;number=6.5907&amp;sourceID=54","6.5907")</f>
        <v>6.5907</v>
      </c>
      <c r="K1161" s="4" t="str">
        <f>HYPERLINK("http://141.218.60.56/~jnz1568/getInfo.php?workbook=16_15.xlsx&amp;sheet=A0&amp;row=1161&amp;col=11&amp;number=8.6778e-07&amp;sourceID=54","8.6778e-07")</f>
        <v>8.6778e-07</v>
      </c>
      <c r="L1161" s="4" t="str">
        <f>HYPERLINK("http://141.218.60.56/~jnz1568/getInfo.php?workbook=16_15.xlsx&amp;sheet=A0&amp;row=1161&amp;col=12&amp;number=&amp;sourceID=53","")</f>
        <v/>
      </c>
      <c r="M1161" s="4" t="str">
        <f>HYPERLINK("http://141.218.60.56/~jnz1568/getInfo.php?workbook=16_15.xlsx&amp;sheet=A0&amp;row=1161&amp;col=13&amp;number=&amp;sourceID=53","")</f>
        <v/>
      </c>
      <c r="N1161" s="4" t="str">
        <f>HYPERLINK("http://141.218.60.56/~jnz1568/getInfo.php?workbook=16_15.xlsx&amp;sheet=A0&amp;row=1161&amp;col=14&amp;number=&amp;sourceID=53","")</f>
        <v/>
      </c>
      <c r="O1161" s="4" t="str">
        <f>HYPERLINK("http://141.218.60.56/~jnz1568/getInfo.php?workbook=16_15.xlsx&amp;sheet=A0&amp;row=1161&amp;col=15&amp;number=&amp;sourceID=55","")</f>
        <v/>
      </c>
      <c r="P1161" s="4" t="str">
        <f>HYPERLINK("http://141.218.60.56/~jnz1568/getInfo.php?workbook=16_15.xlsx&amp;sheet=A0&amp;row=1161&amp;col=16&amp;number=&amp;sourceID=55","")</f>
        <v/>
      </c>
      <c r="Q1161" s="4" t="str">
        <f>HYPERLINK("http://141.218.60.56/~jnz1568/getInfo.php?workbook=16_15.xlsx&amp;sheet=A0&amp;row=1161&amp;col=17&amp;number=&amp;sourceID=56","")</f>
        <v/>
      </c>
      <c r="R1161" s="4" t="str">
        <f>HYPERLINK("http://141.218.60.56/~jnz1568/getInfo.php?workbook=16_15.xlsx&amp;sheet=A0&amp;row=1161&amp;col=18&amp;number=&amp;sourceID=56","")</f>
        <v/>
      </c>
      <c r="S1161" s="4" t="str">
        <f>HYPERLINK("http://141.218.60.56/~jnz1568/getInfo.php?workbook=16_15.xlsx&amp;sheet=A0&amp;row=1161&amp;col=19&amp;number=&amp;sourceID=57","")</f>
        <v/>
      </c>
      <c r="T1161" s="4" t="str">
        <f>HYPERLINK("http://141.218.60.56/~jnz1568/getInfo.php?workbook=16_15.xlsx&amp;sheet=A0&amp;row=1161&amp;col=20&amp;number=&amp;sourceID=57","")</f>
        <v/>
      </c>
      <c r="U1161" s="4" t="str">
        <f>HYPERLINK("http://141.218.60.56/~jnz1568/getInfo.php?workbook=16_15.xlsx&amp;sheet=A0&amp;row=1161&amp;col=21&amp;number=&amp;sourceID=47","")</f>
        <v/>
      </c>
      <c r="V1161" s="4" t="str">
        <f>HYPERLINK("http://141.218.60.56/~jnz1568/getInfo.php?workbook=16_15.xlsx&amp;sheet=A0&amp;row=1161&amp;col=22&amp;number=&amp;sourceID=47","")</f>
        <v/>
      </c>
    </row>
    <row r="1162" spans="1:22">
      <c r="A1162" s="3">
        <v>16</v>
      </c>
      <c r="B1162" s="3">
        <v>15</v>
      </c>
      <c r="C1162" s="3">
        <v>55</v>
      </c>
      <c r="D1162" s="3">
        <v>21</v>
      </c>
      <c r="E1162" s="3">
        <f>((1/(INDEX(E0!J$4:J$73,C1162,1)-INDEX(E0!J$4:J$73,D1162,1))))*100000000</f>
        <v>0</v>
      </c>
      <c r="F1162" s="4" t="str">
        <f>HYPERLINK("http://141.218.60.56/~jnz1568/getInfo.php?workbook=16_15.xlsx&amp;sheet=A0&amp;row=1162&amp;col=6&amp;number=&amp;sourceID=54","")</f>
        <v/>
      </c>
      <c r="G1162" s="4" t="str">
        <f>HYPERLINK("http://141.218.60.56/~jnz1568/getInfo.php?workbook=16_15.xlsx&amp;sheet=A0&amp;row=1162&amp;col=7&amp;number=7.415&amp;sourceID=54","7.415")</f>
        <v>7.415</v>
      </c>
      <c r="H1162" s="4" t="str">
        <f>HYPERLINK("http://141.218.60.56/~jnz1568/getInfo.php?workbook=16_15.xlsx&amp;sheet=A0&amp;row=1162&amp;col=8&amp;number=1.7048e-06&amp;sourceID=54","1.7048e-06")</f>
        <v>1.7048e-06</v>
      </c>
      <c r="I1162" s="4" t="str">
        <f>HYPERLINK("http://141.218.60.56/~jnz1568/getInfo.php?workbook=16_15.xlsx&amp;sheet=A0&amp;row=1162&amp;col=9&amp;number=&amp;sourceID=54","")</f>
        <v/>
      </c>
      <c r="J1162" s="4" t="str">
        <f>HYPERLINK("http://141.218.60.56/~jnz1568/getInfo.php?workbook=16_15.xlsx&amp;sheet=A0&amp;row=1162&amp;col=10&amp;number=6.4795&amp;sourceID=54","6.4795")</f>
        <v>6.4795</v>
      </c>
      <c r="K1162" s="4" t="str">
        <f>HYPERLINK("http://141.218.60.56/~jnz1568/getInfo.php?workbook=16_15.xlsx&amp;sheet=A0&amp;row=1162&amp;col=11&amp;number=1.4375e-06&amp;sourceID=54","1.4375e-06")</f>
        <v>1.4375e-06</v>
      </c>
      <c r="L1162" s="4" t="str">
        <f>HYPERLINK("http://141.218.60.56/~jnz1568/getInfo.php?workbook=16_15.xlsx&amp;sheet=A0&amp;row=1162&amp;col=12&amp;number=&amp;sourceID=53","")</f>
        <v/>
      </c>
      <c r="M1162" s="4" t="str">
        <f>HYPERLINK("http://141.218.60.56/~jnz1568/getInfo.php?workbook=16_15.xlsx&amp;sheet=A0&amp;row=1162&amp;col=13&amp;number=&amp;sourceID=53","")</f>
        <v/>
      </c>
      <c r="N1162" s="4" t="str">
        <f>HYPERLINK("http://141.218.60.56/~jnz1568/getInfo.php?workbook=16_15.xlsx&amp;sheet=A0&amp;row=1162&amp;col=14&amp;number=&amp;sourceID=53","")</f>
        <v/>
      </c>
      <c r="O1162" s="4" t="str">
        <f>HYPERLINK("http://141.218.60.56/~jnz1568/getInfo.php?workbook=16_15.xlsx&amp;sheet=A0&amp;row=1162&amp;col=15&amp;number=&amp;sourceID=55","")</f>
        <v/>
      </c>
      <c r="P1162" s="4" t="str">
        <f>HYPERLINK("http://141.218.60.56/~jnz1568/getInfo.php?workbook=16_15.xlsx&amp;sheet=A0&amp;row=1162&amp;col=16&amp;number=&amp;sourceID=55","")</f>
        <v/>
      </c>
      <c r="Q1162" s="4" t="str">
        <f>HYPERLINK("http://141.218.60.56/~jnz1568/getInfo.php?workbook=16_15.xlsx&amp;sheet=A0&amp;row=1162&amp;col=17&amp;number=&amp;sourceID=56","")</f>
        <v/>
      </c>
      <c r="R1162" s="4" t="str">
        <f>HYPERLINK("http://141.218.60.56/~jnz1568/getInfo.php?workbook=16_15.xlsx&amp;sheet=A0&amp;row=1162&amp;col=18&amp;number=&amp;sourceID=56","")</f>
        <v/>
      </c>
      <c r="S1162" s="4" t="str">
        <f>HYPERLINK("http://141.218.60.56/~jnz1568/getInfo.php?workbook=16_15.xlsx&amp;sheet=A0&amp;row=1162&amp;col=19&amp;number=&amp;sourceID=57","")</f>
        <v/>
      </c>
      <c r="T1162" s="4" t="str">
        <f>HYPERLINK("http://141.218.60.56/~jnz1568/getInfo.php?workbook=16_15.xlsx&amp;sheet=A0&amp;row=1162&amp;col=20&amp;number=&amp;sourceID=57","")</f>
        <v/>
      </c>
      <c r="U1162" s="4" t="str">
        <f>HYPERLINK("http://141.218.60.56/~jnz1568/getInfo.php?workbook=16_15.xlsx&amp;sheet=A0&amp;row=1162&amp;col=21&amp;number=&amp;sourceID=47","")</f>
        <v/>
      </c>
      <c r="V1162" s="4" t="str">
        <f>HYPERLINK("http://141.218.60.56/~jnz1568/getInfo.php?workbook=16_15.xlsx&amp;sheet=A0&amp;row=1162&amp;col=22&amp;number=&amp;sourceID=47","")</f>
        <v/>
      </c>
    </row>
    <row r="1163" spans="1:22">
      <c r="A1163" s="3">
        <v>16</v>
      </c>
      <c r="B1163" s="3">
        <v>15</v>
      </c>
      <c r="C1163" s="3">
        <v>55</v>
      </c>
      <c r="D1163" s="3">
        <v>22</v>
      </c>
      <c r="E1163" s="3">
        <f>((1/(INDEX(E0!J$4:J$73,C1163,1)-INDEX(E0!J$4:J$73,D1163,1))))*100000000</f>
        <v>0</v>
      </c>
      <c r="F1163" s="4" t="str">
        <f>HYPERLINK("http://141.218.60.56/~jnz1568/getInfo.php?workbook=16_15.xlsx&amp;sheet=A0&amp;row=1163&amp;col=6&amp;number=&amp;sourceID=54","")</f>
        <v/>
      </c>
      <c r="G1163" s="4" t="str">
        <f>HYPERLINK("http://141.218.60.56/~jnz1568/getInfo.php?workbook=16_15.xlsx&amp;sheet=A0&amp;row=1163&amp;col=7&amp;number=0.0086173&amp;sourceID=54","0.0086173")</f>
        <v>0.0086173</v>
      </c>
      <c r="H1163" s="4" t="str">
        <f>HYPERLINK("http://141.218.60.56/~jnz1568/getInfo.php?workbook=16_15.xlsx&amp;sheet=A0&amp;row=1163&amp;col=8&amp;number=0.0010548&amp;sourceID=54","0.0010548")</f>
        <v>0.0010548</v>
      </c>
      <c r="I1163" s="4" t="str">
        <f>HYPERLINK("http://141.218.60.56/~jnz1568/getInfo.php?workbook=16_15.xlsx&amp;sheet=A0&amp;row=1163&amp;col=9&amp;number=&amp;sourceID=54","")</f>
        <v/>
      </c>
      <c r="J1163" s="4" t="str">
        <f>HYPERLINK("http://141.218.60.56/~jnz1568/getInfo.php?workbook=16_15.xlsx&amp;sheet=A0&amp;row=1163&amp;col=10&amp;number=0.0063389&amp;sourceID=54","0.0063389")</f>
        <v>0.0063389</v>
      </c>
      <c r="K1163" s="4" t="str">
        <f>HYPERLINK("http://141.218.60.56/~jnz1568/getInfo.php?workbook=16_15.xlsx&amp;sheet=A0&amp;row=1163&amp;col=11&amp;number=0.0011315&amp;sourceID=54","0.0011315")</f>
        <v>0.0011315</v>
      </c>
      <c r="L1163" s="4" t="str">
        <f>HYPERLINK("http://141.218.60.56/~jnz1568/getInfo.php?workbook=16_15.xlsx&amp;sheet=A0&amp;row=1163&amp;col=12&amp;number=&amp;sourceID=53","")</f>
        <v/>
      </c>
      <c r="M1163" s="4" t="str">
        <f>HYPERLINK("http://141.218.60.56/~jnz1568/getInfo.php?workbook=16_15.xlsx&amp;sheet=A0&amp;row=1163&amp;col=13&amp;number=&amp;sourceID=53","")</f>
        <v/>
      </c>
      <c r="N1163" s="4" t="str">
        <f>HYPERLINK("http://141.218.60.56/~jnz1568/getInfo.php?workbook=16_15.xlsx&amp;sheet=A0&amp;row=1163&amp;col=14&amp;number=&amp;sourceID=53","")</f>
        <v/>
      </c>
      <c r="O1163" s="4" t="str">
        <f>HYPERLINK("http://141.218.60.56/~jnz1568/getInfo.php?workbook=16_15.xlsx&amp;sheet=A0&amp;row=1163&amp;col=15&amp;number=&amp;sourceID=55","")</f>
        <v/>
      </c>
      <c r="P1163" s="4" t="str">
        <f>HYPERLINK("http://141.218.60.56/~jnz1568/getInfo.php?workbook=16_15.xlsx&amp;sheet=A0&amp;row=1163&amp;col=16&amp;number=&amp;sourceID=55","")</f>
        <v/>
      </c>
      <c r="Q1163" s="4" t="str">
        <f>HYPERLINK("http://141.218.60.56/~jnz1568/getInfo.php?workbook=16_15.xlsx&amp;sheet=A0&amp;row=1163&amp;col=17&amp;number=&amp;sourceID=56","")</f>
        <v/>
      </c>
      <c r="R1163" s="4" t="str">
        <f>HYPERLINK("http://141.218.60.56/~jnz1568/getInfo.php?workbook=16_15.xlsx&amp;sheet=A0&amp;row=1163&amp;col=18&amp;number=&amp;sourceID=56","")</f>
        <v/>
      </c>
      <c r="S1163" s="4" t="str">
        <f>HYPERLINK("http://141.218.60.56/~jnz1568/getInfo.php?workbook=16_15.xlsx&amp;sheet=A0&amp;row=1163&amp;col=19&amp;number=&amp;sourceID=57","")</f>
        <v/>
      </c>
      <c r="T1163" s="4" t="str">
        <f>HYPERLINK("http://141.218.60.56/~jnz1568/getInfo.php?workbook=16_15.xlsx&amp;sheet=A0&amp;row=1163&amp;col=20&amp;number=&amp;sourceID=57","")</f>
        <v/>
      </c>
      <c r="U1163" s="4" t="str">
        <f>HYPERLINK("http://141.218.60.56/~jnz1568/getInfo.php?workbook=16_15.xlsx&amp;sheet=A0&amp;row=1163&amp;col=21&amp;number=&amp;sourceID=47","")</f>
        <v/>
      </c>
      <c r="V1163" s="4" t="str">
        <f>HYPERLINK("http://141.218.60.56/~jnz1568/getInfo.php?workbook=16_15.xlsx&amp;sheet=A0&amp;row=1163&amp;col=22&amp;number=&amp;sourceID=47","")</f>
        <v/>
      </c>
    </row>
    <row r="1164" spans="1:22">
      <c r="A1164" s="3">
        <v>16</v>
      </c>
      <c r="B1164" s="3">
        <v>15</v>
      </c>
      <c r="C1164" s="3">
        <v>55</v>
      </c>
      <c r="D1164" s="3">
        <v>23</v>
      </c>
      <c r="E1164" s="3">
        <f>((1/(INDEX(E0!J$4:J$73,C1164,1)-INDEX(E0!J$4:J$73,D1164,1))))*100000000</f>
        <v>0</v>
      </c>
      <c r="F1164" s="4" t="str">
        <f>HYPERLINK("http://141.218.60.56/~jnz1568/getInfo.php?workbook=16_15.xlsx&amp;sheet=A0&amp;row=1164&amp;col=6&amp;number=&amp;sourceID=54","")</f>
        <v/>
      </c>
      <c r="G1164" s="4" t="str">
        <f>HYPERLINK("http://141.218.60.56/~jnz1568/getInfo.php?workbook=16_15.xlsx&amp;sheet=A0&amp;row=1164&amp;col=7&amp;number=0.0099634&amp;sourceID=54","0.0099634")</f>
        <v>0.0099634</v>
      </c>
      <c r="H1164" s="4" t="str">
        <f>HYPERLINK("http://141.218.60.56/~jnz1568/getInfo.php?workbook=16_15.xlsx&amp;sheet=A0&amp;row=1164&amp;col=8&amp;number=0.00036856&amp;sourceID=54","0.00036856")</f>
        <v>0.00036856</v>
      </c>
      <c r="I1164" s="4" t="str">
        <f>HYPERLINK("http://141.218.60.56/~jnz1568/getInfo.php?workbook=16_15.xlsx&amp;sheet=A0&amp;row=1164&amp;col=9&amp;number=&amp;sourceID=54","")</f>
        <v/>
      </c>
      <c r="J1164" s="4" t="str">
        <f>HYPERLINK("http://141.218.60.56/~jnz1568/getInfo.php?workbook=16_15.xlsx&amp;sheet=A0&amp;row=1164&amp;col=10&amp;number=0.0080762&amp;sourceID=54","0.0080762")</f>
        <v>0.0080762</v>
      </c>
      <c r="K1164" s="4" t="str">
        <f>HYPERLINK("http://141.218.60.56/~jnz1568/getInfo.php?workbook=16_15.xlsx&amp;sheet=A0&amp;row=1164&amp;col=11&amp;number=0.0001694&amp;sourceID=54","0.0001694")</f>
        <v>0.0001694</v>
      </c>
      <c r="L1164" s="4" t="str">
        <f>HYPERLINK("http://141.218.60.56/~jnz1568/getInfo.php?workbook=16_15.xlsx&amp;sheet=A0&amp;row=1164&amp;col=12&amp;number=&amp;sourceID=53","")</f>
        <v/>
      </c>
      <c r="M1164" s="4" t="str">
        <f>HYPERLINK("http://141.218.60.56/~jnz1568/getInfo.php?workbook=16_15.xlsx&amp;sheet=A0&amp;row=1164&amp;col=13&amp;number=&amp;sourceID=53","")</f>
        <v/>
      </c>
      <c r="N1164" s="4" t="str">
        <f>HYPERLINK("http://141.218.60.56/~jnz1568/getInfo.php?workbook=16_15.xlsx&amp;sheet=A0&amp;row=1164&amp;col=14&amp;number=&amp;sourceID=53","")</f>
        <v/>
      </c>
      <c r="O1164" s="4" t="str">
        <f>HYPERLINK("http://141.218.60.56/~jnz1568/getInfo.php?workbook=16_15.xlsx&amp;sheet=A0&amp;row=1164&amp;col=15&amp;number=&amp;sourceID=55","")</f>
        <v/>
      </c>
      <c r="P1164" s="4" t="str">
        <f>HYPERLINK("http://141.218.60.56/~jnz1568/getInfo.php?workbook=16_15.xlsx&amp;sheet=A0&amp;row=1164&amp;col=16&amp;number=&amp;sourceID=55","")</f>
        <v/>
      </c>
      <c r="Q1164" s="4" t="str">
        <f>HYPERLINK("http://141.218.60.56/~jnz1568/getInfo.php?workbook=16_15.xlsx&amp;sheet=A0&amp;row=1164&amp;col=17&amp;number=&amp;sourceID=56","")</f>
        <v/>
      </c>
      <c r="R1164" s="4" t="str">
        <f>HYPERLINK("http://141.218.60.56/~jnz1568/getInfo.php?workbook=16_15.xlsx&amp;sheet=A0&amp;row=1164&amp;col=18&amp;number=&amp;sourceID=56","")</f>
        <v/>
      </c>
      <c r="S1164" s="4" t="str">
        <f>HYPERLINK("http://141.218.60.56/~jnz1568/getInfo.php?workbook=16_15.xlsx&amp;sheet=A0&amp;row=1164&amp;col=19&amp;number=&amp;sourceID=57","")</f>
        <v/>
      </c>
      <c r="T1164" s="4" t="str">
        <f>HYPERLINK("http://141.218.60.56/~jnz1568/getInfo.php?workbook=16_15.xlsx&amp;sheet=A0&amp;row=1164&amp;col=20&amp;number=&amp;sourceID=57","")</f>
        <v/>
      </c>
      <c r="U1164" s="4" t="str">
        <f>HYPERLINK("http://141.218.60.56/~jnz1568/getInfo.php?workbook=16_15.xlsx&amp;sheet=A0&amp;row=1164&amp;col=21&amp;number=&amp;sourceID=47","")</f>
        <v/>
      </c>
      <c r="V1164" s="4" t="str">
        <f>HYPERLINK("http://141.218.60.56/~jnz1568/getInfo.php?workbook=16_15.xlsx&amp;sheet=A0&amp;row=1164&amp;col=22&amp;number=&amp;sourceID=47","")</f>
        <v/>
      </c>
    </row>
    <row r="1165" spans="1:22">
      <c r="A1165" s="3">
        <v>16</v>
      </c>
      <c r="B1165" s="3">
        <v>15</v>
      </c>
      <c r="C1165" s="3">
        <v>55</v>
      </c>
      <c r="D1165" s="3">
        <v>24</v>
      </c>
      <c r="E1165" s="3">
        <f>((1/(INDEX(E0!J$4:J$73,C1165,1)-INDEX(E0!J$4:J$73,D1165,1))))*100000000</f>
        <v>0</v>
      </c>
      <c r="F1165" s="4" t="str">
        <f>HYPERLINK("http://141.218.60.56/~jnz1568/getInfo.php?workbook=16_15.xlsx&amp;sheet=A0&amp;row=1165&amp;col=6&amp;number=&amp;sourceID=54","")</f>
        <v/>
      </c>
      <c r="G1165" s="4" t="str">
        <f>HYPERLINK("http://141.218.60.56/~jnz1568/getInfo.php?workbook=16_15.xlsx&amp;sheet=A0&amp;row=1165&amp;col=7&amp;number=0.054236&amp;sourceID=54","0.054236")</f>
        <v>0.054236</v>
      </c>
      <c r="H1165" s="4" t="str">
        <f>HYPERLINK("http://141.218.60.56/~jnz1568/getInfo.php?workbook=16_15.xlsx&amp;sheet=A0&amp;row=1165&amp;col=8&amp;number=0.0089973&amp;sourceID=54","0.0089973")</f>
        <v>0.0089973</v>
      </c>
      <c r="I1165" s="4" t="str">
        <f>HYPERLINK("http://141.218.60.56/~jnz1568/getInfo.php?workbook=16_15.xlsx&amp;sheet=A0&amp;row=1165&amp;col=9&amp;number=&amp;sourceID=54","")</f>
        <v/>
      </c>
      <c r="J1165" s="4" t="str">
        <f>HYPERLINK("http://141.218.60.56/~jnz1568/getInfo.php?workbook=16_15.xlsx&amp;sheet=A0&amp;row=1165&amp;col=10&amp;number=0.11325&amp;sourceID=54","0.11325")</f>
        <v>0.11325</v>
      </c>
      <c r="K1165" s="4" t="str">
        <f>HYPERLINK("http://141.218.60.56/~jnz1568/getInfo.php?workbook=16_15.xlsx&amp;sheet=A0&amp;row=1165&amp;col=11&amp;number=0.0084959&amp;sourceID=54","0.0084959")</f>
        <v>0.0084959</v>
      </c>
      <c r="L1165" s="4" t="str">
        <f>HYPERLINK("http://141.218.60.56/~jnz1568/getInfo.php?workbook=16_15.xlsx&amp;sheet=A0&amp;row=1165&amp;col=12&amp;number=&amp;sourceID=53","")</f>
        <v/>
      </c>
      <c r="M1165" s="4" t="str">
        <f>HYPERLINK("http://141.218.60.56/~jnz1568/getInfo.php?workbook=16_15.xlsx&amp;sheet=A0&amp;row=1165&amp;col=13&amp;number=&amp;sourceID=53","")</f>
        <v/>
      </c>
      <c r="N1165" s="4" t="str">
        <f>HYPERLINK("http://141.218.60.56/~jnz1568/getInfo.php?workbook=16_15.xlsx&amp;sheet=A0&amp;row=1165&amp;col=14&amp;number=&amp;sourceID=53","")</f>
        <v/>
      </c>
      <c r="O1165" s="4" t="str">
        <f>HYPERLINK("http://141.218.60.56/~jnz1568/getInfo.php?workbook=16_15.xlsx&amp;sheet=A0&amp;row=1165&amp;col=15&amp;number=&amp;sourceID=55","")</f>
        <v/>
      </c>
      <c r="P1165" s="4" t="str">
        <f>HYPERLINK("http://141.218.60.56/~jnz1568/getInfo.php?workbook=16_15.xlsx&amp;sheet=A0&amp;row=1165&amp;col=16&amp;number=&amp;sourceID=55","")</f>
        <v/>
      </c>
      <c r="Q1165" s="4" t="str">
        <f>HYPERLINK("http://141.218.60.56/~jnz1568/getInfo.php?workbook=16_15.xlsx&amp;sheet=A0&amp;row=1165&amp;col=17&amp;number=&amp;sourceID=56","")</f>
        <v/>
      </c>
      <c r="R1165" s="4" t="str">
        <f>HYPERLINK("http://141.218.60.56/~jnz1568/getInfo.php?workbook=16_15.xlsx&amp;sheet=A0&amp;row=1165&amp;col=18&amp;number=&amp;sourceID=56","")</f>
        <v/>
      </c>
      <c r="S1165" s="4" t="str">
        <f>HYPERLINK("http://141.218.60.56/~jnz1568/getInfo.php?workbook=16_15.xlsx&amp;sheet=A0&amp;row=1165&amp;col=19&amp;number=&amp;sourceID=57","")</f>
        <v/>
      </c>
      <c r="T1165" s="4" t="str">
        <f>HYPERLINK("http://141.218.60.56/~jnz1568/getInfo.php?workbook=16_15.xlsx&amp;sheet=A0&amp;row=1165&amp;col=20&amp;number=&amp;sourceID=57","")</f>
        <v/>
      </c>
      <c r="U1165" s="4" t="str">
        <f>HYPERLINK("http://141.218.60.56/~jnz1568/getInfo.php?workbook=16_15.xlsx&amp;sheet=A0&amp;row=1165&amp;col=21&amp;number=&amp;sourceID=47","")</f>
        <v/>
      </c>
      <c r="V1165" s="4" t="str">
        <f>HYPERLINK("http://141.218.60.56/~jnz1568/getInfo.php?workbook=16_15.xlsx&amp;sheet=A0&amp;row=1165&amp;col=22&amp;number=&amp;sourceID=47","")</f>
        <v/>
      </c>
    </row>
    <row r="1166" spans="1:22">
      <c r="A1166" s="3">
        <v>16</v>
      </c>
      <c r="B1166" s="3">
        <v>15</v>
      </c>
      <c r="C1166" s="3">
        <v>55</v>
      </c>
      <c r="D1166" s="3">
        <v>25</v>
      </c>
      <c r="E1166" s="3">
        <f>((1/(INDEX(E0!J$4:J$73,C1166,1)-INDEX(E0!J$4:J$73,D1166,1))))*100000000</f>
        <v>0</v>
      </c>
      <c r="F1166" s="4" t="str">
        <f>HYPERLINK("http://141.218.60.56/~jnz1568/getInfo.php?workbook=16_15.xlsx&amp;sheet=A0&amp;row=1166&amp;col=6&amp;number=&amp;sourceID=54","")</f>
        <v/>
      </c>
      <c r="G1166" s="4" t="str">
        <f>HYPERLINK("http://141.218.60.56/~jnz1568/getInfo.php?workbook=16_15.xlsx&amp;sheet=A0&amp;row=1166&amp;col=7&amp;number=0.569&amp;sourceID=54","0.569")</f>
        <v>0.569</v>
      </c>
      <c r="H1166" s="4" t="str">
        <f>HYPERLINK("http://141.218.60.56/~jnz1568/getInfo.php?workbook=16_15.xlsx&amp;sheet=A0&amp;row=1166&amp;col=8&amp;number=&amp;sourceID=54","")</f>
        <v/>
      </c>
      <c r="I1166" s="4" t="str">
        <f>HYPERLINK("http://141.218.60.56/~jnz1568/getInfo.php?workbook=16_15.xlsx&amp;sheet=A0&amp;row=1166&amp;col=9&amp;number=&amp;sourceID=54","")</f>
        <v/>
      </c>
      <c r="J1166" s="4" t="str">
        <f>HYPERLINK("http://141.218.60.56/~jnz1568/getInfo.php?workbook=16_15.xlsx&amp;sheet=A0&amp;row=1166&amp;col=10&amp;number=0.89995&amp;sourceID=54","0.89995")</f>
        <v>0.89995</v>
      </c>
      <c r="K1166" s="4" t="str">
        <f>HYPERLINK("http://141.218.60.56/~jnz1568/getInfo.php?workbook=16_15.xlsx&amp;sheet=A0&amp;row=1166&amp;col=11&amp;number=&amp;sourceID=54","")</f>
        <v/>
      </c>
      <c r="L1166" s="4" t="str">
        <f>HYPERLINK("http://141.218.60.56/~jnz1568/getInfo.php?workbook=16_15.xlsx&amp;sheet=A0&amp;row=1166&amp;col=12&amp;number=&amp;sourceID=53","")</f>
        <v/>
      </c>
      <c r="M1166" s="4" t="str">
        <f>HYPERLINK("http://141.218.60.56/~jnz1568/getInfo.php?workbook=16_15.xlsx&amp;sheet=A0&amp;row=1166&amp;col=13&amp;number=&amp;sourceID=53","")</f>
        <v/>
      </c>
      <c r="N1166" s="4" t="str">
        <f>HYPERLINK("http://141.218.60.56/~jnz1568/getInfo.php?workbook=16_15.xlsx&amp;sheet=A0&amp;row=1166&amp;col=14&amp;number=&amp;sourceID=53","")</f>
        <v/>
      </c>
      <c r="O1166" s="4" t="str">
        <f>HYPERLINK("http://141.218.60.56/~jnz1568/getInfo.php?workbook=16_15.xlsx&amp;sheet=A0&amp;row=1166&amp;col=15&amp;number=&amp;sourceID=55","")</f>
        <v/>
      </c>
      <c r="P1166" s="4" t="str">
        <f>HYPERLINK("http://141.218.60.56/~jnz1568/getInfo.php?workbook=16_15.xlsx&amp;sheet=A0&amp;row=1166&amp;col=16&amp;number=&amp;sourceID=55","")</f>
        <v/>
      </c>
      <c r="Q1166" s="4" t="str">
        <f>HYPERLINK("http://141.218.60.56/~jnz1568/getInfo.php?workbook=16_15.xlsx&amp;sheet=A0&amp;row=1166&amp;col=17&amp;number=&amp;sourceID=56","")</f>
        <v/>
      </c>
      <c r="R1166" s="4" t="str">
        <f>HYPERLINK("http://141.218.60.56/~jnz1568/getInfo.php?workbook=16_15.xlsx&amp;sheet=A0&amp;row=1166&amp;col=18&amp;number=&amp;sourceID=56","")</f>
        <v/>
      </c>
      <c r="S1166" s="4" t="str">
        <f>HYPERLINK("http://141.218.60.56/~jnz1568/getInfo.php?workbook=16_15.xlsx&amp;sheet=A0&amp;row=1166&amp;col=19&amp;number=&amp;sourceID=57","")</f>
        <v/>
      </c>
      <c r="T1166" s="4" t="str">
        <f>HYPERLINK("http://141.218.60.56/~jnz1568/getInfo.php?workbook=16_15.xlsx&amp;sheet=A0&amp;row=1166&amp;col=20&amp;number=&amp;sourceID=57","")</f>
        <v/>
      </c>
      <c r="U1166" s="4" t="str">
        <f>HYPERLINK("http://141.218.60.56/~jnz1568/getInfo.php?workbook=16_15.xlsx&amp;sheet=A0&amp;row=1166&amp;col=21&amp;number=&amp;sourceID=47","")</f>
        <v/>
      </c>
      <c r="V1166" s="4" t="str">
        <f>HYPERLINK("http://141.218.60.56/~jnz1568/getInfo.php?workbook=16_15.xlsx&amp;sheet=A0&amp;row=1166&amp;col=22&amp;number=&amp;sourceID=47","")</f>
        <v/>
      </c>
    </row>
    <row r="1167" spans="1:22">
      <c r="A1167" s="3">
        <v>16</v>
      </c>
      <c r="B1167" s="3">
        <v>15</v>
      </c>
      <c r="C1167" s="3">
        <v>55</v>
      </c>
      <c r="D1167" s="3">
        <v>26</v>
      </c>
      <c r="E1167" s="3">
        <f>((1/(INDEX(E0!J$4:J$73,C1167,1)-INDEX(E0!J$4:J$73,D1167,1))))*100000000</f>
        <v>0</v>
      </c>
      <c r="F1167" s="4" t="str">
        <f>HYPERLINK("http://141.218.60.56/~jnz1568/getInfo.php?workbook=16_15.xlsx&amp;sheet=A0&amp;row=1167&amp;col=6&amp;number=&amp;sourceID=54","")</f>
        <v/>
      </c>
      <c r="G1167" s="4" t="str">
        <f>HYPERLINK("http://141.218.60.56/~jnz1568/getInfo.php?workbook=16_15.xlsx&amp;sheet=A0&amp;row=1167&amp;col=7&amp;number=1.7628&amp;sourceID=54","1.7628")</f>
        <v>1.7628</v>
      </c>
      <c r="H1167" s="4" t="str">
        <f>HYPERLINK("http://141.218.60.56/~jnz1568/getInfo.php?workbook=16_15.xlsx&amp;sheet=A0&amp;row=1167&amp;col=8&amp;number=0.00022027&amp;sourceID=54","0.00022027")</f>
        <v>0.00022027</v>
      </c>
      <c r="I1167" s="4" t="str">
        <f>HYPERLINK("http://141.218.60.56/~jnz1568/getInfo.php?workbook=16_15.xlsx&amp;sheet=A0&amp;row=1167&amp;col=9&amp;number=&amp;sourceID=54","")</f>
        <v/>
      </c>
      <c r="J1167" s="4" t="str">
        <f>HYPERLINK("http://141.218.60.56/~jnz1568/getInfo.php?workbook=16_15.xlsx&amp;sheet=A0&amp;row=1167&amp;col=10&amp;number=1.5919&amp;sourceID=54","1.5919")</f>
        <v>1.5919</v>
      </c>
      <c r="K1167" s="4" t="str">
        <f>HYPERLINK("http://141.218.60.56/~jnz1568/getInfo.php?workbook=16_15.xlsx&amp;sheet=A0&amp;row=1167&amp;col=11&amp;number=0.00045788&amp;sourceID=54","0.00045788")</f>
        <v>0.00045788</v>
      </c>
      <c r="L1167" s="4" t="str">
        <f>HYPERLINK("http://141.218.60.56/~jnz1568/getInfo.php?workbook=16_15.xlsx&amp;sheet=A0&amp;row=1167&amp;col=12&amp;number=&amp;sourceID=53","")</f>
        <v/>
      </c>
      <c r="M1167" s="4" t="str">
        <f>HYPERLINK("http://141.218.60.56/~jnz1568/getInfo.php?workbook=16_15.xlsx&amp;sheet=A0&amp;row=1167&amp;col=13&amp;number=&amp;sourceID=53","")</f>
        <v/>
      </c>
      <c r="N1167" s="4" t="str">
        <f>HYPERLINK("http://141.218.60.56/~jnz1568/getInfo.php?workbook=16_15.xlsx&amp;sheet=A0&amp;row=1167&amp;col=14&amp;number=&amp;sourceID=53","")</f>
        <v/>
      </c>
      <c r="O1167" s="4" t="str">
        <f>HYPERLINK("http://141.218.60.56/~jnz1568/getInfo.php?workbook=16_15.xlsx&amp;sheet=A0&amp;row=1167&amp;col=15&amp;number=&amp;sourceID=55","")</f>
        <v/>
      </c>
      <c r="P1167" s="4" t="str">
        <f>HYPERLINK("http://141.218.60.56/~jnz1568/getInfo.php?workbook=16_15.xlsx&amp;sheet=A0&amp;row=1167&amp;col=16&amp;number=&amp;sourceID=55","")</f>
        <v/>
      </c>
      <c r="Q1167" s="4" t="str">
        <f>HYPERLINK("http://141.218.60.56/~jnz1568/getInfo.php?workbook=16_15.xlsx&amp;sheet=A0&amp;row=1167&amp;col=17&amp;number=&amp;sourceID=56","")</f>
        <v/>
      </c>
      <c r="R1167" s="4" t="str">
        <f>HYPERLINK("http://141.218.60.56/~jnz1568/getInfo.php?workbook=16_15.xlsx&amp;sheet=A0&amp;row=1167&amp;col=18&amp;number=&amp;sourceID=56","")</f>
        <v/>
      </c>
      <c r="S1167" s="4" t="str">
        <f>HYPERLINK("http://141.218.60.56/~jnz1568/getInfo.php?workbook=16_15.xlsx&amp;sheet=A0&amp;row=1167&amp;col=19&amp;number=&amp;sourceID=57","")</f>
        <v/>
      </c>
      <c r="T1167" s="4" t="str">
        <f>HYPERLINK("http://141.218.60.56/~jnz1568/getInfo.php?workbook=16_15.xlsx&amp;sheet=A0&amp;row=1167&amp;col=20&amp;number=&amp;sourceID=57","")</f>
        <v/>
      </c>
      <c r="U1167" s="4" t="str">
        <f>HYPERLINK("http://141.218.60.56/~jnz1568/getInfo.php?workbook=16_15.xlsx&amp;sheet=A0&amp;row=1167&amp;col=21&amp;number=&amp;sourceID=47","")</f>
        <v/>
      </c>
      <c r="V1167" s="4" t="str">
        <f>HYPERLINK("http://141.218.60.56/~jnz1568/getInfo.php?workbook=16_15.xlsx&amp;sheet=A0&amp;row=1167&amp;col=22&amp;number=&amp;sourceID=47","")</f>
        <v/>
      </c>
    </row>
    <row r="1168" spans="1:22">
      <c r="A1168" s="3">
        <v>16</v>
      </c>
      <c r="B1168" s="3">
        <v>15</v>
      </c>
      <c r="C1168" s="3">
        <v>55</v>
      </c>
      <c r="D1168" s="3">
        <v>27</v>
      </c>
      <c r="E1168" s="3">
        <f>((1/(INDEX(E0!J$4:J$73,C1168,1)-INDEX(E0!J$4:J$73,D1168,1))))*100000000</f>
        <v>0</v>
      </c>
      <c r="F1168" s="4" t="str">
        <f>HYPERLINK("http://141.218.60.56/~jnz1568/getInfo.php?workbook=16_15.xlsx&amp;sheet=A0&amp;row=1168&amp;col=6&amp;number=&amp;sourceID=54","")</f>
        <v/>
      </c>
      <c r="G1168" s="4" t="str">
        <f>HYPERLINK("http://141.218.60.56/~jnz1568/getInfo.php?workbook=16_15.xlsx&amp;sheet=A0&amp;row=1168&amp;col=7&amp;number=12.058&amp;sourceID=54","12.058")</f>
        <v>12.058</v>
      </c>
      <c r="H1168" s="4" t="str">
        <f>HYPERLINK("http://141.218.60.56/~jnz1568/getInfo.php?workbook=16_15.xlsx&amp;sheet=A0&amp;row=1168&amp;col=8&amp;number=&amp;sourceID=54","")</f>
        <v/>
      </c>
      <c r="I1168" s="4" t="str">
        <f>HYPERLINK("http://141.218.60.56/~jnz1568/getInfo.php?workbook=16_15.xlsx&amp;sheet=A0&amp;row=1168&amp;col=9&amp;number=&amp;sourceID=54","")</f>
        <v/>
      </c>
      <c r="J1168" s="4" t="str">
        <f>HYPERLINK("http://141.218.60.56/~jnz1568/getInfo.php?workbook=16_15.xlsx&amp;sheet=A0&amp;row=1168&amp;col=10&amp;number=10.7&amp;sourceID=54","10.7")</f>
        <v>10.7</v>
      </c>
      <c r="K1168" s="4" t="str">
        <f>HYPERLINK("http://141.218.60.56/~jnz1568/getInfo.php?workbook=16_15.xlsx&amp;sheet=A0&amp;row=1168&amp;col=11&amp;number=&amp;sourceID=54","")</f>
        <v/>
      </c>
      <c r="L1168" s="4" t="str">
        <f>HYPERLINK("http://141.218.60.56/~jnz1568/getInfo.php?workbook=16_15.xlsx&amp;sheet=A0&amp;row=1168&amp;col=12&amp;number=&amp;sourceID=53","")</f>
        <v/>
      </c>
      <c r="M1168" s="4" t="str">
        <f>HYPERLINK("http://141.218.60.56/~jnz1568/getInfo.php?workbook=16_15.xlsx&amp;sheet=A0&amp;row=1168&amp;col=13&amp;number=&amp;sourceID=53","")</f>
        <v/>
      </c>
      <c r="N1168" s="4" t="str">
        <f>HYPERLINK("http://141.218.60.56/~jnz1568/getInfo.php?workbook=16_15.xlsx&amp;sheet=A0&amp;row=1168&amp;col=14&amp;number=&amp;sourceID=53","")</f>
        <v/>
      </c>
      <c r="O1168" s="4" t="str">
        <f>HYPERLINK("http://141.218.60.56/~jnz1568/getInfo.php?workbook=16_15.xlsx&amp;sheet=A0&amp;row=1168&amp;col=15&amp;number=&amp;sourceID=55","")</f>
        <v/>
      </c>
      <c r="P1168" s="4" t="str">
        <f>HYPERLINK("http://141.218.60.56/~jnz1568/getInfo.php?workbook=16_15.xlsx&amp;sheet=A0&amp;row=1168&amp;col=16&amp;number=&amp;sourceID=55","")</f>
        <v/>
      </c>
      <c r="Q1168" s="4" t="str">
        <f>HYPERLINK("http://141.218.60.56/~jnz1568/getInfo.php?workbook=16_15.xlsx&amp;sheet=A0&amp;row=1168&amp;col=17&amp;number=&amp;sourceID=56","")</f>
        <v/>
      </c>
      <c r="R1168" s="4" t="str">
        <f>HYPERLINK("http://141.218.60.56/~jnz1568/getInfo.php?workbook=16_15.xlsx&amp;sheet=A0&amp;row=1168&amp;col=18&amp;number=&amp;sourceID=56","")</f>
        <v/>
      </c>
      <c r="S1168" s="4" t="str">
        <f>HYPERLINK("http://141.218.60.56/~jnz1568/getInfo.php?workbook=16_15.xlsx&amp;sheet=A0&amp;row=1168&amp;col=19&amp;number=&amp;sourceID=57","")</f>
        <v/>
      </c>
      <c r="T1168" s="4" t="str">
        <f>HYPERLINK("http://141.218.60.56/~jnz1568/getInfo.php?workbook=16_15.xlsx&amp;sheet=A0&amp;row=1168&amp;col=20&amp;number=&amp;sourceID=57","")</f>
        <v/>
      </c>
      <c r="U1168" s="4" t="str">
        <f>HYPERLINK("http://141.218.60.56/~jnz1568/getInfo.php?workbook=16_15.xlsx&amp;sheet=A0&amp;row=1168&amp;col=21&amp;number=&amp;sourceID=47","")</f>
        <v/>
      </c>
      <c r="V1168" s="4" t="str">
        <f>HYPERLINK("http://141.218.60.56/~jnz1568/getInfo.php?workbook=16_15.xlsx&amp;sheet=A0&amp;row=1168&amp;col=22&amp;number=&amp;sourceID=47","")</f>
        <v/>
      </c>
    </row>
    <row r="1169" spans="1:22">
      <c r="A1169" s="3">
        <v>16</v>
      </c>
      <c r="B1169" s="3">
        <v>15</v>
      </c>
      <c r="C1169" s="3">
        <v>55</v>
      </c>
      <c r="D1169" s="3">
        <v>28</v>
      </c>
      <c r="E1169" s="3">
        <f>((1/(INDEX(E0!J$4:J$73,C1169,1)-INDEX(E0!J$4:J$73,D1169,1))))*100000000</f>
        <v>0</v>
      </c>
      <c r="F1169" s="4" t="str">
        <f>HYPERLINK("http://141.218.60.56/~jnz1568/getInfo.php?workbook=16_15.xlsx&amp;sheet=A0&amp;row=1169&amp;col=6&amp;number=&amp;sourceID=54","")</f>
        <v/>
      </c>
      <c r="G1169" s="4" t="str">
        <f>HYPERLINK("http://141.218.60.56/~jnz1568/getInfo.php?workbook=16_15.xlsx&amp;sheet=A0&amp;row=1169&amp;col=7&amp;number=3.7605e-05&amp;sourceID=54","3.7605e-05")</f>
        <v>3.7605e-05</v>
      </c>
      <c r="H1169" s="4" t="str">
        <f>HYPERLINK("http://141.218.60.56/~jnz1568/getInfo.php?workbook=16_15.xlsx&amp;sheet=A0&amp;row=1169&amp;col=8&amp;number=0.0011142&amp;sourceID=54","0.0011142")</f>
        <v>0.0011142</v>
      </c>
      <c r="I1169" s="4" t="str">
        <f>HYPERLINK("http://141.218.60.56/~jnz1568/getInfo.php?workbook=16_15.xlsx&amp;sheet=A0&amp;row=1169&amp;col=9&amp;number=&amp;sourceID=54","")</f>
        <v/>
      </c>
      <c r="J1169" s="4" t="str">
        <f>HYPERLINK("http://141.218.60.56/~jnz1568/getInfo.php?workbook=16_15.xlsx&amp;sheet=A0&amp;row=1169&amp;col=10&amp;number=3.4945e-05&amp;sourceID=54","3.4945e-05")</f>
        <v>3.4945e-05</v>
      </c>
      <c r="K1169" s="4" t="str">
        <f>HYPERLINK("http://141.218.60.56/~jnz1568/getInfo.php?workbook=16_15.xlsx&amp;sheet=A0&amp;row=1169&amp;col=11&amp;number=0.00086107&amp;sourceID=54","0.00086107")</f>
        <v>0.00086107</v>
      </c>
      <c r="L1169" s="4" t="str">
        <f>HYPERLINK("http://141.218.60.56/~jnz1568/getInfo.php?workbook=16_15.xlsx&amp;sheet=A0&amp;row=1169&amp;col=12&amp;number=&amp;sourceID=53","")</f>
        <v/>
      </c>
      <c r="M1169" s="4" t="str">
        <f>HYPERLINK("http://141.218.60.56/~jnz1568/getInfo.php?workbook=16_15.xlsx&amp;sheet=A0&amp;row=1169&amp;col=13&amp;number=&amp;sourceID=53","")</f>
        <v/>
      </c>
      <c r="N1169" s="4" t="str">
        <f>HYPERLINK("http://141.218.60.56/~jnz1568/getInfo.php?workbook=16_15.xlsx&amp;sheet=A0&amp;row=1169&amp;col=14&amp;number=&amp;sourceID=53","")</f>
        <v/>
      </c>
      <c r="O1169" s="4" t="str">
        <f>HYPERLINK("http://141.218.60.56/~jnz1568/getInfo.php?workbook=16_15.xlsx&amp;sheet=A0&amp;row=1169&amp;col=15&amp;number=&amp;sourceID=55","")</f>
        <v/>
      </c>
      <c r="P1169" s="4" t="str">
        <f>HYPERLINK("http://141.218.60.56/~jnz1568/getInfo.php?workbook=16_15.xlsx&amp;sheet=A0&amp;row=1169&amp;col=16&amp;number=&amp;sourceID=55","")</f>
        <v/>
      </c>
      <c r="Q1169" s="4" t="str">
        <f>HYPERLINK("http://141.218.60.56/~jnz1568/getInfo.php?workbook=16_15.xlsx&amp;sheet=A0&amp;row=1169&amp;col=17&amp;number=&amp;sourceID=56","")</f>
        <v/>
      </c>
      <c r="R1169" s="4" t="str">
        <f>HYPERLINK("http://141.218.60.56/~jnz1568/getInfo.php?workbook=16_15.xlsx&amp;sheet=A0&amp;row=1169&amp;col=18&amp;number=&amp;sourceID=56","")</f>
        <v/>
      </c>
      <c r="S1169" s="4" t="str">
        <f>HYPERLINK("http://141.218.60.56/~jnz1568/getInfo.php?workbook=16_15.xlsx&amp;sheet=A0&amp;row=1169&amp;col=19&amp;number=&amp;sourceID=57","")</f>
        <v/>
      </c>
      <c r="T1169" s="4" t="str">
        <f>HYPERLINK("http://141.218.60.56/~jnz1568/getInfo.php?workbook=16_15.xlsx&amp;sheet=A0&amp;row=1169&amp;col=20&amp;number=&amp;sourceID=57","")</f>
        <v/>
      </c>
      <c r="U1169" s="4" t="str">
        <f>HYPERLINK("http://141.218.60.56/~jnz1568/getInfo.php?workbook=16_15.xlsx&amp;sheet=A0&amp;row=1169&amp;col=21&amp;number=&amp;sourceID=47","")</f>
        <v/>
      </c>
      <c r="V1169" s="4" t="str">
        <f>HYPERLINK("http://141.218.60.56/~jnz1568/getInfo.php?workbook=16_15.xlsx&amp;sheet=A0&amp;row=1169&amp;col=22&amp;number=&amp;sourceID=47","")</f>
        <v/>
      </c>
    </row>
    <row r="1170" spans="1:22">
      <c r="A1170" s="3">
        <v>16</v>
      </c>
      <c r="B1170" s="3">
        <v>15</v>
      </c>
      <c r="C1170" s="3">
        <v>55</v>
      </c>
      <c r="D1170" s="3">
        <v>29</v>
      </c>
      <c r="E1170" s="3">
        <f>((1/(INDEX(E0!J$4:J$73,C1170,1)-INDEX(E0!J$4:J$73,D1170,1))))*100000000</f>
        <v>0</v>
      </c>
      <c r="F1170" s="4" t="str">
        <f>HYPERLINK("http://141.218.60.56/~jnz1568/getInfo.php?workbook=16_15.xlsx&amp;sheet=A0&amp;row=1170&amp;col=6&amp;number=&amp;sourceID=54","")</f>
        <v/>
      </c>
      <c r="G1170" s="4" t="str">
        <f>HYPERLINK("http://141.218.60.56/~jnz1568/getInfo.php?workbook=16_15.xlsx&amp;sheet=A0&amp;row=1170&amp;col=7&amp;number=4.5708&amp;sourceID=54","4.5708")</f>
        <v>4.5708</v>
      </c>
      <c r="H1170" s="4" t="str">
        <f>HYPERLINK("http://141.218.60.56/~jnz1568/getInfo.php?workbook=16_15.xlsx&amp;sheet=A0&amp;row=1170&amp;col=8&amp;number=8.6361e-06&amp;sourceID=54","8.6361e-06")</f>
        <v>8.6361e-06</v>
      </c>
      <c r="I1170" s="4" t="str">
        <f>HYPERLINK("http://141.218.60.56/~jnz1568/getInfo.php?workbook=16_15.xlsx&amp;sheet=A0&amp;row=1170&amp;col=9&amp;number=&amp;sourceID=54","")</f>
        <v/>
      </c>
      <c r="J1170" s="4" t="str">
        <f>HYPERLINK("http://141.218.60.56/~jnz1568/getInfo.php?workbook=16_15.xlsx&amp;sheet=A0&amp;row=1170&amp;col=10&amp;number=3.7695&amp;sourceID=54","3.7695")</f>
        <v>3.7695</v>
      </c>
      <c r="K1170" s="4" t="str">
        <f>HYPERLINK("http://141.218.60.56/~jnz1568/getInfo.php?workbook=16_15.xlsx&amp;sheet=A0&amp;row=1170&amp;col=11&amp;number=7.0664e-06&amp;sourceID=54","7.0664e-06")</f>
        <v>7.0664e-06</v>
      </c>
      <c r="L1170" s="4" t="str">
        <f>HYPERLINK("http://141.218.60.56/~jnz1568/getInfo.php?workbook=16_15.xlsx&amp;sheet=A0&amp;row=1170&amp;col=12&amp;number=&amp;sourceID=53","")</f>
        <v/>
      </c>
      <c r="M1170" s="4" t="str">
        <f>HYPERLINK("http://141.218.60.56/~jnz1568/getInfo.php?workbook=16_15.xlsx&amp;sheet=A0&amp;row=1170&amp;col=13&amp;number=&amp;sourceID=53","")</f>
        <v/>
      </c>
      <c r="N1170" s="4" t="str">
        <f>HYPERLINK("http://141.218.60.56/~jnz1568/getInfo.php?workbook=16_15.xlsx&amp;sheet=A0&amp;row=1170&amp;col=14&amp;number=&amp;sourceID=53","")</f>
        <v/>
      </c>
      <c r="O1170" s="4" t="str">
        <f>HYPERLINK("http://141.218.60.56/~jnz1568/getInfo.php?workbook=16_15.xlsx&amp;sheet=A0&amp;row=1170&amp;col=15&amp;number=&amp;sourceID=55","")</f>
        <v/>
      </c>
      <c r="P1170" s="4" t="str">
        <f>HYPERLINK("http://141.218.60.56/~jnz1568/getInfo.php?workbook=16_15.xlsx&amp;sheet=A0&amp;row=1170&amp;col=16&amp;number=&amp;sourceID=55","")</f>
        <v/>
      </c>
      <c r="Q1170" s="4" t="str">
        <f>HYPERLINK("http://141.218.60.56/~jnz1568/getInfo.php?workbook=16_15.xlsx&amp;sheet=A0&amp;row=1170&amp;col=17&amp;number=&amp;sourceID=56","")</f>
        <v/>
      </c>
      <c r="R1170" s="4" t="str">
        <f>HYPERLINK("http://141.218.60.56/~jnz1568/getInfo.php?workbook=16_15.xlsx&amp;sheet=A0&amp;row=1170&amp;col=18&amp;number=&amp;sourceID=56","")</f>
        <v/>
      </c>
      <c r="S1170" s="4" t="str">
        <f>HYPERLINK("http://141.218.60.56/~jnz1568/getInfo.php?workbook=16_15.xlsx&amp;sheet=A0&amp;row=1170&amp;col=19&amp;number=&amp;sourceID=57","")</f>
        <v/>
      </c>
      <c r="T1170" s="4" t="str">
        <f>HYPERLINK("http://141.218.60.56/~jnz1568/getInfo.php?workbook=16_15.xlsx&amp;sheet=A0&amp;row=1170&amp;col=20&amp;number=&amp;sourceID=57","")</f>
        <v/>
      </c>
      <c r="U1170" s="4" t="str">
        <f>HYPERLINK("http://141.218.60.56/~jnz1568/getInfo.php?workbook=16_15.xlsx&amp;sheet=A0&amp;row=1170&amp;col=21&amp;number=&amp;sourceID=47","")</f>
        <v/>
      </c>
      <c r="V1170" s="4" t="str">
        <f>HYPERLINK("http://141.218.60.56/~jnz1568/getInfo.php?workbook=16_15.xlsx&amp;sheet=A0&amp;row=1170&amp;col=22&amp;number=&amp;sourceID=47","")</f>
        <v/>
      </c>
    </row>
    <row r="1171" spans="1:22">
      <c r="A1171" s="3">
        <v>16</v>
      </c>
      <c r="B1171" s="3">
        <v>15</v>
      </c>
      <c r="C1171" s="3">
        <v>55</v>
      </c>
      <c r="D1171" s="3">
        <v>30</v>
      </c>
      <c r="E1171" s="3">
        <f>((1/(INDEX(E0!J$4:J$73,C1171,1)-INDEX(E0!J$4:J$73,D1171,1))))*100000000</f>
        <v>0</v>
      </c>
      <c r="F1171" s="4" t="str">
        <f>HYPERLINK("http://141.218.60.56/~jnz1568/getInfo.php?workbook=16_15.xlsx&amp;sheet=A0&amp;row=1171&amp;col=6&amp;number=&amp;sourceID=54","")</f>
        <v/>
      </c>
      <c r="G1171" s="4" t="str">
        <f>HYPERLINK("http://141.218.60.56/~jnz1568/getInfo.php?workbook=16_15.xlsx&amp;sheet=A0&amp;row=1171&amp;col=7&amp;number=11.032&amp;sourceID=54","11.032")</f>
        <v>11.032</v>
      </c>
      <c r="H1171" s="4" t="str">
        <f>HYPERLINK("http://141.218.60.56/~jnz1568/getInfo.php?workbook=16_15.xlsx&amp;sheet=A0&amp;row=1171&amp;col=8&amp;number=2.1593e-06&amp;sourceID=54","2.1593e-06")</f>
        <v>2.1593e-06</v>
      </c>
      <c r="I1171" s="4" t="str">
        <f>HYPERLINK("http://141.218.60.56/~jnz1568/getInfo.php?workbook=16_15.xlsx&amp;sheet=A0&amp;row=1171&amp;col=9&amp;number=&amp;sourceID=54","")</f>
        <v/>
      </c>
      <c r="J1171" s="4" t="str">
        <f>HYPERLINK("http://141.218.60.56/~jnz1568/getInfo.php?workbook=16_15.xlsx&amp;sheet=A0&amp;row=1171&amp;col=10&amp;number=8.9341&amp;sourceID=54","8.9341")</f>
        <v>8.9341</v>
      </c>
      <c r="K1171" s="4" t="str">
        <f>HYPERLINK("http://141.218.60.56/~jnz1568/getInfo.php?workbook=16_15.xlsx&amp;sheet=A0&amp;row=1171&amp;col=11&amp;number=1.9696e-06&amp;sourceID=54","1.9696e-06")</f>
        <v>1.9696e-06</v>
      </c>
      <c r="L1171" s="4" t="str">
        <f>HYPERLINK("http://141.218.60.56/~jnz1568/getInfo.php?workbook=16_15.xlsx&amp;sheet=A0&amp;row=1171&amp;col=12&amp;number=&amp;sourceID=53","")</f>
        <v/>
      </c>
      <c r="M1171" s="4" t="str">
        <f>HYPERLINK("http://141.218.60.56/~jnz1568/getInfo.php?workbook=16_15.xlsx&amp;sheet=A0&amp;row=1171&amp;col=13&amp;number=&amp;sourceID=53","")</f>
        <v/>
      </c>
      <c r="N1171" s="4" t="str">
        <f>HYPERLINK("http://141.218.60.56/~jnz1568/getInfo.php?workbook=16_15.xlsx&amp;sheet=A0&amp;row=1171&amp;col=14&amp;number=&amp;sourceID=53","")</f>
        <v/>
      </c>
      <c r="O1171" s="4" t="str">
        <f>HYPERLINK("http://141.218.60.56/~jnz1568/getInfo.php?workbook=16_15.xlsx&amp;sheet=A0&amp;row=1171&amp;col=15&amp;number=&amp;sourceID=55","")</f>
        <v/>
      </c>
      <c r="P1171" s="4" t="str">
        <f>HYPERLINK("http://141.218.60.56/~jnz1568/getInfo.php?workbook=16_15.xlsx&amp;sheet=A0&amp;row=1171&amp;col=16&amp;number=&amp;sourceID=55","")</f>
        <v/>
      </c>
      <c r="Q1171" s="4" t="str">
        <f>HYPERLINK("http://141.218.60.56/~jnz1568/getInfo.php?workbook=16_15.xlsx&amp;sheet=A0&amp;row=1171&amp;col=17&amp;number=&amp;sourceID=56","")</f>
        <v/>
      </c>
      <c r="R1171" s="4" t="str">
        <f>HYPERLINK("http://141.218.60.56/~jnz1568/getInfo.php?workbook=16_15.xlsx&amp;sheet=A0&amp;row=1171&amp;col=18&amp;number=&amp;sourceID=56","")</f>
        <v/>
      </c>
      <c r="S1171" s="4" t="str">
        <f>HYPERLINK("http://141.218.60.56/~jnz1568/getInfo.php?workbook=16_15.xlsx&amp;sheet=A0&amp;row=1171&amp;col=19&amp;number=&amp;sourceID=57","")</f>
        <v/>
      </c>
      <c r="T1171" s="4" t="str">
        <f>HYPERLINK("http://141.218.60.56/~jnz1568/getInfo.php?workbook=16_15.xlsx&amp;sheet=A0&amp;row=1171&amp;col=20&amp;number=&amp;sourceID=57","")</f>
        <v/>
      </c>
      <c r="U1171" s="4" t="str">
        <f>HYPERLINK("http://141.218.60.56/~jnz1568/getInfo.php?workbook=16_15.xlsx&amp;sheet=A0&amp;row=1171&amp;col=21&amp;number=&amp;sourceID=47","")</f>
        <v/>
      </c>
      <c r="V1171" s="4" t="str">
        <f>HYPERLINK("http://141.218.60.56/~jnz1568/getInfo.php?workbook=16_15.xlsx&amp;sheet=A0&amp;row=1171&amp;col=22&amp;number=&amp;sourceID=47","")</f>
        <v/>
      </c>
    </row>
    <row r="1172" spans="1:22">
      <c r="A1172" s="3">
        <v>16</v>
      </c>
      <c r="B1172" s="3">
        <v>15</v>
      </c>
      <c r="C1172" s="3">
        <v>55</v>
      </c>
      <c r="D1172" s="3">
        <v>31</v>
      </c>
      <c r="E1172" s="3">
        <f>((1/(INDEX(E0!J$4:J$73,C1172,1)-INDEX(E0!J$4:J$73,D1172,1))))*100000000</f>
        <v>0</v>
      </c>
      <c r="F1172" s="4" t="str">
        <f>HYPERLINK("http://141.218.60.56/~jnz1568/getInfo.php?workbook=16_15.xlsx&amp;sheet=A0&amp;row=1172&amp;col=6&amp;number=2171400&amp;sourceID=54","2171400")</f>
        <v>2171400</v>
      </c>
      <c r="G1172" s="4" t="str">
        <f>HYPERLINK("http://141.218.60.56/~jnz1568/getInfo.php?workbook=16_15.xlsx&amp;sheet=A0&amp;row=1172&amp;col=7&amp;number=&amp;sourceID=54","")</f>
        <v/>
      </c>
      <c r="H1172" s="4" t="str">
        <f>HYPERLINK("http://141.218.60.56/~jnz1568/getInfo.php?workbook=16_15.xlsx&amp;sheet=A0&amp;row=1172&amp;col=8&amp;number=&amp;sourceID=54","")</f>
        <v/>
      </c>
      <c r="I1172" s="4" t="str">
        <f>HYPERLINK("http://141.218.60.56/~jnz1568/getInfo.php?workbook=16_15.xlsx&amp;sheet=A0&amp;row=1172&amp;col=9&amp;number=1963100&amp;sourceID=54","1963100")</f>
        <v>1963100</v>
      </c>
      <c r="J1172" s="4" t="str">
        <f>HYPERLINK("http://141.218.60.56/~jnz1568/getInfo.php?workbook=16_15.xlsx&amp;sheet=A0&amp;row=1172&amp;col=10&amp;number=&amp;sourceID=54","")</f>
        <v/>
      </c>
      <c r="K1172" s="4" t="str">
        <f>HYPERLINK("http://141.218.60.56/~jnz1568/getInfo.php?workbook=16_15.xlsx&amp;sheet=A0&amp;row=1172&amp;col=11&amp;number=&amp;sourceID=54","")</f>
        <v/>
      </c>
      <c r="L1172" s="4" t="str">
        <f>HYPERLINK("http://141.218.60.56/~jnz1568/getInfo.php?workbook=16_15.xlsx&amp;sheet=A0&amp;row=1172&amp;col=12&amp;number=1818536.65173&amp;sourceID=53","1818536.65173")</f>
        <v>1818536.65173</v>
      </c>
      <c r="M1172" s="4" t="str">
        <f>HYPERLINK("http://141.218.60.56/~jnz1568/getInfo.php?workbook=16_15.xlsx&amp;sheet=A0&amp;row=1172&amp;col=13&amp;number=&amp;sourceID=53","")</f>
        <v/>
      </c>
      <c r="N1172" s="4" t="str">
        <f>HYPERLINK("http://141.218.60.56/~jnz1568/getInfo.php?workbook=16_15.xlsx&amp;sheet=A0&amp;row=1172&amp;col=14&amp;number=&amp;sourceID=53","")</f>
        <v/>
      </c>
      <c r="O1172" s="4" t="str">
        <f>HYPERLINK("http://141.218.60.56/~jnz1568/getInfo.php?workbook=16_15.xlsx&amp;sheet=A0&amp;row=1172&amp;col=15&amp;number=&amp;sourceID=55","")</f>
        <v/>
      </c>
      <c r="P1172" s="4" t="str">
        <f>HYPERLINK("http://141.218.60.56/~jnz1568/getInfo.php?workbook=16_15.xlsx&amp;sheet=A0&amp;row=1172&amp;col=16&amp;number=&amp;sourceID=55","")</f>
        <v/>
      </c>
      <c r="Q1172" s="4" t="str">
        <f>HYPERLINK("http://141.218.60.56/~jnz1568/getInfo.php?workbook=16_15.xlsx&amp;sheet=A0&amp;row=1172&amp;col=17&amp;number=&amp;sourceID=56","")</f>
        <v/>
      </c>
      <c r="R1172" s="4" t="str">
        <f>HYPERLINK("http://141.218.60.56/~jnz1568/getInfo.php?workbook=16_15.xlsx&amp;sheet=A0&amp;row=1172&amp;col=18&amp;number=&amp;sourceID=56","")</f>
        <v/>
      </c>
      <c r="S1172" s="4" t="str">
        <f>HYPERLINK("http://141.218.60.56/~jnz1568/getInfo.php?workbook=16_15.xlsx&amp;sheet=A0&amp;row=1172&amp;col=19&amp;number=&amp;sourceID=57","")</f>
        <v/>
      </c>
      <c r="T1172" s="4" t="str">
        <f>HYPERLINK("http://141.218.60.56/~jnz1568/getInfo.php?workbook=16_15.xlsx&amp;sheet=A0&amp;row=1172&amp;col=20&amp;number=&amp;sourceID=57","")</f>
        <v/>
      </c>
      <c r="U1172" s="4" t="str">
        <f>HYPERLINK("http://141.218.60.56/~jnz1568/getInfo.php?workbook=16_15.xlsx&amp;sheet=A0&amp;row=1172&amp;col=21&amp;number=&amp;sourceID=47","")</f>
        <v/>
      </c>
      <c r="V1172" s="4" t="str">
        <f>HYPERLINK("http://141.218.60.56/~jnz1568/getInfo.php?workbook=16_15.xlsx&amp;sheet=A0&amp;row=1172&amp;col=22&amp;number=&amp;sourceID=47","")</f>
        <v/>
      </c>
    </row>
    <row r="1173" spans="1:22">
      <c r="A1173" s="3">
        <v>16</v>
      </c>
      <c r="B1173" s="3">
        <v>15</v>
      </c>
      <c r="C1173" s="3">
        <v>55</v>
      </c>
      <c r="D1173" s="3">
        <v>32</v>
      </c>
      <c r="E1173" s="3">
        <f>((1/(INDEX(E0!J$4:J$73,C1173,1)-INDEX(E0!J$4:J$73,D1173,1))))*100000000</f>
        <v>0</v>
      </c>
      <c r="F1173" s="4" t="str">
        <f>HYPERLINK("http://141.218.60.56/~jnz1568/getInfo.php?workbook=16_15.xlsx&amp;sheet=A0&amp;row=1173&amp;col=6&amp;number=&amp;sourceID=54","")</f>
        <v/>
      </c>
      <c r="G1173" s="4" t="str">
        <f>HYPERLINK("http://141.218.60.56/~jnz1568/getInfo.php?workbook=16_15.xlsx&amp;sheet=A0&amp;row=1173&amp;col=7&amp;number=1.993e-06&amp;sourceID=54","1.993e-06")</f>
        <v>1.993e-06</v>
      </c>
      <c r="H1173" s="4" t="str">
        <f>HYPERLINK("http://141.218.60.56/~jnz1568/getInfo.php?workbook=16_15.xlsx&amp;sheet=A0&amp;row=1173&amp;col=8&amp;number=&amp;sourceID=54","")</f>
        <v/>
      </c>
      <c r="I1173" s="4" t="str">
        <f>HYPERLINK("http://141.218.60.56/~jnz1568/getInfo.php?workbook=16_15.xlsx&amp;sheet=A0&amp;row=1173&amp;col=9&amp;number=&amp;sourceID=54","")</f>
        <v/>
      </c>
      <c r="J1173" s="4" t="str">
        <f>HYPERLINK("http://141.218.60.56/~jnz1568/getInfo.php?workbook=16_15.xlsx&amp;sheet=A0&amp;row=1173&amp;col=10&amp;number=8.3917e-06&amp;sourceID=54","8.3917e-06")</f>
        <v>8.3917e-06</v>
      </c>
      <c r="K1173" s="4" t="str">
        <f>HYPERLINK("http://141.218.60.56/~jnz1568/getInfo.php?workbook=16_15.xlsx&amp;sheet=A0&amp;row=1173&amp;col=11&amp;number=&amp;sourceID=54","")</f>
        <v/>
      </c>
      <c r="L1173" s="4" t="str">
        <f>HYPERLINK("http://141.218.60.56/~jnz1568/getInfo.php?workbook=16_15.xlsx&amp;sheet=A0&amp;row=1173&amp;col=12&amp;number=&amp;sourceID=53","")</f>
        <v/>
      </c>
      <c r="M1173" s="4" t="str">
        <f>HYPERLINK("http://141.218.60.56/~jnz1568/getInfo.php?workbook=16_15.xlsx&amp;sheet=A0&amp;row=1173&amp;col=13&amp;number=&amp;sourceID=53","")</f>
        <v/>
      </c>
      <c r="N1173" s="4" t="str">
        <f>HYPERLINK("http://141.218.60.56/~jnz1568/getInfo.php?workbook=16_15.xlsx&amp;sheet=A0&amp;row=1173&amp;col=14&amp;number=&amp;sourceID=53","")</f>
        <v/>
      </c>
      <c r="O1173" s="4" t="str">
        <f>HYPERLINK("http://141.218.60.56/~jnz1568/getInfo.php?workbook=16_15.xlsx&amp;sheet=A0&amp;row=1173&amp;col=15&amp;number=&amp;sourceID=55","")</f>
        <v/>
      </c>
      <c r="P1173" s="4" t="str">
        <f>HYPERLINK("http://141.218.60.56/~jnz1568/getInfo.php?workbook=16_15.xlsx&amp;sheet=A0&amp;row=1173&amp;col=16&amp;number=&amp;sourceID=55","")</f>
        <v/>
      </c>
      <c r="Q1173" s="4" t="str">
        <f>HYPERLINK("http://141.218.60.56/~jnz1568/getInfo.php?workbook=16_15.xlsx&amp;sheet=A0&amp;row=1173&amp;col=17&amp;number=&amp;sourceID=56","")</f>
        <v/>
      </c>
      <c r="R1173" s="4" t="str">
        <f>HYPERLINK("http://141.218.60.56/~jnz1568/getInfo.php?workbook=16_15.xlsx&amp;sheet=A0&amp;row=1173&amp;col=18&amp;number=&amp;sourceID=56","")</f>
        <v/>
      </c>
      <c r="S1173" s="4" t="str">
        <f>HYPERLINK("http://141.218.60.56/~jnz1568/getInfo.php?workbook=16_15.xlsx&amp;sheet=A0&amp;row=1173&amp;col=19&amp;number=&amp;sourceID=57","")</f>
        <v/>
      </c>
      <c r="T1173" s="4" t="str">
        <f>HYPERLINK("http://141.218.60.56/~jnz1568/getInfo.php?workbook=16_15.xlsx&amp;sheet=A0&amp;row=1173&amp;col=20&amp;number=&amp;sourceID=57","")</f>
        <v/>
      </c>
      <c r="U1173" s="4" t="str">
        <f>HYPERLINK("http://141.218.60.56/~jnz1568/getInfo.php?workbook=16_15.xlsx&amp;sheet=A0&amp;row=1173&amp;col=21&amp;number=&amp;sourceID=47","")</f>
        <v/>
      </c>
      <c r="V1173" s="4" t="str">
        <f>HYPERLINK("http://141.218.60.56/~jnz1568/getInfo.php?workbook=16_15.xlsx&amp;sheet=A0&amp;row=1173&amp;col=22&amp;number=&amp;sourceID=47","")</f>
        <v/>
      </c>
    </row>
    <row r="1174" spans="1:22">
      <c r="A1174" s="3">
        <v>16</v>
      </c>
      <c r="B1174" s="3">
        <v>15</v>
      </c>
      <c r="C1174" s="3">
        <v>55</v>
      </c>
      <c r="D1174" s="3">
        <v>34</v>
      </c>
      <c r="E1174" s="3">
        <f>((1/(INDEX(E0!J$4:J$73,C1174,1)-INDEX(E0!J$4:J$73,D1174,1))))*100000000</f>
        <v>0</v>
      </c>
      <c r="F1174" s="4" t="str">
        <f>HYPERLINK("http://141.218.60.56/~jnz1568/getInfo.php?workbook=16_15.xlsx&amp;sheet=A0&amp;row=1174&amp;col=6&amp;number=1213.1&amp;sourceID=54","1213.1")</f>
        <v>1213.1</v>
      </c>
      <c r="G1174" s="4" t="str">
        <f>HYPERLINK("http://141.218.60.56/~jnz1568/getInfo.php?workbook=16_15.xlsx&amp;sheet=A0&amp;row=1174&amp;col=7&amp;number=&amp;sourceID=54","")</f>
        <v/>
      </c>
      <c r="H1174" s="4" t="str">
        <f>HYPERLINK("http://141.218.60.56/~jnz1568/getInfo.php?workbook=16_15.xlsx&amp;sheet=A0&amp;row=1174&amp;col=8&amp;number=&amp;sourceID=54","")</f>
        <v/>
      </c>
      <c r="I1174" s="4" t="str">
        <f>HYPERLINK("http://141.218.60.56/~jnz1568/getInfo.php?workbook=16_15.xlsx&amp;sheet=A0&amp;row=1174&amp;col=9&amp;number=186.9&amp;sourceID=54","186.9")</f>
        <v>186.9</v>
      </c>
      <c r="J1174" s="4" t="str">
        <f>HYPERLINK("http://141.218.60.56/~jnz1568/getInfo.php?workbook=16_15.xlsx&amp;sheet=A0&amp;row=1174&amp;col=10&amp;number=&amp;sourceID=54","")</f>
        <v/>
      </c>
      <c r="K1174" s="4" t="str">
        <f>HYPERLINK("http://141.218.60.56/~jnz1568/getInfo.php?workbook=16_15.xlsx&amp;sheet=A0&amp;row=1174&amp;col=11&amp;number=&amp;sourceID=54","")</f>
        <v/>
      </c>
      <c r="L1174" s="4" t="str">
        <f>HYPERLINK("http://141.218.60.56/~jnz1568/getInfo.php?workbook=16_15.xlsx&amp;sheet=A0&amp;row=1174&amp;col=12&amp;number=149.618738738&amp;sourceID=53","149.618738738")</f>
        <v>149.618738738</v>
      </c>
      <c r="M1174" s="4" t="str">
        <f>HYPERLINK("http://141.218.60.56/~jnz1568/getInfo.php?workbook=16_15.xlsx&amp;sheet=A0&amp;row=1174&amp;col=13&amp;number=&amp;sourceID=53","")</f>
        <v/>
      </c>
      <c r="N1174" s="4" t="str">
        <f>HYPERLINK("http://141.218.60.56/~jnz1568/getInfo.php?workbook=16_15.xlsx&amp;sheet=A0&amp;row=1174&amp;col=14&amp;number=&amp;sourceID=53","")</f>
        <v/>
      </c>
      <c r="O1174" s="4" t="str">
        <f>HYPERLINK("http://141.218.60.56/~jnz1568/getInfo.php?workbook=16_15.xlsx&amp;sheet=A0&amp;row=1174&amp;col=15&amp;number=&amp;sourceID=55","")</f>
        <v/>
      </c>
      <c r="P1174" s="4" t="str">
        <f>HYPERLINK("http://141.218.60.56/~jnz1568/getInfo.php?workbook=16_15.xlsx&amp;sheet=A0&amp;row=1174&amp;col=16&amp;number=&amp;sourceID=55","")</f>
        <v/>
      </c>
      <c r="Q1174" s="4" t="str">
        <f>HYPERLINK("http://141.218.60.56/~jnz1568/getInfo.php?workbook=16_15.xlsx&amp;sheet=A0&amp;row=1174&amp;col=17&amp;number=&amp;sourceID=56","")</f>
        <v/>
      </c>
      <c r="R1174" s="4" t="str">
        <f>HYPERLINK("http://141.218.60.56/~jnz1568/getInfo.php?workbook=16_15.xlsx&amp;sheet=A0&amp;row=1174&amp;col=18&amp;number=&amp;sourceID=56","")</f>
        <v/>
      </c>
      <c r="S1174" s="4" t="str">
        <f>HYPERLINK("http://141.218.60.56/~jnz1568/getInfo.php?workbook=16_15.xlsx&amp;sheet=A0&amp;row=1174&amp;col=19&amp;number=&amp;sourceID=57","")</f>
        <v/>
      </c>
      <c r="T1174" s="4" t="str">
        <f>HYPERLINK("http://141.218.60.56/~jnz1568/getInfo.php?workbook=16_15.xlsx&amp;sheet=A0&amp;row=1174&amp;col=20&amp;number=&amp;sourceID=57","")</f>
        <v/>
      </c>
      <c r="U1174" s="4" t="str">
        <f>HYPERLINK("http://141.218.60.56/~jnz1568/getInfo.php?workbook=16_15.xlsx&amp;sheet=A0&amp;row=1174&amp;col=21&amp;number=&amp;sourceID=47","")</f>
        <v/>
      </c>
      <c r="V1174" s="4" t="str">
        <f>HYPERLINK("http://141.218.60.56/~jnz1568/getInfo.php?workbook=16_15.xlsx&amp;sheet=A0&amp;row=1174&amp;col=22&amp;number=&amp;sourceID=47","")</f>
        <v/>
      </c>
    </row>
    <row r="1175" spans="1:22">
      <c r="A1175" s="3">
        <v>16</v>
      </c>
      <c r="B1175" s="3">
        <v>15</v>
      </c>
      <c r="C1175" s="3">
        <v>55</v>
      </c>
      <c r="D1175" s="3">
        <v>35</v>
      </c>
      <c r="E1175" s="3">
        <f>((1/(INDEX(E0!J$4:J$73,C1175,1)-INDEX(E0!J$4:J$73,D1175,1))))*100000000</f>
        <v>0</v>
      </c>
      <c r="F1175" s="4" t="str">
        <f>HYPERLINK("http://141.218.60.56/~jnz1568/getInfo.php?workbook=16_15.xlsx&amp;sheet=A0&amp;row=1175&amp;col=6&amp;number=30.11&amp;sourceID=54","30.11")</f>
        <v>30.11</v>
      </c>
      <c r="G1175" s="4" t="str">
        <f>HYPERLINK("http://141.218.60.56/~jnz1568/getInfo.php?workbook=16_15.xlsx&amp;sheet=A0&amp;row=1175&amp;col=7&amp;number=&amp;sourceID=54","")</f>
        <v/>
      </c>
      <c r="H1175" s="4" t="str">
        <f>HYPERLINK("http://141.218.60.56/~jnz1568/getInfo.php?workbook=16_15.xlsx&amp;sheet=A0&amp;row=1175&amp;col=8&amp;number=&amp;sourceID=54","")</f>
        <v/>
      </c>
      <c r="I1175" s="4" t="str">
        <f>HYPERLINK("http://141.218.60.56/~jnz1568/getInfo.php?workbook=16_15.xlsx&amp;sheet=A0&amp;row=1175&amp;col=9&amp;number=3.0745&amp;sourceID=54","3.0745")</f>
        <v>3.0745</v>
      </c>
      <c r="J1175" s="4" t="str">
        <f>HYPERLINK("http://141.218.60.56/~jnz1568/getInfo.php?workbook=16_15.xlsx&amp;sheet=A0&amp;row=1175&amp;col=10&amp;number=&amp;sourceID=54","")</f>
        <v/>
      </c>
      <c r="K1175" s="4" t="str">
        <f>HYPERLINK("http://141.218.60.56/~jnz1568/getInfo.php?workbook=16_15.xlsx&amp;sheet=A0&amp;row=1175&amp;col=11&amp;number=&amp;sourceID=54","")</f>
        <v/>
      </c>
      <c r="L1175" s="4" t="str">
        <f>HYPERLINK("http://141.218.60.56/~jnz1568/getInfo.php?workbook=16_15.xlsx&amp;sheet=A0&amp;row=1175&amp;col=12&amp;number=13.9697852387&amp;sourceID=53","13.9697852387")</f>
        <v>13.9697852387</v>
      </c>
      <c r="M1175" s="4" t="str">
        <f>HYPERLINK("http://141.218.60.56/~jnz1568/getInfo.php?workbook=16_15.xlsx&amp;sheet=A0&amp;row=1175&amp;col=13&amp;number=&amp;sourceID=53","")</f>
        <v/>
      </c>
      <c r="N1175" s="4" t="str">
        <f>HYPERLINK("http://141.218.60.56/~jnz1568/getInfo.php?workbook=16_15.xlsx&amp;sheet=A0&amp;row=1175&amp;col=14&amp;number=&amp;sourceID=53","")</f>
        <v/>
      </c>
      <c r="O1175" s="4" t="str">
        <f>HYPERLINK("http://141.218.60.56/~jnz1568/getInfo.php?workbook=16_15.xlsx&amp;sheet=A0&amp;row=1175&amp;col=15&amp;number=&amp;sourceID=55","")</f>
        <v/>
      </c>
      <c r="P1175" s="4" t="str">
        <f>HYPERLINK("http://141.218.60.56/~jnz1568/getInfo.php?workbook=16_15.xlsx&amp;sheet=A0&amp;row=1175&amp;col=16&amp;number=&amp;sourceID=55","")</f>
        <v/>
      </c>
      <c r="Q1175" s="4" t="str">
        <f>HYPERLINK("http://141.218.60.56/~jnz1568/getInfo.php?workbook=16_15.xlsx&amp;sheet=A0&amp;row=1175&amp;col=17&amp;number=&amp;sourceID=56","")</f>
        <v/>
      </c>
      <c r="R1175" s="4" t="str">
        <f>HYPERLINK("http://141.218.60.56/~jnz1568/getInfo.php?workbook=16_15.xlsx&amp;sheet=A0&amp;row=1175&amp;col=18&amp;number=&amp;sourceID=56","")</f>
        <v/>
      </c>
      <c r="S1175" s="4" t="str">
        <f>HYPERLINK("http://141.218.60.56/~jnz1568/getInfo.php?workbook=16_15.xlsx&amp;sheet=A0&amp;row=1175&amp;col=19&amp;number=&amp;sourceID=57","")</f>
        <v/>
      </c>
      <c r="T1175" s="4" t="str">
        <f>HYPERLINK("http://141.218.60.56/~jnz1568/getInfo.php?workbook=16_15.xlsx&amp;sheet=A0&amp;row=1175&amp;col=20&amp;number=&amp;sourceID=57","")</f>
        <v/>
      </c>
      <c r="U1175" s="4" t="str">
        <f>HYPERLINK("http://141.218.60.56/~jnz1568/getInfo.php?workbook=16_15.xlsx&amp;sheet=A0&amp;row=1175&amp;col=21&amp;number=&amp;sourceID=47","")</f>
        <v/>
      </c>
      <c r="V1175" s="4" t="str">
        <f>HYPERLINK("http://141.218.60.56/~jnz1568/getInfo.php?workbook=16_15.xlsx&amp;sheet=A0&amp;row=1175&amp;col=22&amp;number=&amp;sourceID=47","")</f>
        <v/>
      </c>
    </row>
    <row r="1176" spans="1:22">
      <c r="A1176" s="3">
        <v>16</v>
      </c>
      <c r="B1176" s="3">
        <v>15</v>
      </c>
      <c r="C1176" s="3">
        <v>55</v>
      </c>
      <c r="D1176" s="3">
        <v>36</v>
      </c>
      <c r="E1176" s="3">
        <f>((1/(INDEX(E0!J$4:J$73,C1176,1)-INDEX(E0!J$4:J$73,D1176,1))))*100000000</f>
        <v>0</v>
      </c>
      <c r="F1176" s="4" t="str">
        <f>HYPERLINK("http://141.218.60.56/~jnz1568/getInfo.php?workbook=16_15.xlsx&amp;sheet=A0&amp;row=1176&amp;col=6&amp;number=44.567&amp;sourceID=54","44.567")</f>
        <v>44.567</v>
      </c>
      <c r="G1176" s="4" t="str">
        <f>HYPERLINK("http://141.218.60.56/~jnz1568/getInfo.php?workbook=16_15.xlsx&amp;sheet=A0&amp;row=1176&amp;col=7&amp;number=&amp;sourceID=54","")</f>
        <v/>
      </c>
      <c r="H1176" s="4" t="str">
        <f>HYPERLINK("http://141.218.60.56/~jnz1568/getInfo.php?workbook=16_15.xlsx&amp;sheet=A0&amp;row=1176&amp;col=8&amp;number=&amp;sourceID=54","")</f>
        <v/>
      </c>
      <c r="I1176" s="4" t="str">
        <f>HYPERLINK("http://141.218.60.56/~jnz1568/getInfo.php?workbook=16_15.xlsx&amp;sheet=A0&amp;row=1176&amp;col=9&amp;number=7.7531&amp;sourceID=54","7.7531")</f>
        <v>7.7531</v>
      </c>
      <c r="J1176" s="4" t="str">
        <f>HYPERLINK("http://141.218.60.56/~jnz1568/getInfo.php?workbook=16_15.xlsx&amp;sheet=A0&amp;row=1176&amp;col=10&amp;number=&amp;sourceID=54","")</f>
        <v/>
      </c>
      <c r="K1176" s="4" t="str">
        <f>HYPERLINK("http://141.218.60.56/~jnz1568/getInfo.php?workbook=16_15.xlsx&amp;sheet=A0&amp;row=1176&amp;col=11&amp;number=&amp;sourceID=54","")</f>
        <v/>
      </c>
      <c r="L1176" s="4" t="str">
        <f>HYPERLINK("http://141.218.60.56/~jnz1568/getInfo.php?workbook=16_15.xlsx&amp;sheet=A0&amp;row=1176&amp;col=12&amp;number=10.0281929087&amp;sourceID=53","10.0281929087")</f>
        <v>10.0281929087</v>
      </c>
      <c r="M1176" s="4" t="str">
        <f>HYPERLINK("http://141.218.60.56/~jnz1568/getInfo.php?workbook=16_15.xlsx&amp;sheet=A0&amp;row=1176&amp;col=13&amp;number=&amp;sourceID=53","")</f>
        <v/>
      </c>
      <c r="N1176" s="4" t="str">
        <f>HYPERLINK("http://141.218.60.56/~jnz1568/getInfo.php?workbook=16_15.xlsx&amp;sheet=A0&amp;row=1176&amp;col=14&amp;number=&amp;sourceID=53","")</f>
        <v/>
      </c>
      <c r="O1176" s="4" t="str">
        <f>HYPERLINK("http://141.218.60.56/~jnz1568/getInfo.php?workbook=16_15.xlsx&amp;sheet=A0&amp;row=1176&amp;col=15&amp;number=&amp;sourceID=55","")</f>
        <v/>
      </c>
      <c r="P1176" s="4" t="str">
        <f>HYPERLINK("http://141.218.60.56/~jnz1568/getInfo.php?workbook=16_15.xlsx&amp;sheet=A0&amp;row=1176&amp;col=16&amp;number=&amp;sourceID=55","")</f>
        <v/>
      </c>
      <c r="Q1176" s="4" t="str">
        <f>HYPERLINK("http://141.218.60.56/~jnz1568/getInfo.php?workbook=16_15.xlsx&amp;sheet=A0&amp;row=1176&amp;col=17&amp;number=&amp;sourceID=56","")</f>
        <v/>
      </c>
      <c r="R1176" s="4" t="str">
        <f>HYPERLINK("http://141.218.60.56/~jnz1568/getInfo.php?workbook=16_15.xlsx&amp;sheet=A0&amp;row=1176&amp;col=18&amp;number=&amp;sourceID=56","")</f>
        <v/>
      </c>
      <c r="S1176" s="4" t="str">
        <f>HYPERLINK("http://141.218.60.56/~jnz1568/getInfo.php?workbook=16_15.xlsx&amp;sheet=A0&amp;row=1176&amp;col=19&amp;number=&amp;sourceID=57","")</f>
        <v/>
      </c>
      <c r="T1176" s="4" t="str">
        <f>HYPERLINK("http://141.218.60.56/~jnz1568/getInfo.php?workbook=16_15.xlsx&amp;sheet=A0&amp;row=1176&amp;col=20&amp;number=&amp;sourceID=57","")</f>
        <v/>
      </c>
      <c r="U1176" s="4" t="str">
        <f>HYPERLINK("http://141.218.60.56/~jnz1568/getInfo.php?workbook=16_15.xlsx&amp;sheet=A0&amp;row=1176&amp;col=21&amp;number=&amp;sourceID=47","")</f>
        <v/>
      </c>
      <c r="V1176" s="4" t="str">
        <f>HYPERLINK("http://141.218.60.56/~jnz1568/getInfo.php?workbook=16_15.xlsx&amp;sheet=A0&amp;row=1176&amp;col=22&amp;number=&amp;sourceID=47","")</f>
        <v/>
      </c>
    </row>
    <row r="1177" spans="1:22">
      <c r="A1177" s="3">
        <v>16</v>
      </c>
      <c r="B1177" s="3">
        <v>15</v>
      </c>
      <c r="C1177" s="3">
        <v>55</v>
      </c>
      <c r="D1177" s="3">
        <v>38</v>
      </c>
      <c r="E1177" s="3">
        <f>((1/(INDEX(E0!J$4:J$73,C1177,1)-INDEX(E0!J$4:J$73,D1177,1))))*100000000</f>
        <v>0</v>
      </c>
      <c r="F1177" s="4" t="str">
        <f>HYPERLINK("http://141.218.60.56/~jnz1568/getInfo.php?workbook=16_15.xlsx&amp;sheet=A0&amp;row=1177&amp;col=6&amp;number=7737.4&amp;sourceID=54","7737.4")</f>
        <v>7737.4</v>
      </c>
      <c r="G1177" s="4" t="str">
        <f>HYPERLINK("http://141.218.60.56/~jnz1568/getInfo.php?workbook=16_15.xlsx&amp;sheet=A0&amp;row=1177&amp;col=7&amp;number=&amp;sourceID=54","")</f>
        <v/>
      </c>
      <c r="H1177" s="4" t="str">
        <f>HYPERLINK("http://141.218.60.56/~jnz1568/getInfo.php?workbook=16_15.xlsx&amp;sheet=A0&amp;row=1177&amp;col=8&amp;number=&amp;sourceID=54","")</f>
        <v/>
      </c>
      <c r="I1177" s="4" t="str">
        <f>HYPERLINK("http://141.218.60.56/~jnz1568/getInfo.php?workbook=16_15.xlsx&amp;sheet=A0&amp;row=1177&amp;col=9&amp;number=4156&amp;sourceID=54","4156")</f>
        <v>4156</v>
      </c>
      <c r="J1177" s="4" t="str">
        <f>HYPERLINK("http://141.218.60.56/~jnz1568/getInfo.php?workbook=16_15.xlsx&amp;sheet=A0&amp;row=1177&amp;col=10&amp;number=&amp;sourceID=54","")</f>
        <v/>
      </c>
      <c r="K1177" s="4" t="str">
        <f>HYPERLINK("http://141.218.60.56/~jnz1568/getInfo.php?workbook=16_15.xlsx&amp;sheet=A0&amp;row=1177&amp;col=11&amp;number=&amp;sourceID=54","")</f>
        <v/>
      </c>
      <c r="L1177" s="4" t="str">
        <f>HYPERLINK("http://141.218.60.56/~jnz1568/getInfo.php?workbook=16_15.xlsx&amp;sheet=A0&amp;row=1177&amp;col=12&amp;number=4732.74154631&amp;sourceID=53","4732.74154631")</f>
        <v>4732.74154631</v>
      </c>
      <c r="M1177" s="4" t="str">
        <f>HYPERLINK("http://141.218.60.56/~jnz1568/getInfo.php?workbook=16_15.xlsx&amp;sheet=A0&amp;row=1177&amp;col=13&amp;number=&amp;sourceID=53","")</f>
        <v/>
      </c>
      <c r="N1177" s="4" t="str">
        <f>HYPERLINK("http://141.218.60.56/~jnz1568/getInfo.php?workbook=16_15.xlsx&amp;sheet=A0&amp;row=1177&amp;col=14&amp;number=&amp;sourceID=53","")</f>
        <v/>
      </c>
      <c r="O1177" s="4" t="str">
        <f>HYPERLINK("http://141.218.60.56/~jnz1568/getInfo.php?workbook=16_15.xlsx&amp;sheet=A0&amp;row=1177&amp;col=15&amp;number=&amp;sourceID=55","")</f>
        <v/>
      </c>
      <c r="P1177" s="4" t="str">
        <f>HYPERLINK("http://141.218.60.56/~jnz1568/getInfo.php?workbook=16_15.xlsx&amp;sheet=A0&amp;row=1177&amp;col=16&amp;number=&amp;sourceID=55","")</f>
        <v/>
      </c>
      <c r="Q1177" s="4" t="str">
        <f>HYPERLINK("http://141.218.60.56/~jnz1568/getInfo.php?workbook=16_15.xlsx&amp;sheet=A0&amp;row=1177&amp;col=17&amp;number=&amp;sourceID=56","")</f>
        <v/>
      </c>
      <c r="R1177" s="4" t="str">
        <f>HYPERLINK("http://141.218.60.56/~jnz1568/getInfo.php?workbook=16_15.xlsx&amp;sheet=A0&amp;row=1177&amp;col=18&amp;number=&amp;sourceID=56","")</f>
        <v/>
      </c>
      <c r="S1177" s="4" t="str">
        <f>HYPERLINK("http://141.218.60.56/~jnz1568/getInfo.php?workbook=16_15.xlsx&amp;sheet=A0&amp;row=1177&amp;col=19&amp;number=&amp;sourceID=57","")</f>
        <v/>
      </c>
      <c r="T1177" s="4" t="str">
        <f>HYPERLINK("http://141.218.60.56/~jnz1568/getInfo.php?workbook=16_15.xlsx&amp;sheet=A0&amp;row=1177&amp;col=20&amp;number=&amp;sourceID=57","")</f>
        <v/>
      </c>
      <c r="U1177" s="4" t="str">
        <f>HYPERLINK("http://141.218.60.56/~jnz1568/getInfo.php?workbook=16_15.xlsx&amp;sheet=A0&amp;row=1177&amp;col=21&amp;number=&amp;sourceID=47","")</f>
        <v/>
      </c>
      <c r="V1177" s="4" t="str">
        <f>HYPERLINK("http://141.218.60.56/~jnz1568/getInfo.php?workbook=16_15.xlsx&amp;sheet=A0&amp;row=1177&amp;col=22&amp;number=&amp;sourceID=47","")</f>
        <v/>
      </c>
    </row>
    <row r="1178" spans="1:22">
      <c r="A1178" s="3">
        <v>16</v>
      </c>
      <c r="B1178" s="3">
        <v>15</v>
      </c>
      <c r="C1178" s="3">
        <v>55</v>
      </c>
      <c r="D1178" s="3">
        <v>39</v>
      </c>
      <c r="E1178" s="3">
        <f>((1/(INDEX(E0!J$4:J$73,C1178,1)-INDEX(E0!J$4:J$73,D1178,1))))*100000000</f>
        <v>0</v>
      </c>
      <c r="F1178" s="4" t="str">
        <f>HYPERLINK("http://141.218.60.56/~jnz1568/getInfo.php?workbook=16_15.xlsx&amp;sheet=A0&amp;row=1178&amp;col=6&amp;number=5.7185&amp;sourceID=54","5.7185")</f>
        <v>5.7185</v>
      </c>
      <c r="G1178" s="4" t="str">
        <f>HYPERLINK("http://141.218.60.56/~jnz1568/getInfo.php?workbook=16_15.xlsx&amp;sheet=A0&amp;row=1178&amp;col=7&amp;number=&amp;sourceID=54","")</f>
        <v/>
      </c>
      <c r="H1178" s="4" t="str">
        <f>HYPERLINK("http://141.218.60.56/~jnz1568/getInfo.php?workbook=16_15.xlsx&amp;sheet=A0&amp;row=1178&amp;col=8&amp;number=&amp;sourceID=54","")</f>
        <v/>
      </c>
      <c r="I1178" s="4" t="str">
        <f>HYPERLINK("http://141.218.60.56/~jnz1568/getInfo.php?workbook=16_15.xlsx&amp;sheet=A0&amp;row=1178&amp;col=9&amp;number=299.59&amp;sourceID=54","299.59")</f>
        <v>299.59</v>
      </c>
      <c r="J1178" s="4" t="str">
        <f>HYPERLINK("http://141.218.60.56/~jnz1568/getInfo.php?workbook=16_15.xlsx&amp;sheet=A0&amp;row=1178&amp;col=10&amp;number=&amp;sourceID=54","")</f>
        <v/>
      </c>
      <c r="K1178" s="4" t="str">
        <f>HYPERLINK("http://141.218.60.56/~jnz1568/getInfo.php?workbook=16_15.xlsx&amp;sheet=A0&amp;row=1178&amp;col=11&amp;number=&amp;sourceID=54","")</f>
        <v/>
      </c>
      <c r="L1178" s="4" t="str">
        <f>HYPERLINK("http://141.218.60.56/~jnz1568/getInfo.php?workbook=16_15.xlsx&amp;sheet=A0&amp;row=1178&amp;col=12&amp;number=320.202162843&amp;sourceID=53","320.202162843")</f>
        <v>320.202162843</v>
      </c>
      <c r="M1178" s="4" t="str">
        <f>HYPERLINK("http://141.218.60.56/~jnz1568/getInfo.php?workbook=16_15.xlsx&amp;sheet=A0&amp;row=1178&amp;col=13&amp;number=&amp;sourceID=53","")</f>
        <v/>
      </c>
      <c r="N1178" s="4" t="str">
        <f>HYPERLINK("http://141.218.60.56/~jnz1568/getInfo.php?workbook=16_15.xlsx&amp;sheet=A0&amp;row=1178&amp;col=14&amp;number=&amp;sourceID=53","")</f>
        <v/>
      </c>
      <c r="O1178" s="4" t="str">
        <f>HYPERLINK("http://141.218.60.56/~jnz1568/getInfo.php?workbook=16_15.xlsx&amp;sheet=A0&amp;row=1178&amp;col=15&amp;number=&amp;sourceID=55","")</f>
        <v/>
      </c>
      <c r="P1178" s="4" t="str">
        <f>HYPERLINK("http://141.218.60.56/~jnz1568/getInfo.php?workbook=16_15.xlsx&amp;sheet=A0&amp;row=1178&amp;col=16&amp;number=&amp;sourceID=55","")</f>
        <v/>
      </c>
      <c r="Q1178" s="4" t="str">
        <f>HYPERLINK("http://141.218.60.56/~jnz1568/getInfo.php?workbook=16_15.xlsx&amp;sheet=A0&amp;row=1178&amp;col=17&amp;number=&amp;sourceID=56","")</f>
        <v/>
      </c>
      <c r="R1178" s="4" t="str">
        <f>HYPERLINK("http://141.218.60.56/~jnz1568/getInfo.php?workbook=16_15.xlsx&amp;sheet=A0&amp;row=1178&amp;col=18&amp;number=&amp;sourceID=56","")</f>
        <v/>
      </c>
      <c r="S1178" s="4" t="str">
        <f>HYPERLINK("http://141.218.60.56/~jnz1568/getInfo.php?workbook=16_15.xlsx&amp;sheet=A0&amp;row=1178&amp;col=19&amp;number=&amp;sourceID=57","")</f>
        <v/>
      </c>
      <c r="T1178" s="4" t="str">
        <f>HYPERLINK("http://141.218.60.56/~jnz1568/getInfo.php?workbook=16_15.xlsx&amp;sheet=A0&amp;row=1178&amp;col=20&amp;number=&amp;sourceID=57","")</f>
        <v/>
      </c>
      <c r="U1178" s="4" t="str">
        <f>HYPERLINK("http://141.218.60.56/~jnz1568/getInfo.php?workbook=16_15.xlsx&amp;sheet=A0&amp;row=1178&amp;col=21&amp;number=&amp;sourceID=47","")</f>
        <v/>
      </c>
      <c r="V1178" s="4" t="str">
        <f>HYPERLINK("http://141.218.60.56/~jnz1568/getInfo.php?workbook=16_15.xlsx&amp;sheet=A0&amp;row=1178&amp;col=22&amp;number=&amp;sourceID=47","")</f>
        <v/>
      </c>
    </row>
    <row r="1179" spans="1:22">
      <c r="A1179" s="3">
        <v>16</v>
      </c>
      <c r="B1179" s="3">
        <v>15</v>
      </c>
      <c r="C1179" s="3">
        <v>55</v>
      </c>
      <c r="D1179" s="3">
        <v>40</v>
      </c>
      <c r="E1179" s="3">
        <f>((1/(INDEX(E0!J$4:J$73,C1179,1)-INDEX(E0!J$4:J$73,D1179,1))))*100000000</f>
        <v>0</v>
      </c>
      <c r="F1179" s="4" t="str">
        <f>HYPERLINK("http://141.218.60.56/~jnz1568/getInfo.php?workbook=16_15.xlsx&amp;sheet=A0&amp;row=1179&amp;col=6&amp;number=9152.9&amp;sourceID=54","9152.9")</f>
        <v>9152.9</v>
      </c>
      <c r="G1179" s="4" t="str">
        <f>HYPERLINK("http://141.218.60.56/~jnz1568/getInfo.php?workbook=16_15.xlsx&amp;sheet=A0&amp;row=1179&amp;col=7&amp;number=&amp;sourceID=54","")</f>
        <v/>
      </c>
      <c r="H1179" s="4" t="str">
        <f>HYPERLINK("http://141.218.60.56/~jnz1568/getInfo.php?workbook=16_15.xlsx&amp;sheet=A0&amp;row=1179&amp;col=8&amp;number=&amp;sourceID=54","")</f>
        <v/>
      </c>
      <c r="I1179" s="4" t="str">
        <f>HYPERLINK("http://141.218.60.56/~jnz1568/getInfo.php?workbook=16_15.xlsx&amp;sheet=A0&amp;row=1179&amp;col=9&amp;number=7476.9&amp;sourceID=54","7476.9")</f>
        <v>7476.9</v>
      </c>
      <c r="J1179" s="4" t="str">
        <f>HYPERLINK("http://141.218.60.56/~jnz1568/getInfo.php?workbook=16_15.xlsx&amp;sheet=A0&amp;row=1179&amp;col=10&amp;number=&amp;sourceID=54","")</f>
        <v/>
      </c>
      <c r="K1179" s="4" t="str">
        <f>HYPERLINK("http://141.218.60.56/~jnz1568/getInfo.php?workbook=16_15.xlsx&amp;sheet=A0&amp;row=1179&amp;col=11&amp;number=&amp;sourceID=54","")</f>
        <v/>
      </c>
      <c r="L1179" s="4" t="str">
        <f>HYPERLINK("http://141.218.60.56/~jnz1568/getInfo.php?workbook=16_15.xlsx&amp;sheet=A0&amp;row=1179&amp;col=12&amp;number=7822.42854897&amp;sourceID=53","7822.42854897")</f>
        <v>7822.42854897</v>
      </c>
      <c r="M1179" s="4" t="str">
        <f>HYPERLINK("http://141.218.60.56/~jnz1568/getInfo.php?workbook=16_15.xlsx&amp;sheet=A0&amp;row=1179&amp;col=13&amp;number=&amp;sourceID=53","")</f>
        <v/>
      </c>
      <c r="N1179" s="4" t="str">
        <f>HYPERLINK("http://141.218.60.56/~jnz1568/getInfo.php?workbook=16_15.xlsx&amp;sheet=A0&amp;row=1179&amp;col=14&amp;number=&amp;sourceID=53","")</f>
        <v/>
      </c>
      <c r="O1179" s="4" t="str">
        <f>HYPERLINK("http://141.218.60.56/~jnz1568/getInfo.php?workbook=16_15.xlsx&amp;sheet=A0&amp;row=1179&amp;col=15&amp;number=&amp;sourceID=55","")</f>
        <v/>
      </c>
      <c r="P1179" s="4" t="str">
        <f>HYPERLINK("http://141.218.60.56/~jnz1568/getInfo.php?workbook=16_15.xlsx&amp;sheet=A0&amp;row=1179&amp;col=16&amp;number=&amp;sourceID=55","")</f>
        <v/>
      </c>
      <c r="Q1179" s="4" t="str">
        <f>HYPERLINK("http://141.218.60.56/~jnz1568/getInfo.php?workbook=16_15.xlsx&amp;sheet=A0&amp;row=1179&amp;col=17&amp;number=&amp;sourceID=56","")</f>
        <v/>
      </c>
      <c r="R1179" s="4" t="str">
        <f>HYPERLINK("http://141.218.60.56/~jnz1568/getInfo.php?workbook=16_15.xlsx&amp;sheet=A0&amp;row=1179&amp;col=18&amp;number=&amp;sourceID=56","")</f>
        <v/>
      </c>
      <c r="S1179" s="4" t="str">
        <f>HYPERLINK("http://141.218.60.56/~jnz1568/getInfo.php?workbook=16_15.xlsx&amp;sheet=A0&amp;row=1179&amp;col=19&amp;number=&amp;sourceID=57","")</f>
        <v/>
      </c>
      <c r="T1179" s="4" t="str">
        <f>HYPERLINK("http://141.218.60.56/~jnz1568/getInfo.php?workbook=16_15.xlsx&amp;sheet=A0&amp;row=1179&amp;col=20&amp;number=&amp;sourceID=57","")</f>
        <v/>
      </c>
      <c r="U1179" s="4" t="str">
        <f>HYPERLINK("http://141.218.60.56/~jnz1568/getInfo.php?workbook=16_15.xlsx&amp;sheet=A0&amp;row=1179&amp;col=21&amp;number=&amp;sourceID=47","")</f>
        <v/>
      </c>
      <c r="V1179" s="4" t="str">
        <f>HYPERLINK("http://141.218.60.56/~jnz1568/getInfo.php?workbook=16_15.xlsx&amp;sheet=A0&amp;row=1179&amp;col=22&amp;number=&amp;sourceID=47","")</f>
        <v/>
      </c>
    </row>
    <row r="1180" spans="1:22">
      <c r="A1180" s="3">
        <v>16</v>
      </c>
      <c r="B1180" s="3">
        <v>15</v>
      </c>
      <c r="C1180" s="3">
        <v>55</v>
      </c>
      <c r="D1180" s="3">
        <v>41</v>
      </c>
      <c r="E1180" s="3">
        <f>((1/(INDEX(E0!J$4:J$73,C1180,1)-INDEX(E0!J$4:J$73,D1180,1))))*100000000</f>
        <v>0</v>
      </c>
      <c r="F1180" s="4" t="str">
        <f>HYPERLINK("http://141.218.60.56/~jnz1568/getInfo.php?workbook=16_15.xlsx&amp;sheet=A0&amp;row=1180&amp;col=6&amp;number=&amp;sourceID=54","")</f>
        <v/>
      </c>
      <c r="G1180" s="4" t="str">
        <f>HYPERLINK("http://141.218.60.56/~jnz1568/getInfo.php?workbook=16_15.xlsx&amp;sheet=A0&amp;row=1180&amp;col=7&amp;number=1.3215e-06&amp;sourceID=54","1.3215e-06")</f>
        <v>1.3215e-06</v>
      </c>
      <c r="H1180" s="4" t="str">
        <f>HYPERLINK("http://141.218.60.56/~jnz1568/getInfo.php?workbook=16_15.xlsx&amp;sheet=A0&amp;row=1180&amp;col=8&amp;number=0.014158&amp;sourceID=54","0.014158")</f>
        <v>0.014158</v>
      </c>
      <c r="I1180" s="4" t="str">
        <f>HYPERLINK("http://141.218.60.56/~jnz1568/getInfo.php?workbook=16_15.xlsx&amp;sheet=A0&amp;row=1180&amp;col=9&amp;number=&amp;sourceID=54","")</f>
        <v/>
      </c>
      <c r="J1180" s="4" t="str">
        <f>HYPERLINK("http://141.218.60.56/~jnz1568/getInfo.php?workbook=16_15.xlsx&amp;sheet=A0&amp;row=1180&amp;col=10&amp;number=9.4892e-06&amp;sourceID=54","9.4892e-06")</f>
        <v>9.4892e-06</v>
      </c>
      <c r="K1180" s="4" t="str">
        <f>HYPERLINK("http://141.218.60.56/~jnz1568/getInfo.php?workbook=16_15.xlsx&amp;sheet=A0&amp;row=1180&amp;col=11&amp;number=0.013914&amp;sourceID=54","0.013914")</f>
        <v>0.013914</v>
      </c>
      <c r="L1180" s="4" t="str">
        <f>HYPERLINK("http://141.218.60.56/~jnz1568/getInfo.php?workbook=16_15.xlsx&amp;sheet=A0&amp;row=1180&amp;col=12&amp;number=&amp;sourceID=53","")</f>
        <v/>
      </c>
      <c r="M1180" s="4" t="str">
        <f>HYPERLINK("http://141.218.60.56/~jnz1568/getInfo.php?workbook=16_15.xlsx&amp;sheet=A0&amp;row=1180&amp;col=13&amp;number=&amp;sourceID=53","")</f>
        <v/>
      </c>
      <c r="N1180" s="4" t="str">
        <f>HYPERLINK("http://141.218.60.56/~jnz1568/getInfo.php?workbook=16_15.xlsx&amp;sheet=A0&amp;row=1180&amp;col=14&amp;number=&amp;sourceID=53","")</f>
        <v/>
      </c>
      <c r="O1180" s="4" t="str">
        <f>HYPERLINK("http://141.218.60.56/~jnz1568/getInfo.php?workbook=16_15.xlsx&amp;sheet=A0&amp;row=1180&amp;col=15&amp;number=&amp;sourceID=55","")</f>
        <v/>
      </c>
      <c r="P1180" s="4" t="str">
        <f>HYPERLINK("http://141.218.60.56/~jnz1568/getInfo.php?workbook=16_15.xlsx&amp;sheet=A0&amp;row=1180&amp;col=16&amp;number=&amp;sourceID=55","")</f>
        <v/>
      </c>
      <c r="Q1180" s="4" t="str">
        <f>HYPERLINK("http://141.218.60.56/~jnz1568/getInfo.php?workbook=16_15.xlsx&amp;sheet=A0&amp;row=1180&amp;col=17&amp;number=&amp;sourceID=56","")</f>
        <v/>
      </c>
      <c r="R1180" s="4" t="str">
        <f>HYPERLINK("http://141.218.60.56/~jnz1568/getInfo.php?workbook=16_15.xlsx&amp;sheet=A0&amp;row=1180&amp;col=18&amp;number=&amp;sourceID=56","")</f>
        <v/>
      </c>
      <c r="S1180" s="4" t="str">
        <f>HYPERLINK("http://141.218.60.56/~jnz1568/getInfo.php?workbook=16_15.xlsx&amp;sheet=A0&amp;row=1180&amp;col=19&amp;number=&amp;sourceID=57","")</f>
        <v/>
      </c>
      <c r="T1180" s="4" t="str">
        <f>HYPERLINK("http://141.218.60.56/~jnz1568/getInfo.php?workbook=16_15.xlsx&amp;sheet=A0&amp;row=1180&amp;col=20&amp;number=&amp;sourceID=57","")</f>
        <v/>
      </c>
      <c r="U1180" s="4" t="str">
        <f>HYPERLINK("http://141.218.60.56/~jnz1568/getInfo.php?workbook=16_15.xlsx&amp;sheet=A0&amp;row=1180&amp;col=21&amp;number=&amp;sourceID=47","")</f>
        <v/>
      </c>
      <c r="V1180" s="4" t="str">
        <f>HYPERLINK("http://141.218.60.56/~jnz1568/getInfo.php?workbook=16_15.xlsx&amp;sheet=A0&amp;row=1180&amp;col=22&amp;number=&amp;sourceID=47","")</f>
        <v/>
      </c>
    </row>
    <row r="1181" spans="1:22">
      <c r="A1181" s="3">
        <v>16</v>
      </c>
      <c r="B1181" s="3">
        <v>15</v>
      </c>
      <c r="C1181" s="3">
        <v>55</v>
      </c>
      <c r="D1181" s="3">
        <v>42</v>
      </c>
      <c r="E1181" s="3">
        <f>((1/(INDEX(E0!J$4:J$73,C1181,1)-INDEX(E0!J$4:J$73,D1181,1))))*100000000</f>
        <v>0</v>
      </c>
      <c r="F1181" s="4" t="str">
        <f>HYPERLINK("http://141.218.60.56/~jnz1568/getInfo.php?workbook=16_15.xlsx&amp;sheet=A0&amp;row=1181&amp;col=6&amp;number=20825&amp;sourceID=54","20825")</f>
        <v>20825</v>
      </c>
      <c r="G1181" s="4" t="str">
        <f>HYPERLINK("http://141.218.60.56/~jnz1568/getInfo.php?workbook=16_15.xlsx&amp;sheet=A0&amp;row=1181&amp;col=7&amp;number=&amp;sourceID=54","")</f>
        <v/>
      </c>
      <c r="H1181" s="4" t="str">
        <f>HYPERLINK("http://141.218.60.56/~jnz1568/getInfo.php?workbook=16_15.xlsx&amp;sheet=A0&amp;row=1181&amp;col=8&amp;number=&amp;sourceID=54","")</f>
        <v/>
      </c>
      <c r="I1181" s="4" t="str">
        <f>HYPERLINK("http://141.218.60.56/~jnz1568/getInfo.php?workbook=16_15.xlsx&amp;sheet=A0&amp;row=1181&amp;col=9&amp;number=17038&amp;sourceID=54","17038")</f>
        <v>17038</v>
      </c>
      <c r="J1181" s="4" t="str">
        <f>HYPERLINK("http://141.218.60.56/~jnz1568/getInfo.php?workbook=16_15.xlsx&amp;sheet=A0&amp;row=1181&amp;col=10&amp;number=&amp;sourceID=54","")</f>
        <v/>
      </c>
      <c r="K1181" s="4" t="str">
        <f>HYPERLINK("http://141.218.60.56/~jnz1568/getInfo.php?workbook=16_15.xlsx&amp;sheet=A0&amp;row=1181&amp;col=11&amp;number=&amp;sourceID=54","")</f>
        <v/>
      </c>
      <c r="L1181" s="4" t="str">
        <f>HYPERLINK("http://141.218.60.56/~jnz1568/getInfo.php?workbook=16_15.xlsx&amp;sheet=A0&amp;row=1181&amp;col=12&amp;number=25757.1237297&amp;sourceID=53","25757.1237297")</f>
        <v>25757.1237297</v>
      </c>
      <c r="M1181" s="4" t="str">
        <f>HYPERLINK("http://141.218.60.56/~jnz1568/getInfo.php?workbook=16_15.xlsx&amp;sheet=A0&amp;row=1181&amp;col=13&amp;number=&amp;sourceID=53","")</f>
        <v/>
      </c>
      <c r="N1181" s="4" t="str">
        <f>HYPERLINK("http://141.218.60.56/~jnz1568/getInfo.php?workbook=16_15.xlsx&amp;sheet=A0&amp;row=1181&amp;col=14&amp;number=&amp;sourceID=53","")</f>
        <v/>
      </c>
      <c r="O1181" s="4" t="str">
        <f>HYPERLINK("http://141.218.60.56/~jnz1568/getInfo.php?workbook=16_15.xlsx&amp;sheet=A0&amp;row=1181&amp;col=15&amp;number=&amp;sourceID=55","")</f>
        <v/>
      </c>
      <c r="P1181" s="4" t="str">
        <f>HYPERLINK("http://141.218.60.56/~jnz1568/getInfo.php?workbook=16_15.xlsx&amp;sheet=A0&amp;row=1181&amp;col=16&amp;number=&amp;sourceID=55","")</f>
        <v/>
      </c>
      <c r="Q1181" s="4" t="str">
        <f>HYPERLINK("http://141.218.60.56/~jnz1568/getInfo.php?workbook=16_15.xlsx&amp;sheet=A0&amp;row=1181&amp;col=17&amp;number=&amp;sourceID=56","")</f>
        <v/>
      </c>
      <c r="R1181" s="4" t="str">
        <f>HYPERLINK("http://141.218.60.56/~jnz1568/getInfo.php?workbook=16_15.xlsx&amp;sheet=A0&amp;row=1181&amp;col=18&amp;number=&amp;sourceID=56","")</f>
        <v/>
      </c>
      <c r="S1181" s="4" t="str">
        <f>HYPERLINK("http://141.218.60.56/~jnz1568/getInfo.php?workbook=16_15.xlsx&amp;sheet=A0&amp;row=1181&amp;col=19&amp;number=&amp;sourceID=57","")</f>
        <v/>
      </c>
      <c r="T1181" s="4" t="str">
        <f>HYPERLINK("http://141.218.60.56/~jnz1568/getInfo.php?workbook=16_15.xlsx&amp;sheet=A0&amp;row=1181&amp;col=20&amp;number=&amp;sourceID=57","")</f>
        <v/>
      </c>
      <c r="U1181" s="4" t="str">
        <f>HYPERLINK("http://141.218.60.56/~jnz1568/getInfo.php?workbook=16_15.xlsx&amp;sheet=A0&amp;row=1181&amp;col=21&amp;number=&amp;sourceID=47","")</f>
        <v/>
      </c>
      <c r="V1181" s="4" t="str">
        <f>HYPERLINK("http://141.218.60.56/~jnz1568/getInfo.php?workbook=16_15.xlsx&amp;sheet=A0&amp;row=1181&amp;col=22&amp;number=&amp;sourceID=47","")</f>
        <v/>
      </c>
    </row>
    <row r="1182" spans="1:22">
      <c r="A1182" s="3">
        <v>16</v>
      </c>
      <c r="B1182" s="3">
        <v>15</v>
      </c>
      <c r="C1182" s="3">
        <v>55</v>
      </c>
      <c r="D1182" s="3">
        <v>43</v>
      </c>
      <c r="E1182" s="3">
        <f>((1/(INDEX(E0!J$4:J$73,C1182,1)-INDEX(E0!J$4:J$73,D1182,1))))*100000000</f>
        <v>0</v>
      </c>
      <c r="F1182" s="4" t="str">
        <f>HYPERLINK("http://141.218.60.56/~jnz1568/getInfo.php?workbook=16_15.xlsx&amp;sheet=A0&amp;row=1182&amp;col=6&amp;number=&amp;sourceID=54","")</f>
        <v/>
      </c>
      <c r="G1182" s="4" t="str">
        <f>HYPERLINK("http://141.218.60.56/~jnz1568/getInfo.php?workbook=16_15.xlsx&amp;sheet=A0&amp;row=1182&amp;col=7&amp;number=7.1893e-05&amp;sourceID=54","7.1893e-05")</f>
        <v>7.1893e-05</v>
      </c>
      <c r="H1182" s="4" t="str">
        <f>HYPERLINK("http://141.218.60.56/~jnz1568/getInfo.php?workbook=16_15.xlsx&amp;sheet=A0&amp;row=1182&amp;col=8&amp;number=0.0090273&amp;sourceID=54","0.0090273")</f>
        <v>0.0090273</v>
      </c>
      <c r="I1182" s="4" t="str">
        <f>HYPERLINK("http://141.218.60.56/~jnz1568/getInfo.php?workbook=16_15.xlsx&amp;sheet=A0&amp;row=1182&amp;col=9&amp;number=&amp;sourceID=54","")</f>
        <v/>
      </c>
      <c r="J1182" s="4" t="str">
        <f>HYPERLINK("http://141.218.60.56/~jnz1568/getInfo.php?workbook=16_15.xlsx&amp;sheet=A0&amp;row=1182&amp;col=10&amp;number=2.3868e-05&amp;sourceID=54","2.3868e-05")</f>
        <v>2.3868e-05</v>
      </c>
      <c r="K1182" s="4" t="str">
        <f>HYPERLINK("http://141.218.60.56/~jnz1568/getInfo.php?workbook=16_15.xlsx&amp;sheet=A0&amp;row=1182&amp;col=11&amp;number=0.016541&amp;sourceID=54","0.016541")</f>
        <v>0.016541</v>
      </c>
      <c r="L1182" s="4" t="str">
        <f>HYPERLINK("http://141.218.60.56/~jnz1568/getInfo.php?workbook=16_15.xlsx&amp;sheet=A0&amp;row=1182&amp;col=12&amp;number=&amp;sourceID=53","")</f>
        <v/>
      </c>
      <c r="M1182" s="4" t="str">
        <f>HYPERLINK("http://141.218.60.56/~jnz1568/getInfo.php?workbook=16_15.xlsx&amp;sheet=A0&amp;row=1182&amp;col=13&amp;number=&amp;sourceID=53","")</f>
        <v/>
      </c>
      <c r="N1182" s="4" t="str">
        <f>HYPERLINK("http://141.218.60.56/~jnz1568/getInfo.php?workbook=16_15.xlsx&amp;sheet=A0&amp;row=1182&amp;col=14&amp;number=&amp;sourceID=53","")</f>
        <v/>
      </c>
      <c r="O1182" s="4" t="str">
        <f>HYPERLINK("http://141.218.60.56/~jnz1568/getInfo.php?workbook=16_15.xlsx&amp;sheet=A0&amp;row=1182&amp;col=15&amp;number=&amp;sourceID=55","")</f>
        <v/>
      </c>
      <c r="P1182" s="4" t="str">
        <f>HYPERLINK("http://141.218.60.56/~jnz1568/getInfo.php?workbook=16_15.xlsx&amp;sheet=A0&amp;row=1182&amp;col=16&amp;number=&amp;sourceID=55","")</f>
        <v/>
      </c>
      <c r="Q1182" s="4" t="str">
        <f>HYPERLINK("http://141.218.60.56/~jnz1568/getInfo.php?workbook=16_15.xlsx&amp;sheet=A0&amp;row=1182&amp;col=17&amp;number=&amp;sourceID=56","")</f>
        <v/>
      </c>
      <c r="R1182" s="4" t="str">
        <f>HYPERLINK("http://141.218.60.56/~jnz1568/getInfo.php?workbook=16_15.xlsx&amp;sheet=A0&amp;row=1182&amp;col=18&amp;number=&amp;sourceID=56","")</f>
        <v/>
      </c>
      <c r="S1182" s="4" t="str">
        <f>HYPERLINK("http://141.218.60.56/~jnz1568/getInfo.php?workbook=16_15.xlsx&amp;sheet=A0&amp;row=1182&amp;col=19&amp;number=&amp;sourceID=57","")</f>
        <v/>
      </c>
      <c r="T1182" s="4" t="str">
        <f>HYPERLINK("http://141.218.60.56/~jnz1568/getInfo.php?workbook=16_15.xlsx&amp;sheet=A0&amp;row=1182&amp;col=20&amp;number=&amp;sourceID=57","")</f>
        <v/>
      </c>
      <c r="U1182" s="4" t="str">
        <f>HYPERLINK("http://141.218.60.56/~jnz1568/getInfo.php?workbook=16_15.xlsx&amp;sheet=A0&amp;row=1182&amp;col=21&amp;number=&amp;sourceID=47","")</f>
        <v/>
      </c>
      <c r="V1182" s="4" t="str">
        <f>HYPERLINK("http://141.218.60.56/~jnz1568/getInfo.php?workbook=16_15.xlsx&amp;sheet=A0&amp;row=1182&amp;col=22&amp;number=&amp;sourceID=47","")</f>
        <v/>
      </c>
    </row>
    <row r="1183" spans="1:22">
      <c r="A1183" s="3">
        <v>16</v>
      </c>
      <c r="B1183" s="3">
        <v>15</v>
      </c>
      <c r="C1183" s="3">
        <v>55</v>
      </c>
      <c r="D1183" s="3">
        <v>44</v>
      </c>
      <c r="E1183" s="3">
        <f>((1/(INDEX(E0!J$4:J$73,C1183,1)-INDEX(E0!J$4:J$73,D1183,1))))*100000000</f>
        <v>0</v>
      </c>
      <c r="F1183" s="4" t="str">
        <f>HYPERLINK("http://141.218.60.56/~jnz1568/getInfo.php?workbook=16_15.xlsx&amp;sheet=A0&amp;row=1183&amp;col=6&amp;number=&amp;sourceID=54","")</f>
        <v/>
      </c>
      <c r="G1183" s="4" t="str">
        <f>HYPERLINK("http://141.218.60.56/~jnz1568/getInfo.php?workbook=16_15.xlsx&amp;sheet=A0&amp;row=1183&amp;col=7&amp;number=2.5995e-05&amp;sourceID=54","2.5995e-05")</f>
        <v>2.5995e-05</v>
      </c>
      <c r="H1183" s="4" t="str">
        <f>HYPERLINK("http://141.218.60.56/~jnz1568/getInfo.php?workbook=16_15.xlsx&amp;sheet=A0&amp;row=1183&amp;col=8&amp;number=0.0041288&amp;sourceID=54","0.0041288")</f>
        <v>0.0041288</v>
      </c>
      <c r="I1183" s="4" t="str">
        <f>HYPERLINK("http://141.218.60.56/~jnz1568/getInfo.php?workbook=16_15.xlsx&amp;sheet=A0&amp;row=1183&amp;col=9&amp;number=&amp;sourceID=54","")</f>
        <v/>
      </c>
      <c r="J1183" s="4" t="str">
        <f>HYPERLINK("http://141.218.60.56/~jnz1568/getInfo.php?workbook=16_15.xlsx&amp;sheet=A0&amp;row=1183&amp;col=10&amp;number=7.1433e-06&amp;sourceID=54","7.1433e-06")</f>
        <v>7.1433e-06</v>
      </c>
      <c r="K1183" s="4" t="str">
        <f>HYPERLINK("http://141.218.60.56/~jnz1568/getInfo.php?workbook=16_15.xlsx&amp;sheet=A0&amp;row=1183&amp;col=11&amp;number=0.0047243&amp;sourceID=54","0.0047243")</f>
        <v>0.0047243</v>
      </c>
      <c r="L1183" s="4" t="str">
        <f>HYPERLINK("http://141.218.60.56/~jnz1568/getInfo.php?workbook=16_15.xlsx&amp;sheet=A0&amp;row=1183&amp;col=12&amp;number=&amp;sourceID=53","")</f>
        <v/>
      </c>
      <c r="M1183" s="4" t="str">
        <f>HYPERLINK("http://141.218.60.56/~jnz1568/getInfo.php?workbook=16_15.xlsx&amp;sheet=A0&amp;row=1183&amp;col=13&amp;number=&amp;sourceID=53","")</f>
        <v/>
      </c>
      <c r="N1183" s="4" t="str">
        <f>HYPERLINK("http://141.218.60.56/~jnz1568/getInfo.php?workbook=16_15.xlsx&amp;sheet=A0&amp;row=1183&amp;col=14&amp;number=&amp;sourceID=53","")</f>
        <v/>
      </c>
      <c r="O1183" s="4" t="str">
        <f>HYPERLINK("http://141.218.60.56/~jnz1568/getInfo.php?workbook=16_15.xlsx&amp;sheet=A0&amp;row=1183&amp;col=15&amp;number=&amp;sourceID=55","")</f>
        <v/>
      </c>
      <c r="P1183" s="4" t="str">
        <f>HYPERLINK("http://141.218.60.56/~jnz1568/getInfo.php?workbook=16_15.xlsx&amp;sheet=A0&amp;row=1183&amp;col=16&amp;number=&amp;sourceID=55","")</f>
        <v/>
      </c>
      <c r="Q1183" s="4" t="str">
        <f>HYPERLINK("http://141.218.60.56/~jnz1568/getInfo.php?workbook=16_15.xlsx&amp;sheet=A0&amp;row=1183&amp;col=17&amp;number=&amp;sourceID=56","")</f>
        <v/>
      </c>
      <c r="R1183" s="4" t="str">
        <f>HYPERLINK("http://141.218.60.56/~jnz1568/getInfo.php?workbook=16_15.xlsx&amp;sheet=A0&amp;row=1183&amp;col=18&amp;number=&amp;sourceID=56","")</f>
        <v/>
      </c>
      <c r="S1183" s="4" t="str">
        <f>HYPERLINK("http://141.218.60.56/~jnz1568/getInfo.php?workbook=16_15.xlsx&amp;sheet=A0&amp;row=1183&amp;col=19&amp;number=&amp;sourceID=57","")</f>
        <v/>
      </c>
      <c r="T1183" s="4" t="str">
        <f>HYPERLINK("http://141.218.60.56/~jnz1568/getInfo.php?workbook=16_15.xlsx&amp;sheet=A0&amp;row=1183&amp;col=20&amp;number=&amp;sourceID=57","")</f>
        <v/>
      </c>
      <c r="U1183" s="4" t="str">
        <f>HYPERLINK("http://141.218.60.56/~jnz1568/getInfo.php?workbook=16_15.xlsx&amp;sheet=A0&amp;row=1183&amp;col=21&amp;number=&amp;sourceID=47","")</f>
        <v/>
      </c>
      <c r="V1183" s="4" t="str">
        <f>HYPERLINK("http://141.218.60.56/~jnz1568/getInfo.php?workbook=16_15.xlsx&amp;sheet=A0&amp;row=1183&amp;col=22&amp;number=&amp;sourceID=47","")</f>
        <v/>
      </c>
    </row>
    <row r="1184" spans="1:22">
      <c r="A1184" s="3">
        <v>16</v>
      </c>
      <c r="B1184" s="3">
        <v>15</v>
      </c>
      <c r="C1184" s="3">
        <v>55</v>
      </c>
      <c r="D1184" s="3">
        <v>45</v>
      </c>
      <c r="E1184" s="3">
        <f>((1/(INDEX(E0!J$4:J$73,C1184,1)-INDEX(E0!J$4:J$73,D1184,1))))*100000000</f>
        <v>0</v>
      </c>
      <c r="F1184" s="4" t="str">
        <f>HYPERLINK("http://141.218.60.56/~jnz1568/getInfo.php?workbook=16_15.xlsx&amp;sheet=A0&amp;row=1184&amp;col=6&amp;number=242.37&amp;sourceID=54","242.37")</f>
        <v>242.37</v>
      </c>
      <c r="G1184" s="4" t="str">
        <f>HYPERLINK("http://141.218.60.56/~jnz1568/getInfo.php?workbook=16_15.xlsx&amp;sheet=A0&amp;row=1184&amp;col=7&amp;number=&amp;sourceID=54","")</f>
        <v/>
      </c>
      <c r="H1184" s="4" t="str">
        <f>HYPERLINK("http://141.218.60.56/~jnz1568/getInfo.php?workbook=16_15.xlsx&amp;sheet=A0&amp;row=1184&amp;col=8&amp;number=&amp;sourceID=54","")</f>
        <v/>
      </c>
      <c r="I1184" s="4" t="str">
        <f>HYPERLINK("http://141.218.60.56/~jnz1568/getInfo.php?workbook=16_15.xlsx&amp;sheet=A0&amp;row=1184&amp;col=9&amp;number=34.745&amp;sourceID=54","34.745")</f>
        <v>34.745</v>
      </c>
      <c r="J1184" s="4" t="str">
        <f>HYPERLINK("http://141.218.60.56/~jnz1568/getInfo.php?workbook=16_15.xlsx&amp;sheet=A0&amp;row=1184&amp;col=10&amp;number=&amp;sourceID=54","")</f>
        <v/>
      </c>
      <c r="K1184" s="4" t="str">
        <f>HYPERLINK("http://141.218.60.56/~jnz1568/getInfo.php?workbook=16_15.xlsx&amp;sheet=A0&amp;row=1184&amp;col=11&amp;number=&amp;sourceID=54","")</f>
        <v/>
      </c>
      <c r="L1184" s="4" t="str">
        <f>HYPERLINK("http://141.218.60.56/~jnz1568/getInfo.php?workbook=16_15.xlsx&amp;sheet=A0&amp;row=1184&amp;col=12&amp;number=17.7636160052&amp;sourceID=53","17.7636160052")</f>
        <v>17.7636160052</v>
      </c>
      <c r="M1184" s="4" t="str">
        <f>HYPERLINK("http://141.218.60.56/~jnz1568/getInfo.php?workbook=16_15.xlsx&amp;sheet=A0&amp;row=1184&amp;col=13&amp;number=&amp;sourceID=53","")</f>
        <v/>
      </c>
      <c r="N1184" s="4" t="str">
        <f>HYPERLINK("http://141.218.60.56/~jnz1568/getInfo.php?workbook=16_15.xlsx&amp;sheet=A0&amp;row=1184&amp;col=14&amp;number=&amp;sourceID=53","")</f>
        <v/>
      </c>
      <c r="O1184" s="4" t="str">
        <f>HYPERLINK("http://141.218.60.56/~jnz1568/getInfo.php?workbook=16_15.xlsx&amp;sheet=A0&amp;row=1184&amp;col=15&amp;number=&amp;sourceID=55","")</f>
        <v/>
      </c>
      <c r="P1184" s="4" t="str">
        <f>HYPERLINK("http://141.218.60.56/~jnz1568/getInfo.php?workbook=16_15.xlsx&amp;sheet=A0&amp;row=1184&amp;col=16&amp;number=&amp;sourceID=55","")</f>
        <v/>
      </c>
      <c r="Q1184" s="4" t="str">
        <f>HYPERLINK("http://141.218.60.56/~jnz1568/getInfo.php?workbook=16_15.xlsx&amp;sheet=A0&amp;row=1184&amp;col=17&amp;number=&amp;sourceID=56","")</f>
        <v/>
      </c>
      <c r="R1184" s="4" t="str">
        <f>HYPERLINK("http://141.218.60.56/~jnz1568/getInfo.php?workbook=16_15.xlsx&amp;sheet=A0&amp;row=1184&amp;col=18&amp;number=&amp;sourceID=56","")</f>
        <v/>
      </c>
      <c r="S1184" s="4" t="str">
        <f>HYPERLINK("http://141.218.60.56/~jnz1568/getInfo.php?workbook=16_15.xlsx&amp;sheet=A0&amp;row=1184&amp;col=19&amp;number=&amp;sourceID=57","")</f>
        <v/>
      </c>
      <c r="T1184" s="4" t="str">
        <f>HYPERLINK("http://141.218.60.56/~jnz1568/getInfo.php?workbook=16_15.xlsx&amp;sheet=A0&amp;row=1184&amp;col=20&amp;number=&amp;sourceID=57","")</f>
        <v/>
      </c>
      <c r="U1184" s="4" t="str">
        <f>HYPERLINK("http://141.218.60.56/~jnz1568/getInfo.php?workbook=16_15.xlsx&amp;sheet=A0&amp;row=1184&amp;col=21&amp;number=&amp;sourceID=47","")</f>
        <v/>
      </c>
      <c r="V1184" s="4" t="str">
        <f>HYPERLINK("http://141.218.60.56/~jnz1568/getInfo.php?workbook=16_15.xlsx&amp;sheet=A0&amp;row=1184&amp;col=22&amp;number=&amp;sourceID=47","")</f>
        <v/>
      </c>
    </row>
    <row r="1185" spans="1:22">
      <c r="A1185" s="3">
        <v>16</v>
      </c>
      <c r="B1185" s="3">
        <v>15</v>
      </c>
      <c r="C1185" s="3">
        <v>55</v>
      </c>
      <c r="D1185" s="3">
        <v>46</v>
      </c>
      <c r="E1185" s="3">
        <f>((1/(INDEX(E0!J$4:J$73,C1185,1)-INDEX(E0!J$4:J$73,D1185,1))))*100000000</f>
        <v>0</v>
      </c>
      <c r="F1185" s="4" t="str">
        <f>HYPERLINK("http://141.218.60.56/~jnz1568/getInfo.php?workbook=16_15.xlsx&amp;sheet=A0&amp;row=1185&amp;col=6&amp;number=222530&amp;sourceID=54","222530")</f>
        <v>222530</v>
      </c>
      <c r="G1185" s="4" t="str">
        <f>HYPERLINK("http://141.218.60.56/~jnz1568/getInfo.php?workbook=16_15.xlsx&amp;sheet=A0&amp;row=1185&amp;col=7&amp;number=&amp;sourceID=54","")</f>
        <v/>
      </c>
      <c r="H1185" s="4" t="str">
        <f>HYPERLINK("http://141.218.60.56/~jnz1568/getInfo.php?workbook=16_15.xlsx&amp;sheet=A0&amp;row=1185&amp;col=8&amp;number=&amp;sourceID=54","")</f>
        <v/>
      </c>
      <c r="I1185" s="4" t="str">
        <f>HYPERLINK("http://141.218.60.56/~jnz1568/getInfo.php?workbook=16_15.xlsx&amp;sheet=A0&amp;row=1185&amp;col=9&amp;number=170310&amp;sourceID=54","170310")</f>
        <v>170310</v>
      </c>
      <c r="J1185" s="4" t="str">
        <f>HYPERLINK("http://141.218.60.56/~jnz1568/getInfo.php?workbook=16_15.xlsx&amp;sheet=A0&amp;row=1185&amp;col=10&amp;number=&amp;sourceID=54","")</f>
        <v/>
      </c>
      <c r="K1185" s="4" t="str">
        <f>HYPERLINK("http://141.218.60.56/~jnz1568/getInfo.php?workbook=16_15.xlsx&amp;sheet=A0&amp;row=1185&amp;col=11&amp;number=&amp;sourceID=54","")</f>
        <v/>
      </c>
      <c r="L1185" s="4" t="str">
        <f>HYPERLINK("http://141.218.60.56/~jnz1568/getInfo.php?workbook=16_15.xlsx&amp;sheet=A0&amp;row=1185&amp;col=12&amp;number=268483.446276&amp;sourceID=53","268483.446276")</f>
        <v>268483.446276</v>
      </c>
      <c r="M1185" s="4" t="str">
        <f>HYPERLINK("http://141.218.60.56/~jnz1568/getInfo.php?workbook=16_15.xlsx&amp;sheet=A0&amp;row=1185&amp;col=13&amp;number=&amp;sourceID=53","")</f>
        <v/>
      </c>
      <c r="N1185" s="4" t="str">
        <f>HYPERLINK("http://141.218.60.56/~jnz1568/getInfo.php?workbook=16_15.xlsx&amp;sheet=A0&amp;row=1185&amp;col=14&amp;number=&amp;sourceID=53","")</f>
        <v/>
      </c>
      <c r="O1185" s="4" t="str">
        <f>HYPERLINK("http://141.218.60.56/~jnz1568/getInfo.php?workbook=16_15.xlsx&amp;sheet=A0&amp;row=1185&amp;col=15&amp;number=&amp;sourceID=55","")</f>
        <v/>
      </c>
      <c r="P1185" s="4" t="str">
        <f>HYPERLINK("http://141.218.60.56/~jnz1568/getInfo.php?workbook=16_15.xlsx&amp;sheet=A0&amp;row=1185&amp;col=16&amp;number=&amp;sourceID=55","")</f>
        <v/>
      </c>
      <c r="Q1185" s="4" t="str">
        <f>HYPERLINK("http://141.218.60.56/~jnz1568/getInfo.php?workbook=16_15.xlsx&amp;sheet=A0&amp;row=1185&amp;col=17&amp;number=&amp;sourceID=56","")</f>
        <v/>
      </c>
      <c r="R1185" s="4" t="str">
        <f>HYPERLINK("http://141.218.60.56/~jnz1568/getInfo.php?workbook=16_15.xlsx&amp;sheet=A0&amp;row=1185&amp;col=18&amp;number=&amp;sourceID=56","")</f>
        <v/>
      </c>
      <c r="S1185" s="4" t="str">
        <f>HYPERLINK("http://141.218.60.56/~jnz1568/getInfo.php?workbook=16_15.xlsx&amp;sheet=A0&amp;row=1185&amp;col=19&amp;number=&amp;sourceID=57","")</f>
        <v/>
      </c>
      <c r="T1185" s="4" t="str">
        <f>HYPERLINK("http://141.218.60.56/~jnz1568/getInfo.php?workbook=16_15.xlsx&amp;sheet=A0&amp;row=1185&amp;col=20&amp;number=&amp;sourceID=57","")</f>
        <v/>
      </c>
      <c r="U1185" s="4" t="str">
        <f>HYPERLINK("http://141.218.60.56/~jnz1568/getInfo.php?workbook=16_15.xlsx&amp;sheet=A0&amp;row=1185&amp;col=21&amp;number=&amp;sourceID=47","")</f>
        <v/>
      </c>
      <c r="V1185" s="4" t="str">
        <f>HYPERLINK("http://141.218.60.56/~jnz1568/getInfo.php?workbook=16_15.xlsx&amp;sheet=A0&amp;row=1185&amp;col=22&amp;number=&amp;sourceID=47","")</f>
        <v/>
      </c>
    </row>
    <row r="1186" spans="1:22">
      <c r="A1186" s="3">
        <v>16</v>
      </c>
      <c r="B1186" s="3">
        <v>15</v>
      </c>
      <c r="C1186" s="3">
        <v>55</v>
      </c>
      <c r="D1186" s="3">
        <v>47</v>
      </c>
      <c r="E1186" s="3">
        <f>((1/(INDEX(E0!J$4:J$73,C1186,1)-INDEX(E0!J$4:J$73,D1186,1))))*100000000</f>
        <v>0</v>
      </c>
      <c r="F1186" s="4" t="str">
        <f>HYPERLINK("http://141.218.60.56/~jnz1568/getInfo.php?workbook=16_15.xlsx&amp;sheet=A0&amp;row=1186&amp;col=6&amp;number=100.9&amp;sourceID=54","100.9")</f>
        <v>100.9</v>
      </c>
      <c r="G1186" s="4" t="str">
        <f>HYPERLINK("http://141.218.60.56/~jnz1568/getInfo.php?workbook=16_15.xlsx&amp;sheet=A0&amp;row=1186&amp;col=7&amp;number=&amp;sourceID=54","")</f>
        <v/>
      </c>
      <c r="H1186" s="4" t="str">
        <f>HYPERLINK("http://141.218.60.56/~jnz1568/getInfo.php?workbook=16_15.xlsx&amp;sheet=A0&amp;row=1186&amp;col=8&amp;number=&amp;sourceID=54","")</f>
        <v/>
      </c>
      <c r="I1186" s="4" t="str">
        <f>HYPERLINK("http://141.218.60.56/~jnz1568/getInfo.php?workbook=16_15.xlsx&amp;sheet=A0&amp;row=1186&amp;col=9&amp;number=9.2548&amp;sourceID=54","9.2548")</f>
        <v>9.2548</v>
      </c>
      <c r="J1186" s="4" t="str">
        <f>HYPERLINK("http://141.218.60.56/~jnz1568/getInfo.php?workbook=16_15.xlsx&amp;sheet=A0&amp;row=1186&amp;col=10&amp;number=&amp;sourceID=54","")</f>
        <v/>
      </c>
      <c r="K1186" s="4" t="str">
        <f>HYPERLINK("http://141.218.60.56/~jnz1568/getInfo.php?workbook=16_15.xlsx&amp;sheet=A0&amp;row=1186&amp;col=11&amp;number=&amp;sourceID=54","")</f>
        <v/>
      </c>
      <c r="L1186" s="4" t="str">
        <f>HYPERLINK("http://141.218.60.56/~jnz1568/getInfo.php?workbook=16_15.xlsx&amp;sheet=A0&amp;row=1186&amp;col=12&amp;number=378.22960864&amp;sourceID=53","378.22960864")</f>
        <v>378.22960864</v>
      </c>
      <c r="M1186" s="4" t="str">
        <f>HYPERLINK("http://141.218.60.56/~jnz1568/getInfo.php?workbook=16_15.xlsx&amp;sheet=A0&amp;row=1186&amp;col=13&amp;number=&amp;sourceID=53","")</f>
        <v/>
      </c>
      <c r="N1186" s="4" t="str">
        <f>HYPERLINK("http://141.218.60.56/~jnz1568/getInfo.php?workbook=16_15.xlsx&amp;sheet=A0&amp;row=1186&amp;col=14&amp;number=&amp;sourceID=53","")</f>
        <v/>
      </c>
      <c r="O1186" s="4" t="str">
        <f>HYPERLINK("http://141.218.60.56/~jnz1568/getInfo.php?workbook=16_15.xlsx&amp;sheet=A0&amp;row=1186&amp;col=15&amp;number=&amp;sourceID=55","")</f>
        <v/>
      </c>
      <c r="P1186" s="4" t="str">
        <f>HYPERLINK("http://141.218.60.56/~jnz1568/getInfo.php?workbook=16_15.xlsx&amp;sheet=A0&amp;row=1186&amp;col=16&amp;number=&amp;sourceID=55","")</f>
        <v/>
      </c>
      <c r="Q1186" s="4" t="str">
        <f>HYPERLINK("http://141.218.60.56/~jnz1568/getInfo.php?workbook=16_15.xlsx&amp;sheet=A0&amp;row=1186&amp;col=17&amp;number=&amp;sourceID=56","")</f>
        <v/>
      </c>
      <c r="R1186" s="4" t="str">
        <f>HYPERLINK("http://141.218.60.56/~jnz1568/getInfo.php?workbook=16_15.xlsx&amp;sheet=A0&amp;row=1186&amp;col=18&amp;number=&amp;sourceID=56","")</f>
        <v/>
      </c>
      <c r="S1186" s="4" t="str">
        <f>HYPERLINK("http://141.218.60.56/~jnz1568/getInfo.php?workbook=16_15.xlsx&amp;sheet=A0&amp;row=1186&amp;col=19&amp;number=&amp;sourceID=57","")</f>
        <v/>
      </c>
      <c r="T1186" s="4" t="str">
        <f>HYPERLINK("http://141.218.60.56/~jnz1568/getInfo.php?workbook=16_15.xlsx&amp;sheet=A0&amp;row=1186&amp;col=20&amp;number=&amp;sourceID=57","")</f>
        <v/>
      </c>
      <c r="U1186" s="4" t="str">
        <f>HYPERLINK("http://141.218.60.56/~jnz1568/getInfo.php?workbook=16_15.xlsx&amp;sheet=A0&amp;row=1186&amp;col=21&amp;number=&amp;sourceID=47","")</f>
        <v/>
      </c>
      <c r="V1186" s="4" t="str">
        <f>HYPERLINK("http://141.218.60.56/~jnz1568/getInfo.php?workbook=16_15.xlsx&amp;sheet=A0&amp;row=1186&amp;col=22&amp;number=&amp;sourceID=47","")</f>
        <v/>
      </c>
    </row>
    <row r="1187" spans="1:22">
      <c r="A1187" s="3">
        <v>16</v>
      </c>
      <c r="B1187" s="3">
        <v>15</v>
      </c>
      <c r="C1187" s="3">
        <v>55</v>
      </c>
      <c r="D1187" s="3">
        <v>48</v>
      </c>
      <c r="E1187" s="3">
        <f>((1/(INDEX(E0!J$4:J$73,C1187,1)-INDEX(E0!J$4:J$73,D1187,1))))*100000000</f>
        <v>0</v>
      </c>
      <c r="F1187" s="4" t="str">
        <f>HYPERLINK("http://141.218.60.56/~jnz1568/getInfo.php?workbook=16_15.xlsx&amp;sheet=A0&amp;row=1187&amp;col=6&amp;number=&amp;sourceID=54","")</f>
        <v/>
      </c>
      <c r="G1187" s="4" t="str">
        <f>HYPERLINK("http://141.218.60.56/~jnz1568/getInfo.php?workbook=16_15.xlsx&amp;sheet=A0&amp;row=1187&amp;col=7&amp;number=0.0025998&amp;sourceID=54","0.0025998")</f>
        <v>0.0025998</v>
      </c>
      <c r="H1187" s="4" t="str">
        <f>HYPERLINK("http://141.218.60.56/~jnz1568/getInfo.php?workbook=16_15.xlsx&amp;sheet=A0&amp;row=1187&amp;col=8&amp;number=0.0058635&amp;sourceID=54","0.0058635")</f>
        <v>0.0058635</v>
      </c>
      <c r="I1187" s="4" t="str">
        <f>HYPERLINK("http://141.218.60.56/~jnz1568/getInfo.php?workbook=16_15.xlsx&amp;sheet=A0&amp;row=1187&amp;col=9&amp;number=&amp;sourceID=54","")</f>
        <v/>
      </c>
      <c r="J1187" s="4" t="str">
        <f>HYPERLINK("http://141.218.60.56/~jnz1568/getInfo.php?workbook=16_15.xlsx&amp;sheet=A0&amp;row=1187&amp;col=10&amp;number=0.002708&amp;sourceID=54","0.002708")</f>
        <v>0.002708</v>
      </c>
      <c r="K1187" s="4" t="str">
        <f>HYPERLINK("http://141.218.60.56/~jnz1568/getInfo.php?workbook=16_15.xlsx&amp;sheet=A0&amp;row=1187&amp;col=11&amp;number=0.0030298&amp;sourceID=54","0.0030298")</f>
        <v>0.0030298</v>
      </c>
      <c r="L1187" s="4" t="str">
        <f>HYPERLINK("http://141.218.60.56/~jnz1568/getInfo.php?workbook=16_15.xlsx&amp;sheet=A0&amp;row=1187&amp;col=12&amp;number=&amp;sourceID=53","")</f>
        <v/>
      </c>
      <c r="M1187" s="4" t="str">
        <f>HYPERLINK("http://141.218.60.56/~jnz1568/getInfo.php?workbook=16_15.xlsx&amp;sheet=A0&amp;row=1187&amp;col=13&amp;number=&amp;sourceID=53","")</f>
        <v/>
      </c>
      <c r="N1187" s="4" t="str">
        <f>HYPERLINK("http://141.218.60.56/~jnz1568/getInfo.php?workbook=16_15.xlsx&amp;sheet=A0&amp;row=1187&amp;col=14&amp;number=&amp;sourceID=53","")</f>
        <v/>
      </c>
      <c r="O1187" s="4" t="str">
        <f>HYPERLINK("http://141.218.60.56/~jnz1568/getInfo.php?workbook=16_15.xlsx&amp;sheet=A0&amp;row=1187&amp;col=15&amp;number=&amp;sourceID=55","")</f>
        <v/>
      </c>
      <c r="P1187" s="4" t="str">
        <f>HYPERLINK("http://141.218.60.56/~jnz1568/getInfo.php?workbook=16_15.xlsx&amp;sheet=A0&amp;row=1187&amp;col=16&amp;number=&amp;sourceID=55","")</f>
        <v/>
      </c>
      <c r="Q1187" s="4" t="str">
        <f>HYPERLINK("http://141.218.60.56/~jnz1568/getInfo.php?workbook=16_15.xlsx&amp;sheet=A0&amp;row=1187&amp;col=17&amp;number=&amp;sourceID=56","")</f>
        <v/>
      </c>
      <c r="R1187" s="4" t="str">
        <f>HYPERLINK("http://141.218.60.56/~jnz1568/getInfo.php?workbook=16_15.xlsx&amp;sheet=A0&amp;row=1187&amp;col=18&amp;number=&amp;sourceID=56","")</f>
        <v/>
      </c>
      <c r="S1187" s="4" t="str">
        <f>HYPERLINK("http://141.218.60.56/~jnz1568/getInfo.php?workbook=16_15.xlsx&amp;sheet=A0&amp;row=1187&amp;col=19&amp;number=&amp;sourceID=57","")</f>
        <v/>
      </c>
      <c r="T1187" s="4" t="str">
        <f>HYPERLINK("http://141.218.60.56/~jnz1568/getInfo.php?workbook=16_15.xlsx&amp;sheet=A0&amp;row=1187&amp;col=20&amp;number=&amp;sourceID=57","")</f>
        <v/>
      </c>
      <c r="U1187" s="4" t="str">
        <f>HYPERLINK("http://141.218.60.56/~jnz1568/getInfo.php?workbook=16_15.xlsx&amp;sheet=A0&amp;row=1187&amp;col=21&amp;number=&amp;sourceID=47","")</f>
        <v/>
      </c>
      <c r="V1187" s="4" t="str">
        <f>HYPERLINK("http://141.218.60.56/~jnz1568/getInfo.php?workbook=16_15.xlsx&amp;sheet=A0&amp;row=1187&amp;col=22&amp;number=&amp;sourceID=47","")</f>
        <v/>
      </c>
    </row>
    <row r="1188" spans="1:22">
      <c r="A1188" s="3">
        <v>16</v>
      </c>
      <c r="B1188" s="3">
        <v>15</v>
      </c>
      <c r="C1188" s="3">
        <v>55</v>
      </c>
      <c r="D1188" s="3">
        <v>49</v>
      </c>
      <c r="E1188" s="3">
        <f>((1/(INDEX(E0!J$4:J$73,C1188,1)-INDEX(E0!J$4:J$73,D1188,1))))*100000000</f>
        <v>0</v>
      </c>
      <c r="F1188" s="4" t="str">
        <f>HYPERLINK("http://141.218.60.56/~jnz1568/getInfo.php?workbook=16_15.xlsx&amp;sheet=A0&amp;row=1188&amp;col=6&amp;number=2116.9&amp;sourceID=54","2116.9")</f>
        <v>2116.9</v>
      </c>
      <c r="G1188" s="4" t="str">
        <f>HYPERLINK("http://141.218.60.56/~jnz1568/getInfo.php?workbook=16_15.xlsx&amp;sheet=A0&amp;row=1188&amp;col=7&amp;number=&amp;sourceID=54","")</f>
        <v/>
      </c>
      <c r="H1188" s="4" t="str">
        <f>HYPERLINK("http://141.218.60.56/~jnz1568/getInfo.php?workbook=16_15.xlsx&amp;sheet=A0&amp;row=1188&amp;col=8&amp;number=&amp;sourceID=54","")</f>
        <v/>
      </c>
      <c r="I1188" s="4" t="str">
        <f>HYPERLINK("http://141.218.60.56/~jnz1568/getInfo.php?workbook=16_15.xlsx&amp;sheet=A0&amp;row=1188&amp;col=9&amp;number=2703.2&amp;sourceID=54","2703.2")</f>
        <v>2703.2</v>
      </c>
      <c r="J1188" s="4" t="str">
        <f>HYPERLINK("http://141.218.60.56/~jnz1568/getInfo.php?workbook=16_15.xlsx&amp;sheet=A0&amp;row=1188&amp;col=10&amp;number=&amp;sourceID=54","")</f>
        <v/>
      </c>
      <c r="K1188" s="4" t="str">
        <f>HYPERLINK("http://141.218.60.56/~jnz1568/getInfo.php?workbook=16_15.xlsx&amp;sheet=A0&amp;row=1188&amp;col=11&amp;number=&amp;sourceID=54","")</f>
        <v/>
      </c>
      <c r="L1188" s="4" t="str">
        <f>HYPERLINK("http://141.218.60.56/~jnz1568/getInfo.php?workbook=16_15.xlsx&amp;sheet=A0&amp;row=1188&amp;col=12&amp;number=2127.74058204&amp;sourceID=53","2127.74058204")</f>
        <v>2127.74058204</v>
      </c>
      <c r="M1188" s="4" t="str">
        <f>HYPERLINK("http://141.218.60.56/~jnz1568/getInfo.php?workbook=16_15.xlsx&amp;sheet=A0&amp;row=1188&amp;col=13&amp;number=&amp;sourceID=53","")</f>
        <v/>
      </c>
      <c r="N1188" s="4" t="str">
        <f>HYPERLINK("http://141.218.60.56/~jnz1568/getInfo.php?workbook=16_15.xlsx&amp;sheet=A0&amp;row=1188&amp;col=14&amp;number=&amp;sourceID=53","")</f>
        <v/>
      </c>
      <c r="O1188" s="4" t="str">
        <f>HYPERLINK("http://141.218.60.56/~jnz1568/getInfo.php?workbook=16_15.xlsx&amp;sheet=A0&amp;row=1188&amp;col=15&amp;number=&amp;sourceID=55","")</f>
        <v/>
      </c>
      <c r="P1188" s="4" t="str">
        <f>HYPERLINK("http://141.218.60.56/~jnz1568/getInfo.php?workbook=16_15.xlsx&amp;sheet=A0&amp;row=1188&amp;col=16&amp;number=&amp;sourceID=55","")</f>
        <v/>
      </c>
      <c r="Q1188" s="4" t="str">
        <f>HYPERLINK("http://141.218.60.56/~jnz1568/getInfo.php?workbook=16_15.xlsx&amp;sheet=A0&amp;row=1188&amp;col=17&amp;number=&amp;sourceID=56","")</f>
        <v/>
      </c>
      <c r="R1188" s="4" t="str">
        <f>HYPERLINK("http://141.218.60.56/~jnz1568/getInfo.php?workbook=16_15.xlsx&amp;sheet=A0&amp;row=1188&amp;col=18&amp;number=&amp;sourceID=56","")</f>
        <v/>
      </c>
      <c r="S1188" s="4" t="str">
        <f>HYPERLINK("http://141.218.60.56/~jnz1568/getInfo.php?workbook=16_15.xlsx&amp;sheet=A0&amp;row=1188&amp;col=19&amp;number=&amp;sourceID=57","")</f>
        <v/>
      </c>
      <c r="T1188" s="4" t="str">
        <f>HYPERLINK("http://141.218.60.56/~jnz1568/getInfo.php?workbook=16_15.xlsx&amp;sheet=A0&amp;row=1188&amp;col=20&amp;number=&amp;sourceID=57","")</f>
        <v/>
      </c>
      <c r="U1188" s="4" t="str">
        <f>HYPERLINK("http://141.218.60.56/~jnz1568/getInfo.php?workbook=16_15.xlsx&amp;sheet=A0&amp;row=1188&amp;col=21&amp;number=&amp;sourceID=47","")</f>
        <v/>
      </c>
      <c r="V1188" s="4" t="str">
        <f>HYPERLINK("http://141.218.60.56/~jnz1568/getInfo.php?workbook=16_15.xlsx&amp;sheet=A0&amp;row=1188&amp;col=22&amp;number=&amp;sourceID=47","")</f>
        <v/>
      </c>
    </row>
    <row r="1189" spans="1:22">
      <c r="A1189" s="3">
        <v>16</v>
      </c>
      <c r="B1189" s="3">
        <v>15</v>
      </c>
      <c r="C1189" s="3">
        <v>55</v>
      </c>
      <c r="D1189" s="3">
        <v>50</v>
      </c>
      <c r="E1189" s="3">
        <f>((1/(INDEX(E0!J$4:J$73,C1189,1)-INDEX(E0!J$4:J$73,D1189,1))))*100000000</f>
        <v>0</v>
      </c>
      <c r="F1189" s="4" t="str">
        <f>HYPERLINK("http://141.218.60.56/~jnz1568/getInfo.php?workbook=16_15.xlsx&amp;sheet=A0&amp;row=1189&amp;col=6&amp;number=&amp;sourceID=54","")</f>
        <v/>
      </c>
      <c r="G1189" s="4" t="str">
        <f>HYPERLINK("http://141.218.60.56/~jnz1568/getInfo.php?workbook=16_15.xlsx&amp;sheet=A0&amp;row=1189&amp;col=7&amp;number=0.0059702&amp;sourceID=54","0.0059702")</f>
        <v>0.0059702</v>
      </c>
      <c r="H1189" s="4" t="str">
        <f>HYPERLINK("http://141.218.60.56/~jnz1568/getInfo.php?workbook=16_15.xlsx&amp;sheet=A0&amp;row=1189&amp;col=8&amp;number=0.0027136&amp;sourceID=54","0.0027136")</f>
        <v>0.0027136</v>
      </c>
      <c r="I1189" s="4" t="str">
        <f>HYPERLINK("http://141.218.60.56/~jnz1568/getInfo.php?workbook=16_15.xlsx&amp;sheet=A0&amp;row=1189&amp;col=9&amp;number=&amp;sourceID=54","")</f>
        <v/>
      </c>
      <c r="J1189" s="4" t="str">
        <f>HYPERLINK("http://141.218.60.56/~jnz1568/getInfo.php?workbook=16_15.xlsx&amp;sheet=A0&amp;row=1189&amp;col=10&amp;number=0.0058982&amp;sourceID=54","0.0058982")</f>
        <v>0.0058982</v>
      </c>
      <c r="K1189" s="4" t="str">
        <f>HYPERLINK("http://141.218.60.56/~jnz1568/getInfo.php?workbook=16_15.xlsx&amp;sheet=A0&amp;row=1189&amp;col=11&amp;number=0.0023336&amp;sourceID=54","0.0023336")</f>
        <v>0.0023336</v>
      </c>
      <c r="L1189" s="4" t="str">
        <f>HYPERLINK("http://141.218.60.56/~jnz1568/getInfo.php?workbook=16_15.xlsx&amp;sheet=A0&amp;row=1189&amp;col=12&amp;number=&amp;sourceID=53","")</f>
        <v/>
      </c>
      <c r="M1189" s="4" t="str">
        <f>HYPERLINK("http://141.218.60.56/~jnz1568/getInfo.php?workbook=16_15.xlsx&amp;sheet=A0&amp;row=1189&amp;col=13&amp;number=&amp;sourceID=53","")</f>
        <v/>
      </c>
      <c r="N1189" s="4" t="str">
        <f>HYPERLINK("http://141.218.60.56/~jnz1568/getInfo.php?workbook=16_15.xlsx&amp;sheet=A0&amp;row=1189&amp;col=14&amp;number=&amp;sourceID=53","")</f>
        <v/>
      </c>
      <c r="O1189" s="4" t="str">
        <f>HYPERLINK("http://141.218.60.56/~jnz1568/getInfo.php?workbook=16_15.xlsx&amp;sheet=A0&amp;row=1189&amp;col=15&amp;number=&amp;sourceID=55","")</f>
        <v/>
      </c>
      <c r="P1189" s="4" t="str">
        <f>HYPERLINK("http://141.218.60.56/~jnz1568/getInfo.php?workbook=16_15.xlsx&amp;sheet=A0&amp;row=1189&amp;col=16&amp;number=&amp;sourceID=55","")</f>
        <v/>
      </c>
      <c r="Q1189" s="4" t="str">
        <f>HYPERLINK("http://141.218.60.56/~jnz1568/getInfo.php?workbook=16_15.xlsx&amp;sheet=A0&amp;row=1189&amp;col=17&amp;number=&amp;sourceID=56","")</f>
        <v/>
      </c>
      <c r="R1189" s="4" t="str">
        <f>HYPERLINK("http://141.218.60.56/~jnz1568/getInfo.php?workbook=16_15.xlsx&amp;sheet=A0&amp;row=1189&amp;col=18&amp;number=&amp;sourceID=56","")</f>
        <v/>
      </c>
      <c r="S1189" s="4" t="str">
        <f>HYPERLINK("http://141.218.60.56/~jnz1568/getInfo.php?workbook=16_15.xlsx&amp;sheet=A0&amp;row=1189&amp;col=19&amp;number=&amp;sourceID=57","")</f>
        <v/>
      </c>
      <c r="T1189" s="4" t="str">
        <f>HYPERLINK("http://141.218.60.56/~jnz1568/getInfo.php?workbook=16_15.xlsx&amp;sheet=A0&amp;row=1189&amp;col=20&amp;number=&amp;sourceID=57","")</f>
        <v/>
      </c>
      <c r="U1189" s="4" t="str">
        <f>HYPERLINK("http://141.218.60.56/~jnz1568/getInfo.php?workbook=16_15.xlsx&amp;sheet=A0&amp;row=1189&amp;col=21&amp;number=&amp;sourceID=47","")</f>
        <v/>
      </c>
      <c r="V1189" s="4" t="str">
        <f>HYPERLINK("http://141.218.60.56/~jnz1568/getInfo.php?workbook=16_15.xlsx&amp;sheet=A0&amp;row=1189&amp;col=22&amp;number=&amp;sourceID=47","")</f>
        <v/>
      </c>
    </row>
    <row r="1190" spans="1:22">
      <c r="A1190" s="3">
        <v>16</v>
      </c>
      <c r="B1190" s="3">
        <v>15</v>
      </c>
      <c r="C1190" s="3">
        <v>55</v>
      </c>
      <c r="D1190" s="3">
        <v>51</v>
      </c>
      <c r="E1190" s="3">
        <f>((1/(INDEX(E0!J$4:J$73,C1190,1)-INDEX(E0!J$4:J$73,D1190,1))))*100000000</f>
        <v>0</v>
      </c>
      <c r="F1190" s="4" t="str">
        <f>HYPERLINK("http://141.218.60.56/~jnz1568/getInfo.php?workbook=16_15.xlsx&amp;sheet=A0&amp;row=1190&amp;col=6&amp;number=&amp;sourceID=54","")</f>
        <v/>
      </c>
      <c r="G1190" s="4" t="str">
        <f>HYPERLINK("http://141.218.60.56/~jnz1568/getInfo.php?workbook=16_15.xlsx&amp;sheet=A0&amp;row=1190&amp;col=7&amp;number=8.2175e-07&amp;sourceID=54","8.2175e-07")</f>
        <v>8.2175e-07</v>
      </c>
      <c r="H1190" s="4" t="str">
        <f>HYPERLINK("http://141.218.60.56/~jnz1568/getInfo.php?workbook=16_15.xlsx&amp;sheet=A0&amp;row=1190&amp;col=8&amp;number=6.2712e-07&amp;sourceID=54","6.2712e-07")</f>
        <v>6.2712e-07</v>
      </c>
      <c r="I1190" s="4" t="str">
        <f>HYPERLINK("http://141.218.60.56/~jnz1568/getInfo.php?workbook=16_15.xlsx&amp;sheet=A0&amp;row=1190&amp;col=9&amp;number=&amp;sourceID=54","")</f>
        <v/>
      </c>
      <c r="J1190" s="4" t="str">
        <f>HYPERLINK("http://141.218.60.56/~jnz1568/getInfo.php?workbook=16_15.xlsx&amp;sheet=A0&amp;row=1190&amp;col=10&amp;number=5.3649e-07&amp;sourceID=54","5.3649e-07")</f>
        <v>5.3649e-07</v>
      </c>
      <c r="K1190" s="4" t="str">
        <f>HYPERLINK("http://141.218.60.56/~jnz1568/getInfo.php?workbook=16_15.xlsx&amp;sheet=A0&amp;row=1190&amp;col=11&amp;number=3.1934e-07&amp;sourceID=54","3.1934e-07")</f>
        <v>3.1934e-07</v>
      </c>
      <c r="L1190" s="4" t="str">
        <f>HYPERLINK("http://141.218.60.56/~jnz1568/getInfo.php?workbook=16_15.xlsx&amp;sheet=A0&amp;row=1190&amp;col=12&amp;number=&amp;sourceID=53","")</f>
        <v/>
      </c>
      <c r="M1190" s="4" t="str">
        <f>HYPERLINK("http://141.218.60.56/~jnz1568/getInfo.php?workbook=16_15.xlsx&amp;sheet=A0&amp;row=1190&amp;col=13&amp;number=&amp;sourceID=53","")</f>
        <v/>
      </c>
      <c r="N1190" s="4" t="str">
        <f>HYPERLINK("http://141.218.60.56/~jnz1568/getInfo.php?workbook=16_15.xlsx&amp;sheet=A0&amp;row=1190&amp;col=14&amp;number=&amp;sourceID=53","")</f>
        <v/>
      </c>
      <c r="O1190" s="4" t="str">
        <f>HYPERLINK("http://141.218.60.56/~jnz1568/getInfo.php?workbook=16_15.xlsx&amp;sheet=A0&amp;row=1190&amp;col=15&amp;number=&amp;sourceID=55","")</f>
        <v/>
      </c>
      <c r="P1190" s="4" t="str">
        <f>HYPERLINK("http://141.218.60.56/~jnz1568/getInfo.php?workbook=16_15.xlsx&amp;sheet=A0&amp;row=1190&amp;col=16&amp;number=&amp;sourceID=55","")</f>
        <v/>
      </c>
      <c r="Q1190" s="4" t="str">
        <f>HYPERLINK("http://141.218.60.56/~jnz1568/getInfo.php?workbook=16_15.xlsx&amp;sheet=A0&amp;row=1190&amp;col=17&amp;number=&amp;sourceID=56","")</f>
        <v/>
      </c>
      <c r="R1190" s="4" t="str">
        <f>HYPERLINK("http://141.218.60.56/~jnz1568/getInfo.php?workbook=16_15.xlsx&amp;sheet=A0&amp;row=1190&amp;col=18&amp;number=&amp;sourceID=56","")</f>
        <v/>
      </c>
      <c r="S1190" s="4" t="str">
        <f>HYPERLINK("http://141.218.60.56/~jnz1568/getInfo.php?workbook=16_15.xlsx&amp;sheet=A0&amp;row=1190&amp;col=19&amp;number=&amp;sourceID=57","")</f>
        <v/>
      </c>
      <c r="T1190" s="4" t="str">
        <f>HYPERLINK("http://141.218.60.56/~jnz1568/getInfo.php?workbook=16_15.xlsx&amp;sheet=A0&amp;row=1190&amp;col=20&amp;number=&amp;sourceID=57","")</f>
        <v/>
      </c>
      <c r="U1190" s="4" t="str">
        <f>HYPERLINK("http://141.218.60.56/~jnz1568/getInfo.php?workbook=16_15.xlsx&amp;sheet=A0&amp;row=1190&amp;col=21&amp;number=&amp;sourceID=47","")</f>
        <v/>
      </c>
      <c r="V1190" s="4" t="str">
        <f>HYPERLINK("http://141.218.60.56/~jnz1568/getInfo.php?workbook=16_15.xlsx&amp;sheet=A0&amp;row=1190&amp;col=22&amp;number=&amp;sourceID=47","")</f>
        <v/>
      </c>
    </row>
    <row r="1191" spans="1:22">
      <c r="A1191" s="3">
        <v>16</v>
      </c>
      <c r="B1191" s="3">
        <v>15</v>
      </c>
      <c r="C1191" s="3">
        <v>55</v>
      </c>
      <c r="D1191" s="3">
        <v>52</v>
      </c>
      <c r="E1191" s="3">
        <f>((1/(INDEX(E0!J$4:J$73,C1191,1)-INDEX(E0!J$4:J$73,D1191,1))))*100000000</f>
        <v>0</v>
      </c>
      <c r="F1191" s="4" t="str">
        <f>HYPERLINK("http://141.218.60.56/~jnz1568/getInfo.php?workbook=16_15.xlsx&amp;sheet=A0&amp;row=1191&amp;col=6&amp;number=&amp;sourceID=54","")</f>
        <v/>
      </c>
      <c r="G1191" s="4" t="str">
        <f>HYPERLINK("http://141.218.60.56/~jnz1568/getInfo.php?workbook=16_15.xlsx&amp;sheet=A0&amp;row=1191&amp;col=7&amp;number=6.5099e-08&amp;sourceID=54","6.5099e-08")</f>
        <v>6.5099e-08</v>
      </c>
      <c r="H1191" s="4" t="str">
        <f>HYPERLINK("http://141.218.60.56/~jnz1568/getInfo.php?workbook=16_15.xlsx&amp;sheet=A0&amp;row=1191&amp;col=8&amp;number=8.221e-09&amp;sourceID=54","8.221e-09")</f>
        <v>8.221e-09</v>
      </c>
      <c r="I1191" s="4" t="str">
        <f>HYPERLINK("http://141.218.60.56/~jnz1568/getInfo.php?workbook=16_15.xlsx&amp;sheet=A0&amp;row=1191&amp;col=9&amp;number=&amp;sourceID=54","")</f>
        <v/>
      </c>
      <c r="J1191" s="4" t="str">
        <f>HYPERLINK("http://141.218.60.56/~jnz1568/getInfo.php?workbook=16_15.xlsx&amp;sheet=A0&amp;row=1191&amp;col=10&amp;number=2.6414e-06&amp;sourceID=54","2.6414e-06")</f>
        <v>2.6414e-06</v>
      </c>
      <c r="K1191" s="4" t="str">
        <f>HYPERLINK("http://141.218.60.56/~jnz1568/getInfo.php?workbook=16_15.xlsx&amp;sheet=A0&amp;row=1191&amp;col=11&amp;number=8.4955e-08&amp;sourceID=54","8.4955e-08")</f>
        <v>8.4955e-08</v>
      </c>
      <c r="L1191" s="4" t="str">
        <f>HYPERLINK("http://141.218.60.56/~jnz1568/getInfo.php?workbook=16_15.xlsx&amp;sheet=A0&amp;row=1191&amp;col=12&amp;number=&amp;sourceID=53","")</f>
        <v/>
      </c>
      <c r="M1191" s="4" t="str">
        <f>HYPERLINK("http://141.218.60.56/~jnz1568/getInfo.php?workbook=16_15.xlsx&amp;sheet=A0&amp;row=1191&amp;col=13&amp;number=&amp;sourceID=53","")</f>
        <v/>
      </c>
      <c r="N1191" s="4" t="str">
        <f>HYPERLINK("http://141.218.60.56/~jnz1568/getInfo.php?workbook=16_15.xlsx&amp;sheet=A0&amp;row=1191&amp;col=14&amp;number=&amp;sourceID=53","")</f>
        <v/>
      </c>
      <c r="O1191" s="4" t="str">
        <f>HYPERLINK("http://141.218.60.56/~jnz1568/getInfo.php?workbook=16_15.xlsx&amp;sheet=A0&amp;row=1191&amp;col=15&amp;number=&amp;sourceID=55","")</f>
        <v/>
      </c>
      <c r="P1191" s="4" t="str">
        <f>HYPERLINK("http://141.218.60.56/~jnz1568/getInfo.php?workbook=16_15.xlsx&amp;sheet=A0&amp;row=1191&amp;col=16&amp;number=&amp;sourceID=55","")</f>
        <v/>
      </c>
      <c r="Q1191" s="4" t="str">
        <f>HYPERLINK("http://141.218.60.56/~jnz1568/getInfo.php?workbook=16_15.xlsx&amp;sheet=A0&amp;row=1191&amp;col=17&amp;number=&amp;sourceID=56","")</f>
        <v/>
      </c>
      <c r="R1191" s="4" t="str">
        <f>HYPERLINK("http://141.218.60.56/~jnz1568/getInfo.php?workbook=16_15.xlsx&amp;sheet=A0&amp;row=1191&amp;col=18&amp;number=&amp;sourceID=56","")</f>
        <v/>
      </c>
      <c r="S1191" s="4" t="str">
        <f>HYPERLINK("http://141.218.60.56/~jnz1568/getInfo.php?workbook=16_15.xlsx&amp;sheet=A0&amp;row=1191&amp;col=19&amp;number=&amp;sourceID=57","")</f>
        <v/>
      </c>
      <c r="T1191" s="4" t="str">
        <f>HYPERLINK("http://141.218.60.56/~jnz1568/getInfo.php?workbook=16_15.xlsx&amp;sheet=A0&amp;row=1191&amp;col=20&amp;number=&amp;sourceID=57","")</f>
        <v/>
      </c>
      <c r="U1191" s="4" t="str">
        <f>HYPERLINK("http://141.218.60.56/~jnz1568/getInfo.php?workbook=16_15.xlsx&amp;sheet=A0&amp;row=1191&amp;col=21&amp;number=&amp;sourceID=47","")</f>
        <v/>
      </c>
      <c r="V1191" s="4" t="str">
        <f>HYPERLINK("http://141.218.60.56/~jnz1568/getInfo.php?workbook=16_15.xlsx&amp;sheet=A0&amp;row=1191&amp;col=22&amp;number=&amp;sourceID=47","")</f>
        <v/>
      </c>
    </row>
    <row r="1192" spans="1:22">
      <c r="A1192" s="3">
        <v>16</v>
      </c>
      <c r="B1192" s="3">
        <v>15</v>
      </c>
      <c r="C1192" s="3">
        <v>55</v>
      </c>
      <c r="D1192" s="3">
        <v>53</v>
      </c>
      <c r="E1192" s="3">
        <f>((1/(INDEX(E0!J$4:J$73,C1192,1)-INDEX(E0!J$4:J$73,D1192,1))))*100000000</f>
        <v>0</v>
      </c>
      <c r="F1192" s="4" t="str">
        <f>HYPERLINK("http://141.218.60.56/~jnz1568/getInfo.php?workbook=16_15.xlsx&amp;sheet=A0&amp;row=1192&amp;col=6&amp;number=&amp;sourceID=54","")</f>
        <v/>
      </c>
      <c r="G1192" s="4" t="str">
        <f>HYPERLINK("http://141.218.60.56/~jnz1568/getInfo.php?workbook=16_15.xlsx&amp;sheet=A0&amp;row=1192&amp;col=7&amp;number=3.3173e-07&amp;sourceID=54","3.3173e-07")</f>
        <v>3.3173e-07</v>
      </c>
      <c r="H1192" s="4" t="str">
        <f>HYPERLINK("http://141.218.60.56/~jnz1568/getInfo.php?workbook=16_15.xlsx&amp;sheet=A0&amp;row=1192&amp;col=8&amp;number=&amp;sourceID=54","")</f>
        <v/>
      </c>
      <c r="I1192" s="4" t="str">
        <f>HYPERLINK("http://141.218.60.56/~jnz1568/getInfo.php?workbook=16_15.xlsx&amp;sheet=A0&amp;row=1192&amp;col=9&amp;number=&amp;sourceID=54","")</f>
        <v/>
      </c>
      <c r="J1192" s="4" t="str">
        <f>HYPERLINK("http://141.218.60.56/~jnz1568/getInfo.php?workbook=16_15.xlsx&amp;sheet=A0&amp;row=1192&amp;col=10&amp;number=1.3398e-05&amp;sourceID=54","1.3398e-05")</f>
        <v>1.3398e-05</v>
      </c>
      <c r="K1192" s="4" t="str">
        <f>HYPERLINK("http://141.218.60.56/~jnz1568/getInfo.php?workbook=16_15.xlsx&amp;sheet=A0&amp;row=1192&amp;col=11&amp;number=&amp;sourceID=54","")</f>
        <v/>
      </c>
      <c r="L1192" s="4" t="str">
        <f>HYPERLINK("http://141.218.60.56/~jnz1568/getInfo.php?workbook=16_15.xlsx&amp;sheet=A0&amp;row=1192&amp;col=12&amp;number=&amp;sourceID=53","")</f>
        <v/>
      </c>
      <c r="M1192" s="4" t="str">
        <f>HYPERLINK("http://141.218.60.56/~jnz1568/getInfo.php?workbook=16_15.xlsx&amp;sheet=A0&amp;row=1192&amp;col=13&amp;number=&amp;sourceID=53","")</f>
        <v/>
      </c>
      <c r="N1192" s="4" t="str">
        <f>HYPERLINK("http://141.218.60.56/~jnz1568/getInfo.php?workbook=16_15.xlsx&amp;sheet=A0&amp;row=1192&amp;col=14&amp;number=&amp;sourceID=53","")</f>
        <v/>
      </c>
      <c r="O1192" s="4" t="str">
        <f>HYPERLINK("http://141.218.60.56/~jnz1568/getInfo.php?workbook=16_15.xlsx&amp;sheet=A0&amp;row=1192&amp;col=15&amp;number=&amp;sourceID=55","")</f>
        <v/>
      </c>
      <c r="P1192" s="4" t="str">
        <f>HYPERLINK("http://141.218.60.56/~jnz1568/getInfo.php?workbook=16_15.xlsx&amp;sheet=A0&amp;row=1192&amp;col=16&amp;number=&amp;sourceID=55","")</f>
        <v/>
      </c>
      <c r="Q1192" s="4" t="str">
        <f>HYPERLINK("http://141.218.60.56/~jnz1568/getInfo.php?workbook=16_15.xlsx&amp;sheet=A0&amp;row=1192&amp;col=17&amp;number=&amp;sourceID=56","")</f>
        <v/>
      </c>
      <c r="R1192" s="4" t="str">
        <f>HYPERLINK("http://141.218.60.56/~jnz1568/getInfo.php?workbook=16_15.xlsx&amp;sheet=A0&amp;row=1192&amp;col=18&amp;number=&amp;sourceID=56","")</f>
        <v/>
      </c>
      <c r="S1192" s="4" t="str">
        <f>HYPERLINK("http://141.218.60.56/~jnz1568/getInfo.php?workbook=16_15.xlsx&amp;sheet=A0&amp;row=1192&amp;col=19&amp;number=&amp;sourceID=57","")</f>
        <v/>
      </c>
      <c r="T1192" s="4" t="str">
        <f>HYPERLINK("http://141.218.60.56/~jnz1568/getInfo.php?workbook=16_15.xlsx&amp;sheet=A0&amp;row=1192&amp;col=20&amp;number=&amp;sourceID=57","")</f>
        <v/>
      </c>
      <c r="U1192" s="4" t="str">
        <f>HYPERLINK("http://141.218.60.56/~jnz1568/getInfo.php?workbook=16_15.xlsx&amp;sheet=A0&amp;row=1192&amp;col=21&amp;number=&amp;sourceID=47","")</f>
        <v/>
      </c>
      <c r="V1192" s="4" t="str">
        <f>HYPERLINK("http://141.218.60.56/~jnz1568/getInfo.php?workbook=16_15.xlsx&amp;sheet=A0&amp;row=1192&amp;col=22&amp;number=&amp;sourceID=47","")</f>
        <v/>
      </c>
    </row>
    <row r="1193" spans="1:22">
      <c r="A1193" s="3">
        <v>16</v>
      </c>
      <c r="B1193" s="3">
        <v>15</v>
      </c>
      <c r="C1193" s="3">
        <v>55</v>
      </c>
      <c r="D1193" s="3">
        <v>54</v>
      </c>
      <c r="E1193" s="3">
        <f>((1/(INDEX(E0!J$4:J$73,C1193,1)-INDEX(E0!J$4:J$73,D1193,1))))*100000000</f>
        <v>0</v>
      </c>
      <c r="F1193" s="4" t="str">
        <f>HYPERLINK("http://141.218.60.56/~jnz1568/getInfo.php?workbook=16_15.xlsx&amp;sheet=A0&amp;row=1193&amp;col=6&amp;number=&amp;sourceID=54","")</f>
        <v/>
      </c>
      <c r="G1193" s="4" t="str">
        <f>HYPERLINK("http://141.218.60.56/~jnz1568/getInfo.php?workbook=16_15.xlsx&amp;sheet=A0&amp;row=1193&amp;col=7&amp;number=3.2265e-10&amp;sourceID=54","3.2265e-10")</f>
        <v>3.2265e-10</v>
      </c>
      <c r="H1193" s="4" t="str">
        <f>HYPERLINK("http://141.218.60.56/~jnz1568/getInfo.php?workbook=16_15.xlsx&amp;sheet=A0&amp;row=1193&amp;col=8&amp;number=5.4114e-05&amp;sourceID=54","5.4114e-05")</f>
        <v>5.4114e-05</v>
      </c>
      <c r="I1193" s="4" t="str">
        <f>HYPERLINK("http://141.218.60.56/~jnz1568/getInfo.php?workbook=16_15.xlsx&amp;sheet=A0&amp;row=1193&amp;col=9&amp;number=&amp;sourceID=54","")</f>
        <v/>
      </c>
      <c r="J1193" s="4" t="str">
        <f>HYPERLINK("http://141.218.60.56/~jnz1568/getInfo.php?workbook=16_15.xlsx&amp;sheet=A0&amp;row=1193&amp;col=10&amp;number=1.7113e-10&amp;sourceID=54","1.7113e-10")</f>
        <v>1.7113e-10</v>
      </c>
      <c r="K1193" s="4" t="str">
        <f>HYPERLINK("http://141.218.60.56/~jnz1568/getInfo.php?workbook=16_15.xlsx&amp;sheet=A0&amp;row=1193&amp;col=11&amp;number=3.6729e-05&amp;sourceID=54","3.6729e-05")</f>
        <v>3.6729e-05</v>
      </c>
      <c r="L1193" s="4" t="str">
        <f>HYPERLINK("http://141.218.60.56/~jnz1568/getInfo.php?workbook=16_15.xlsx&amp;sheet=A0&amp;row=1193&amp;col=12&amp;number=&amp;sourceID=53","")</f>
        <v/>
      </c>
      <c r="M1193" s="4" t="str">
        <f>HYPERLINK("http://141.218.60.56/~jnz1568/getInfo.php?workbook=16_15.xlsx&amp;sheet=A0&amp;row=1193&amp;col=13&amp;number=&amp;sourceID=53","")</f>
        <v/>
      </c>
      <c r="N1193" s="4" t="str">
        <f>HYPERLINK("http://141.218.60.56/~jnz1568/getInfo.php?workbook=16_15.xlsx&amp;sheet=A0&amp;row=1193&amp;col=14&amp;number=&amp;sourceID=53","")</f>
        <v/>
      </c>
      <c r="O1193" s="4" t="str">
        <f>HYPERLINK("http://141.218.60.56/~jnz1568/getInfo.php?workbook=16_15.xlsx&amp;sheet=A0&amp;row=1193&amp;col=15&amp;number=&amp;sourceID=55","")</f>
        <v/>
      </c>
      <c r="P1193" s="4" t="str">
        <f>HYPERLINK("http://141.218.60.56/~jnz1568/getInfo.php?workbook=16_15.xlsx&amp;sheet=A0&amp;row=1193&amp;col=16&amp;number=&amp;sourceID=55","")</f>
        <v/>
      </c>
      <c r="Q1193" s="4" t="str">
        <f>HYPERLINK("http://141.218.60.56/~jnz1568/getInfo.php?workbook=16_15.xlsx&amp;sheet=A0&amp;row=1193&amp;col=17&amp;number=&amp;sourceID=56","")</f>
        <v/>
      </c>
      <c r="R1193" s="4" t="str">
        <f>HYPERLINK("http://141.218.60.56/~jnz1568/getInfo.php?workbook=16_15.xlsx&amp;sheet=A0&amp;row=1193&amp;col=18&amp;number=&amp;sourceID=56","")</f>
        <v/>
      </c>
      <c r="S1193" s="4" t="str">
        <f>HYPERLINK("http://141.218.60.56/~jnz1568/getInfo.php?workbook=16_15.xlsx&amp;sheet=A0&amp;row=1193&amp;col=19&amp;number=&amp;sourceID=57","")</f>
        <v/>
      </c>
      <c r="T1193" s="4" t="str">
        <f>HYPERLINK("http://141.218.60.56/~jnz1568/getInfo.php?workbook=16_15.xlsx&amp;sheet=A0&amp;row=1193&amp;col=20&amp;number=&amp;sourceID=57","")</f>
        <v/>
      </c>
      <c r="U1193" s="4" t="str">
        <f>HYPERLINK("http://141.218.60.56/~jnz1568/getInfo.php?workbook=16_15.xlsx&amp;sheet=A0&amp;row=1193&amp;col=21&amp;number=&amp;sourceID=47","")</f>
        <v/>
      </c>
      <c r="V1193" s="4" t="str">
        <f>HYPERLINK("http://141.218.60.56/~jnz1568/getInfo.php?workbook=16_15.xlsx&amp;sheet=A0&amp;row=1193&amp;col=22&amp;number=&amp;sourceID=47","")</f>
        <v/>
      </c>
    </row>
    <row r="1194" spans="1:22">
      <c r="A1194" s="3">
        <v>16</v>
      </c>
      <c r="B1194" s="3">
        <v>15</v>
      </c>
      <c r="C1194" s="3">
        <v>56</v>
      </c>
      <c r="D1194" s="3">
        <v>1</v>
      </c>
      <c r="E1194" s="3">
        <f>((1/(INDEX(E0!J$4:J$73,C1194,1)-INDEX(E0!J$4:J$73,D1194,1))))*100000000</f>
        <v>0</v>
      </c>
      <c r="F1194" s="4" t="str">
        <f>HYPERLINK("http://141.218.60.56/~jnz1568/getInfo.php?workbook=16_15.xlsx&amp;sheet=A0&amp;row=1194&amp;col=6&amp;number=&amp;sourceID=54","")</f>
        <v/>
      </c>
      <c r="G1194" s="4" t="str">
        <f>HYPERLINK("http://141.218.60.56/~jnz1568/getInfo.php?workbook=16_15.xlsx&amp;sheet=A0&amp;row=1194&amp;col=7&amp;number=0.59268&amp;sourceID=54","0.59268")</f>
        <v>0.59268</v>
      </c>
      <c r="H1194" s="4" t="str">
        <f>HYPERLINK("http://141.218.60.56/~jnz1568/getInfo.php?workbook=16_15.xlsx&amp;sheet=A0&amp;row=1194&amp;col=8&amp;number=1.5798e-07&amp;sourceID=54","1.5798e-07")</f>
        <v>1.5798e-07</v>
      </c>
      <c r="I1194" s="4" t="str">
        <f>HYPERLINK("http://141.218.60.56/~jnz1568/getInfo.php?workbook=16_15.xlsx&amp;sheet=A0&amp;row=1194&amp;col=9&amp;number=&amp;sourceID=54","")</f>
        <v/>
      </c>
      <c r="J1194" s="4" t="str">
        <f>HYPERLINK("http://141.218.60.56/~jnz1568/getInfo.php?workbook=16_15.xlsx&amp;sheet=A0&amp;row=1194&amp;col=10&amp;number=0.77279&amp;sourceID=54","0.77279")</f>
        <v>0.77279</v>
      </c>
      <c r="K1194" s="4" t="str">
        <f>HYPERLINK("http://141.218.60.56/~jnz1568/getInfo.php?workbook=16_15.xlsx&amp;sheet=A0&amp;row=1194&amp;col=11&amp;number=6.9802e-08&amp;sourceID=54","6.9802e-08")</f>
        <v>6.9802e-08</v>
      </c>
      <c r="L1194" s="4" t="str">
        <f>HYPERLINK("http://141.218.60.56/~jnz1568/getInfo.php?workbook=16_15.xlsx&amp;sheet=A0&amp;row=1194&amp;col=12&amp;number=&amp;sourceID=53","")</f>
        <v/>
      </c>
      <c r="M1194" s="4" t="str">
        <f>HYPERLINK("http://141.218.60.56/~jnz1568/getInfo.php?workbook=16_15.xlsx&amp;sheet=A0&amp;row=1194&amp;col=13&amp;number=&amp;sourceID=53","")</f>
        <v/>
      </c>
      <c r="N1194" s="4" t="str">
        <f>HYPERLINK("http://141.218.60.56/~jnz1568/getInfo.php?workbook=16_15.xlsx&amp;sheet=A0&amp;row=1194&amp;col=14&amp;number=&amp;sourceID=53","")</f>
        <v/>
      </c>
      <c r="O1194" s="4" t="str">
        <f>HYPERLINK("http://141.218.60.56/~jnz1568/getInfo.php?workbook=16_15.xlsx&amp;sheet=A0&amp;row=1194&amp;col=15&amp;number=&amp;sourceID=55","")</f>
        <v/>
      </c>
      <c r="P1194" s="4" t="str">
        <f>HYPERLINK("http://141.218.60.56/~jnz1568/getInfo.php?workbook=16_15.xlsx&amp;sheet=A0&amp;row=1194&amp;col=16&amp;number=&amp;sourceID=55","")</f>
        <v/>
      </c>
      <c r="Q1194" s="4" t="str">
        <f>HYPERLINK("http://141.218.60.56/~jnz1568/getInfo.php?workbook=16_15.xlsx&amp;sheet=A0&amp;row=1194&amp;col=17&amp;number=&amp;sourceID=56","")</f>
        <v/>
      </c>
      <c r="R1194" s="4" t="str">
        <f>HYPERLINK("http://141.218.60.56/~jnz1568/getInfo.php?workbook=16_15.xlsx&amp;sheet=A0&amp;row=1194&amp;col=18&amp;number=&amp;sourceID=56","")</f>
        <v/>
      </c>
      <c r="S1194" s="4" t="str">
        <f>HYPERLINK("http://141.218.60.56/~jnz1568/getInfo.php?workbook=16_15.xlsx&amp;sheet=A0&amp;row=1194&amp;col=19&amp;number=&amp;sourceID=57","")</f>
        <v/>
      </c>
      <c r="T1194" s="4" t="str">
        <f>HYPERLINK("http://141.218.60.56/~jnz1568/getInfo.php?workbook=16_15.xlsx&amp;sheet=A0&amp;row=1194&amp;col=20&amp;number=&amp;sourceID=57","")</f>
        <v/>
      </c>
      <c r="U1194" s="4" t="str">
        <f>HYPERLINK("http://141.218.60.56/~jnz1568/getInfo.php?workbook=16_15.xlsx&amp;sheet=A0&amp;row=1194&amp;col=21&amp;number=&amp;sourceID=47","")</f>
        <v/>
      </c>
      <c r="V1194" s="4" t="str">
        <f>HYPERLINK("http://141.218.60.56/~jnz1568/getInfo.php?workbook=16_15.xlsx&amp;sheet=A0&amp;row=1194&amp;col=22&amp;number=&amp;sourceID=47","")</f>
        <v/>
      </c>
    </row>
    <row r="1195" spans="1:22">
      <c r="A1195" s="3">
        <v>16</v>
      </c>
      <c r="B1195" s="3">
        <v>15</v>
      </c>
      <c r="C1195" s="3">
        <v>56</v>
      </c>
      <c r="D1195" s="3">
        <v>2</v>
      </c>
      <c r="E1195" s="3">
        <f>((1/(INDEX(E0!J$4:J$73,C1195,1)-INDEX(E0!J$4:J$73,D1195,1))))*100000000</f>
        <v>0</v>
      </c>
      <c r="F1195" s="4" t="str">
        <f>HYPERLINK("http://141.218.60.56/~jnz1568/getInfo.php?workbook=16_15.xlsx&amp;sheet=A0&amp;row=1195&amp;col=6&amp;number=&amp;sourceID=54","")</f>
        <v/>
      </c>
      <c r="G1195" s="4" t="str">
        <f>HYPERLINK("http://141.218.60.56/~jnz1568/getInfo.php?workbook=16_15.xlsx&amp;sheet=A0&amp;row=1195&amp;col=7&amp;number=6590.9&amp;sourceID=54","6590.9")</f>
        <v>6590.9</v>
      </c>
      <c r="H1195" s="4" t="str">
        <f>HYPERLINK("http://141.218.60.56/~jnz1568/getInfo.php?workbook=16_15.xlsx&amp;sheet=A0&amp;row=1195&amp;col=8&amp;number=0.031491&amp;sourceID=54","0.031491")</f>
        <v>0.031491</v>
      </c>
      <c r="I1195" s="4" t="str">
        <f>HYPERLINK("http://141.218.60.56/~jnz1568/getInfo.php?workbook=16_15.xlsx&amp;sheet=A0&amp;row=1195&amp;col=9&amp;number=&amp;sourceID=54","")</f>
        <v/>
      </c>
      <c r="J1195" s="4" t="str">
        <f>HYPERLINK("http://141.218.60.56/~jnz1568/getInfo.php?workbook=16_15.xlsx&amp;sheet=A0&amp;row=1195&amp;col=10&amp;number=6474.7&amp;sourceID=54","6474.7")</f>
        <v>6474.7</v>
      </c>
      <c r="K1195" s="4" t="str">
        <f>HYPERLINK("http://141.218.60.56/~jnz1568/getInfo.php?workbook=16_15.xlsx&amp;sheet=A0&amp;row=1195&amp;col=11&amp;number=0.029323&amp;sourceID=54","0.029323")</f>
        <v>0.029323</v>
      </c>
      <c r="L1195" s="4" t="str">
        <f>HYPERLINK("http://141.218.60.56/~jnz1568/getInfo.php?workbook=16_15.xlsx&amp;sheet=A0&amp;row=1195&amp;col=12&amp;number=&amp;sourceID=53","")</f>
        <v/>
      </c>
      <c r="M1195" s="4" t="str">
        <f>HYPERLINK("http://141.218.60.56/~jnz1568/getInfo.php?workbook=16_15.xlsx&amp;sheet=A0&amp;row=1195&amp;col=13&amp;number=&amp;sourceID=53","")</f>
        <v/>
      </c>
      <c r="N1195" s="4" t="str">
        <f>HYPERLINK("http://141.218.60.56/~jnz1568/getInfo.php?workbook=16_15.xlsx&amp;sheet=A0&amp;row=1195&amp;col=14&amp;number=&amp;sourceID=53","")</f>
        <v/>
      </c>
      <c r="O1195" s="4" t="str">
        <f>HYPERLINK("http://141.218.60.56/~jnz1568/getInfo.php?workbook=16_15.xlsx&amp;sheet=A0&amp;row=1195&amp;col=15&amp;number=&amp;sourceID=55","")</f>
        <v/>
      </c>
      <c r="P1195" s="4" t="str">
        <f>HYPERLINK("http://141.218.60.56/~jnz1568/getInfo.php?workbook=16_15.xlsx&amp;sheet=A0&amp;row=1195&amp;col=16&amp;number=&amp;sourceID=55","")</f>
        <v/>
      </c>
      <c r="Q1195" s="4" t="str">
        <f>HYPERLINK("http://141.218.60.56/~jnz1568/getInfo.php?workbook=16_15.xlsx&amp;sheet=A0&amp;row=1195&amp;col=17&amp;number=&amp;sourceID=56","")</f>
        <v/>
      </c>
      <c r="R1195" s="4" t="str">
        <f>HYPERLINK("http://141.218.60.56/~jnz1568/getInfo.php?workbook=16_15.xlsx&amp;sheet=A0&amp;row=1195&amp;col=18&amp;number=&amp;sourceID=56","")</f>
        <v/>
      </c>
      <c r="S1195" s="4" t="str">
        <f>HYPERLINK("http://141.218.60.56/~jnz1568/getInfo.php?workbook=16_15.xlsx&amp;sheet=A0&amp;row=1195&amp;col=19&amp;number=&amp;sourceID=57","")</f>
        <v/>
      </c>
      <c r="T1195" s="4" t="str">
        <f>HYPERLINK("http://141.218.60.56/~jnz1568/getInfo.php?workbook=16_15.xlsx&amp;sheet=A0&amp;row=1195&amp;col=20&amp;number=&amp;sourceID=57","")</f>
        <v/>
      </c>
      <c r="U1195" s="4" t="str">
        <f>HYPERLINK("http://141.218.60.56/~jnz1568/getInfo.php?workbook=16_15.xlsx&amp;sheet=A0&amp;row=1195&amp;col=21&amp;number=&amp;sourceID=47","")</f>
        <v/>
      </c>
      <c r="V1195" s="4" t="str">
        <f>HYPERLINK("http://141.218.60.56/~jnz1568/getInfo.php?workbook=16_15.xlsx&amp;sheet=A0&amp;row=1195&amp;col=22&amp;number=&amp;sourceID=47","")</f>
        <v/>
      </c>
    </row>
    <row r="1196" spans="1:22">
      <c r="A1196" s="3">
        <v>16</v>
      </c>
      <c r="B1196" s="3">
        <v>15</v>
      </c>
      <c r="C1196" s="3">
        <v>56</v>
      </c>
      <c r="D1196" s="3">
        <v>3</v>
      </c>
      <c r="E1196" s="3">
        <f>((1/(INDEX(E0!J$4:J$73,C1196,1)-INDEX(E0!J$4:J$73,D1196,1))))*100000000</f>
        <v>0</v>
      </c>
      <c r="F1196" s="4" t="str">
        <f>HYPERLINK("http://141.218.60.56/~jnz1568/getInfo.php?workbook=16_15.xlsx&amp;sheet=A0&amp;row=1196&amp;col=6&amp;number=&amp;sourceID=54","")</f>
        <v/>
      </c>
      <c r="G1196" s="4" t="str">
        <f>HYPERLINK("http://141.218.60.56/~jnz1568/getInfo.php?workbook=16_15.xlsx&amp;sheet=A0&amp;row=1196&amp;col=7&amp;number=858&amp;sourceID=54","858")</f>
        <v>858</v>
      </c>
      <c r="H1196" s="4" t="str">
        <f>HYPERLINK("http://141.218.60.56/~jnz1568/getInfo.php?workbook=16_15.xlsx&amp;sheet=A0&amp;row=1196&amp;col=8&amp;number=0.84523&amp;sourceID=54","0.84523")</f>
        <v>0.84523</v>
      </c>
      <c r="I1196" s="4" t="str">
        <f>HYPERLINK("http://141.218.60.56/~jnz1568/getInfo.php?workbook=16_15.xlsx&amp;sheet=A0&amp;row=1196&amp;col=9&amp;number=&amp;sourceID=54","")</f>
        <v/>
      </c>
      <c r="J1196" s="4" t="str">
        <f>HYPERLINK("http://141.218.60.56/~jnz1568/getInfo.php?workbook=16_15.xlsx&amp;sheet=A0&amp;row=1196&amp;col=10&amp;number=1080.5&amp;sourceID=54","1080.5")</f>
        <v>1080.5</v>
      </c>
      <c r="K1196" s="4" t="str">
        <f>HYPERLINK("http://141.218.60.56/~jnz1568/getInfo.php?workbook=16_15.xlsx&amp;sheet=A0&amp;row=1196&amp;col=11&amp;number=0.82919&amp;sourceID=54","0.82919")</f>
        <v>0.82919</v>
      </c>
      <c r="L1196" s="4" t="str">
        <f>HYPERLINK("http://141.218.60.56/~jnz1568/getInfo.php?workbook=16_15.xlsx&amp;sheet=A0&amp;row=1196&amp;col=12&amp;number=&amp;sourceID=53","")</f>
        <v/>
      </c>
      <c r="M1196" s="4" t="str">
        <f>HYPERLINK("http://141.218.60.56/~jnz1568/getInfo.php?workbook=16_15.xlsx&amp;sheet=A0&amp;row=1196&amp;col=13&amp;number=&amp;sourceID=53","")</f>
        <v/>
      </c>
      <c r="N1196" s="4" t="str">
        <f>HYPERLINK("http://141.218.60.56/~jnz1568/getInfo.php?workbook=16_15.xlsx&amp;sheet=A0&amp;row=1196&amp;col=14&amp;number=&amp;sourceID=53","")</f>
        <v/>
      </c>
      <c r="O1196" s="4" t="str">
        <f>HYPERLINK("http://141.218.60.56/~jnz1568/getInfo.php?workbook=16_15.xlsx&amp;sheet=A0&amp;row=1196&amp;col=15&amp;number=&amp;sourceID=55","")</f>
        <v/>
      </c>
      <c r="P1196" s="4" t="str">
        <f>HYPERLINK("http://141.218.60.56/~jnz1568/getInfo.php?workbook=16_15.xlsx&amp;sheet=A0&amp;row=1196&amp;col=16&amp;number=&amp;sourceID=55","")</f>
        <v/>
      </c>
      <c r="Q1196" s="4" t="str">
        <f>HYPERLINK("http://141.218.60.56/~jnz1568/getInfo.php?workbook=16_15.xlsx&amp;sheet=A0&amp;row=1196&amp;col=17&amp;number=&amp;sourceID=56","")</f>
        <v/>
      </c>
      <c r="R1196" s="4" t="str">
        <f>HYPERLINK("http://141.218.60.56/~jnz1568/getInfo.php?workbook=16_15.xlsx&amp;sheet=A0&amp;row=1196&amp;col=18&amp;number=&amp;sourceID=56","")</f>
        <v/>
      </c>
      <c r="S1196" s="4" t="str">
        <f>HYPERLINK("http://141.218.60.56/~jnz1568/getInfo.php?workbook=16_15.xlsx&amp;sheet=A0&amp;row=1196&amp;col=19&amp;number=&amp;sourceID=57","")</f>
        <v/>
      </c>
      <c r="T1196" s="4" t="str">
        <f>HYPERLINK("http://141.218.60.56/~jnz1568/getInfo.php?workbook=16_15.xlsx&amp;sheet=A0&amp;row=1196&amp;col=20&amp;number=&amp;sourceID=57","")</f>
        <v/>
      </c>
      <c r="U1196" s="4" t="str">
        <f>HYPERLINK("http://141.218.60.56/~jnz1568/getInfo.php?workbook=16_15.xlsx&amp;sheet=A0&amp;row=1196&amp;col=21&amp;number=&amp;sourceID=47","")</f>
        <v/>
      </c>
      <c r="V1196" s="4" t="str">
        <f>HYPERLINK("http://141.218.60.56/~jnz1568/getInfo.php?workbook=16_15.xlsx&amp;sheet=A0&amp;row=1196&amp;col=22&amp;number=&amp;sourceID=47","")</f>
        <v/>
      </c>
    </row>
    <row r="1197" spans="1:22">
      <c r="A1197" s="3">
        <v>16</v>
      </c>
      <c r="B1197" s="3">
        <v>15</v>
      </c>
      <c r="C1197" s="3">
        <v>56</v>
      </c>
      <c r="D1197" s="3">
        <v>4</v>
      </c>
      <c r="E1197" s="3">
        <f>((1/(INDEX(E0!J$4:J$73,C1197,1)-INDEX(E0!J$4:J$73,D1197,1))))*100000000</f>
        <v>0</v>
      </c>
      <c r="F1197" s="4" t="str">
        <f>HYPERLINK("http://141.218.60.56/~jnz1568/getInfo.php?workbook=16_15.xlsx&amp;sheet=A0&amp;row=1197&amp;col=6&amp;number=&amp;sourceID=54","")</f>
        <v/>
      </c>
      <c r="G1197" s="4" t="str">
        <f>HYPERLINK("http://141.218.60.56/~jnz1568/getInfo.php?workbook=16_15.xlsx&amp;sheet=A0&amp;row=1197&amp;col=7&amp;number=2360.2&amp;sourceID=54","2360.2")</f>
        <v>2360.2</v>
      </c>
      <c r="H1197" s="4" t="str">
        <f>HYPERLINK("http://141.218.60.56/~jnz1568/getInfo.php?workbook=16_15.xlsx&amp;sheet=A0&amp;row=1197&amp;col=8&amp;number=&amp;sourceID=54","")</f>
        <v/>
      </c>
      <c r="I1197" s="4" t="str">
        <f>HYPERLINK("http://141.218.60.56/~jnz1568/getInfo.php?workbook=16_15.xlsx&amp;sheet=A0&amp;row=1197&amp;col=9&amp;number=&amp;sourceID=54","")</f>
        <v/>
      </c>
      <c r="J1197" s="4" t="str">
        <f>HYPERLINK("http://141.218.60.56/~jnz1568/getInfo.php?workbook=16_15.xlsx&amp;sheet=A0&amp;row=1197&amp;col=10&amp;number=2278.3&amp;sourceID=54","2278.3")</f>
        <v>2278.3</v>
      </c>
      <c r="K1197" s="4" t="str">
        <f>HYPERLINK("http://141.218.60.56/~jnz1568/getInfo.php?workbook=16_15.xlsx&amp;sheet=A0&amp;row=1197&amp;col=11&amp;number=&amp;sourceID=54","")</f>
        <v/>
      </c>
      <c r="L1197" s="4" t="str">
        <f>HYPERLINK("http://141.218.60.56/~jnz1568/getInfo.php?workbook=16_15.xlsx&amp;sheet=A0&amp;row=1197&amp;col=12&amp;number=&amp;sourceID=53","")</f>
        <v/>
      </c>
      <c r="M1197" s="4" t="str">
        <f>HYPERLINK("http://141.218.60.56/~jnz1568/getInfo.php?workbook=16_15.xlsx&amp;sheet=A0&amp;row=1197&amp;col=13&amp;number=&amp;sourceID=53","")</f>
        <v/>
      </c>
      <c r="N1197" s="4" t="str">
        <f>HYPERLINK("http://141.218.60.56/~jnz1568/getInfo.php?workbook=16_15.xlsx&amp;sheet=A0&amp;row=1197&amp;col=14&amp;number=&amp;sourceID=53","")</f>
        <v/>
      </c>
      <c r="O1197" s="4" t="str">
        <f>HYPERLINK("http://141.218.60.56/~jnz1568/getInfo.php?workbook=16_15.xlsx&amp;sheet=A0&amp;row=1197&amp;col=15&amp;number=&amp;sourceID=55","")</f>
        <v/>
      </c>
      <c r="P1197" s="4" t="str">
        <f>HYPERLINK("http://141.218.60.56/~jnz1568/getInfo.php?workbook=16_15.xlsx&amp;sheet=A0&amp;row=1197&amp;col=16&amp;number=&amp;sourceID=55","")</f>
        <v/>
      </c>
      <c r="Q1197" s="4" t="str">
        <f>HYPERLINK("http://141.218.60.56/~jnz1568/getInfo.php?workbook=16_15.xlsx&amp;sheet=A0&amp;row=1197&amp;col=17&amp;number=&amp;sourceID=56","")</f>
        <v/>
      </c>
      <c r="R1197" s="4" t="str">
        <f>HYPERLINK("http://141.218.60.56/~jnz1568/getInfo.php?workbook=16_15.xlsx&amp;sheet=A0&amp;row=1197&amp;col=18&amp;number=&amp;sourceID=56","")</f>
        <v/>
      </c>
      <c r="S1197" s="4" t="str">
        <f>HYPERLINK("http://141.218.60.56/~jnz1568/getInfo.php?workbook=16_15.xlsx&amp;sheet=A0&amp;row=1197&amp;col=19&amp;number=&amp;sourceID=57","")</f>
        <v/>
      </c>
      <c r="T1197" s="4" t="str">
        <f>HYPERLINK("http://141.218.60.56/~jnz1568/getInfo.php?workbook=16_15.xlsx&amp;sheet=A0&amp;row=1197&amp;col=20&amp;number=&amp;sourceID=57","")</f>
        <v/>
      </c>
      <c r="U1197" s="4" t="str">
        <f>HYPERLINK("http://141.218.60.56/~jnz1568/getInfo.php?workbook=16_15.xlsx&amp;sheet=A0&amp;row=1197&amp;col=21&amp;number=&amp;sourceID=47","")</f>
        <v/>
      </c>
      <c r="V1197" s="4" t="str">
        <f>HYPERLINK("http://141.218.60.56/~jnz1568/getInfo.php?workbook=16_15.xlsx&amp;sheet=A0&amp;row=1197&amp;col=22&amp;number=&amp;sourceID=47","")</f>
        <v/>
      </c>
    </row>
    <row r="1198" spans="1:22">
      <c r="A1198" s="3">
        <v>16</v>
      </c>
      <c r="B1198" s="3">
        <v>15</v>
      </c>
      <c r="C1198" s="3">
        <v>56</v>
      </c>
      <c r="D1198" s="3">
        <v>5</v>
      </c>
      <c r="E1198" s="3">
        <f>((1/(INDEX(E0!J$4:J$73,C1198,1)-INDEX(E0!J$4:J$73,D1198,1))))*100000000</f>
        <v>0</v>
      </c>
      <c r="F1198" s="4" t="str">
        <f>HYPERLINK("http://141.218.60.56/~jnz1568/getInfo.php?workbook=16_15.xlsx&amp;sheet=A0&amp;row=1198&amp;col=6&amp;number=&amp;sourceID=54","")</f>
        <v/>
      </c>
      <c r="G1198" s="4" t="str">
        <f>HYPERLINK("http://141.218.60.56/~jnz1568/getInfo.php?workbook=16_15.xlsx&amp;sheet=A0&amp;row=1198&amp;col=7&amp;number=666.5&amp;sourceID=54","666.5")</f>
        <v>666.5</v>
      </c>
      <c r="H1198" s="4" t="str">
        <f>HYPERLINK("http://141.218.60.56/~jnz1568/getInfo.php?workbook=16_15.xlsx&amp;sheet=A0&amp;row=1198&amp;col=8&amp;number=8.0085e-06&amp;sourceID=54","8.0085e-06")</f>
        <v>8.0085e-06</v>
      </c>
      <c r="I1198" s="4" t="str">
        <f>HYPERLINK("http://141.218.60.56/~jnz1568/getInfo.php?workbook=16_15.xlsx&amp;sheet=A0&amp;row=1198&amp;col=9&amp;number=&amp;sourceID=54","")</f>
        <v/>
      </c>
      <c r="J1198" s="4" t="str">
        <f>HYPERLINK("http://141.218.60.56/~jnz1568/getInfo.php?workbook=16_15.xlsx&amp;sheet=A0&amp;row=1198&amp;col=10&amp;number=806.54&amp;sourceID=54","806.54")</f>
        <v>806.54</v>
      </c>
      <c r="K1198" s="4" t="str">
        <f>HYPERLINK("http://141.218.60.56/~jnz1568/getInfo.php?workbook=16_15.xlsx&amp;sheet=A0&amp;row=1198&amp;col=11&amp;number=3.5608e-06&amp;sourceID=54","3.5608e-06")</f>
        <v>3.5608e-06</v>
      </c>
      <c r="L1198" s="4" t="str">
        <f>HYPERLINK("http://141.218.60.56/~jnz1568/getInfo.php?workbook=16_15.xlsx&amp;sheet=A0&amp;row=1198&amp;col=12&amp;number=&amp;sourceID=53","")</f>
        <v/>
      </c>
      <c r="M1198" s="4" t="str">
        <f>HYPERLINK("http://141.218.60.56/~jnz1568/getInfo.php?workbook=16_15.xlsx&amp;sheet=A0&amp;row=1198&amp;col=13&amp;number=&amp;sourceID=53","")</f>
        <v/>
      </c>
      <c r="N1198" s="4" t="str">
        <f>HYPERLINK("http://141.218.60.56/~jnz1568/getInfo.php?workbook=16_15.xlsx&amp;sheet=A0&amp;row=1198&amp;col=14&amp;number=&amp;sourceID=53","")</f>
        <v/>
      </c>
      <c r="O1198" s="4" t="str">
        <f>HYPERLINK("http://141.218.60.56/~jnz1568/getInfo.php?workbook=16_15.xlsx&amp;sheet=A0&amp;row=1198&amp;col=15&amp;number=&amp;sourceID=55","")</f>
        <v/>
      </c>
      <c r="P1198" s="4" t="str">
        <f>HYPERLINK("http://141.218.60.56/~jnz1568/getInfo.php?workbook=16_15.xlsx&amp;sheet=A0&amp;row=1198&amp;col=16&amp;number=&amp;sourceID=55","")</f>
        <v/>
      </c>
      <c r="Q1198" s="4" t="str">
        <f>HYPERLINK("http://141.218.60.56/~jnz1568/getInfo.php?workbook=16_15.xlsx&amp;sheet=A0&amp;row=1198&amp;col=17&amp;number=&amp;sourceID=56","")</f>
        <v/>
      </c>
      <c r="R1198" s="4" t="str">
        <f>HYPERLINK("http://141.218.60.56/~jnz1568/getInfo.php?workbook=16_15.xlsx&amp;sheet=A0&amp;row=1198&amp;col=18&amp;number=&amp;sourceID=56","")</f>
        <v/>
      </c>
      <c r="S1198" s="4" t="str">
        <f>HYPERLINK("http://141.218.60.56/~jnz1568/getInfo.php?workbook=16_15.xlsx&amp;sheet=A0&amp;row=1198&amp;col=19&amp;number=&amp;sourceID=57","")</f>
        <v/>
      </c>
      <c r="T1198" s="4" t="str">
        <f>HYPERLINK("http://141.218.60.56/~jnz1568/getInfo.php?workbook=16_15.xlsx&amp;sheet=A0&amp;row=1198&amp;col=20&amp;number=&amp;sourceID=57","")</f>
        <v/>
      </c>
      <c r="U1198" s="4" t="str">
        <f>HYPERLINK("http://141.218.60.56/~jnz1568/getInfo.php?workbook=16_15.xlsx&amp;sheet=A0&amp;row=1198&amp;col=21&amp;number=&amp;sourceID=47","")</f>
        <v/>
      </c>
      <c r="V1198" s="4" t="str">
        <f>HYPERLINK("http://141.218.60.56/~jnz1568/getInfo.php?workbook=16_15.xlsx&amp;sheet=A0&amp;row=1198&amp;col=22&amp;number=&amp;sourceID=47","")</f>
        <v/>
      </c>
    </row>
    <row r="1199" spans="1:22">
      <c r="A1199" s="3">
        <v>16</v>
      </c>
      <c r="B1199" s="3">
        <v>15</v>
      </c>
      <c r="C1199" s="3">
        <v>56</v>
      </c>
      <c r="D1199" s="3">
        <v>6</v>
      </c>
      <c r="E1199" s="3">
        <f>((1/(INDEX(E0!J$4:J$73,C1199,1)-INDEX(E0!J$4:J$73,D1199,1))))*100000000</f>
        <v>0</v>
      </c>
      <c r="F1199" s="4" t="str">
        <f>HYPERLINK("http://141.218.60.56/~jnz1568/getInfo.php?workbook=16_15.xlsx&amp;sheet=A0&amp;row=1199&amp;col=6&amp;number=2.9119&amp;sourceID=54","2.9119")</f>
        <v>2.9119</v>
      </c>
      <c r="G1199" s="4" t="str">
        <f>HYPERLINK("http://141.218.60.56/~jnz1568/getInfo.php?workbook=16_15.xlsx&amp;sheet=A0&amp;row=1199&amp;col=7&amp;number=&amp;sourceID=54","")</f>
        <v/>
      </c>
      <c r="H1199" s="4" t="str">
        <f>HYPERLINK("http://141.218.60.56/~jnz1568/getInfo.php?workbook=16_15.xlsx&amp;sheet=A0&amp;row=1199&amp;col=8&amp;number=&amp;sourceID=54","")</f>
        <v/>
      </c>
      <c r="I1199" s="4" t="str">
        <f>HYPERLINK("http://141.218.60.56/~jnz1568/getInfo.php?workbook=16_15.xlsx&amp;sheet=A0&amp;row=1199&amp;col=9&amp;number=15.751&amp;sourceID=54","15.751")</f>
        <v>15.751</v>
      </c>
      <c r="J1199" s="4" t="str">
        <f>HYPERLINK("http://141.218.60.56/~jnz1568/getInfo.php?workbook=16_15.xlsx&amp;sheet=A0&amp;row=1199&amp;col=10&amp;number=&amp;sourceID=54","")</f>
        <v/>
      </c>
      <c r="K1199" s="4" t="str">
        <f>HYPERLINK("http://141.218.60.56/~jnz1568/getInfo.php?workbook=16_15.xlsx&amp;sheet=A0&amp;row=1199&amp;col=11&amp;number=&amp;sourceID=54","")</f>
        <v/>
      </c>
      <c r="L1199" s="4" t="str">
        <f>HYPERLINK("http://141.218.60.56/~jnz1568/getInfo.php?workbook=16_15.xlsx&amp;sheet=A0&amp;row=1199&amp;col=12&amp;number=5.79328227481e+18&amp;sourceID=53","5.79328227481e+18")</f>
        <v>5.79328227481e+18</v>
      </c>
      <c r="M1199" s="4" t="str">
        <f>HYPERLINK("http://141.218.60.56/~jnz1568/getInfo.php?workbook=16_15.xlsx&amp;sheet=A0&amp;row=1199&amp;col=13&amp;number=&amp;sourceID=53","")</f>
        <v/>
      </c>
      <c r="N1199" s="4" t="str">
        <f>HYPERLINK("http://141.218.60.56/~jnz1568/getInfo.php?workbook=16_15.xlsx&amp;sheet=A0&amp;row=1199&amp;col=14&amp;number=&amp;sourceID=53","")</f>
        <v/>
      </c>
      <c r="O1199" s="4" t="str">
        <f>HYPERLINK("http://141.218.60.56/~jnz1568/getInfo.php?workbook=16_15.xlsx&amp;sheet=A0&amp;row=1199&amp;col=15&amp;number=&amp;sourceID=55","")</f>
        <v/>
      </c>
      <c r="P1199" s="4" t="str">
        <f>HYPERLINK("http://141.218.60.56/~jnz1568/getInfo.php?workbook=16_15.xlsx&amp;sheet=A0&amp;row=1199&amp;col=16&amp;number=&amp;sourceID=55","")</f>
        <v/>
      </c>
      <c r="Q1199" s="4" t="str">
        <f>HYPERLINK("http://141.218.60.56/~jnz1568/getInfo.php?workbook=16_15.xlsx&amp;sheet=A0&amp;row=1199&amp;col=17&amp;number=&amp;sourceID=56","")</f>
        <v/>
      </c>
      <c r="R1199" s="4" t="str">
        <f>HYPERLINK("http://141.218.60.56/~jnz1568/getInfo.php?workbook=16_15.xlsx&amp;sheet=A0&amp;row=1199&amp;col=18&amp;number=&amp;sourceID=56","")</f>
        <v/>
      </c>
      <c r="S1199" s="4" t="str">
        <f>HYPERLINK("http://141.218.60.56/~jnz1568/getInfo.php?workbook=16_15.xlsx&amp;sheet=A0&amp;row=1199&amp;col=19&amp;number=&amp;sourceID=57","")</f>
        <v/>
      </c>
      <c r="T1199" s="4" t="str">
        <f>HYPERLINK("http://141.218.60.56/~jnz1568/getInfo.php?workbook=16_15.xlsx&amp;sheet=A0&amp;row=1199&amp;col=20&amp;number=&amp;sourceID=57","")</f>
        <v/>
      </c>
      <c r="U1199" s="4" t="str">
        <f>HYPERLINK("http://141.218.60.56/~jnz1568/getInfo.php?workbook=16_15.xlsx&amp;sheet=A0&amp;row=1199&amp;col=21&amp;number=&amp;sourceID=47","")</f>
        <v/>
      </c>
      <c r="V1199" s="4" t="str">
        <f>HYPERLINK("http://141.218.60.56/~jnz1568/getInfo.php?workbook=16_15.xlsx&amp;sheet=A0&amp;row=1199&amp;col=22&amp;number=&amp;sourceID=47","")</f>
        <v/>
      </c>
    </row>
    <row r="1200" spans="1:22">
      <c r="A1200" s="3">
        <v>16</v>
      </c>
      <c r="B1200" s="3">
        <v>15</v>
      </c>
      <c r="C1200" s="3">
        <v>56</v>
      </c>
      <c r="D1200" s="3">
        <v>7</v>
      </c>
      <c r="E1200" s="3">
        <f>((1/(INDEX(E0!J$4:J$73,C1200,1)-INDEX(E0!J$4:J$73,D1200,1))))*100000000</f>
        <v>0</v>
      </c>
      <c r="F1200" s="4" t="str">
        <f>HYPERLINK("http://141.218.60.56/~jnz1568/getInfo.php?workbook=16_15.xlsx&amp;sheet=A0&amp;row=1200&amp;col=6&amp;number=526.66&amp;sourceID=54","526.66")</f>
        <v>526.66</v>
      </c>
      <c r="G1200" s="4" t="str">
        <f>HYPERLINK("http://141.218.60.56/~jnz1568/getInfo.php?workbook=16_15.xlsx&amp;sheet=A0&amp;row=1200&amp;col=7&amp;number=&amp;sourceID=54","")</f>
        <v/>
      </c>
      <c r="H1200" s="4" t="str">
        <f>HYPERLINK("http://141.218.60.56/~jnz1568/getInfo.php?workbook=16_15.xlsx&amp;sheet=A0&amp;row=1200&amp;col=8&amp;number=&amp;sourceID=54","")</f>
        <v/>
      </c>
      <c r="I1200" s="4" t="str">
        <f>HYPERLINK("http://141.218.60.56/~jnz1568/getInfo.php?workbook=16_15.xlsx&amp;sheet=A0&amp;row=1200&amp;col=9&amp;number=354.29&amp;sourceID=54","354.29")</f>
        <v>354.29</v>
      </c>
      <c r="J1200" s="4" t="str">
        <f>HYPERLINK("http://141.218.60.56/~jnz1568/getInfo.php?workbook=16_15.xlsx&amp;sheet=A0&amp;row=1200&amp;col=10&amp;number=&amp;sourceID=54","")</f>
        <v/>
      </c>
      <c r="K1200" s="4" t="str">
        <f>HYPERLINK("http://141.218.60.56/~jnz1568/getInfo.php?workbook=16_15.xlsx&amp;sheet=A0&amp;row=1200&amp;col=11&amp;number=&amp;sourceID=54","")</f>
        <v/>
      </c>
      <c r="L1200" s="4" t="str">
        <f>HYPERLINK("http://141.218.60.56/~jnz1568/getInfo.php?workbook=16_15.xlsx&amp;sheet=A0&amp;row=1200&amp;col=12&amp;number=836.418777232&amp;sourceID=53","836.418777232")</f>
        <v>836.418777232</v>
      </c>
      <c r="M1200" s="4" t="str">
        <f>HYPERLINK("http://141.218.60.56/~jnz1568/getInfo.php?workbook=16_15.xlsx&amp;sheet=A0&amp;row=1200&amp;col=13&amp;number=&amp;sourceID=53","")</f>
        <v/>
      </c>
      <c r="N1200" s="4" t="str">
        <f>HYPERLINK("http://141.218.60.56/~jnz1568/getInfo.php?workbook=16_15.xlsx&amp;sheet=A0&amp;row=1200&amp;col=14&amp;number=&amp;sourceID=53","")</f>
        <v/>
      </c>
      <c r="O1200" s="4" t="str">
        <f>HYPERLINK("http://141.218.60.56/~jnz1568/getInfo.php?workbook=16_15.xlsx&amp;sheet=A0&amp;row=1200&amp;col=15&amp;number=&amp;sourceID=55","")</f>
        <v/>
      </c>
      <c r="P1200" s="4" t="str">
        <f>HYPERLINK("http://141.218.60.56/~jnz1568/getInfo.php?workbook=16_15.xlsx&amp;sheet=A0&amp;row=1200&amp;col=16&amp;number=&amp;sourceID=55","")</f>
        <v/>
      </c>
      <c r="Q1200" s="4" t="str">
        <f>HYPERLINK("http://141.218.60.56/~jnz1568/getInfo.php?workbook=16_15.xlsx&amp;sheet=A0&amp;row=1200&amp;col=17&amp;number=&amp;sourceID=56","")</f>
        <v/>
      </c>
      <c r="R1200" s="4" t="str">
        <f>HYPERLINK("http://141.218.60.56/~jnz1568/getInfo.php?workbook=16_15.xlsx&amp;sheet=A0&amp;row=1200&amp;col=18&amp;number=&amp;sourceID=56","")</f>
        <v/>
      </c>
      <c r="S1200" s="4" t="str">
        <f>HYPERLINK("http://141.218.60.56/~jnz1568/getInfo.php?workbook=16_15.xlsx&amp;sheet=A0&amp;row=1200&amp;col=19&amp;number=&amp;sourceID=57","")</f>
        <v/>
      </c>
      <c r="T1200" s="4" t="str">
        <f>HYPERLINK("http://141.218.60.56/~jnz1568/getInfo.php?workbook=16_15.xlsx&amp;sheet=A0&amp;row=1200&amp;col=20&amp;number=&amp;sourceID=57","")</f>
        <v/>
      </c>
      <c r="U1200" s="4" t="str">
        <f>HYPERLINK("http://141.218.60.56/~jnz1568/getInfo.php?workbook=16_15.xlsx&amp;sheet=A0&amp;row=1200&amp;col=21&amp;number=&amp;sourceID=47","")</f>
        <v/>
      </c>
      <c r="V1200" s="4" t="str">
        <f>HYPERLINK("http://141.218.60.56/~jnz1568/getInfo.php?workbook=16_15.xlsx&amp;sheet=A0&amp;row=1200&amp;col=22&amp;number=&amp;sourceID=47","")</f>
        <v/>
      </c>
    </row>
    <row r="1201" spans="1:22">
      <c r="A1201" s="3">
        <v>16</v>
      </c>
      <c r="B1201" s="3">
        <v>15</v>
      </c>
      <c r="C1201" s="3">
        <v>56</v>
      </c>
      <c r="D1201" s="3">
        <v>9</v>
      </c>
      <c r="E1201" s="3">
        <f>((1/(INDEX(E0!J$4:J$73,C1201,1)-INDEX(E0!J$4:J$73,D1201,1))))*100000000</f>
        <v>0</v>
      </c>
      <c r="F1201" s="4" t="str">
        <f>HYPERLINK("http://141.218.60.56/~jnz1568/getInfo.php?workbook=16_15.xlsx&amp;sheet=A0&amp;row=1201&amp;col=6&amp;number=3665000&amp;sourceID=54","3665000")</f>
        <v>3665000</v>
      </c>
      <c r="G1201" s="4" t="str">
        <f>HYPERLINK("http://141.218.60.56/~jnz1568/getInfo.php?workbook=16_15.xlsx&amp;sheet=A0&amp;row=1201&amp;col=7&amp;number=&amp;sourceID=54","")</f>
        <v/>
      </c>
      <c r="H1201" s="4" t="str">
        <f>HYPERLINK("http://141.218.60.56/~jnz1568/getInfo.php?workbook=16_15.xlsx&amp;sheet=A0&amp;row=1201&amp;col=8&amp;number=&amp;sourceID=54","")</f>
        <v/>
      </c>
      <c r="I1201" s="4" t="str">
        <f>HYPERLINK("http://141.218.60.56/~jnz1568/getInfo.php?workbook=16_15.xlsx&amp;sheet=A0&amp;row=1201&amp;col=9&amp;number=3875000&amp;sourceID=54","3875000")</f>
        <v>3875000</v>
      </c>
      <c r="J1201" s="4" t="str">
        <f>HYPERLINK("http://141.218.60.56/~jnz1568/getInfo.php?workbook=16_15.xlsx&amp;sheet=A0&amp;row=1201&amp;col=10&amp;number=&amp;sourceID=54","")</f>
        <v/>
      </c>
      <c r="K1201" s="4" t="str">
        <f>HYPERLINK("http://141.218.60.56/~jnz1568/getInfo.php?workbook=16_15.xlsx&amp;sheet=A0&amp;row=1201&amp;col=11&amp;number=&amp;sourceID=54","")</f>
        <v/>
      </c>
      <c r="L1201" s="4" t="str">
        <f>HYPERLINK("http://141.218.60.56/~jnz1568/getInfo.php?workbook=16_15.xlsx&amp;sheet=A0&amp;row=1201&amp;col=12&amp;number=4792806.16864&amp;sourceID=53","4792806.16864")</f>
        <v>4792806.16864</v>
      </c>
      <c r="M1201" s="4" t="str">
        <f>HYPERLINK("http://141.218.60.56/~jnz1568/getInfo.php?workbook=16_15.xlsx&amp;sheet=A0&amp;row=1201&amp;col=13&amp;number=&amp;sourceID=53","")</f>
        <v/>
      </c>
      <c r="N1201" s="4" t="str">
        <f>HYPERLINK("http://141.218.60.56/~jnz1568/getInfo.php?workbook=16_15.xlsx&amp;sheet=A0&amp;row=1201&amp;col=14&amp;number=&amp;sourceID=53","")</f>
        <v/>
      </c>
      <c r="O1201" s="4" t="str">
        <f>HYPERLINK("http://141.218.60.56/~jnz1568/getInfo.php?workbook=16_15.xlsx&amp;sheet=A0&amp;row=1201&amp;col=15&amp;number=&amp;sourceID=55","")</f>
        <v/>
      </c>
      <c r="P1201" s="4" t="str">
        <f>HYPERLINK("http://141.218.60.56/~jnz1568/getInfo.php?workbook=16_15.xlsx&amp;sheet=A0&amp;row=1201&amp;col=16&amp;number=&amp;sourceID=55","")</f>
        <v/>
      </c>
      <c r="Q1201" s="4" t="str">
        <f>HYPERLINK("http://141.218.60.56/~jnz1568/getInfo.php?workbook=16_15.xlsx&amp;sheet=A0&amp;row=1201&amp;col=17&amp;number=&amp;sourceID=56","")</f>
        <v/>
      </c>
      <c r="R1201" s="4" t="str">
        <f>HYPERLINK("http://141.218.60.56/~jnz1568/getInfo.php?workbook=16_15.xlsx&amp;sheet=A0&amp;row=1201&amp;col=18&amp;number=&amp;sourceID=56","")</f>
        <v/>
      </c>
      <c r="S1201" s="4" t="str">
        <f>HYPERLINK("http://141.218.60.56/~jnz1568/getInfo.php?workbook=16_15.xlsx&amp;sheet=A0&amp;row=1201&amp;col=19&amp;number=&amp;sourceID=57","")</f>
        <v/>
      </c>
      <c r="T1201" s="4" t="str">
        <f>HYPERLINK("http://141.218.60.56/~jnz1568/getInfo.php?workbook=16_15.xlsx&amp;sheet=A0&amp;row=1201&amp;col=20&amp;number=&amp;sourceID=57","")</f>
        <v/>
      </c>
      <c r="U1201" s="4" t="str">
        <f>HYPERLINK("http://141.218.60.56/~jnz1568/getInfo.php?workbook=16_15.xlsx&amp;sheet=A0&amp;row=1201&amp;col=21&amp;number=&amp;sourceID=47","")</f>
        <v/>
      </c>
      <c r="V1201" s="4" t="str">
        <f>HYPERLINK("http://141.218.60.56/~jnz1568/getInfo.php?workbook=16_15.xlsx&amp;sheet=A0&amp;row=1201&amp;col=22&amp;number=&amp;sourceID=47","")</f>
        <v/>
      </c>
    </row>
    <row r="1202" spans="1:22">
      <c r="A1202" s="3">
        <v>16</v>
      </c>
      <c r="B1202" s="3">
        <v>15</v>
      </c>
      <c r="C1202" s="3">
        <v>56</v>
      </c>
      <c r="D1202" s="3">
        <v>10</v>
      </c>
      <c r="E1202" s="3">
        <f>((1/(INDEX(E0!J$4:J$73,C1202,1)-INDEX(E0!J$4:J$73,D1202,1))))*100000000</f>
        <v>0</v>
      </c>
      <c r="F1202" s="4" t="str">
        <f>HYPERLINK("http://141.218.60.56/~jnz1568/getInfo.php?workbook=16_15.xlsx&amp;sheet=A0&amp;row=1202&amp;col=6&amp;number=1417300&amp;sourceID=54","1417300")</f>
        <v>1417300</v>
      </c>
      <c r="G1202" s="4" t="str">
        <f>HYPERLINK("http://141.218.60.56/~jnz1568/getInfo.php?workbook=16_15.xlsx&amp;sheet=A0&amp;row=1202&amp;col=7&amp;number=&amp;sourceID=54","")</f>
        <v/>
      </c>
      <c r="H1202" s="4" t="str">
        <f>HYPERLINK("http://141.218.60.56/~jnz1568/getInfo.php?workbook=16_15.xlsx&amp;sheet=A0&amp;row=1202&amp;col=8&amp;number=&amp;sourceID=54","")</f>
        <v/>
      </c>
      <c r="I1202" s="4" t="str">
        <f>HYPERLINK("http://141.218.60.56/~jnz1568/getInfo.php?workbook=16_15.xlsx&amp;sheet=A0&amp;row=1202&amp;col=9&amp;number=759750&amp;sourceID=54","759750")</f>
        <v>759750</v>
      </c>
      <c r="J1202" s="4" t="str">
        <f>HYPERLINK("http://141.218.60.56/~jnz1568/getInfo.php?workbook=16_15.xlsx&amp;sheet=A0&amp;row=1202&amp;col=10&amp;number=&amp;sourceID=54","")</f>
        <v/>
      </c>
      <c r="K1202" s="4" t="str">
        <f>HYPERLINK("http://141.218.60.56/~jnz1568/getInfo.php?workbook=16_15.xlsx&amp;sheet=A0&amp;row=1202&amp;col=11&amp;number=&amp;sourceID=54","")</f>
        <v/>
      </c>
      <c r="L1202" s="4" t="str">
        <f>HYPERLINK("http://141.218.60.56/~jnz1568/getInfo.php?workbook=16_15.xlsx&amp;sheet=A0&amp;row=1202&amp;col=12&amp;number=1383821.0001&amp;sourceID=53","1383821.0001")</f>
        <v>1383821.0001</v>
      </c>
      <c r="M1202" s="4" t="str">
        <f>HYPERLINK("http://141.218.60.56/~jnz1568/getInfo.php?workbook=16_15.xlsx&amp;sheet=A0&amp;row=1202&amp;col=13&amp;number=&amp;sourceID=53","")</f>
        <v/>
      </c>
      <c r="N1202" s="4" t="str">
        <f>HYPERLINK("http://141.218.60.56/~jnz1568/getInfo.php?workbook=16_15.xlsx&amp;sheet=A0&amp;row=1202&amp;col=14&amp;number=&amp;sourceID=53","")</f>
        <v/>
      </c>
      <c r="O1202" s="4" t="str">
        <f>HYPERLINK("http://141.218.60.56/~jnz1568/getInfo.php?workbook=16_15.xlsx&amp;sheet=A0&amp;row=1202&amp;col=15&amp;number=&amp;sourceID=55","")</f>
        <v/>
      </c>
      <c r="P1202" s="4" t="str">
        <f>HYPERLINK("http://141.218.60.56/~jnz1568/getInfo.php?workbook=16_15.xlsx&amp;sheet=A0&amp;row=1202&amp;col=16&amp;number=&amp;sourceID=55","")</f>
        <v/>
      </c>
      <c r="Q1202" s="4" t="str">
        <f>HYPERLINK("http://141.218.60.56/~jnz1568/getInfo.php?workbook=16_15.xlsx&amp;sheet=A0&amp;row=1202&amp;col=17&amp;number=&amp;sourceID=56","")</f>
        <v/>
      </c>
      <c r="R1202" s="4" t="str">
        <f>HYPERLINK("http://141.218.60.56/~jnz1568/getInfo.php?workbook=16_15.xlsx&amp;sheet=A0&amp;row=1202&amp;col=18&amp;number=&amp;sourceID=56","")</f>
        <v/>
      </c>
      <c r="S1202" s="4" t="str">
        <f>HYPERLINK("http://141.218.60.56/~jnz1568/getInfo.php?workbook=16_15.xlsx&amp;sheet=A0&amp;row=1202&amp;col=19&amp;number=&amp;sourceID=57","")</f>
        <v/>
      </c>
      <c r="T1202" s="4" t="str">
        <f>HYPERLINK("http://141.218.60.56/~jnz1568/getInfo.php?workbook=16_15.xlsx&amp;sheet=A0&amp;row=1202&amp;col=20&amp;number=&amp;sourceID=57","")</f>
        <v/>
      </c>
      <c r="U1202" s="4" t="str">
        <f>HYPERLINK("http://141.218.60.56/~jnz1568/getInfo.php?workbook=16_15.xlsx&amp;sheet=A0&amp;row=1202&amp;col=21&amp;number=&amp;sourceID=47","")</f>
        <v/>
      </c>
      <c r="V1202" s="4" t="str">
        <f>HYPERLINK("http://141.218.60.56/~jnz1568/getInfo.php?workbook=16_15.xlsx&amp;sheet=A0&amp;row=1202&amp;col=22&amp;number=&amp;sourceID=47","")</f>
        <v/>
      </c>
    </row>
    <row r="1203" spans="1:22">
      <c r="A1203" s="3">
        <v>16</v>
      </c>
      <c r="B1203" s="3">
        <v>15</v>
      </c>
      <c r="C1203" s="3">
        <v>56</v>
      </c>
      <c r="D1203" s="3">
        <v>11</v>
      </c>
      <c r="E1203" s="3">
        <f>((1/(INDEX(E0!J$4:J$73,C1203,1)-INDEX(E0!J$4:J$73,D1203,1))))*100000000</f>
        <v>0</v>
      </c>
      <c r="F1203" s="4" t="str">
        <f>HYPERLINK("http://141.218.60.56/~jnz1568/getInfo.php?workbook=16_15.xlsx&amp;sheet=A0&amp;row=1203&amp;col=6&amp;number=19579&amp;sourceID=54","19579")</f>
        <v>19579</v>
      </c>
      <c r="G1203" s="4" t="str">
        <f>HYPERLINK("http://141.218.60.56/~jnz1568/getInfo.php?workbook=16_15.xlsx&amp;sheet=A0&amp;row=1203&amp;col=7&amp;number=&amp;sourceID=54","")</f>
        <v/>
      </c>
      <c r="H1203" s="4" t="str">
        <f>HYPERLINK("http://141.218.60.56/~jnz1568/getInfo.php?workbook=16_15.xlsx&amp;sheet=A0&amp;row=1203&amp;col=8&amp;number=&amp;sourceID=54","")</f>
        <v/>
      </c>
      <c r="I1203" s="4" t="str">
        <f>HYPERLINK("http://141.218.60.56/~jnz1568/getInfo.php?workbook=16_15.xlsx&amp;sheet=A0&amp;row=1203&amp;col=9&amp;number=494.77&amp;sourceID=54","494.77")</f>
        <v>494.77</v>
      </c>
      <c r="J1203" s="4" t="str">
        <f>HYPERLINK("http://141.218.60.56/~jnz1568/getInfo.php?workbook=16_15.xlsx&amp;sheet=A0&amp;row=1203&amp;col=10&amp;number=&amp;sourceID=54","")</f>
        <v/>
      </c>
      <c r="K1203" s="4" t="str">
        <f>HYPERLINK("http://141.218.60.56/~jnz1568/getInfo.php?workbook=16_15.xlsx&amp;sheet=A0&amp;row=1203&amp;col=11&amp;number=&amp;sourceID=54","")</f>
        <v/>
      </c>
      <c r="L1203" s="4" t="str">
        <f>HYPERLINK("http://141.218.60.56/~jnz1568/getInfo.php?workbook=16_15.xlsx&amp;sheet=A0&amp;row=1203&amp;col=12&amp;number=16690.1006414&amp;sourceID=53","16690.1006414")</f>
        <v>16690.1006414</v>
      </c>
      <c r="M1203" s="4" t="str">
        <f>HYPERLINK("http://141.218.60.56/~jnz1568/getInfo.php?workbook=16_15.xlsx&amp;sheet=A0&amp;row=1203&amp;col=13&amp;number=&amp;sourceID=53","")</f>
        <v/>
      </c>
      <c r="N1203" s="4" t="str">
        <f>HYPERLINK("http://141.218.60.56/~jnz1568/getInfo.php?workbook=16_15.xlsx&amp;sheet=A0&amp;row=1203&amp;col=14&amp;number=&amp;sourceID=53","")</f>
        <v/>
      </c>
      <c r="O1203" s="4" t="str">
        <f>HYPERLINK("http://141.218.60.56/~jnz1568/getInfo.php?workbook=16_15.xlsx&amp;sheet=A0&amp;row=1203&amp;col=15&amp;number=&amp;sourceID=55","")</f>
        <v/>
      </c>
      <c r="P1203" s="4" t="str">
        <f>HYPERLINK("http://141.218.60.56/~jnz1568/getInfo.php?workbook=16_15.xlsx&amp;sheet=A0&amp;row=1203&amp;col=16&amp;number=&amp;sourceID=55","")</f>
        <v/>
      </c>
      <c r="Q1203" s="4" t="str">
        <f>HYPERLINK("http://141.218.60.56/~jnz1568/getInfo.php?workbook=16_15.xlsx&amp;sheet=A0&amp;row=1203&amp;col=17&amp;number=&amp;sourceID=56","")</f>
        <v/>
      </c>
      <c r="R1203" s="4" t="str">
        <f>HYPERLINK("http://141.218.60.56/~jnz1568/getInfo.php?workbook=16_15.xlsx&amp;sheet=A0&amp;row=1203&amp;col=18&amp;number=&amp;sourceID=56","")</f>
        <v/>
      </c>
      <c r="S1203" s="4" t="str">
        <f>HYPERLINK("http://141.218.60.56/~jnz1568/getInfo.php?workbook=16_15.xlsx&amp;sheet=A0&amp;row=1203&amp;col=19&amp;number=&amp;sourceID=57","")</f>
        <v/>
      </c>
      <c r="T1203" s="4" t="str">
        <f>HYPERLINK("http://141.218.60.56/~jnz1568/getInfo.php?workbook=16_15.xlsx&amp;sheet=A0&amp;row=1203&amp;col=20&amp;number=&amp;sourceID=57","")</f>
        <v/>
      </c>
      <c r="U1203" s="4" t="str">
        <f>HYPERLINK("http://141.218.60.56/~jnz1568/getInfo.php?workbook=16_15.xlsx&amp;sheet=A0&amp;row=1203&amp;col=21&amp;number=&amp;sourceID=47","")</f>
        <v/>
      </c>
      <c r="V1203" s="4" t="str">
        <f>HYPERLINK("http://141.218.60.56/~jnz1568/getInfo.php?workbook=16_15.xlsx&amp;sheet=A0&amp;row=1203&amp;col=22&amp;number=&amp;sourceID=47","")</f>
        <v/>
      </c>
    </row>
    <row r="1204" spans="1:22">
      <c r="A1204" s="3">
        <v>16</v>
      </c>
      <c r="B1204" s="3">
        <v>15</v>
      </c>
      <c r="C1204" s="3">
        <v>56</v>
      </c>
      <c r="D1204" s="3">
        <v>14</v>
      </c>
      <c r="E1204" s="3">
        <f>((1/(INDEX(E0!J$4:J$73,C1204,1)-INDEX(E0!J$4:J$73,D1204,1))))*100000000</f>
        <v>0</v>
      </c>
      <c r="F1204" s="4" t="str">
        <f>HYPERLINK("http://141.218.60.56/~jnz1568/getInfo.php?workbook=16_15.xlsx&amp;sheet=A0&amp;row=1204&amp;col=6&amp;number=736.61&amp;sourceID=54","736.61")</f>
        <v>736.61</v>
      </c>
      <c r="G1204" s="4" t="str">
        <f>HYPERLINK("http://141.218.60.56/~jnz1568/getInfo.php?workbook=16_15.xlsx&amp;sheet=A0&amp;row=1204&amp;col=7&amp;number=&amp;sourceID=54","")</f>
        <v/>
      </c>
      <c r="H1204" s="4" t="str">
        <f>HYPERLINK("http://141.218.60.56/~jnz1568/getInfo.php?workbook=16_15.xlsx&amp;sheet=A0&amp;row=1204&amp;col=8&amp;number=&amp;sourceID=54","")</f>
        <v/>
      </c>
      <c r="I1204" s="4" t="str">
        <f>HYPERLINK("http://141.218.60.56/~jnz1568/getInfo.php?workbook=16_15.xlsx&amp;sheet=A0&amp;row=1204&amp;col=9&amp;number=230.46&amp;sourceID=54","230.46")</f>
        <v>230.46</v>
      </c>
      <c r="J1204" s="4" t="str">
        <f>HYPERLINK("http://141.218.60.56/~jnz1568/getInfo.php?workbook=16_15.xlsx&amp;sheet=A0&amp;row=1204&amp;col=10&amp;number=&amp;sourceID=54","")</f>
        <v/>
      </c>
      <c r="K1204" s="4" t="str">
        <f>HYPERLINK("http://141.218.60.56/~jnz1568/getInfo.php?workbook=16_15.xlsx&amp;sheet=A0&amp;row=1204&amp;col=11&amp;number=&amp;sourceID=54","")</f>
        <v/>
      </c>
      <c r="L1204" s="4" t="str">
        <f>HYPERLINK("http://141.218.60.56/~jnz1568/getInfo.php?workbook=16_15.xlsx&amp;sheet=A0&amp;row=1204&amp;col=12&amp;number=184.02380783&amp;sourceID=53","184.02380783")</f>
        <v>184.02380783</v>
      </c>
      <c r="M1204" s="4" t="str">
        <f>HYPERLINK("http://141.218.60.56/~jnz1568/getInfo.php?workbook=16_15.xlsx&amp;sheet=A0&amp;row=1204&amp;col=13&amp;number=&amp;sourceID=53","")</f>
        <v/>
      </c>
      <c r="N1204" s="4" t="str">
        <f>HYPERLINK("http://141.218.60.56/~jnz1568/getInfo.php?workbook=16_15.xlsx&amp;sheet=A0&amp;row=1204&amp;col=14&amp;number=&amp;sourceID=53","")</f>
        <v/>
      </c>
      <c r="O1204" s="4" t="str">
        <f>HYPERLINK("http://141.218.60.56/~jnz1568/getInfo.php?workbook=16_15.xlsx&amp;sheet=A0&amp;row=1204&amp;col=15&amp;number=&amp;sourceID=55","")</f>
        <v/>
      </c>
      <c r="P1204" s="4" t="str">
        <f>HYPERLINK("http://141.218.60.56/~jnz1568/getInfo.php?workbook=16_15.xlsx&amp;sheet=A0&amp;row=1204&amp;col=16&amp;number=&amp;sourceID=55","")</f>
        <v/>
      </c>
      <c r="Q1204" s="4" t="str">
        <f>HYPERLINK("http://141.218.60.56/~jnz1568/getInfo.php?workbook=16_15.xlsx&amp;sheet=A0&amp;row=1204&amp;col=17&amp;number=&amp;sourceID=56","")</f>
        <v/>
      </c>
      <c r="R1204" s="4" t="str">
        <f>HYPERLINK("http://141.218.60.56/~jnz1568/getInfo.php?workbook=16_15.xlsx&amp;sheet=A0&amp;row=1204&amp;col=18&amp;number=&amp;sourceID=56","")</f>
        <v/>
      </c>
      <c r="S1204" s="4" t="str">
        <f>HYPERLINK("http://141.218.60.56/~jnz1568/getInfo.php?workbook=16_15.xlsx&amp;sheet=A0&amp;row=1204&amp;col=19&amp;number=&amp;sourceID=57","")</f>
        <v/>
      </c>
      <c r="T1204" s="4" t="str">
        <f>HYPERLINK("http://141.218.60.56/~jnz1568/getInfo.php?workbook=16_15.xlsx&amp;sheet=A0&amp;row=1204&amp;col=20&amp;number=&amp;sourceID=57","")</f>
        <v/>
      </c>
      <c r="U1204" s="4" t="str">
        <f>HYPERLINK("http://141.218.60.56/~jnz1568/getInfo.php?workbook=16_15.xlsx&amp;sheet=A0&amp;row=1204&amp;col=21&amp;number=&amp;sourceID=47","")</f>
        <v/>
      </c>
      <c r="V1204" s="4" t="str">
        <f>HYPERLINK("http://141.218.60.56/~jnz1568/getInfo.php?workbook=16_15.xlsx&amp;sheet=A0&amp;row=1204&amp;col=22&amp;number=&amp;sourceID=47","")</f>
        <v/>
      </c>
    </row>
    <row r="1205" spans="1:22">
      <c r="A1205" s="3">
        <v>16</v>
      </c>
      <c r="B1205" s="3">
        <v>15</v>
      </c>
      <c r="C1205" s="3">
        <v>56</v>
      </c>
      <c r="D1205" s="3">
        <v>15</v>
      </c>
      <c r="E1205" s="3">
        <f>((1/(INDEX(E0!J$4:J$73,C1205,1)-INDEX(E0!J$4:J$73,D1205,1))))*100000000</f>
        <v>0</v>
      </c>
      <c r="F1205" s="4" t="str">
        <f>HYPERLINK("http://141.218.60.56/~jnz1568/getInfo.php?workbook=16_15.xlsx&amp;sheet=A0&amp;row=1205&amp;col=6&amp;number=284.19&amp;sourceID=54","284.19")</f>
        <v>284.19</v>
      </c>
      <c r="G1205" s="4" t="str">
        <f>HYPERLINK("http://141.218.60.56/~jnz1568/getInfo.php?workbook=16_15.xlsx&amp;sheet=A0&amp;row=1205&amp;col=7&amp;number=&amp;sourceID=54","")</f>
        <v/>
      </c>
      <c r="H1205" s="4" t="str">
        <f>HYPERLINK("http://141.218.60.56/~jnz1568/getInfo.php?workbook=16_15.xlsx&amp;sheet=A0&amp;row=1205&amp;col=8&amp;number=&amp;sourceID=54","")</f>
        <v/>
      </c>
      <c r="I1205" s="4" t="str">
        <f>HYPERLINK("http://141.218.60.56/~jnz1568/getInfo.php?workbook=16_15.xlsx&amp;sheet=A0&amp;row=1205&amp;col=9&amp;number=379.33&amp;sourceID=54","379.33")</f>
        <v>379.33</v>
      </c>
      <c r="J1205" s="4" t="str">
        <f>HYPERLINK("http://141.218.60.56/~jnz1568/getInfo.php?workbook=16_15.xlsx&amp;sheet=A0&amp;row=1205&amp;col=10&amp;number=&amp;sourceID=54","")</f>
        <v/>
      </c>
      <c r="K1205" s="4" t="str">
        <f>HYPERLINK("http://141.218.60.56/~jnz1568/getInfo.php?workbook=16_15.xlsx&amp;sheet=A0&amp;row=1205&amp;col=11&amp;number=&amp;sourceID=54","")</f>
        <v/>
      </c>
      <c r="L1205" s="4" t="str">
        <f>HYPERLINK("http://141.218.60.56/~jnz1568/getInfo.php?workbook=16_15.xlsx&amp;sheet=A0&amp;row=1205&amp;col=12&amp;number=516.048772438&amp;sourceID=53","516.048772438")</f>
        <v>516.048772438</v>
      </c>
      <c r="M1205" s="4" t="str">
        <f>HYPERLINK("http://141.218.60.56/~jnz1568/getInfo.php?workbook=16_15.xlsx&amp;sheet=A0&amp;row=1205&amp;col=13&amp;number=&amp;sourceID=53","")</f>
        <v/>
      </c>
      <c r="N1205" s="4" t="str">
        <f>HYPERLINK("http://141.218.60.56/~jnz1568/getInfo.php?workbook=16_15.xlsx&amp;sheet=A0&amp;row=1205&amp;col=14&amp;number=&amp;sourceID=53","")</f>
        <v/>
      </c>
      <c r="O1205" s="4" t="str">
        <f>HYPERLINK("http://141.218.60.56/~jnz1568/getInfo.php?workbook=16_15.xlsx&amp;sheet=A0&amp;row=1205&amp;col=15&amp;number=&amp;sourceID=55","")</f>
        <v/>
      </c>
      <c r="P1205" s="4" t="str">
        <f>HYPERLINK("http://141.218.60.56/~jnz1568/getInfo.php?workbook=16_15.xlsx&amp;sheet=A0&amp;row=1205&amp;col=16&amp;number=&amp;sourceID=55","")</f>
        <v/>
      </c>
      <c r="Q1205" s="4" t="str">
        <f>HYPERLINK("http://141.218.60.56/~jnz1568/getInfo.php?workbook=16_15.xlsx&amp;sheet=A0&amp;row=1205&amp;col=17&amp;number=&amp;sourceID=56","")</f>
        <v/>
      </c>
      <c r="R1205" s="4" t="str">
        <f>HYPERLINK("http://141.218.60.56/~jnz1568/getInfo.php?workbook=16_15.xlsx&amp;sheet=A0&amp;row=1205&amp;col=18&amp;number=&amp;sourceID=56","")</f>
        <v/>
      </c>
      <c r="S1205" s="4" t="str">
        <f>HYPERLINK("http://141.218.60.56/~jnz1568/getInfo.php?workbook=16_15.xlsx&amp;sheet=A0&amp;row=1205&amp;col=19&amp;number=&amp;sourceID=57","")</f>
        <v/>
      </c>
      <c r="T1205" s="4" t="str">
        <f>HYPERLINK("http://141.218.60.56/~jnz1568/getInfo.php?workbook=16_15.xlsx&amp;sheet=A0&amp;row=1205&amp;col=20&amp;number=&amp;sourceID=57","")</f>
        <v/>
      </c>
      <c r="U1205" s="4" t="str">
        <f>HYPERLINK("http://141.218.60.56/~jnz1568/getInfo.php?workbook=16_15.xlsx&amp;sheet=A0&amp;row=1205&amp;col=21&amp;number=&amp;sourceID=47","")</f>
        <v/>
      </c>
      <c r="V1205" s="4" t="str">
        <f>HYPERLINK("http://141.218.60.56/~jnz1568/getInfo.php?workbook=16_15.xlsx&amp;sheet=A0&amp;row=1205&amp;col=22&amp;number=&amp;sourceID=47","")</f>
        <v/>
      </c>
    </row>
    <row r="1206" spans="1:22">
      <c r="A1206" s="3">
        <v>16</v>
      </c>
      <c r="B1206" s="3">
        <v>15</v>
      </c>
      <c r="C1206" s="3">
        <v>56</v>
      </c>
      <c r="D1206" s="3">
        <v>16</v>
      </c>
      <c r="E1206" s="3">
        <f>((1/(INDEX(E0!J$4:J$73,C1206,1)-INDEX(E0!J$4:J$73,D1206,1))))*100000000</f>
        <v>0</v>
      </c>
      <c r="F1206" s="4" t="str">
        <f>HYPERLINK("http://141.218.60.56/~jnz1568/getInfo.php?workbook=16_15.xlsx&amp;sheet=A0&amp;row=1206&amp;col=6&amp;number=25.536&amp;sourceID=54","25.536")</f>
        <v>25.536</v>
      </c>
      <c r="G1206" s="4" t="str">
        <f>HYPERLINK("http://141.218.60.56/~jnz1568/getInfo.php?workbook=16_15.xlsx&amp;sheet=A0&amp;row=1206&amp;col=7&amp;number=&amp;sourceID=54","")</f>
        <v/>
      </c>
      <c r="H1206" s="4" t="str">
        <f>HYPERLINK("http://141.218.60.56/~jnz1568/getInfo.php?workbook=16_15.xlsx&amp;sheet=A0&amp;row=1206&amp;col=8&amp;number=&amp;sourceID=54","")</f>
        <v/>
      </c>
      <c r="I1206" s="4" t="str">
        <f>HYPERLINK("http://141.218.60.56/~jnz1568/getInfo.php?workbook=16_15.xlsx&amp;sheet=A0&amp;row=1206&amp;col=9&amp;number=31.377&amp;sourceID=54","31.377")</f>
        <v>31.377</v>
      </c>
      <c r="J1206" s="4" t="str">
        <f>HYPERLINK("http://141.218.60.56/~jnz1568/getInfo.php?workbook=16_15.xlsx&amp;sheet=A0&amp;row=1206&amp;col=10&amp;number=&amp;sourceID=54","")</f>
        <v/>
      </c>
      <c r="K1206" s="4" t="str">
        <f>HYPERLINK("http://141.218.60.56/~jnz1568/getInfo.php?workbook=16_15.xlsx&amp;sheet=A0&amp;row=1206&amp;col=11&amp;number=&amp;sourceID=54","")</f>
        <v/>
      </c>
      <c r="L1206" s="4" t="str">
        <f>HYPERLINK("http://141.218.60.56/~jnz1568/getInfo.php?workbook=16_15.xlsx&amp;sheet=A0&amp;row=1206&amp;col=12&amp;number=1.57127482349&amp;sourceID=53","1.57127482349")</f>
        <v>1.57127482349</v>
      </c>
      <c r="M1206" s="4" t="str">
        <f>HYPERLINK("http://141.218.60.56/~jnz1568/getInfo.php?workbook=16_15.xlsx&amp;sheet=A0&amp;row=1206&amp;col=13&amp;number=&amp;sourceID=53","")</f>
        <v/>
      </c>
      <c r="N1206" s="4" t="str">
        <f>HYPERLINK("http://141.218.60.56/~jnz1568/getInfo.php?workbook=16_15.xlsx&amp;sheet=A0&amp;row=1206&amp;col=14&amp;number=&amp;sourceID=53","")</f>
        <v/>
      </c>
      <c r="O1206" s="4" t="str">
        <f>HYPERLINK("http://141.218.60.56/~jnz1568/getInfo.php?workbook=16_15.xlsx&amp;sheet=A0&amp;row=1206&amp;col=15&amp;number=&amp;sourceID=55","")</f>
        <v/>
      </c>
      <c r="P1206" s="4" t="str">
        <f>HYPERLINK("http://141.218.60.56/~jnz1568/getInfo.php?workbook=16_15.xlsx&amp;sheet=A0&amp;row=1206&amp;col=16&amp;number=&amp;sourceID=55","")</f>
        <v/>
      </c>
      <c r="Q1206" s="4" t="str">
        <f>HYPERLINK("http://141.218.60.56/~jnz1568/getInfo.php?workbook=16_15.xlsx&amp;sheet=A0&amp;row=1206&amp;col=17&amp;number=&amp;sourceID=56","")</f>
        <v/>
      </c>
      <c r="R1206" s="4" t="str">
        <f>HYPERLINK("http://141.218.60.56/~jnz1568/getInfo.php?workbook=16_15.xlsx&amp;sheet=A0&amp;row=1206&amp;col=18&amp;number=&amp;sourceID=56","")</f>
        <v/>
      </c>
      <c r="S1206" s="4" t="str">
        <f>HYPERLINK("http://141.218.60.56/~jnz1568/getInfo.php?workbook=16_15.xlsx&amp;sheet=A0&amp;row=1206&amp;col=19&amp;number=&amp;sourceID=57","")</f>
        <v/>
      </c>
      <c r="T1206" s="4" t="str">
        <f>HYPERLINK("http://141.218.60.56/~jnz1568/getInfo.php?workbook=16_15.xlsx&amp;sheet=A0&amp;row=1206&amp;col=20&amp;number=&amp;sourceID=57","")</f>
        <v/>
      </c>
      <c r="U1206" s="4" t="str">
        <f>HYPERLINK("http://141.218.60.56/~jnz1568/getInfo.php?workbook=16_15.xlsx&amp;sheet=A0&amp;row=1206&amp;col=21&amp;number=&amp;sourceID=47","")</f>
        <v/>
      </c>
      <c r="V1206" s="4" t="str">
        <f>HYPERLINK("http://141.218.60.56/~jnz1568/getInfo.php?workbook=16_15.xlsx&amp;sheet=A0&amp;row=1206&amp;col=22&amp;number=&amp;sourceID=47","")</f>
        <v/>
      </c>
    </row>
    <row r="1207" spans="1:22">
      <c r="A1207" s="3">
        <v>16</v>
      </c>
      <c r="B1207" s="3">
        <v>15</v>
      </c>
      <c r="C1207" s="3">
        <v>56</v>
      </c>
      <c r="D1207" s="3">
        <v>17</v>
      </c>
      <c r="E1207" s="3">
        <f>((1/(INDEX(E0!J$4:J$73,C1207,1)-INDEX(E0!J$4:J$73,D1207,1))))*100000000</f>
        <v>0</v>
      </c>
      <c r="F1207" s="4" t="str">
        <f>HYPERLINK("http://141.218.60.56/~jnz1568/getInfo.php?workbook=16_15.xlsx&amp;sheet=A0&amp;row=1207&amp;col=6&amp;number=209.38&amp;sourceID=54","209.38")</f>
        <v>209.38</v>
      </c>
      <c r="G1207" s="4" t="str">
        <f>HYPERLINK("http://141.218.60.56/~jnz1568/getInfo.php?workbook=16_15.xlsx&amp;sheet=A0&amp;row=1207&amp;col=7&amp;number=&amp;sourceID=54","")</f>
        <v/>
      </c>
      <c r="H1207" s="4" t="str">
        <f>HYPERLINK("http://141.218.60.56/~jnz1568/getInfo.php?workbook=16_15.xlsx&amp;sheet=A0&amp;row=1207&amp;col=8&amp;number=&amp;sourceID=54","")</f>
        <v/>
      </c>
      <c r="I1207" s="4" t="str">
        <f>HYPERLINK("http://141.218.60.56/~jnz1568/getInfo.php?workbook=16_15.xlsx&amp;sheet=A0&amp;row=1207&amp;col=9&amp;number=437.96&amp;sourceID=54","437.96")</f>
        <v>437.96</v>
      </c>
      <c r="J1207" s="4" t="str">
        <f>HYPERLINK("http://141.218.60.56/~jnz1568/getInfo.php?workbook=16_15.xlsx&amp;sheet=A0&amp;row=1207&amp;col=10&amp;number=&amp;sourceID=54","")</f>
        <v/>
      </c>
      <c r="K1207" s="4" t="str">
        <f>HYPERLINK("http://141.218.60.56/~jnz1568/getInfo.php?workbook=16_15.xlsx&amp;sheet=A0&amp;row=1207&amp;col=11&amp;number=&amp;sourceID=54","")</f>
        <v/>
      </c>
      <c r="L1207" s="4" t="str">
        <f>HYPERLINK("http://141.218.60.56/~jnz1568/getInfo.php?workbook=16_15.xlsx&amp;sheet=A0&amp;row=1207&amp;col=12&amp;number=133.819119136&amp;sourceID=53","133.819119136")</f>
        <v>133.819119136</v>
      </c>
      <c r="M1207" s="4" t="str">
        <f>HYPERLINK("http://141.218.60.56/~jnz1568/getInfo.php?workbook=16_15.xlsx&amp;sheet=A0&amp;row=1207&amp;col=13&amp;number=&amp;sourceID=53","")</f>
        <v/>
      </c>
      <c r="N1207" s="4" t="str">
        <f>HYPERLINK("http://141.218.60.56/~jnz1568/getInfo.php?workbook=16_15.xlsx&amp;sheet=A0&amp;row=1207&amp;col=14&amp;number=&amp;sourceID=53","")</f>
        <v/>
      </c>
      <c r="O1207" s="4" t="str">
        <f>HYPERLINK("http://141.218.60.56/~jnz1568/getInfo.php?workbook=16_15.xlsx&amp;sheet=A0&amp;row=1207&amp;col=15&amp;number=&amp;sourceID=55","")</f>
        <v/>
      </c>
      <c r="P1207" s="4" t="str">
        <f>HYPERLINK("http://141.218.60.56/~jnz1568/getInfo.php?workbook=16_15.xlsx&amp;sheet=A0&amp;row=1207&amp;col=16&amp;number=&amp;sourceID=55","")</f>
        <v/>
      </c>
      <c r="Q1207" s="4" t="str">
        <f>HYPERLINK("http://141.218.60.56/~jnz1568/getInfo.php?workbook=16_15.xlsx&amp;sheet=A0&amp;row=1207&amp;col=17&amp;number=&amp;sourceID=56","")</f>
        <v/>
      </c>
      <c r="R1207" s="4" t="str">
        <f>HYPERLINK("http://141.218.60.56/~jnz1568/getInfo.php?workbook=16_15.xlsx&amp;sheet=A0&amp;row=1207&amp;col=18&amp;number=&amp;sourceID=56","")</f>
        <v/>
      </c>
      <c r="S1207" s="4" t="str">
        <f>HYPERLINK("http://141.218.60.56/~jnz1568/getInfo.php?workbook=16_15.xlsx&amp;sheet=A0&amp;row=1207&amp;col=19&amp;number=&amp;sourceID=57","")</f>
        <v/>
      </c>
      <c r="T1207" s="4" t="str">
        <f>HYPERLINK("http://141.218.60.56/~jnz1568/getInfo.php?workbook=16_15.xlsx&amp;sheet=A0&amp;row=1207&amp;col=20&amp;number=&amp;sourceID=57","")</f>
        <v/>
      </c>
      <c r="U1207" s="4" t="str">
        <f>HYPERLINK("http://141.218.60.56/~jnz1568/getInfo.php?workbook=16_15.xlsx&amp;sheet=A0&amp;row=1207&amp;col=21&amp;number=&amp;sourceID=47","")</f>
        <v/>
      </c>
      <c r="V1207" s="4" t="str">
        <f>HYPERLINK("http://141.218.60.56/~jnz1568/getInfo.php?workbook=16_15.xlsx&amp;sheet=A0&amp;row=1207&amp;col=22&amp;number=&amp;sourceID=47","")</f>
        <v/>
      </c>
    </row>
    <row r="1208" spans="1:22">
      <c r="A1208" s="3">
        <v>16</v>
      </c>
      <c r="B1208" s="3">
        <v>15</v>
      </c>
      <c r="C1208" s="3">
        <v>56</v>
      </c>
      <c r="D1208" s="3">
        <v>18</v>
      </c>
      <c r="E1208" s="3">
        <f>((1/(INDEX(E0!J$4:J$73,C1208,1)-INDEX(E0!J$4:J$73,D1208,1))))*100000000</f>
        <v>0</v>
      </c>
      <c r="F1208" s="4" t="str">
        <f>HYPERLINK("http://141.218.60.56/~jnz1568/getInfo.php?workbook=16_15.xlsx&amp;sheet=A0&amp;row=1208&amp;col=6&amp;number=872.23&amp;sourceID=54","872.23")</f>
        <v>872.23</v>
      </c>
      <c r="G1208" s="4" t="str">
        <f>HYPERLINK("http://141.218.60.56/~jnz1568/getInfo.php?workbook=16_15.xlsx&amp;sheet=A0&amp;row=1208&amp;col=7&amp;number=&amp;sourceID=54","")</f>
        <v/>
      </c>
      <c r="H1208" s="4" t="str">
        <f>HYPERLINK("http://141.218.60.56/~jnz1568/getInfo.php?workbook=16_15.xlsx&amp;sheet=A0&amp;row=1208&amp;col=8&amp;number=&amp;sourceID=54","")</f>
        <v/>
      </c>
      <c r="I1208" s="4" t="str">
        <f>HYPERLINK("http://141.218.60.56/~jnz1568/getInfo.php?workbook=16_15.xlsx&amp;sheet=A0&amp;row=1208&amp;col=9&amp;number=1252.3&amp;sourceID=54","1252.3")</f>
        <v>1252.3</v>
      </c>
      <c r="J1208" s="4" t="str">
        <f>HYPERLINK("http://141.218.60.56/~jnz1568/getInfo.php?workbook=16_15.xlsx&amp;sheet=A0&amp;row=1208&amp;col=10&amp;number=&amp;sourceID=54","")</f>
        <v/>
      </c>
      <c r="K1208" s="4" t="str">
        <f>HYPERLINK("http://141.218.60.56/~jnz1568/getInfo.php?workbook=16_15.xlsx&amp;sheet=A0&amp;row=1208&amp;col=11&amp;number=&amp;sourceID=54","")</f>
        <v/>
      </c>
      <c r="L1208" s="4" t="str">
        <f>HYPERLINK("http://141.218.60.56/~jnz1568/getInfo.php?workbook=16_15.xlsx&amp;sheet=A0&amp;row=1208&amp;col=12&amp;number=620.612875876&amp;sourceID=53","620.612875876")</f>
        <v>620.612875876</v>
      </c>
      <c r="M1208" s="4" t="str">
        <f>HYPERLINK("http://141.218.60.56/~jnz1568/getInfo.php?workbook=16_15.xlsx&amp;sheet=A0&amp;row=1208&amp;col=13&amp;number=&amp;sourceID=53","")</f>
        <v/>
      </c>
      <c r="N1208" s="4" t="str">
        <f>HYPERLINK("http://141.218.60.56/~jnz1568/getInfo.php?workbook=16_15.xlsx&amp;sheet=A0&amp;row=1208&amp;col=14&amp;number=&amp;sourceID=53","")</f>
        <v/>
      </c>
      <c r="O1208" s="4" t="str">
        <f>HYPERLINK("http://141.218.60.56/~jnz1568/getInfo.php?workbook=16_15.xlsx&amp;sheet=A0&amp;row=1208&amp;col=15&amp;number=&amp;sourceID=55","")</f>
        <v/>
      </c>
      <c r="P1208" s="4" t="str">
        <f>HYPERLINK("http://141.218.60.56/~jnz1568/getInfo.php?workbook=16_15.xlsx&amp;sheet=A0&amp;row=1208&amp;col=16&amp;number=&amp;sourceID=55","")</f>
        <v/>
      </c>
      <c r="Q1208" s="4" t="str">
        <f>HYPERLINK("http://141.218.60.56/~jnz1568/getInfo.php?workbook=16_15.xlsx&amp;sheet=A0&amp;row=1208&amp;col=17&amp;number=&amp;sourceID=56","")</f>
        <v/>
      </c>
      <c r="R1208" s="4" t="str">
        <f>HYPERLINK("http://141.218.60.56/~jnz1568/getInfo.php?workbook=16_15.xlsx&amp;sheet=A0&amp;row=1208&amp;col=18&amp;number=&amp;sourceID=56","")</f>
        <v/>
      </c>
      <c r="S1208" s="4" t="str">
        <f>HYPERLINK("http://141.218.60.56/~jnz1568/getInfo.php?workbook=16_15.xlsx&amp;sheet=A0&amp;row=1208&amp;col=19&amp;number=&amp;sourceID=57","")</f>
        <v/>
      </c>
      <c r="T1208" s="4" t="str">
        <f>HYPERLINK("http://141.218.60.56/~jnz1568/getInfo.php?workbook=16_15.xlsx&amp;sheet=A0&amp;row=1208&amp;col=20&amp;number=&amp;sourceID=57","")</f>
        <v/>
      </c>
      <c r="U1208" s="4" t="str">
        <f>HYPERLINK("http://141.218.60.56/~jnz1568/getInfo.php?workbook=16_15.xlsx&amp;sheet=A0&amp;row=1208&amp;col=21&amp;number=&amp;sourceID=47","")</f>
        <v/>
      </c>
      <c r="V1208" s="4" t="str">
        <f>HYPERLINK("http://141.218.60.56/~jnz1568/getInfo.php?workbook=16_15.xlsx&amp;sheet=A0&amp;row=1208&amp;col=22&amp;number=&amp;sourceID=47","")</f>
        <v/>
      </c>
    </row>
    <row r="1209" spans="1:22">
      <c r="A1209" s="3">
        <v>16</v>
      </c>
      <c r="B1209" s="3">
        <v>15</v>
      </c>
      <c r="C1209" s="3">
        <v>56</v>
      </c>
      <c r="D1209" s="3">
        <v>21</v>
      </c>
      <c r="E1209" s="3">
        <f>((1/(INDEX(E0!J$4:J$73,C1209,1)-INDEX(E0!J$4:J$73,D1209,1))))*100000000</f>
        <v>0</v>
      </c>
      <c r="F1209" s="4" t="str">
        <f>HYPERLINK("http://141.218.60.56/~jnz1568/getInfo.php?workbook=16_15.xlsx&amp;sheet=A0&amp;row=1209&amp;col=6&amp;number=490780&amp;sourceID=54","490780")</f>
        <v>490780</v>
      </c>
      <c r="G1209" s="4" t="str">
        <f>HYPERLINK("http://141.218.60.56/~jnz1568/getInfo.php?workbook=16_15.xlsx&amp;sheet=A0&amp;row=1209&amp;col=7&amp;number=&amp;sourceID=54","")</f>
        <v/>
      </c>
      <c r="H1209" s="4" t="str">
        <f>HYPERLINK("http://141.218.60.56/~jnz1568/getInfo.php?workbook=16_15.xlsx&amp;sheet=A0&amp;row=1209&amp;col=8&amp;number=&amp;sourceID=54","")</f>
        <v/>
      </c>
      <c r="I1209" s="4" t="str">
        <f>HYPERLINK("http://141.218.60.56/~jnz1568/getInfo.php?workbook=16_15.xlsx&amp;sheet=A0&amp;row=1209&amp;col=9&amp;number=183150&amp;sourceID=54","183150")</f>
        <v>183150</v>
      </c>
      <c r="J1209" s="4" t="str">
        <f>HYPERLINK("http://141.218.60.56/~jnz1568/getInfo.php?workbook=16_15.xlsx&amp;sheet=A0&amp;row=1209&amp;col=10&amp;number=&amp;sourceID=54","")</f>
        <v/>
      </c>
      <c r="K1209" s="4" t="str">
        <f>HYPERLINK("http://141.218.60.56/~jnz1568/getInfo.php?workbook=16_15.xlsx&amp;sheet=A0&amp;row=1209&amp;col=11&amp;number=&amp;sourceID=54","")</f>
        <v/>
      </c>
      <c r="L1209" s="4" t="str">
        <f>HYPERLINK("http://141.218.60.56/~jnz1568/getInfo.php?workbook=16_15.xlsx&amp;sheet=A0&amp;row=1209&amp;col=12&amp;number=168408.406938&amp;sourceID=53","168408.406938")</f>
        <v>168408.406938</v>
      </c>
      <c r="M1209" s="4" t="str">
        <f>HYPERLINK("http://141.218.60.56/~jnz1568/getInfo.php?workbook=16_15.xlsx&amp;sheet=A0&amp;row=1209&amp;col=13&amp;number=&amp;sourceID=53","")</f>
        <v/>
      </c>
      <c r="N1209" s="4" t="str">
        <f>HYPERLINK("http://141.218.60.56/~jnz1568/getInfo.php?workbook=16_15.xlsx&amp;sheet=A0&amp;row=1209&amp;col=14&amp;number=&amp;sourceID=53","")</f>
        <v/>
      </c>
      <c r="O1209" s="4" t="str">
        <f>HYPERLINK("http://141.218.60.56/~jnz1568/getInfo.php?workbook=16_15.xlsx&amp;sheet=A0&amp;row=1209&amp;col=15&amp;number=&amp;sourceID=55","")</f>
        <v/>
      </c>
      <c r="P1209" s="4" t="str">
        <f>HYPERLINK("http://141.218.60.56/~jnz1568/getInfo.php?workbook=16_15.xlsx&amp;sheet=A0&amp;row=1209&amp;col=16&amp;number=&amp;sourceID=55","")</f>
        <v/>
      </c>
      <c r="Q1209" s="4" t="str">
        <f>HYPERLINK("http://141.218.60.56/~jnz1568/getInfo.php?workbook=16_15.xlsx&amp;sheet=A0&amp;row=1209&amp;col=17&amp;number=&amp;sourceID=56","")</f>
        <v/>
      </c>
      <c r="R1209" s="4" t="str">
        <f>HYPERLINK("http://141.218.60.56/~jnz1568/getInfo.php?workbook=16_15.xlsx&amp;sheet=A0&amp;row=1209&amp;col=18&amp;number=&amp;sourceID=56","")</f>
        <v/>
      </c>
      <c r="S1209" s="4" t="str">
        <f>HYPERLINK("http://141.218.60.56/~jnz1568/getInfo.php?workbook=16_15.xlsx&amp;sheet=A0&amp;row=1209&amp;col=19&amp;number=&amp;sourceID=57","")</f>
        <v/>
      </c>
      <c r="T1209" s="4" t="str">
        <f>HYPERLINK("http://141.218.60.56/~jnz1568/getInfo.php?workbook=16_15.xlsx&amp;sheet=A0&amp;row=1209&amp;col=20&amp;number=&amp;sourceID=57","")</f>
        <v/>
      </c>
      <c r="U1209" s="4" t="str">
        <f>HYPERLINK("http://141.218.60.56/~jnz1568/getInfo.php?workbook=16_15.xlsx&amp;sheet=A0&amp;row=1209&amp;col=21&amp;number=&amp;sourceID=47","")</f>
        <v/>
      </c>
      <c r="V1209" s="4" t="str">
        <f>HYPERLINK("http://141.218.60.56/~jnz1568/getInfo.php?workbook=16_15.xlsx&amp;sheet=A0&amp;row=1209&amp;col=22&amp;number=&amp;sourceID=47","")</f>
        <v/>
      </c>
    </row>
    <row r="1210" spans="1:22">
      <c r="A1210" s="3">
        <v>16</v>
      </c>
      <c r="B1210" s="3">
        <v>15</v>
      </c>
      <c r="C1210" s="3">
        <v>56</v>
      </c>
      <c r="D1210" s="3">
        <v>23</v>
      </c>
      <c r="E1210" s="3">
        <f>((1/(INDEX(E0!J$4:J$73,C1210,1)-INDEX(E0!J$4:J$73,D1210,1))))*100000000</f>
        <v>0</v>
      </c>
      <c r="F1210" s="4" t="str">
        <f>HYPERLINK("http://141.218.60.56/~jnz1568/getInfo.php?workbook=16_15.xlsx&amp;sheet=A0&amp;row=1210&amp;col=6&amp;number=1957.1&amp;sourceID=54","1957.1")</f>
        <v>1957.1</v>
      </c>
      <c r="G1210" s="4" t="str">
        <f>HYPERLINK("http://141.218.60.56/~jnz1568/getInfo.php?workbook=16_15.xlsx&amp;sheet=A0&amp;row=1210&amp;col=7&amp;number=&amp;sourceID=54","")</f>
        <v/>
      </c>
      <c r="H1210" s="4" t="str">
        <f>HYPERLINK("http://141.218.60.56/~jnz1568/getInfo.php?workbook=16_15.xlsx&amp;sheet=A0&amp;row=1210&amp;col=8&amp;number=&amp;sourceID=54","")</f>
        <v/>
      </c>
      <c r="I1210" s="4" t="str">
        <f>HYPERLINK("http://141.218.60.56/~jnz1568/getInfo.php?workbook=16_15.xlsx&amp;sheet=A0&amp;row=1210&amp;col=9&amp;number=2324.8&amp;sourceID=54","2324.8")</f>
        <v>2324.8</v>
      </c>
      <c r="J1210" s="4" t="str">
        <f>HYPERLINK("http://141.218.60.56/~jnz1568/getInfo.php?workbook=16_15.xlsx&amp;sheet=A0&amp;row=1210&amp;col=10&amp;number=&amp;sourceID=54","")</f>
        <v/>
      </c>
      <c r="K1210" s="4" t="str">
        <f>HYPERLINK("http://141.218.60.56/~jnz1568/getInfo.php?workbook=16_15.xlsx&amp;sheet=A0&amp;row=1210&amp;col=11&amp;number=&amp;sourceID=54","")</f>
        <v/>
      </c>
      <c r="L1210" s="4" t="str">
        <f>HYPERLINK("http://141.218.60.56/~jnz1568/getInfo.php?workbook=16_15.xlsx&amp;sheet=A0&amp;row=1210&amp;col=12&amp;number=1607.97627658&amp;sourceID=53","1607.97627658")</f>
        <v>1607.97627658</v>
      </c>
      <c r="M1210" s="4" t="str">
        <f>HYPERLINK("http://141.218.60.56/~jnz1568/getInfo.php?workbook=16_15.xlsx&amp;sheet=A0&amp;row=1210&amp;col=13&amp;number=&amp;sourceID=53","")</f>
        <v/>
      </c>
      <c r="N1210" s="4" t="str">
        <f>HYPERLINK("http://141.218.60.56/~jnz1568/getInfo.php?workbook=16_15.xlsx&amp;sheet=A0&amp;row=1210&amp;col=14&amp;number=&amp;sourceID=53","")</f>
        <v/>
      </c>
      <c r="O1210" s="4" t="str">
        <f>HYPERLINK("http://141.218.60.56/~jnz1568/getInfo.php?workbook=16_15.xlsx&amp;sheet=A0&amp;row=1210&amp;col=15&amp;number=&amp;sourceID=55","")</f>
        <v/>
      </c>
      <c r="P1210" s="4" t="str">
        <f>HYPERLINK("http://141.218.60.56/~jnz1568/getInfo.php?workbook=16_15.xlsx&amp;sheet=A0&amp;row=1210&amp;col=16&amp;number=&amp;sourceID=55","")</f>
        <v/>
      </c>
      <c r="Q1210" s="4" t="str">
        <f>HYPERLINK("http://141.218.60.56/~jnz1568/getInfo.php?workbook=16_15.xlsx&amp;sheet=A0&amp;row=1210&amp;col=17&amp;number=&amp;sourceID=56","")</f>
        <v/>
      </c>
      <c r="R1210" s="4" t="str">
        <f>HYPERLINK("http://141.218.60.56/~jnz1568/getInfo.php?workbook=16_15.xlsx&amp;sheet=A0&amp;row=1210&amp;col=18&amp;number=&amp;sourceID=56","")</f>
        <v/>
      </c>
      <c r="S1210" s="4" t="str">
        <f>HYPERLINK("http://141.218.60.56/~jnz1568/getInfo.php?workbook=16_15.xlsx&amp;sheet=A0&amp;row=1210&amp;col=19&amp;number=&amp;sourceID=57","")</f>
        <v/>
      </c>
      <c r="T1210" s="4" t="str">
        <f>HYPERLINK("http://141.218.60.56/~jnz1568/getInfo.php?workbook=16_15.xlsx&amp;sheet=A0&amp;row=1210&amp;col=20&amp;number=&amp;sourceID=57","")</f>
        <v/>
      </c>
      <c r="U1210" s="4" t="str">
        <f>HYPERLINK("http://141.218.60.56/~jnz1568/getInfo.php?workbook=16_15.xlsx&amp;sheet=A0&amp;row=1210&amp;col=21&amp;number=&amp;sourceID=47","")</f>
        <v/>
      </c>
      <c r="V1210" s="4" t="str">
        <f>HYPERLINK("http://141.218.60.56/~jnz1568/getInfo.php?workbook=16_15.xlsx&amp;sheet=A0&amp;row=1210&amp;col=22&amp;number=&amp;sourceID=47","")</f>
        <v/>
      </c>
    </row>
    <row r="1211" spans="1:22">
      <c r="A1211" s="3">
        <v>16</v>
      </c>
      <c r="B1211" s="3">
        <v>15</v>
      </c>
      <c r="C1211" s="3">
        <v>56</v>
      </c>
      <c r="D1211" s="3">
        <v>24</v>
      </c>
      <c r="E1211" s="3">
        <f>((1/(INDEX(E0!J$4:J$73,C1211,1)-INDEX(E0!J$4:J$73,D1211,1))))*100000000</f>
        <v>0</v>
      </c>
      <c r="F1211" s="4" t="str">
        <f>HYPERLINK("http://141.218.60.56/~jnz1568/getInfo.php?workbook=16_15.xlsx&amp;sheet=A0&amp;row=1211&amp;col=6&amp;number=204240&amp;sourceID=54","204240")</f>
        <v>204240</v>
      </c>
      <c r="G1211" s="4" t="str">
        <f>HYPERLINK("http://141.218.60.56/~jnz1568/getInfo.php?workbook=16_15.xlsx&amp;sheet=A0&amp;row=1211&amp;col=7&amp;number=&amp;sourceID=54","")</f>
        <v/>
      </c>
      <c r="H1211" s="4" t="str">
        <f>HYPERLINK("http://141.218.60.56/~jnz1568/getInfo.php?workbook=16_15.xlsx&amp;sheet=A0&amp;row=1211&amp;col=8&amp;number=&amp;sourceID=54","")</f>
        <v/>
      </c>
      <c r="I1211" s="4" t="str">
        <f>HYPERLINK("http://141.218.60.56/~jnz1568/getInfo.php?workbook=16_15.xlsx&amp;sheet=A0&amp;row=1211&amp;col=9&amp;number=500860&amp;sourceID=54","500860")</f>
        <v>500860</v>
      </c>
      <c r="J1211" s="4" t="str">
        <f>HYPERLINK("http://141.218.60.56/~jnz1568/getInfo.php?workbook=16_15.xlsx&amp;sheet=A0&amp;row=1211&amp;col=10&amp;number=&amp;sourceID=54","")</f>
        <v/>
      </c>
      <c r="K1211" s="4" t="str">
        <f>HYPERLINK("http://141.218.60.56/~jnz1568/getInfo.php?workbook=16_15.xlsx&amp;sheet=A0&amp;row=1211&amp;col=11&amp;number=&amp;sourceID=54","")</f>
        <v/>
      </c>
      <c r="L1211" s="4" t="str">
        <f>HYPERLINK("http://141.218.60.56/~jnz1568/getInfo.php?workbook=16_15.xlsx&amp;sheet=A0&amp;row=1211&amp;col=12&amp;number=421353.571706&amp;sourceID=53","421353.571706")</f>
        <v>421353.571706</v>
      </c>
      <c r="M1211" s="4" t="str">
        <f>HYPERLINK("http://141.218.60.56/~jnz1568/getInfo.php?workbook=16_15.xlsx&amp;sheet=A0&amp;row=1211&amp;col=13&amp;number=&amp;sourceID=53","")</f>
        <v/>
      </c>
      <c r="N1211" s="4" t="str">
        <f>HYPERLINK("http://141.218.60.56/~jnz1568/getInfo.php?workbook=16_15.xlsx&amp;sheet=A0&amp;row=1211&amp;col=14&amp;number=&amp;sourceID=53","")</f>
        <v/>
      </c>
      <c r="O1211" s="4" t="str">
        <f>HYPERLINK("http://141.218.60.56/~jnz1568/getInfo.php?workbook=16_15.xlsx&amp;sheet=A0&amp;row=1211&amp;col=15&amp;number=&amp;sourceID=55","")</f>
        <v/>
      </c>
      <c r="P1211" s="4" t="str">
        <f>HYPERLINK("http://141.218.60.56/~jnz1568/getInfo.php?workbook=16_15.xlsx&amp;sheet=A0&amp;row=1211&amp;col=16&amp;number=&amp;sourceID=55","")</f>
        <v/>
      </c>
      <c r="Q1211" s="4" t="str">
        <f>HYPERLINK("http://141.218.60.56/~jnz1568/getInfo.php?workbook=16_15.xlsx&amp;sheet=A0&amp;row=1211&amp;col=17&amp;number=&amp;sourceID=56","")</f>
        <v/>
      </c>
      <c r="R1211" s="4" t="str">
        <f>HYPERLINK("http://141.218.60.56/~jnz1568/getInfo.php?workbook=16_15.xlsx&amp;sheet=A0&amp;row=1211&amp;col=18&amp;number=&amp;sourceID=56","")</f>
        <v/>
      </c>
      <c r="S1211" s="4" t="str">
        <f>HYPERLINK("http://141.218.60.56/~jnz1568/getInfo.php?workbook=16_15.xlsx&amp;sheet=A0&amp;row=1211&amp;col=19&amp;number=&amp;sourceID=57","")</f>
        <v/>
      </c>
      <c r="T1211" s="4" t="str">
        <f>HYPERLINK("http://141.218.60.56/~jnz1568/getInfo.php?workbook=16_15.xlsx&amp;sheet=A0&amp;row=1211&amp;col=20&amp;number=&amp;sourceID=57","")</f>
        <v/>
      </c>
      <c r="U1211" s="4" t="str">
        <f>HYPERLINK("http://141.218.60.56/~jnz1568/getInfo.php?workbook=16_15.xlsx&amp;sheet=A0&amp;row=1211&amp;col=21&amp;number=&amp;sourceID=47","")</f>
        <v/>
      </c>
      <c r="V1211" s="4" t="str">
        <f>HYPERLINK("http://141.218.60.56/~jnz1568/getInfo.php?workbook=16_15.xlsx&amp;sheet=A0&amp;row=1211&amp;col=22&amp;number=&amp;sourceID=47","")</f>
        <v/>
      </c>
    </row>
    <row r="1212" spans="1:22">
      <c r="A1212" s="3">
        <v>16</v>
      </c>
      <c r="B1212" s="3">
        <v>15</v>
      </c>
      <c r="C1212" s="3">
        <v>56</v>
      </c>
      <c r="D1212" s="3">
        <v>25</v>
      </c>
      <c r="E1212" s="3">
        <f>((1/(INDEX(E0!J$4:J$73,C1212,1)-INDEX(E0!J$4:J$73,D1212,1))))*100000000</f>
        <v>0</v>
      </c>
      <c r="F1212" s="4" t="str">
        <f>HYPERLINK("http://141.218.60.56/~jnz1568/getInfo.php?workbook=16_15.xlsx&amp;sheet=A0&amp;row=1212&amp;col=6&amp;number=54670&amp;sourceID=54","54670")</f>
        <v>54670</v>
      </c>
      <c r="G1212" s="4" t="str">
        <f>HYPERLINK("http://141.218.60.56/~jnz1568/getInfo.php?workbook=16_15.xlsx&amp;sheet=A0&amp;row=1212&amp;col=7&amp;number=&amp;sourceID=54","")</f>
        <v/>
      </c>
      <c r="H1212" s="4" t="str">
        <f>HYPERLINK("http://141.218.60.56/~jnz1568/getInfo.php?workbook=16_15.xlsx&amp;sheet=A0&amp;row=1212&amp;col=8&amp;number=&amp;sourceID=54","")</f>
        <v/>
      </c>
      <c r="I1212" s="4" t="str">
        <f>HYPERLINK("http://141.218.60.56/~jnz1568/getInfo.php?workbook=16_15.xlsx&amp;sheet=A0&amp;row=1212&amp;col=9&amp;number=75971&amp;sourceID=54","75971")</f>
        <v>75971</v>
      </c>
      <c r="J1212" s="4" t="str">
        <f>HYPERLINK("http://141.218.60.56/~jnz1568/getInfo.php?workbook=16_15.xlsx&amp;sheet=A0&amp;row=1212&amp;col=10&amp;number=&amp;sourceID=54","")</f>
        <v/>
      </c>
      <c r="K1212" s="4" t="str">
        <f>HYPERLINK("http://141.218.60.56/~jnz1568/getInfo.php?workbook=16_15.xlsx&amp;sheet=A0&amp;row=1212&amp;col=11&amp;number=&amp;sourceID=54","")</f>
        <v/>
      </c>
      <c r="L1212" s="4" t="str">
        <f>HYPERLINK("http://141.218.60.56/~jnz1568/getInfo.php?workbook=16_15.xlsx&amp;sheet=A0&amp;row=1212&amp;col=12&amp;number=91474.0348767&amp;sourceID=53","91474.0348767")</f>
        <v>91474.0348767</v>
      </c>
      <c r="M1212" s="4" t="str">
        <f>HYPERLINK("http://141.218.60.56/~jnz1568/getInfo.php?workbook=16_15.xlsx&amp;sheet=A0&amp;row=1212&amp;col=13&amp;number=&amp;sourceID=53","")</f>
        <v/>
      </c>
      <c r="N1212" s="4" t="str">
        <f>HYPERLINK("http://141.218.60.56/~jnz1568/getInfo.php?workbook=16_15.xlsx&amp;sheet=A0&amp;row=1212&amp;col=14&amp;number=&amp;sourceID=53","")</f>
        <v/>
      </c>
      <c r="O1212" s="4" t="str">
        <f>HYPERLINK("http://141.218.60.56/~jnz1568/getInfo.php?workbook=16_15.xlsx&amp;sheet=A0&amp;row=1212&amp;col=15&amp;number=&amp;sourceID=55","")</f>
        <v/>
      </c>
      <c r="P1212" s="4" t="str">
        <f>HYPERLINK("http://141.218.60.56/~jnz1568/getInfo.php?workbook=16_15.xlsx&amp;sheet=A0&amp;row=1212&amp;col=16&amp;number=&amp;sourceID=55","")</f>
        <v/>
      </c>
      <c r="Q1212" s="4" t="str">
        <f>HYPERLINK("http://141.218.60.56/~jnz1568/getInfo.php?workbook=16_15.xlsx&amp;sheet=A0&amp;row=1212&amp;col=17&amp;number=&amp;sourceID=56","")</f>
        <v/>
      </c>
      <c r="R1212" s="4" t="str">
        <f>HYPERLINK("http://141.218.60.56/~jnz1568/getInfo.php?workbook=16_15.xlsx&amp;sheet=A0&amp;row=1212&amp;col=18&amp;number=&amp;sourceID=56","")</f>
        <v/>
      </c>
      <c r="S1212" s="4" t="str">
        <f>HYPERLINK("http://141.218.60.56/~jnz1568/getInfo.php?workbook=16_15.xlsx&amp;sheet=A0&amp;row=1212&amp;col=19&amp;number=&amp;sourceID=57","")</f>
        <v/>
      </c>
      <c r="T1212" s="4" t="str">
        <f>HYPERLINK("http://141.218.60.56/~jnz1568/getInfo.php?workbook=16_15.xlsx&amp;sheet=A0&amp;row=1212&amp;col=20&amp;number=&amp;sourceID=57","")</f>
        <v/>
      </c>
      <c r="U1212" s="4" t="str">
        <f>HYPERLINK("http://141.218.60.56/~jnz1568/getInfo.php?workbook=16_15.xlsx&amp;sheet=A0&amp;row=1212&amp;col=21&amp;number=&amp;sourceID=47","")</f>
        <v/>
      </c>
      <c r="V1212" s="4" t="str">
        <f>HYPERLINK("http://141.218.60.56/~jnz1568/getInfo.php?workbook=16_15.xlsx&amp;sheet=A0&amp;row=1212&amp;col=22&amp;number=&amp;sourceID=47","")</f>
        <v/>
      </c>
    </row>
    <row r="1213" spans="1:22">
      <c r="A1213" s="3">
        <v>16</v>
      </c>
      <c r="B1213" s="3">
        <v>15</v>
      </c>
      <c r="C1213" s="3">
        <v>56</v>
      </c>
      <c r="D1213" s="3">
        <v>26</v>
      </c>
      <c r="E1213" s="3">
        <f>((1/(INDEX(E0!J$4:J$73,C1213,1)-INDEX(E0!J$4:J$73,D1213,1))))*100000000</f>
        <v>0</v>
      </c>
      <c r="F1213" s="4" t="str">
        <f>HYPERLINK("http://141.218.60.56/~jnz1568/getInfo.php?workbook=16_15.xlsx&amp;sheet=A0&amp;row=1213&amp;col=6&amp;number=10797000&amp;sourceID=54","10797000")</f>
        <v>10797000</v>
      </c>
      <c r="G1213" s="4" t="str">
        <f>HYPERLINK("http://141.218.60.56/~jnz1568/getInfo.php?workbook=16_15.xlsx&amp;sheet=A0&amp;row=1213&amp;col=7&amp;number=&amp;sourceID=54","")</f>
        <v/>
      </c>
      <c r="H1213" s="4" t="str">
        <f>HYPERLINK("http://141.218.60.56/~jnz1568/getInfo.php?workbook=16_15.xlsx&amp;sheet=A0&amp;row=1213&amp;col=8&amp;number=&amp;sourceID=54","")</f>
        <v/>
      </c>
      <c r="I1213" s="4" t="str">
        <f>HYPERLINK("http://141.218.60.56/~jnz1568/getInfo.php?workbook=16_15.xlsx&amp;sheet=A0&amp;row=1213&amp;col=9&amp;number=10984000&amp;sourceID=54","10984000")</f>
        <v>10984000</v>
      </c>
      <c r="J1213" s="4" t="str">
        <f>HYPERLINK("http://141.218.60.56/~jnz1568/getInfo.php?workbook=16_15.xlsx&amp;sheet=A0&amp;row=1213&amp;col=10&amp;number=&amp;sourceID=54","")</f>
        <v/>
      </c>
      <c r="K1213" s="4" t="str">
        <f>HYPERLINK("http://141.218.60.56/~jnz1568/getInfo.php?workbook=16_15.xlsx&amp;sheet=A0&amp;row=1213&amp;col=11&amp;number=&amp;sourceID=54","")</f>
        <v/>
      </c>
      <c r="L1213" s="4" t="str">
        <f>HYPERLINK("http://141.218.60.56/~jnz1568/getInfo.php?workbook=16_15.xlsx&amp;sheet=A0&amp;row=1213&amp;col=12&amp;number=9935476.84673&amp;sourceID=53","9935476.84673")</f>
        <v>9935476.84673</v>
      </c>
      <c r="M1213" s="4" t="str">
        <f>HYPERLINK("http://141.218.60.56/~jnz1568/getInfo.php?workbook=16_15.xlsx&amp;sheet=A0&amp;row=1213&amp;col=13&amp;number=&amp;sourceID=53","")</f>
        <v/>
      </c>
      <c r="N1213" s="4" t="str">
        <f>HYPERLINK("http://141.218.60.56/~jnz1568/getInfo.php?workbook=16_15.xlsx&amp;sheet=A0&amp;row=1213&amp;col=14&amp;number=&amp;sourceID=53","")</f>
        <v/>
      </c>
      <c r="O1213" s="4" t="str">
        <f>HYPERLINK("http://141.218.60.56/~jnz1568/getInfo.php?workbook=16_15.xlsx&amp;sheet=A0&amp;row=1213&amp;col=15&amp;number=&amp;sourceID=55","")</f>
        <v/>
      </c>
      <c r="P1213" s="4" t="str">
        <f>HYPERLINK("http://141.218.60.56/~jnz1568/getInfo.php?workbook=16_15.xlsx&amp;sheet=A0&amp;row=1213&amp;col=16&amp;number=&amp;sourceID=55","")</f>
        <v/>
      </c>
      <c r="Q1213" s="4" t="str">
        <f>HYPERLINK("http://141.218.60.56/~jnz1568/getInfo.php?workbook=16_15.xlsx&amp;sheet=A0&amp;row=1213&amp;col=17&amp;number=&amp;sourceID=56","")</f>
        <v/>
      </c>
      <c r="R1213" s="4" t="str">
        <f>HYPERLINK("http://141.218.60.56/~jnz1568/getInfo.php?workbook=16_15.xlsx&amp;sheet=A0&amp;row=1213&amp;col=18&amp;number=&amp;sourceID=56","")</f>
        <v/>
      </c>
      <c r="S1213" s="4" t="str">
        <f>HYPERLINK("http://141.218.60.56/~jnz1568/getInfo.php?workbook=16_15.xlsx&amp;sheet=A0&amp;row=1213&amp;col=19&amp;number=&amp;sourceID=57","")</f>
        <v/>
      </c>
      <c r="T1213" s="4" t="str">
        <f>HYPERLINK("http://141.218.60.56/~jnz1568/getInfo.php?workbook=16_15.xlsx&amp;sheet=A0&amp;row=1213&amp;col=20&amp;number=&amp;sourceID=57","")</f>
        <v/>
      </c>
      <c r="U1213" s="4" t="str">
        <f>HYPERLINK("http://141.218.60.56/~jnz1568/getInfo.php?workbook=16_15.xlsx&amp;sheet=A0&amp;row=1213&amp;col=21&amp;number=&amp;sourceID=47","")</f>
        <v/>
      </c>
      <c r="V1213" s="4" t="str">
        <f>HYPERLINK("http://141.218.60.56/~jnz1568/getInfo.php?workbook=16_15.xlsx&amp;sheet=A0&amp;row=1213&amp;col=22&amp;number=&amp;sourceID=47","")</f>
        <v/>
      </c>
    </row>
    <row r="1214" spans="1:22">
      <c r="A1214" s="3">
        <v>16</v>
      </c>
      <c r="B1214" s="3">
        <v>15</v>
      </c>
      <c r="C1214" s="3">
        <v>56</v>
      </c>
      <c r="D1214" s="3">
        <v>27</v>
      </c>
      <c r="E1214" s="3">
        <f>((1/(INDEX(E0!J$4:J$73,C1214,1)-INDEX(E0!J$4:J$73,D1214,1))))*100000000</f>
        <v>0</v>
      </c>
      <c r="F1214" s="4" t="str">
        <f>HYPERLINK("http://141.218.60.56/~jnz1568/getInfo.php?workbook=16_15.xlsx&amp;sheet=A0&amp;row=1214&amp;col=6&amp;number=1486900&amp;sourceID=54","1486900")</f>
        <v>1486900</v>
      </c>
      <c r="G1214" s="4" t="str">
        <f>HYPERLINK("http://141.218.60.56/~jnz1568/getInfo.php?workbook=16_15.xlsx&amp;sheet=A0&amp;row=1214&amp;col=7&amp;number=&amp;sourceID=54","")</f>
        <v/>
      </c>
      <c r="H1214" s="4" t="str">
        <f>HYPERLINK("http://141.218.60.56/~jnz1568/getInfo.php?workbook=16_15.xlsx&amp;sheet=A0&amp;row=1214&amp;col=8&amp;number=&amp;sourceID=54","")</f>
        <v/>
      </c>
      <c r="I1214" s="4" t="str">
        <f>HYPERLINK("http://141.218.60.56/~jnz1568/getInfo.php?workbook=16_15.xlsx&amp;sheet=A0&amp;row=1214&amp;col=9&amp;number=1059500&amp;sourceID=54","1059500")</f>
        <v>1059500</v>
      </c>
      <c r="J1214" s="4" t="str">
        <f>HYPERLINK("http://141.218.60.56/~jnz1568/getInfo.php?workbook=16_15.xlsx&amp;sheet=A0&amp;row=1214&amp;col=10&amp;number=&amp;sourceID=54","")</f>
        <v/>
      </c>
      <c r="K1214" s="4" t="str">
        <f>HYPERLINK("http://141.218.60.56/~jnz1568/getInfo.php?workbook=16_15.xlsx&amp;sheet=A0&amp;row=1214&amp;col=11&amp;number=&amp;sourceID=54","")</f>
        <v/>
      </c>
      <c r="L1214" s="4" t="str">
        <f>HYPERLINK("http://141.218.60.56/~jnz1568/getInfo.php?workbook=16_15.xlsx&amp;sheet=A0&amp;row=1214&amp;col=12&amp;number=1404669.24364&amp;sourceID=53","1404669.24364")</f>
        <v>1404669.24364</v>
      </c>
      <c r="M1214" s="4" t="str">
        <f>HYPERLINK("http://141.218.60.56/~jnz1568/getInfo.php?workbook=16_15.xlsx&amp;sheet=A0&amp;row=1214&amp;col=13&amp;number=&amp;sourceID=53","")</f>
        <v/>
      </c>
      <c r="N1214" s="4" t="str">
        <f>HYPERLINK("http://141.218.60.56/~jnz1568/getInfo.php?workbook=16_15.xlsx&amp;sheet=A0&amp;row=1214&amp;col=14&amp;number=&amp;sourceID=53","")</f>
        <v/>
      </c>
      <c r="O1214" s="4" t="str">
        <f>HYPERLINK("http://141.218.60.56/~jnz1568/getInfo.php?workbook=16_15.xlsx&amp;sheet=A0&amp;row=1214&amp;col=15&amp;number=&amp;sourceID=55","")</f>
        <v/>
      </c>
      <c r="P1214" s="4" t="str">
        <f>HYPERLINK("http://141.218.60.56/~jnz1568/getInfo.php?workbook=16_15.xlsx&amp;sheet=A0&amp;row=1214&amp;col=16&amp;number=&amp;sourceID=55","")</f>
        <v/>
      </c>
      <c r="Q1214" s="4" t="str">
        <f>HYPERLINK("http://141.218.60.56/~jnz1568/getInfo.php?workbook=16_15.xlsx&amp;sheet=A0&amp;row=1214&amp;col=17&amp;number=&amp;sourceID=56","")</f>
        <v/>
      </c>
      <c r="R1214" s="4" t="str">
        <f>HYPERLINK("http://141.218.60.56/~jnz1568/getInfo.php?workbook=16_15.xlsx&amp;sheet=A0&amp;row=1214&amp;col=18&amp;number=&amp;sourceID=56","")</f>
        <v/>
      </c>
      <c r="S1214" s="4" t="str">
        <f>HYPERLINK("http://141.218.60.56/~jnz1568/getInfo.php?workbook=16_15.xlsx&amp;sheet=A0&amp;row=1214&amp;col=19&amp;number=&amp;sourceID=57","")</f>
        <v/>
      </c>
      <c r="T1214" s="4" t="str">
        <f>HYPERLINK("http://141.218.60.56/~jnz1568/getInfo.php?workbook=16_15.xlsx&amp;sheet=A0&amp;row=1214&amp;col=20&amp;number=&amp;sourceID=57","")</f>
        <v/>
      </c>
      <c r="U1214" s="4" t="str">
        <f>HYPERLINK("http://141.218.60.56/~jnz1568/getInfo.php?workbook=16_15.xlsx&amp;sheet=A0&amp;row=1214&amp;col=21&amp;number=&amp;sourceID=47","")</f>
        <v/>
      </c>
      <c r="V1214" s="4" t="str">
        <f>HYPERLINK("http://141.218.60.56/~jnz1568/getInfo.php?workbook=16_15.xlsx&amp;sheet=A0&amp;row=1214&amp;col=22&amp;number=&amp;sourceID=47","")</f>
        <v/>
      </c>
    </row>
    <row r="1215" spans="1:22">
      <c r="A1215" s="3">
        <v>16</v>
      </c>
      <c r="B1215" s="3">
        <v>15</v>
      </c>
      <c r="C1215" s="3">
        <v>56</v>
      </c>
      <c r="D1215" s="3">
        <v>29</v>
      </c>
      <c r="E1215" s="3">
        <f>((1/(INDEX(E0!J$4:J$73,C1215,1)-INDEX(E0!J$4:J$73,D1215,1))))*100000000</f>
        <v>0</v>
      </c>
      <c r="F1215" s="4" t="str">
        <f>HYPERLINK("http://141.218.60.56/~jnz1568/getInfo.php?workbook=16_15.xlsx&amp;sheet=A0&amp;row=1215&amp;col=6&amp;number=81637000&amp;sourceID=54","81637000")</f>
        <v>81637000</v>
      </c>
      <c r="G1215" s="4" t="str">
        <f>HYPERLINK("http://141.218.60.56/~jnz1568/getInfo.php?workbook=16_15.xlsx&amp;sheet=A0&amp;row=1215&amp;col=7&amp;number=&amp;sourceID=54","")</f>
        <v/>
      </c>
      <c r="H1215" s="4" t="str">
        <f>HYPERLINK("http://141.218.60.56/~jnz1568/getInfo.php?workbook=16_15.xlsx&amp;sheet=A0&amp;row=1215&amp;col=8&amp;number=&amp;sourceID=54","")</f>
        <v/>
      </c>
      <c r="I1215" s="4" t="str">
        <f>HYPERLINK("http://141.218.60.56/~jnz1568/getInfo.php?workbook=16_15.xlsx&amp;sheet=A0&amp;row=1215&amp;col=9&amp;number=75781000&amp;sourceID=54","75781000")</f>
        <v>75781000</v>
      </c>
      <c r="J1215" s="4" t="str">
        <f>HYPERLINK("http://141.218.60.56/~jnz1568/getInfo.php?workbook=16_15.xlsx&amp;sheet=A0&amp;row=1215&amp;col=10&amp;number=&amp;sourceID=54","")</f>
        <v/>
      </c>
      <c r="K1215" s="4" t="str">
        <f>HYPERLINK("http://141.218.60.56/~jnz1568/getInfo.php?workbook=16_15.xlsx&amp;sheet=A0&amp;row=1215&amp;col=11&amp;number=&amp;sourceID=54","")</f>
        <v/>
      </c>
      <c r="L1215" s="4" t="str">
        <f>HYPERLINK("http://141.218.60.56/~jnz1568/getInfo.php?workbook=16_15.xlsx&amp;sheet=A0&amp;row=1215&amp;col=12&amp;number=81059220.1286&amp;sourceID=53","81059220.1286")</f>
        <v>81059220.1286</v>
      </c>
      <c r="M1215" s="4" t="str">
        <f>HYPERLINK("http://141.218.60.56/~jnz1568/getInfo.php?workbook=16_15.xlsx&amp;sheet=A0&amp;row=1215&amp;col=13&amp;number=&amp;sourceID=53","")</f>
        <v/>
      </c>
      <c r="N1215" s="4" t="str">
        <f>HYPERLINK("http://141.218.60.56/~jnz1568/getInfo.php?workbook=16_15.xlsx&amp;sheet=A0&amp;row=1215&amp;col=14&amp;number=&amp;sourceID=53","")</f>
        <v/>
      </c>
      <c r="O1215" s="4" t="str">
        <f>HYPERLINK("http://141.218.60.56/~jnz1568/getInfo.php?workbook=16_15.xlsx&amp;sheet=A0&amp;row=1215&amp;col=15&amp;number=&amp;sourceID=55","")</f>
        <v/>
      </c>
      <c r="P1215" s="4" t="str">
        <f>HYPERLINK("http://141.218.60.56/~jnz1568/getInfo.php?workbook=16_15.xlsx&amp;sheet=A0&amp;row=1215&amp;col=16&amp;number=&amp;sourceID=55","")</f>
        <v/>
      </c>
      <c r="Q1215" s="4" t="str">
        <f>HYPERLINK("http://141.218.60.56/~jnz1568/getInfo.php?workbook=16_15.xlsx&amp;sheet=A0&amp;row=1215&amp;col=17&amp;number=&amp;sourceID=56","")</f>
        <v/>
      </c>
      <c r="R1215" s="4" t="str">
        <f>HYPERLINK("http://141.218.60.56/~jnz1568/getInfo.php?workbook=16_15.xlsx&amp;sheet=A0&amp;row=1215&amp;col=18&amp;number=&amp;sourceID=56","")</f>
        <v/>
      </c>
      <c r="S1215" s="4" t="str">
        <f>HYPERLINK("http://141.218.60.56/~jnz1568/getInfo.php?workbook=16_15.xlsx&amp;sheet=A0&amp;row=1215&amp;col=19&amp;number=&amp;sourceID=57","")</f>
        <v/>
      </c>
      <c r="T1215" s="4" t="str">
        <f>HYPERLINK("http://141.218.60.56/~jnz1568/getInfo.php?workbook=16_15.xlsx&amp;sheet=A0&amp;row=1215&amp;col=20&amp;number=&amp;sourceID=57","")</f>
        <v/>
      </c>
      <c r="U1215" s="4" t="str">
        <f>HYPERLINK("http://141.218.60.56/~jnz1568/getInfo.php?workbook=16_15.xlsx&amp;sheet=A0&amp;row=1215&amp;col=21&amp;number=&amp;sourceID=47","")</f>
        <v/>
      </c>
      <c r="V1215" s="4" t="str">
        <f>HYPERLINK("http://141.218.60.56/~jnz1568/getInfo.php?workbook=16_15.xlsx&amp;sheet=A0&amp;row=1215&amp;col=22&amp;number=&amp;sourceID=47","")</f>
        <v/>
      </c>
    </row>
    <row r="1216" spans="1:22">
      <c r="A1216" s="3">
        <v>16</v>
      </c>
      <c r="B1216" s="3">
        <v>15</v>
      </c>
      <c r="C1216" s="3">
        <v>56</v>
      </c>
      <c r="D1216" s="3">
        <v>30</v>
      </c>
      <c r="E1216" s="3">
        <f>((1/(INDEX(E0!J$4:J$73,C1216,1)-INDEX(E0!J$4:J$73,D1216,1))))*100000000</f>
        <v>0</v>
      </c>
      <c r="F1216" s="4" t="str">
        <f>HYPERLINK("http://141.218.60.56/~jnz1568/getInfo.php?workbook=16_15.xlsx&amp;sheet=A0&amp;row=1216&amp;col=6&amp;number=1250500&amp;sourceID=54","1250500")</f>
        <v>1250500</v>
      </c>
      <c r="G1216" s="4" t="str">
        <f>HYPERLINK("http://141.218.60.56/~jnz1568/getInfo.php?workbook=16_15.xlsx&amp;sheet=A0&amp;row=1216&amp;col=7&amp;number=&amp;sourceID=54","")</f>
        <v/>
      </c>
      <c r="H1216" s="4" t="str">
        <f>HYPERLINK("http://141.218.60.56/~jnz1568/getInfo.php?workbook=16_15.xlsx&amp;sheet=A0&amp;row=1216&amp;col=8&amp;number=&amp;sourceID=54","")</f>
        <v/>
      </c>
      <c r="I1216" s="4" t="str">
        <f>HYPERLINK("http://141.218.60.56/~jnz1568/getInfo.php?workbook=16_15.xlsx&amp;sheet=A0&amp;row=1216&amp;col=9&amp;number=2700900&amp;sourceID=54","2700900")</f>
        <v>2700900</v>
      </c>
      <c r="J1216" s="4" t="str">
        <f>HYPERLINK("http://141.218.60.56/~jnz1568/getInfo.php?workbook=16_15.xlsx&amp;sheet=A0&amp;row=1216&amp;col=10&amp;number=&amp;sourceID=54","")</f>
        <v/>
      </c>
      <c r="K1216" s="4" t="str">
        <f>HYPERLINK("http://141.218.60.56/~jnz1568/getInfo.php?workbook=16_15.xlsx&amp;sheet=A0&amp;row=1216&amp;col=11&amp;number=&amp;sourceID=54","")</f>
        <v/>
      </c>
      <c r="L1216" s="4" t="str">
        <f>HYPERLINK("http://141.218.60.56/~jnz1568/getInfo.php?workbook=16_15.xlsx&amp;sheet=A0&amp;row=1216&amp;col=12&amp;number=1046704.58665&amp;sourceID=53","1046704.58665")</f>
        <v>1046704.58665</v>
      </c>
      <c r="M1216" s="4" t="str">
        <f>HYPERLINK("http://141.218.60.56/~jnz1568/getInfo.php?workbook=16_15.xlsx&amp;sheet=A0&amp;row=1216&amp;col=13&amp;number=&amp;sourceID=53","")</f>
        <v/>
      </c>
      <c r="N1216" s="4" t="str">
        <f>HYPERLINK("http://141.218.60.56/~jnz1568/getInfo.php?workbook=16_15.xlsx&amp;sheet=A0&amp;row=1216&amp;col=14&amp;number=&amp;sourceID=53","")</f>
        <v/>
      </c>
      <c r="O1216" s="4" t="str">
        <f>HYPERLINK("http://141.218.60.56/~jnz1568/getInfo.php?workbook=16_15.xlsx&amp;sheet=A0&amp;row=1216&amp;col=15&amp;number=&amp;sourceID=55","")</f>
        <v/>
      </c>
      <c r="P1216" s="4" t="str">
        <f>HYPERLINK("http://141.218.60.56/~jnz1568/getInfo.php?workbook=16_15.xlsx&amp;sheet=A0&amp;row=1216&amp;col=16&amp;number=&amp;sourceID=55","")</f>
        <v/>
      </c>
      <c r="Q1216" s="4" t="str">
        <f>HYPERLINK("http://141.218.60.56/~jnz1568/getInfo.php?workbook=16_15.xlsx&amp;sheet=A0&amp;row=1216&amp;col=17&amp;number=&amp;sourceID=56","")</f>
        <v/>
      </c>
      <c r="R1216" s="4" t="str">
        <f>HYPERLINK("http://141.218.60.56/~jnz1568/getInfo.php?workbook=16_15.xlsx&amp;sheet=A0&amp;row=1216&amp;col=18&amp;number=&amp;sourceID=56","")</f>
        <v/>
      </c>
      <c r="S1216" s="4" t="str">
        <f>HYPERLINK("http://141.218.60.56/~jnz1568/getInfo.php?workbook=16_15.xlsx&amp;sheet=A0&amp;row=1216&amp;col=19&amp;number=&amp;sourceID=57","")</f>
        <v/>
      </c>
      <c r="T1216" s="4" t="str">
        <f>HYPERLINK("http://141.218.60.56/~jnz1568/getInfo.php?workbook=16_15.xlsx&amp;sheet=A0&amp;row=1216&amp;col=20&amp;number=&amp;sourceID=57","")</f>
        <v/>
      </c>
      <c r="U1216" s="4" t="str">
        <f>HYPERLINK("http://141.218.60.56/~jnz1568/getInfo.php?workbook=16_15.xlsx&amp;sheet=A0&amp;row=1216&amp;col=21&amp;number=&amp;sourceID=47","")</f>
        <v/>
      </c>
      <c r="V1216" s="4" t="str">
        <f>HYPERLINK("http://141.218.60.56/~jnz1568/getInfo.php?workbook=16_15.xlsx&amp;sheet=A0&amp;row=1216&amp;col=22&amp;number=&amp;sourceID=47","")</f>
        <v/>
      </c>
    </row>
    <row r="1217" spans="1:22">
      <c r="A1217" s="3">
        <v>16</v>
      </c>
      <c r="B1217" s="3">
        <v>15</v>
      </c>
      <c r="C1217" s="3">
        <v>56</v>
      </c>
      <c r="D1217" s="3">
        <v>31</v>
      </c>
      <c r="E1217" s="3">
        <f>((1/(INDEX(E0!J$4:J$73,C1217,1)-INDEX(E0!J$4:J$73,D1217,1))))*100000000</f>
        <v>0</v>
      </c>
      <c r="F1217" s="4" t="str">
        <f>HYPERLINK("http://141.218.60.56/~jnz1568/getInfo.php?workbook=16_15.xlsx&amp;sheet=A0&amp;row=1217&amp;col=6&amp;number=&amp;sourceID=54","")</f>
        <v/>
      </c>
      <c r="G1217" s="4" t="str">
        <f>HYPERLINK("http://141.218.60.56/~jnz1568/getInfo.php?workbook=16_15.xlsx&amp;sheet=A0&amp;row=1217&amp;col=7&amp;number=0.0088321&amp;sourceID=54","0.0088321")</f>
        <v>0.0088321</v>
      </c>
      <c r="H1217" s="4" t="str">
        <f>HYPERLINK("http://141.218.60.56/~jnz1568/getInfo.php?workbook=16_15.xlsx&amp;sheet=A0&amp;row=1217&amp;col=8&amp;number=&amp;sourceID=54","")</f>
        <v/>
      </c>
      <c r="I1217" s="4" t="str">
        <f>HYPERLINK("http://141.218.60.56/~jnz1568/getInfo.php?workbook=16_15.xlsx&amp;sheet=A0&amp;row=1217&amp;col=9&amp;number=&amp;sourceID=54","")</f>
        <v/>
      </c>
      <c r="J1217" s="4" t="str">
        <f>HYPERLINK("http://141.218.60.56/~jnz1568/getInfo.php?workbook=16_15.xlsx&amp;sheet=A0&amp;row=1217&amp;col=10&amp;number=0.0012388&amp;sourceID=54","0.0012388")</f>
        <v>0.0012388</v>
      </c>
      <c r="K1217" s="4" t="str">
        <f>HYPERLINK("http://141.218.60.56/~jnz1568/getInfo.php?workbook=16_15.xlsx&amp;sheet=A0&amp;row=1217&amp;col=11&amp;number=&amp;sourceID=54","")</f>
        <v/>
      </c>
      <c r="L1217" s="4" t="str">
        <f>HYPERLINK("http://141.218.60.56/~jnz1568/getInfo.php?workbook=16_15.xlsx&amp;sheet=A0&amp;row=1217&amp;col=12&amp;number=&amp;sourceID=53","")</f>
        <v/>
      </c>
      <c r="M1217" s="4" t="str">
        <f>HYPERLINK("http://141.218.60.56/~jnz1568/getInfo.php?workbook=16_15.xlsx&amp;sheet=A0&amp;row=1217&amp;col=13&amp;number=&amp;sourceID=53","")</f>
        <v/>
      </c>
      <c r="N1217" s="4" t="str">
        <f>HYPERLINK("http://141.218.60.56/~jnz1568/getInfo.php?workbook=16_15.xlsx&amp;sheet=A0&amp;row=1217&amp;col=14&amp;number=&amp;sourceID=53","")</f>
        <v/>
      </c>
      <c r="O1217" s="4" t="str">
        <f>HYPERLINK("http://141.218.60.56/~jnz1568/getInfo.php?workbook=16_15.xlsx&amp;sheet=A0&amp;row=1217&amp;col=15&amp;number=&amp;sourceID=55","")</f>
        <v/>
      </c>
      <c r="P1217" s="4" t="str">
        <f>HYPERLINK("http://141.218.60.56/~jnz1568/getInfo.php?workbook=16_15.xlsx&amp;sheet=A0&amp;row=1217&amp;col=16&amp;number=&amp;sourceID=55","")</f>
        <v/>
      </c>
      <c r="Q1217" s="4" t="str">
        <f>HYPERLINK("http://141.218.60.56/~jnz1568/getInfo.php?workbook=16_15.xlsx&amp;sheet=A0&amp;row=1217&amp;col=17&amp;number=&amp;sourceID=56","")</f>
        <v/>
      </c>
      <c r="R1217" s="4" t="str">
        <f>HYPERLINK("http://141.218.60.56/~jnz1568/getInfo.php?workbook=16_15.xlsx&amp;sheet=A0&amp;row=1217&amp;col=18&amp;number=&amp;sourceID=56","")</f>
        <v/>
      </c>
      <c r="S1217" s="4" t="str">
        <f>HYPERLINK("http://141.218.60.56/~jnz1568/getInfo.php?workbook=16_15.xlsx&amp;sheet=A0&amp;row=1217&amp;col=19&amp;number=&amp;sourceID=57","")</f>
        <v/>
      </c>
      <c r="T1217" s="4" t="str">
        <f>HYPERLINK("http://141.218.60.56/~jnz1568/getInfo.php?workbook=16_15.xlsx&amp;sheet=A0&amp;row=1217&amp;col=20&amp;number=&amp;sourceID=57","")</f>
        <v/>
      </c>
      <c r="U1217" s="4" t="str">
        <f>HYPERLINK("http://141.218.60.56/~jnz1568/getInfo.php?workbook=16_15.xlsx&amp;sheet=A0&amp;row=1217&amp;col=21&amp;number=&amp;sourceID=47","")</f>
        <v/>
      </c>
      <c r="V1217" s="4" t="str">
        <f>HYPERLINK("http://141.218.60.56/~jnz1568/getInfo.php?workbook=16_15.xlsx&amp;sheet=A0&amp;row=1217&amp;col=22&amp;number=&amp;sourceID=47","")</f>
        <v/>
      </c>
    </row>
    <row r="1218" spans="1:22">
      <c r="A1218" s="3">
        <v>16</v>
      </c>
      <c r="B1218" s="3">
        <v>15</v>
      </c>
      <c r="C1218" s="3">
        <v>56</v>
      </c>
      <c r="D1218" s="3">
        <v>32</v>
      </c>
      <c r="E1218" s="3">
        <f>((1/(INDEX(E0!J$4:J$73,C1218,1)-INDEX(E0!J$4:J$73,D1218,1))))*100000000</f>
        <v>0</v>
      </c>
      <c r="F1218" s="4" t="str">
        <f>HYPERLINK("http://141.218.60.56/~jnz1568/getInfo.php?workbook=16_15.xlsx&amp;sheet=A0&amp;row=1218&amp;col=6&amp;number=15392000&amp;sourceID=54","15392000")</f>
        <v>15392000</v>
      </c>
      <c r="G1218" s="4" t="str">
        <f>HYPERLINK("http://141.218.60.56/~jnz1568/getInfo.php?workbook=16_15.xlsx&amp;sheet=A0&amp;row=1218&amp;col=7&amp;number=&amp;sourceID=54","")</f>
        <v/>
      </c>
      <c r="H1218" s="4" t="str">
        <f>HYPERLINK("http://141.218.60.56/~jnz1568/getInfo.php?workbook=16_15.xlsx&amp;sheet=A0&amp;row=1218&amp;col=8&amp;number=&amp;sourceID=54","")</f>
        <v/>
      </c>
      <c r="I1218" s="4" t="str">
        <f>HYPERLINK("http://141.218.60.56/~jnz1568/getInfo.php?workbook=16_15.xlsx&amp;sheet=A0&amp;row=1218&amp;col=9&amp;number=17592000&amp;sourceID=54","17592000")</f>
        <v>17592000</v>
      </c>
      <c r="J1218" s="4" t="str">
        <f>HYPERLINK("http://141.218.60.56/~jnz1568/getInfo.php?workbook=16_15.xlsx&amp;sheet=A0&amp;row=1218&amp;col=10&amp;number=&amp;sourceID=54","")</f>
        <v/>
      </c>
      <c r="K1218" s="4" t="str">
        <f>HYPERLINK("http://141.218.60.56/~jnz1568/getInfo.php?workbook=16_15.xlsx&amp;sheet=A0&amp;row=1218&amp;col=11&amp;number=&amp;sourceID=54","")</f>
        <v/>
      </c>
      <c r="L1218" s="4" t="str">
        <f>HYPERLINK("http://141.218.60.56/~jnz1568/getInfo.php?workbook=16_15.xlsx&amp;sheet=A0&amp;row=1218&amp;col=12&amp;number=16333004.2518&amp;sourceID=53","16333004.2518")</f>
        <v>16333004.2518</v>
      </c>
      <c r="M1218" s="4" t="str">
        <f>HYPERLINK("http://141.218.60.56/~jnz1568/getInfo.php?workbook=16_15.xlsx&amp;sheet=A0&amp;row=1218&amp;col=13&amp;number=&amp;sourceID=53","")</f>
        <v/>
      </c>
      <c r="N1218" s="4" t="str">
        <f>HYPERLINK("http://141.218.60.56/~jnz1568/getInfo.php?workbook=16_15.xlsx&amp;sheet=A0&amp;row=1218&amp;col=14&amp;number=&amp;sourceID=53","")</f>
        <v/>
      </c>
      <c r="O1218" s="4" t="str">
        <f>HYPERLINK("http://141.218.60.56/~jnz1568/getInfo.php?workbook=16_15.xlsx&amp;sheet=A0&amp;row=1218&amp;col=15&amp;number=&amp;sourceID=55","")</f>
        <v/>
      </c>
      <c r="P1218" s="4" t="str">
        <f>HYPERLINK("http://141.218.60.56/~jnz1568/getInfo.php?workbook=16_15.xlsx&amp;sheet=A0&amp;row=1218&amp;col=16&amp;number=&amp;sourceID=55","")</f>
        <v/>
      </c>
      <c r="Q1218" s="4" t="str">
        <f>HYPERLINK("http://141.218.60.56/~jnz1568/getInfo.php?workbook=16_15.xlsx&amp;sheet=A0&amp;row=1218&amp;col=17&amp;number=&amp;sourceID=56","")</f>
        <v/>
      </c>
      <c r="R1218" s="4" t="str">
        <f>HYPERLINK("http://141.218.60.56/~jnz1568/getInfo.php?workbook=16_15.xlsx&amp;sheet=A0&amp;row=1218&amp;col=18&amp;number=&amp;sourceID=56","")</f>
        <v/>
      </c>
      <c r="S1218" s="4" t="str">
        <f>HYPERLINK("http://141.218.60.56/~jnz1568/getInfo.php?workbook=16_15.xlsx&amp;sheet=A0&amp;row=1218&amp;col=19&amp;number=&amp;sourceID=57","")</f>
        <v/>
      </c>
      <c r="T1218" s="4" t="str">
        <f>HYPERLINK("http://141.218.60.56/~jnz1568/getInfo.php?workbook=16_15.xlsx&amp;sheet=A0&amp;row=1218&amp;col=20&amp;number=&amp;sourceID=57","")</f>
        <v/>
      </c>
      <c r="U1218" s="4" t="str">
        <f>HYPERLINK("http://141.218.60.56/~jnz1568/getInfo.php?workbook=16_15.xlsx&amp;sheet=A0&amp;row=1218&amp;col=21&amp;number=&amp;sourceID=47","")</f>
        <v/>
      </c>
      <c r="V1218" s="4" t="str">
        <f>HYPERLINK("http://141.218.60.56/~jnz1568/getInfo.php?workbook=16_15.xlsx&amp;sheet=A0&amp;row=1218&amp;col=22&amp;number=&amp;sourceID=47","")</f>
        <v/>
      </c>
    </row>
    <row r="1219" spans="1:22">
      <c r="A1219" s="3">
        <v>16</v>
      </c>
      <c r="B1219" s="3">
        <v>15</v>
      </c>
      <c r="C1219" s="3">
        <v>56</v>
      </c>
      <c r="D1219" s="3">
        <v>34</v>
      </c>
      <c r="E1219" s="3">
        <f>((1/(INDEX(E0!J$4:J$73,C1219,1)-INDEX(E0!J$4:J$73,D1219,1))))*100000000</f>
        <v>0</v>
      </c>
      <c r="F1219" s="4" t="str">
        <f>HYPERLINK("http://141.218.60.56/~jnz1568/getInfo.php?workbook=16_15.xlsx&amp;sheet=A0&amp;row=1219&amp;col=6&amp;number=&amp;sourceID=54","")</f>
        <v/>
      </c>
      <c r="G1219" s="4" t="str">
        <f>HYPERLINK("http://141.218.60.56/~jnz1568/getInfo.php?workbook=16_15.xlsx&amp;sheet=A0&amp;row=1219&amp;col=7&amp;number=8.4981e-05&amp;sourceID=54","8.4981e-05")</f>
        <v>8.4981e-05</v>
      </c>
      <c r="H1219" s="4" t="str">
        <f>HYPERLINK("http://141.218.60.56/~jnz1568/getInfo.php?workbook=16_15.xlsx&amp;sheet=A0&amp;row=1219&amp;col=8&amp;number=&amp;sourceID=54","")</f>
        <v/>
      </c>
      <c r="I1219" s="4" t="str">
        <f>HYPERLINK("http://141.218.60.56/~jnz1568/getInfo.php?workbook=16_15.xlsx&amp;sheet=A0&amp;row=1219&amp;col=9&amp;number=&amp;sourceID=54","")</f>
        <v/>
      </c>
      <c r="J1219" s="4" t="str">
        <f>HYPERLINK("http://141.218.60.56/~jnz1568/getInfo.php?workbook=16_15.xlsx&amp;sheet=A0&amp;row=1219&amp;col=10&amp;number=8.7984e-05&amp;sourceID=54","8.7984e-05")</f>
        <v>8.7984e-05</v>
      </c>
      <c r="K1219" s="4" t="str">
        <f>HYPERLINK("http://141.218.60.56/~jnz1568/getInfo.php?workbook=16_15.xlsx&amp;sheet=A0&amp;row=1219&amp;col=11&amp;number=&amp;sourceID=54","")</f>
        <v/>
      </c>
      <c r="L1219" s="4" t="str">
        <f>HYPERLINK("http://141.218.60.56/~jnz1568/getInfo.php?workbook=16_15.xlsx&amp;sheet=A0&amp;row=1219&amp;col=12&amp;number=&amp;sourceID=53","")</f>
        <v/>
      </c>
      <c r="M1219" s="4" t="str">
        <f>HYPERLINK("http://141.218.60.56/~jnz1568/getInfo.php?workbook=16_15.xlsx&amp;sheet=A0&amp;row=1219&amp;col=13&amp;number=&amp;sourceID=53","")</f>
        <v/>
      </c>
      <c r="N1219" s="4" t="str">
        <f>HYPERLINK("http://141.218.60.56/~jnz1568/getInfo.php?workbook=16_15.xlsx&amp;sheet=A0&amp;row=1219&amp;col=14&amp;number=&amp;sourceID=53","")</f>
        <v/>
      </c>
      <c r="O1219" s="4" t="str">
        <f>HYPERLINK("http://141.218.60.56/~jnz1568/getInfo.php?workbook=16_15.xlsx&amp;sheet=A0&amp;row=1219&amp;col=15&amp;number=&amp;sourceID=55","")</f>
        <v/>
      </c>
      <c r="P1219" s="4" t="str">
        <f>HYPERLINK("http://141.218.60.56/~jnz1568/getInfo.php?workbook=16_15.xlsx&amp;sheet=A0&amp;row=1219&amp;col=16&amp;number=&amp;sourceID=55","")</f>
        <v/>
      </c>
      <c r="Q1219" s="4" t="str">
        <f>HYPERLINK("http://141.218.60.56/~jnz1568/getInfo.php?workbook=16_15.xlsx&amp;sheet=A0&amp;row=1219&amp;col=17&amp;number=&amp;sourceID=56","")</f>
        <v/>
      </c>
      <c r="R1219" s="4" t="str">
        <f>HYPERLINK("http://141.218.60.56/~jnz1568/getInfo.php?workbook=16_15.xlsx&amp;sheet=A0&amp;row=1219&amp;col=18&amp;number=&amp;sourceID=56","")</f>
        <v/>
      </c>
      <c r="S1219" s="4" t="str">
        <f>HYPERLINK("http://141.218.60.56/~jnz1568/getInfo.php?workbook=16_15.xlsx&amp;sheet=A0&amp;row=1219&amp;col=19&amp;number=&amp;sourceID=57","")</f>
        <v/>
      </c>
      <c r="T1219" s="4" t="str">
        <f>HYPERLINK("http://141.218.60.56/~jnz1568/getInfo.php?workbook=16_15.xlsx&amp;sheet=A0&amp;row=1219&amp;col=20&amp;number=&amp;sourceID=57","")</f>
        <v/>
      </c>
      <c r="U1219" s="4" t="str">
        <f>HYPERLINK("http://141.218.60.56/~jnz1568/getInfo.php?workbook=16_15.xlsx&amp;sheet=A0&amp;row=1219&amp;col=21&amp;number=&amp;sourceID=47","")</f>
        <v/>
      </c>
      <c r="V1219" s="4" t="str">
        <f>HYPERLINK("http://141.218.60.56/~jnz1568/getInfo.php?workbook=16_15.xlsx&amp;sheet=A0&amp;row=1219&amp;col=22&amp;number=&amp;sourceID=47","")</f>
        <v/>
      </c>
    </row>
    <row r="1220" spans="1:22">
      <c r="A1220" s="3">
        <v>16</v>
      </c>
      <c r="B1220" s="3">
        <v>15</v>
      </c>
      <c r="C1220" s="3">
        <v>56</v>
      </c>
      <c r="D1220" s="3">
        <v>35</v>
      </c>
      <c r="E1220" s="3">
        <f>((1/(INDEX(E0!J$4:J$73,C1220,1)-INDEX(E0!J$4:J$73,D1220,1))))*100000000</f>
        <v>0</v>
      </c>
      <c r="F1220" s="4" t="str">
        <f>HYPERLINK("http://141.218.60.56/~jnz1568/getInfo.php?workbook=16_15.xlsx&amp;sheet=A0&amp;row=1220&amp;col=6&amp;number=&amp;sourceID=54","")</f>
        <v/>
      </c>
      <c r="G1220" s="4" t="str">
        <f>HYPERLINK("http://141.218.60.56/~jnz1568/getInfo.php?workbook=16_15.xlsx&amp;sheet=A0&amp;row=1220&amp;col=7&amp;number=0.00023696&amp;sourceID=54","0.00023696")</f>
        <v>0.00023696</v>
      </c>
      <c r="H1220" s="4" t="str">
        <f>HYPERLINK("http://141.218.60.56/~jnz1568/getInfo.php?workbook=16_15.xlsx&amp;sheet=A0&amp;row=1220&amp;col=8&amp;number=0.010129&amp;sourceID=54","0.010129")</f>
        <v>0.010129</v>
      </c>
      <c r="I1220" s="4" t="str">
        <f>HYPERLINK("http://141.218.60.56/~jnz1568/getInfo.php?workbook=16_15.xlsx&amp;sheet=A0&amp;row=1220&amp;col=9&amp;number=&amp;sourceID=54","")</f>
        <v/>
      </c>
      <c r="J1220" s="4" t="str">
        <f>HYPERLINK("http://141.218.60.56/~jnz1568/getInfo.php?workbook=16_15.xlsx&amp;sheet=A0&amp;row=1220&amp;col=10&amp;number=0.00018048&amp;sourceID=54","0.00018048")</f>
        <v>0.00018048</v>
      </c>
      <c r="K1220" s="4" t="str">
        <f>HYPERLINK("http://141.218.60.56/~jnz1568/getInfo.php?workbook=16_15.xlsx&amp;sheet=A0&amp;row=1220&amp;col=11&amp;number=0.010744&amp;sourceID=54","0.010744")</f>
        <v>0.010744</v>
      </c>
      <c r="L1220" s="4" t="str">
        <f>HYPERLINK("http://141.218.60.56/~jnz1568/getInfo.php?workbook=16_15.xlsx&amp;sheet=A0&amp;row=1220&amp;col=12&amp;number=&amp;sourceID=53","")</f>
        <v/>
      </c>
      <c r="M1220" s="4" t="str">
        <f>HYPERLINK("http://141.218.60.56/~jnz1568/getInfo.php?workbook=16_15.xlsx&amp;sheet=A0&amp;row=1220&amp;col=13&amp;number=&amp;sourceID=53","")</f>
        <v/>
      </c>
      <c r="N1220" s="4" t="str">
        <f>HYPERLINK("http://141.218.60.56/~jnz1568/getInfo.php?workbook=16_15.xlsx&amp;sheet=A0&amp;row=1220&amp;col=14&amp;number=&amp;sourceID=53","")</f>
        <v/>
      </c>
      <c r="O1220" s="4" t="str">
        <f>HYPERLINK("http://141.218.60.56/~jnz1568/getInfo.php?workbook=16_15.xlsx&amp;sheet=A0&amp;row=1220&amp;col=15&amp;number=&amp;sourceID=55","")</f>
        <v/>
      </c>
      <c r="P1220" s="4" t="str">
        <f>HYPERLINK("http://141.218.60.56/~jnz1568/getInfo.php?workbook=16_15.xlsx&amp;sheet=A0&amp;row=1220&amp;col=16&amp;number=&amp;sourceID=55","")</f>
        <v/>
      </c>
      <c r="Q1220" s="4" t="str">
        <f>HYPERLINK("http://141.218.60.56/~jnz1568/getInfo.php?workbook=16_15.xlsx&amp;sheet=A0&amp;row=1220&amp;col=17&amp;number=&amp;sourceID=56","")</f>
        <v/>
      </c>
      <c r="R1220" s="4" t="str">
        <f>HYPERLINK("http://141.218.60.56/~jnz1568/getInfo.php?workbook=16_15.xlsx&amp;sheet=A0&amp;row=1220&amp;col=18&amp;number=&amp;sourceID=56","")</f>
        <v/>
      </c>
      <c r="S1220" s="4" t="str">
        <f>HYPERLINK("http://141.218.60.56/~jnz1568/getInfo.php?workbook=16_15.xlsx&amp;sheet=A0&amp;row=1220&amp;col=19&amp;number=&amp;sourceID=57","")</f>
        <v/>
      </c>
      <c r="T1220" s="4" t="str">
        <f>HYPERLINK("http://141.218.60.56/~jnz1568/getInfo.php?workbook=16_15.xlsx&amp;sheet=A0&amp;row=1220&amp;col=20&amp;number=&amp;sourceID=57","")</f>
        <v/>
      </c>
      <c r="U1220" s="4" t="str">
        <f>HYPERLINK("http://141.218.60.56/~jnz1568/getInfo.php?workbook=16_15.xlsx&amp;sheet=A0&amp;row=1220&amp;col=21&amp;number=&amp;sourceID=47","")</f>
        <v/>
      </c>
      <c r="V1220" s="4" t="str">
        <f>HYPERLINK("http://141.218.60.56/~jnz1568/getInfo.php?workbook=16_15.xlsx&amp;sheet=A0&amp;row=1220&amp;col=22&amp;number=&amp;sourceID=47","")</f>
        <v/>
      </c>
    </row>
    <row r="1221" spans="1:22">
      <c r="A1221" s="3">
        <v>16</v>
      </c>
      <c r="B1221" s="3">
        <v>15</v>
      </c>
      <c r="C1221" s="3">
        <v>56</v>
      </c>
      <c r="D1221" s="3">
        <v>36</v>
      </c>
      <c r="E1221" s="3">
        <f>((1/(INDEX(E0!J$4:J$73,C1221,1)-INDEX(E0!J$4:J$73,D1221,1))))*100000000</f>
        <v>0</v>
      </c>
      <c r="F1221" s="4" t="str">
        <f>HYPERLINK("http://141.218.60.56/~jnz1568/getInfo.php?workbook=16_15.xlsx&amp;sheet=A0&amp;row=1221&amp;col=6&amp;number=&amp;sourceID=54","")</f>
        <v/>
      </c>
      <c r="G1221" s="4" t="str">
        <f>HYPERLINK("http://141.218.60.56/~jnz1568/getInfo.php?workbook=16_15.xlsx&amp;sheet=A0&amp;row=1221&amp;col=7&amp;number=4.1431e-05&amp;sourceID=54","4.1431e-05")</f>
        <v>4.1431e-05</v>
      </c>
      <c r="H1221" s="4" t="str">
        <f>HYPERLINK("http://141.218.60.56/~jnz1568/getInfo.php?workbook=16_15.xlsx&amp;sheet=A0&amp;row=1221&amp;col=8&amp;number=0.017079&amp;sourceID=54","0.017079")</f>
        <v>0.017079</v>
      </c>
      <c r="I1221" s="4" t="str">
        <f>HYPERLINK("http://141.218.60.56/~jnz1568/getInfo.php?workbook=16_15.xlsx&amp;sheet=A0&amp;row=1221&amp;col=9&amp;number=&amp;sourceID=54","")</f>
        <v/>
      </c>
      <c r="J1221" s="4" t="str">
        <f>HYPERLINK("http://141.218.60.56/~jnz1568/getInfo.php?workbook=16_15.xlsx&amp;sheet=A0&amp;row=1221&amp;col=10&amp;number=6.8608e-05&amp;sourceID=54","6.8608e-05")</f>
        <v>6.8608e-05</v>
      </c>
      <c r="K1221" s="4" t="str">
        <f>HYPERLINK("http://141.218.60.56/~jnz1568/getInfo.php?workbook=16_15.xlsx&amp;sheet=A0&amp;row=1221&amp;col=11&amp;number=0.01717&amp;sourceID=54","0.01717")</f>
        <v>0.01717</v>
      </c>
      <c r="L1221" s="4" t="str">
        <f>HYPERLINK("http://141.218.60.56/~jnz1568/getInfo.php?workbook=16_15.xlsx&amp;sheet=A0&amp;row=1221&amp;col=12&amp;number=&amp;sourceID=53","")</f>
        <v/>
      </c>
      <c r="M1221" s="4" t="str">
        <f>HYPERLINK("http://141.218.60.56/~jnz1568/getInfo.php?workbook=16_15.xlsx&amp;sheet=A0&amp;row=1221&amp;col=13&amp;number=&amp;sourceID=53","")</f>
        <v/>
      </c>
      <c r="N1221" s="4" t="str">
        <f>HYPERLINK("http://141.218.60.56/~jnz1568/getInfo.php?workbook=16_15.xlsx&amp;sheet=A0&amp;row=1221&amp;col=14&amp;number=&amp;sourceID=53","")</f>
        <v/>
      </c>
      <c r="O1221" s="4" t="str">
        <f>HYPERLINK("http://141.218.60.56/~jnz1568/getInfo.php?workbook=16_15.xlsx&amp;sheet=A0&amp;row=1221&amp;col=15&amp;number=&amp;sourceID=55","")</f>
        <v/>
      </c>
      <c r="P1221" s="4" t="str">
        <f>HYPERLINK("http://141.218.60.56/~jnz1568/getInfo.php?workbook=16_15.xlsx&amp;sheet=A0&amp;row=1221&amp;col=16&amp;number=&amp;sourceID=55","")</f>
        <v/>
      </c>
      <c r="Q1221" s="4" t="str">
        <f>HYPERLINK("http://141.218.60.56/~jnz1568/getInfo.php?workbook=16_15.xlsx&amp;sheet=A0&amp;row=1221&amp;col=17&amp;number=&amp;sourceID=56","")</f>
        <v/>
      </c>
      <c r="R1221" s="4" t="str">
        <f>HYPERLINK("http://141.218.60.56/~jnz1568/getInfo.php?workbook=16_15.xlsx&amp;sheet=A0&amp;row=1221&amp;col=18&amp;number=&amp;sourceID=56","")</f>
        <v/>
      </c>
      <c r="S1221" s="4" t="str">
        <f>HYPERLINK("http://141.218.60.56/~jnz1568/getInfo.php?workbook=16_15.xlsx&amp;sheet=A0&amp;row=1221&amp;col=19&amp;number=&amp;sourceID=57","")</f>
        <v/>
      </c>
      <c r="T1221" s="4" t="str">
        <f>HYPERLINK("http://141.218.60.56/~jnz1568/getInfo.php?workbook=16_15.xlsx&amp;sheet=A0&amp;row=1221&amp;col=20&amp;number=&amp;sourceID=57","")</f>
        <v/>
      </c>
      <c r="U1221" s="4" t="str">
        <f>HYPERLINK("http://141.218.60.56/~jnz1568/getInfo.php?workbook=16_15.xlsx&amp;sheet=A0&amp;row=1221&amp;col=21&amp;number=&amp;sourceID=47","")</f>
        <v/>
      </c>
      <c r="V1221" s="4" t="str">
        <f>HYPERLINK("http://141.218.60.56/~jnz1568/getInfo.php?workbook=16_15.xlsx&amp;sheet=A0&amp;row=1221&amp;col=22&amp;number=&amp;sourceID=47","")</f>
        <v/>
      </c>
    </row>
    <row r="1222" spans="1:22">
      <c r="A1222" s="3">
        <v>16</v>
      </c>
      <c r="B1222" s="3">
        <v>15</v>
      </c>
      <c r="C1222" s="3">
        <v>56</v>
      </c>
      <c r="D1222" s="3">
        <v>37</v>
      </c>
      <c r="E1222" s="3">
        <f>((1/(INDEX(E0!J$4:J$73,C1222,1)-INDEX(E0!J$4:J$73,D1222,1))))*100000000</f>
        <v>0</v>
      </c>
      <c r="F1222" s="4" t="str">
        <f>HYPERLINK("http://141.218.60.56/~jnz1568/getInfo.php?workbook=16_15.xlsx&amp;sheet=A0&amp;row=1222&amp;col=6&amp;number=&amp;sourceID=54","")</f>
        <v/>
      </c>
      <c r="G1222" s="4" t="str">
        <f>HYPERLINK("http://141.218.60.56/~jnz1568/getInfo.php?workbook=16_15.xlsx&amp;sheet=A0&amp;row=1222&amp;col=7&amp;number=5.8509e-05&amp;sourceID=54","5.8509e-05")</f>
        <v>5.8509e-05</v>
      </c>
      <c r="H1222" s="4" t="str">
        <f>HYPERLINK("http://141.218.60.56/~jnz1568/getInfo.php?workbook=16_15.xlsx&amp;sheet=A0&amp;row=1222&amp;col=8&amp;number=0.0039375&amp;sourceID=54","0.0039375")</f>
        <v>0.0039375</v>
      </c>
      <c r="I1222" s="4" t="str">
        <f>HYPERLINK("http://141.218.60.56/~jnz1568/getInfo.php?workbook=16_15.xlsx&amp;sheet=A0&amp;row=1222&amp;col=9&amp;number=&amp;sourceID=54","")</f>
        <v/>
      </c>
      <c r="J1222" s="4" t="str">
        <f>HYPERLINK("http://141.218.60.56/~jnz1568/getInfo.php?workbook=16_15.xlsx&amp;sheet=A0&amp;row=1222&amp;col=10&amp;number=4.3188e-05&amp;sourceID=54","4.3188e-05")</f>
        <v>4.3188e-05</v>
      </c>
      <c r="K1222" s="4" t="str">
        <f>HYPERLINK("http://141.218.60.56/~jnz1568/getInfo.php?workbook=16_15.xlsx&amp;sheet=A0&amp;row=1222&amp;col=11&amp;number=0.003034&amp;sourceID=54","0.003034")</f>
        <v>0.003034</v>
      </c>
      <c r="L1222" s="4" t="str">
        <f>HYPERLINK("http://141.218.60.56/~jnz1568/getInfo.php?workbook=16_15.xlsx&amp;sheet=A0&amp;row=1222&amp;col=12&amp;number=&amp;sourceID=53","")</f>
        <v/>
      </c>
      <c r="M1222" s="4" t="str">
        <f>HYPERLINK("http://141.218.60.56/~jnz1568/getInfo.php?workbook=16_15.xlsx&amp;sheet=A0&amp;row=1222&amp;col=13&amp;number=&amp;sourceID=53","")</f>
        <v/>
      </c>
      <c r="N1222" s="4" t="str">
        <f>HYPERLINK("http://141.218.60.56/~jnz1568/getInfo.php?workbook=16_15.xlsx&amp;sheet=A0&amp;row=1222&amp;col=14&amp;number=&amp;sourceID=53","")</f>
        <v/>
      </c>
      <c r="O1222" s="4" t="str">
        <f>HYPERLINK("http://141.218.60.56/~jnz1568/getInfo.php?workbook=16_15.xlsx&amp;sheet=A0&amp;row=1222&amp;col=15&amp;number=&amp;sourceID=55","")</f>
        <v/>
      </c>
      <c r="P1222" s="4" t="str">
        <f>HYPERLINK("http://141.218.60.56/~jnz1568/getInfo.php?workbook=16_15.xlsx&amp;sheet=A0&amp;row=1222&amp;col=16&amp;number=&amp;sourceID=55","")</f>
        <v/>
      </c>
      <c r="Q1222" s="4" t="str">
        <f>HYPERLINK("http://141.218.60.56/~jnz1568/getInfo.php?workbook=16_15.xlsx&amp;sheet=A0&amp;row=1222&amp;col=17&amp;number=&amp;sourceID=56","")</f>
        <v/>
      </c>
      <c r="R1222" s="4" t="str">
        <f>HYPERLINK("http://141.218.60.56/~jnz1568/getInfo.php?workbook=16_15.xlsx&amp;sheet=A0&amp;row=1222&amp;col=18&amp;number=&amp;sourceID=56","")</f>
        <v/>
      </c>
      <c r="S1222" s="4" t="str">
        <f>HYPERLINK("http://141.218.60.56/~jnz1568/getInfo.php?workbook=16_15.xlsx&amp;sheet=A0&amp;row=1222&amp;col=19&amp;number=&amp;sourceID=57","")</f>
        <v/>
      </c>
      <c r="T1222" s="4" t="str">
        <f>HYPERLINK("http://141.218.60.56/~jnz1568/getInfo.php?workbook=16_15.xlsx&amp;sheet=A0&amp;row=1222&amp;col=20&amp;number=&amp;sourceID=57","")</f>
        <v/>
      </c>
      <c r="U1222" s="4" t="str">
        <f>HYPERLINK("http://141.218.60.56/~jnz1568/getInfo.php?workbook=16_15.xlsx&amp;sheet=A0&amp;row=1222&amp;col=21&amp;number=&amp;sourceID=47","")</f>
        <v/>
      </c>
      <c r="V1222" s="4" t="str">
        <f>HYPERLINK("http://141.218.60.56/~jnz1568/getInfo.php?workbook=16_15.xlsx&amp;sheet=A0&amp;row=1222&amp;col=22&amp;number=&amp;sourceID=47","")</f>
        <v/>
      </c>
    </row>
    <row r="1223" spans="1:22">
      <c r="A1223" s="3">
        <v>16</v>
      </c>
      <c r="B1223" s="3">
        <v>15</v>
      </c>
      <c r="C1223" s="3">
        <v>56</v>
      </c>
      <c r="D1223" s="3">
        <v>38</v>
      </c>
      <c r="E1223" s="3">
        <f>((1/(INDEX(E0!J$4:J$73,C1223,1)-INDEX(E0!J$4:J$73,D1223,1))))*100000000</f>
        <v>0</v>
      </c>
      <c r="F1223" s="4" t="str">
        <f>HYPERLINK("http://141.218.60.56/~jnz1568/getInfo.php?workbook=16_15.xlsx&amp;sheet=A0&amp;row=1223&amp;col=6&amp;number=&amp;sourceID=54","")</f>
        <v/>
      </c>
      <c r="G1223" s="4" t="str">
        <f>HYPERLINK("http://141.218.60.56/~jnz1568/getInfo.php?workbook=16_15.xlsx&amp;sheet=A0&amp;row=1223&amp;col=7&amp;number=2.6986e-05&amp;sourceID=54","2.6986e-05")</f>
        <v>2.6986e-05</v>
      </c>
      <c r="H1223" s="4" t="str">
        <f>HYPERLINK("http://141.218.60.56/~jnz1568/getInfo.php?workbook=16_15.xlsx&amp;sheet=A0&amp;row=1223&amp;col=8&amp;number=&amp;sourceID=54","")</f>
        <v/>
      </c>
      <c r="I1223" s="4" t="str">
        <f>HYPERLINK("http://141.218.60.56/~jnz1568/getInfo.php?workbook=16_15.xlsx&amp;sheet=A0&amp;row=1223&amp;col=9&amp;number=&amp;sourceID=54","")</f>
        <v/>
      </c>
      <c r="J1223" s="4" t="str">
        <f>HYPERLINK("http://141.218.60.56/~jnz1568/getInfo.php?workbook=16_15.xlsx&amp;sheet=A0&amp;row=1223&amp;col=10&amp;number=1.0708e-05&amp;sourceID=54","1.0708e-05")</f>
        <v>1.0708e-05</v>
      </c>
      <c r="K1223" s="4" t="str">
        <f>HYPERLINK("http://141.218.60.56/~jnz1568/getInfo.php?workbook=16_15.xlsx&amp;sheet=A0&amp;row=1223&amp;col=11&amp;number=&amp;sourceID=54","")</f>
        <v/>
      </c>
      <c r="L1223" s="4" t="str">
        <f>HYPERLINK("http://141.218.60.56/~jnz1568/getInfo.php?workbook=16_15.xlsx&amp;sheet=A0&amp;row=1223&amp;col=12&amp;number=&amp;sourceID=53","")</f>
        <v/>
      </c>
      <c r="M1223" s="4" t="str">
        <f>HYPERLINK("http://141.218.60.56/~jnz1568/getInfo.php?workbook=16_15.xlsx&amp;sheet=A0&amp;row=1223&amp;col=13&amp;number=&amp;sourceID=53","")</f>
        <v/>
      </c>
      <c r="N1223" s="4" t="str">
        <f>HYPERLINK("http://141.218.60.56/~jnz1568/getInfo.php?workbook=16_15.xlsx&amp;sheet=A0&amp;row=1223&amp;col=14&amp;number=&amp;sourceID=53","")</f>
        <v/>
      </c>
      <c r="O1223" s="4" t="str">
        <f>HYPERLINK("http://141.218.60.56/~jnz1568/getInfo.php?workbook=16_15.xlsx&amp;sheet=A0&amp;row=1223&amp;col=15&amp;number=&amp;sourceID=55","")</f>
        <v/>
      </c>
      <c r="P1223" s="4" t="str">
        <f>HYPERLINK("http://141.218.60.56/~jnz1568/getInfo.php?workbook=16_15.xlsx&amp;sheet=A0&amp;row=1223&amp;col=16&amp;number=&amp;sourceID=55","")</f>
        <v/>
      </c>
      <c r="Q1223" s="4" t="str">
        <f>HYPERLINK("http://141.218.60.56/~jnz1568/getInfo.php?workbook=16_15.xlsx&amp;sheet=A0&amp;row=1223&amp;col=17&amp;number=&amp;sourceID=56","")</f>
        <v/>
      </c>
      <c r="R1223" s="4" t="str">
        <f>HYPERLINK("http://141.218.60.56/~jnz1568/getInfo.php?workbook=16_15.xlsx&amp;sheet=A0&amp;row=1223&amp;col=18&amp;number=&amp;sourceID=56","")</f>
        <v/>
      </c>
      <c r="S1223" s="4" t="str">
        <f>HYPERLINK("http://141.218.60.56/~jnz1568/getInfo.php?workbook=16_15.xlsx&amp;sheet=A0&amp;row=1223&amp;col=19&amp;number=&amp;sourceID=57","")</f>
        <v/>
      </c>
      <c r="T1223" s="4" t="str">
        <f>HYPERLINK("http://141.218.60.56/~jnz1568/getInfo.php?workbook=16_15.xlsx&amp;sheet=A0&amp;row=1223&amp;col=20&amp;number=&amp;sourceID=57","")</f>
        <v/>
      </c>
      <c r="U1223" s="4" t="str">
        <f>HYPERLINK("http://141.218.60.56/~jnz1568/getInfo.php?workbook=16_15.xlsx&amp;sheet=A0&amp;row=1223&amp;col=21&amp;number=&amp;sourceID=47","")</f>
        <v/>
      </c>
      <c r="V1223" s="4" t="str">
        <f>HYPERLINK("http://141.218.60.56/~jnz1568/getInfo.php?workbook=16_15.xlsx&amp;sheet=A0&amp;row=1223&amp;col=22&amp;number=&amp;sourceID=47","")</f>
        <v/>
      </c>
    </row>
    <row r="1224" spans="1:22">
      <c r="A1224" s="3">
        <v>16</v>
      </c>
      <c r="B1224" s="3">
        <v>15</v>
      </c>
      <c r="C1224" s="3">
        <v>56</v>
      </c>
      <c r="D1224" s="3">
        <v>39</v>
      </c>
      <c r="E1224" s="3">
        <f>((1/(INDEX(E0!J$4:J$73,C1224,1)-INDEX(E0!J$4:J$73,D1224,1))))*100000000</f>
        <v>0</v>
      </c>
      <c r="F1224" s="4" t="str">
        <f>HYPERLINK("http://141.218.60.56/~jnz1568/getInfo.php?workbook=16_15.xlsx&amp;sheet=A0&amp;row=1224&amp;col=6&amp;number=&amp;sourceID=54","")</f>
        <v/>
      </c>
      <c r="G1224" s="4" t="str">
        <f>HYPERLINK("http://141.218.60.56/~jnz1568/getInfo.php?workbook=16_15.xlsx&amp;sheet=A0&amp;row=1224&amp;col=7&amp;number=0.0010061&amp;sourceID=54","0.0010061")</f>
        <v>0.0010061</v>
      </c>
      <c r="H1224" s="4" t="str">
        <f>HYPERLINK("http://141.218.60.56/~jnz1568/getInfo.php?workbook=16_15.xlsx&amp;sheet=A0&amp;row=1224&amp;col=8&amp;number=4.2731e-05&amp;sourceID=54","4.2731e-05")</f>
        <v>4.2731e-05</v>
      </c>
      <c r="I1224" s="4" t="str">
        <f>HYPERLINK("http://141.218.60.56/~jnz1568/getInfo.php?workbook=16_15.xlsx&amp;sheet=A0&amp;row=1224&amp;col=9&amp;number=&amp;sourceID=54","")</f>
        <v/>
      </c>
      <c r="J1224" s="4" t="str">
        <f>HYPERLINK("http://141.218.60.56/~jnz1568/getInfo.php?workbook=16_15.xlsx&amp;sheet=A0&amp;row=1224&amp;col=10&amp;number=0.00092556&amp;sourceID=54","0.00092556")</f>
        <v>0.00092556</v>
      </c>
      <c r="K1224" s="4" t="str">
        <f>HYPERLINK("http://141.218.60.56/~jnz1568/getInfo.php?workbook=16_15.xlsx&amp;sheet=A0&amp;row=1224&amp;col=11&amp;number=0.00014612&amp;sourceID=54","0.00014612")</f>
        <v>0.00014612</v>
      </c>
      <c r="L1224" s="4" t="str">
        <f>HYPERLINK("http://141.218.60.56/~jnz1568/getInfo.php?workbook=16_15.xlsx&amp;sheet=A0&amp;row=1224&amp;col=12&amp;number=&amp;sourceID=53","")</f>
        <v/>
      </c>
      <c r="M1224" s="4" t="str">
        <f>HYPERLINK("http://141.218.60.56/~jnz1568/getInfo.php?workbook=16_15.xlsx&amp;sheet=A0&amp;row=1224&amp;col=13&amp;number=&amp;sourceID=53","")</f>
        <v/>
      </c>
      <c r="N1224" s="4" t="str">
        <f>HYPERLINK("http://141.218.60.56/~jnz1568/getInfo.php?workbook=16_15.xlsx&amp;sheet=A0&amp;row=1224&amp;col=14&amp;number=&amp;sourceID=53","")</f>
        <v/>
      </c>
      <c r="O1224" s="4" t="str">
        <f>HYPERLINK("http://141.218.60.56/~jnz1568/getInfo.php?workbook=16_15.xlsx&amp;sheet=A0&amp;row=1224&amp;col=15&amp;number=&amp;sourceID=55","")</f>
        <v/>
      </c>
      <c r="P1224" s="4" t="str">
        <f>HYPERLINK("http://141.218.60.56/~jnz1568/getInfo.php?workbook=16_15.xlsx&amp;sheet=A0&amp;row=1224&amp;col=16&amp;number=&amp;sourceID=55","")</f>
        <v/>
      </c>
      <c r="Q1224" s="4" t="str">
        <f>HYPERLINK("http://141.218.60.56/~jnz1568/getInfo.php?workbook=16_15.xlsx&amp;sheet=A0&amp;row=1224&amp;col=17&amp;number=&amp;sourceID=56","")</f>
        <v/>
      </c>
      <c r="R1224" s="4" t="str">
        <f>HYPERLINK("http://141.218.60.56/~jnz1568/getInfo.php?workbook=16_15.xlsx&amp;sheet=A0&amp;row=1224&amp;col=18&amp;number=&amp;sourceID=56","")</f>
        <v/>
      </c>
      <c r="S1224" s="4" t="str">
        <f>HYPERLINK("http://141.218.60.56/~jnz1568/getInfo.php?workbook=16_15.xlsx&amp;sheet=A0&amp;row=1224&amp;col=19&amp;number=&amp;sourceID=57","")</f>
        <v/>
      </c>
      <c r="T1224" s="4" t="str">
        <f>HYPERLINK("http://141.218.60.56/~jnz1568/getInfo.php?workbook=16_15.xlsx&amp;sheet=A0&amp;row=1224&amp;col=20&amp;number=&amp;sourceID=57","")</f>
        <v/>
      </c>
      <c r="U1224" s="4" t="str">
        <f>HYPERLINK("http://141.218.60.56/~jnz1568/getInfo.php?workbook=16_15.xlsx&amp;sheet=A0&amp;row=1224&amp;col=21&amp;number=&amp;sourceID=47","")</f>
        <v/>
      </c>
      <c r="V1224" s="4" t="str">
        <f>HYPERLINK("http://141.218.60.56/~jnz1568/getInfo.php?workbook=16_15.xlsx&amp;sheet=A0&amp;row=1224&amp;col=22&amp;number=&amp;sourceID=47","")</f>
        <v/>
      </c>
    </row>
    <row r="1225" spans="1:22">
      <c r="A1225" s="3">
        <v>16</v>
      </c>
      <c r="B1225" s="3">
        <v>15</v>
      </c>
      <c r="C1225" s="3">
        <v>56</v>
      </c>
      <c r="D1225" s="3">
        <v>40</v>
      </c>
      <c r="E1225" s="3">
        <f>((1/(INDEX(E0!J$4:J$73,C1225,1)-INDEX(E0!J$4:J$73,D1225,1))))*100000000</f>
        <v>0</v>
      </c>
      <c r="F1225" s="4" t="str">
        <f>HYPERLINK("http://141.218.60.56/~jnz1568/getInfo.php?workbook=16_15.xlsx&amp;sheet=A0&amp;row=1225&amp;col=6&amp;number=&amp;sourceID=54","")</f>
        <v/>
      </c>
      <c r="G1225" s="4" t="str">
        <f>HYPERLINK("http://141.218.60.56/~jnz1568/getInfo.php?workbook=16_15.xlsx&amp;sheet=A0&amp;row=1225&amp;col=7&amp;number=0.00012103&amp;sourceID=54","0.00012103")</f>
        <v>0.00012103</v>
      </c>
      <c r="H1225" s="4" t="str">
        <f>HYPERLINK("http://141.218.60.56/~jnz1568/getInfo.php?workbook=16_15.xlsx&amp;sheet=A0&amp;row=1225&amp;col=8&amp;number=0.00027617&amp;sourceID=54","0.00027617")</f>
        <v>0.00027617</v>
      </c>
      <c r="I1225" s="4" t="str">
        <f>HYPERLINK("http://141.218.60.56/~jnz1568/getInfo.php?workbook=16_15.xlsx&amp;sheet=A0&amp;row=1225&amp;col=9&amp;number=&amp;sourceID=54","")</f>
        <v/>
      </c>
      <c r="J1225" s="4" t="str">
        <f>HYPERLINK("http://141.218.60.56/~jnz1568/getInfo.php?workbook=16_15.xlsx&amp;sheet=A0&amp;row=1225&amp;col=10&amp;number=0.00031605&amp;sourceID=54","0.00031605")</f>
        <v>0.00031605</v>
      </c>
      <c r="K1225" s="4" t="str">
        <f>HYPERLINK("http://141.218.60.56/~jnz1568/getInfo.php?workbook=16_15.xlsx&amp;sheet=A0&amp;row=1225&amp;col=11&amp;number=0.00079698&amp;sourceID=54","0.00079698")</f>
        <v>0.00079698</v>
      </c>
      <c r="L1225" s="4" t="str">
        <f>HYPERLINK("http://141.218.60.56/~jnz1568/getInfo.php?workbook=16_15.xlsx&amp;sheet=A0&amp;row=1225&amp;col=12&amp;number=&amp;sourceID=53","")</f>
        <v/>
      </c>
      <c r="M1225" s="4" t="str">
        <f>HYPERLINK("http://141.218.60.56/~jnz1568/getInfo.php?workbook=16_15.xlsx&amp;sheet=A0&amp;row=1225&amp;col=13&amp;number=&amp;sourceID=53","")</f>
        <v/>
      </c>
      <c r="N1225" s="4" t="str">
        <f>HYPERLINK("http://141.218.60.56/~jnz1568/getInfo.php?workbook=16_15.xlsx&amp;sheet=A0&amp;row=1225&amp;col=14&amp;number=&amp;sourceID=53","")</f>
        <v/>
      </c>
      <c r="O1225" s="4" t="str">
        <f>HYPERLINK("http://141.218.60.56/~jnz1568/getInfo.php?workbook=16_15.xlsx&amp;sheet=A0&amp;row=1225&amp;col=15&amp;number=&amp;sourceID=55","")</f>
        <v/>
      </c>
      <c r="P1225" s="4" t="str">
        <f>HYPERLINK("http://141.218.60.56/~jnz1568/getInfo.php?workbook=16_15.xlsx&amp;sheet=A0&amp;row=1225&amp;col=16&amp;number=&amp;sourceID=55","")</f>
        <v/>
      </c>
      <c r="Q1225" s="4" t="str">
        <f>HYPERLINK("http://141.218.60.56/~jnz1568/getInfo.php?workbook=16_15.xlsx&amp;sheet=A0&amp;row=1225&amp;col=17&amp;number=&amp;sourceID=56","")</f>
        <v/>
      </c>
      <c r="R1225" s="4" t="str">
        <f>HYPERLINK("http://141.218.60.56/~jnz1568/getInfo.php?workbook=16_15.xlsx&amp;sheet=A0&amp;row=1225&amp;col=18&amp;number=&amp;sourceID=56","")</f>
        <v/>
      </c>
      <c r="S1225" s="4" t="str">
        <f>HYPERLINK("http://141.218.60.56/~jnz1568/getInfo.php?workbook=16_15.xlsx&amp;sheet=A0&amp;row=1225&amp;col=19&amp;number=&amp;sourceID=57","")</f>
        <v/>
      </c>
      <c r="T1225" s="4" t="str">
        <f>HYPERLINK("http://141.218.60.56/~jnz1568/getInfo.php?workbook=16_15.xlsx&amp;sheet=A0&amp;row=1225&amp;col=20&amp;number=&amp;sourceID=57","")</f>
        <v/>
      </c>
      <c r="U1225" s="4" t="str">
        <f>HYPERLINK("http://141.218.60.56/~jnz1568/getInfo.php?workbook=16_15.xlsx&amp;sheet=A0&amp;row=1225&amp;col=21&amp;number=&amp;sourceID=47","")</f>
        <v/>
      </c>
      <c r="V1225" s="4" t="str">
        <f>HYPERLINK("http://141.218.60.56/~jnz1568/getInfo.php?workbook=16_15.xlsx&amp;sheet=A0&amp;row=1225&amp;col=22&amp;number=&amp;sourceID=47","")</f>
        <v/>
      </c>
    </row>
    <row r="1226" spans="1:22">
      <c r="A1226" s="3">
        <v>16</v>
      </c>
      <c r="B1226" s="3">
        <v>15</v>
      </c>
      <c r="C1226" s="3">
        <v>56</v>
      </c>
      <c r="D1226" s="3">
        <v>41</v>
      </c>
      <c r="E1226" s="3">
        <f>((1/(INDEX(E0!J$4:J$73,C1226,1)-INDEX(E0!J$4:J$73,D1226,1))))*100000000</f>
        <v>0</v>
      </c>
      <c r="F1226" s="4" t="str">
        <f>HYPERLINK("http://141.218.60.56/~jnz1568/getInfo.php?workbook=16_15.xlsx&amp;sheet=A0&amp;row=1226&amp;col=6&amp;number=1.0789&amp;sourceID=54","1.0789")</f>
        <v>1.0789</v>
      </c>
      <c r="G1226" s="4" t="str">
        <f>HYPERLINK("http://141.218.60.56/~jnz1568/getInfo.php?workbook=16_15.xlsx&amp;sheet=A0&amp;row=1226&amp;col=7&amp;number=&amp;sourceID=54","")</f>
        <v/>
      </c>
      <c r="H1226" s="4" t="str">
        <f>HYPERLINK("http://141.218.60.56/~jnz1568/getInfo.php?workbook=16_15.xlsx&amp;sheet=A0&amp;row=1226&amp;col=8&amp;number=&amp;sourceID=54","")</f>
        <v/>
      </c>
      <c r="I1226" s="4" t="str">
        <f>HYPERLINK("http://141.218.60.56/~jnz1568/getInfo.php?workbook=16_15.xlsx&amp;sheet=A0&amp;row=1226&amp;col=9&amp;number=1.5063&amp;sourceID=54","1.5063")</f>
        <v>1.5063</v>
      </c>
      <c r="J1226" s="4" t="str">
        <f>HYPERLINK("http://141.218.60.56/~jnz1568/getInfo.php?workbook=16_15.xlsx&amp;sheet=A0&amp;row=1226&amp;col=10&amp;number=&amp;sourceID=54","")</f>
        <v/>
      </c>
      <c r="K1226" s="4" t="str">
        <f>HYPERLINK("http://141.218.60.56/~jnz1568/getInfo.php?workbook=16_15.xlsx&amp;sheet=A0&amp;row=1226&amp;col=11&amp;number=&amp;sourceID=54","")</f>
        <v/>
      </c>
      <c r="L1226" s="4" t="str">
        <f>HYPERLINK("http://141.218.60.56/~jnz1568/getInfo.php?workbook=16_15.xlsx&amp;sheet=A0&amp;row=1226&amp;col=12&amp;number=3.76720075452&amp;sourceID=53","3.76720075452")</f>
        <v>3.76720075452</v>
      </c>
      <c r="M1226" s="4" t="str">
        <f>HYPERLINK("http://141.218.60.56/~jnz1568/getInfo.php?workbook=16_15.xlsx&amp;sheet=A0&amp;row=1226&amp;col=13&amp;number=&amp;sourceID=53","")</f>
        <v/>
      </c>
      <c r="N1226" s="4" t="str">
        <f>HYPERLINK("http://141.218.60.56/~jnz1568/getInfo.php?workbook=16_15.xlsx&amp;sheet=A0&amp;row=1226&amp;col=14&amp;number=&amp;sourceID=53","")</f>
        <v/>
      </c>
      <c r="O1226" s="4" t="str">
        <f>HYPERLINK("http://141.218.60.56/~jnz1568/getInfo.php?workbook=16_15.xlsx&amp;sheet=A0&amp;row=1226&amp;col=15&amp;number=&amp;sourceID=55","")</f>
        <v/>
      </c>
      <c r="P1226" s="4" t="str">
        <f>HYPERLINK("http://141.218.60.56/~jnz1568/getInfo.php?workbook=16_15.xlsx&amp;sheet=A0&amp;row=1226&amp;col=16&amp;number=&amp;sourceID=55","")</f>
        <v/>
      </c>
      <c r="Q1226" s="4" t="str">
        <f>HYPERLINK("http://141.218.60.56/~jnz1568/getInfo.php?workbook=16_15.xlsx&amp;sheet=A0&amp;row=1226&amp;col=17&amp;number=&amp;sourceID=56","")</f>
        <v/>
      </c>
      <c r="R1226" s="4" t="str">
        <f>HYPERLINK("http://141.218.60.56/~jnz1568/getInfo.php?workbook=16_15.xlsx&amp;sheet=A0&amp;row=1226&amp;col=18&amp;number=&amp;sourceID=56","")</f>
        <v/>
      </c>
      <c r="S1226" s="4" t="str">
        <f>HYPERLINK("http://141.218.60.56/~jnz1568/getInfo.php?workbook=16_15.xlsx&amp;sheet=A0&amp;row=1226&amp;col=19&amp;number=&amp;sourceID=57","")</f>
        <v/>
      </c>
      <c r="T1226" s="4" t="str">
        <f>HYPERLINK("http://141.218.60.56/~jnz1568/getInfo.php?workbook=16_15.xlsx&amp;sheet=A0&amp;row=1226&amp;col=20&amp;number=&amp;sourceID=57","")</f>
        <v/>
      </c>
      <c r="U1226" s="4" t="str">
        <f>HYPERLINK("http://141.218.60.56/~jnz1568/getInfo.php?workbook=16_15.xlsx&amp;sheet=A0&amp;row=1226&amp;col=21&amp;number=&amp;sourceID=47","")</f>
        <v/>
      </c>
      <c r="V1226" s="4" t="str">
        <f>HYPERLINK("http://141.218.60.56/~jnz1568/getInfo.php?workbook=16_15.xlsx&amp;sheet=A0&amp;row=1226&amp;col=22&amp;number=&amp;sourceID=47","")</f>
        <v/>
      </c>
    </row>
    <row r="1227" spans="1:22">
      <c r="A1227" s="3">
        <v>16</v>
      </c>
      <c r="B1227" s="3">
        <v>15</v>
      </c>
      <c r="C1227" s="3">
        <v>56</v>
      </c>
      <c r="D1227" s="3">
        <v>42</v>
      </c>
      <c r="E1227" s="3">
        <f>((1/(INDEX(E0!J$4:J$73,C1227,1)-INDEX(E0!J$4:J$73,D1227,1))))*100000000</f>
        <v>0</v>
      </c>
      <c r="F1227" s="4" t="str">
        <f>HYPERLINK("http://141.218.60.56/~jnz1568/getInfo.php?workbook=16_15.xlsx&amp;sheet=A0&amp;row=1227&amp;col=6&amp;number=&amp;sourceID=54","")</f>
        <v/>
      </c>
      <c r="G1227" s="4" t="str">
        <f>HYPERLINK("http://141.218.60.56/~jnz1568/getInfo.php?workbook=16_15.xlsx&amp;sheet=A0&amp;row=1227&amp;col=7&amp;number=0.11184&amp;sourceID=54","0.11184")</f>
        <v>0.11184</v>
      </c>
      <c r="H1227" s="4" t="str">
        <f>HYPERLINK("http://141.218.60.56/~jnz1568/getInfo.php?workbook=16_15.xlsx&amp;sheet=A0&amp;row=1227&amp;col=8&amp;number=0.010901&amp;sourceID=54","0.010901")</f>
        <v>0.010901</v>
      </c>
      <c r="I1227" s="4" t="str">
        <f>HYPERLINK("http://141.218.60.56/~jnz1568/getInfo.php?workbook=16_15.xlsx&amp;sheet=A0&amp;row=1227&amp;col=9&amp;number=&amp;sourceID=54","")</f>
        <v/>
      </c>
      <c r="J1227" s="4" t="str">
        <f>HYPERLINK("http://141.218.60.56/~jnz1568/getInfo.php?workbook=16_15.xlsx&amp;sheet=A0&amp;row=1227&amp;col=10&amp;number=0.079454&amp;sourceID=54","0.079454")</f>
        <v>0.079454</v>
      </c>
      <c r="K1227" s="4" t="str">
        <f>HYPERLINK("http://141.218.60.56/~jnz1568/getInfo.php?workbook=16_15.xlsx&amp;sheet=A0&amp;row=1227&amp;col=11&amp;number=0.010313&amp;sourceID=54","0.010313")</f>
        <v>0.010313</v>
      </c>
      <c r="L1227" s="4" t="str">
        <f>HYPERLINK("http://141.218.60.56/~jnz1568/getInfo.php?workbook=16_15.xlsx&amp;sheet=A0&amp;row=1227&amp;col=12&amp;number=&amp;sourceID=53","")</f>
        <v/>
      </c>
      <c r="M1227" s="4" t="str">
        <f>HYPERLINK("http://141.218.60.56/~jnz1568/getInfo.php?workbook=16_15.xlsx&amp;sheet=A0&amp;row=1227&amp;col=13&amp;number=&amp;sourceID=53","")</f>
        <v/>
      </c>
      <c r="N1227" s="4" t="str">
        <f>HYPERLINK("http://141.218.60.56/~jnz1568/getInfo.php?workbook=16_15.xlsx&amp;sheet=A0&amp;row=1227&amp;col=14&amp;number=&amp;sourceID=53","")</f>
        <v/>
      </c>
      <c r="O1227" s="4" t="str">
        <f>HYPERLINK("http://141.218.60.56/~jnz1568/getInfo.php?workbook=16_15.xlsx&amp;sheet=A0&amp;row=1227&amp;col=15&amp;number=&amp;sourceID=55","")</f>
        <v/>
      </c>
      <c r="P1227" s="4" t="str">
        <f>HYPERLINK("http://141.218.60.56/~jnz1568/getInfo.php?workbook=16_15.xlsx&amp;sheet=A0&amp;row=1227&amp;col=16&amp;number=&amp;sourceID=55","")</f>
        <v/>
      </c>
      <c r="Q1227" s="4" t="str">
        <f>HYPERLINK("http://141.218.60.56/~jnz1568/getInfo.php?workbook=16_15.xlsx&amp;sheet=A0&amp;row=1227&amp;col=17&amp;number=&amp;sourceID=56","")</f>
        <v/>
      </c>
      <c r="R1227" s="4" t="str">
        <f>HYPERLINK("http://141.218.60.56/~jnz1568/getInfo.php?workbook=16_15.xlsx&amp;sheet=A0&amp;row=1227&amp;col=18&amp;number=&amp;sourceID=56","")</f>
        <v/>
      </c>
      <c r="S1227" s="4" t="str">
        <f>HYPERLINK("http://141.218.60.56/~jnz1568/getInfo.php?workbook=16_15.xlsx&amp;sheet=A0&amp;row=1227&amp;col=19&amp;number=&amp;sourceID=57","")</f>
        <v/>
      </c>
      <c r="T1227" s="4" t="str">
        <f>HYPERLINK("http://141.218.60.56/~jnz1568/getInfo.php?workbook=16_15.xlsx&amp;sheet=A0&amp;row=1227&amp;col=20&amp;number=&amp;sourceID=57","")</f>
        <v/>
      </c>
      <c r="U1227" s="4" t="str">
        <f>HYPERLINK("http://141.218.60.56/~jnz1568/getInfo.php?workbook=16_15.xlsx&amp;sheet=A0&amp;row=1227&amp;col=21&amp;number=&amp;sourceID=47","")</f>
        <v/>
      </c>
      <c r="V1227" s="4" t="str">
        <f>HYPERLINK("http://141.218.60.56/~jnz1568/getInfo.php?workbook=16_15.xlsx&amp;sheet=A0&amp;row=1227&amp;col=22&amp;number=&amp;sourceID=47","")</f>
        <v/>
      </c>
    </row>
    <row r="1228" spans="1:22">
      <c r="A1228" s="3">
        <v>16</v>
      </c>
      <c r="B1228" s="3">
        <v>15</v>
      </c>
      <c r="C1228" s="3">
        <v>56</v>
      </c>
      <c r="D1228" s="3">
        <v>43</v>
      </c>
      <c r="E1228" s="3">
        <f>((1/(INDEX(E0!J$4:J$73,C1228,1)-INDEX(E0!J$4:J$73,D1228,1))))*100000000</f>
        <v>0</v>
      </c>
      <c r="F1228" s="4" t="str">
        <f>HYPERLINK("http://141.218.60.56/~jnz1568/getInfo.php?workbook=16_15.xlsx&amp;sheet=A0&amp;row=1228&amp;col=6&amp;number=58.786&amp;sourceID=54","58.786")</f>
        <v>58.786</v>
      </c>
      <c r="G1228" s="4" t="str">
        <f>HYPERLINK("http://141.218.60.56/~jnz1568/getInfo.php?workbook=16_15.xlsx&amp;sheet=A0&amp;row=1228&amp;col=7&amp;number=&amp;sourceID=54","")</f>
        <v/>
      </c>
      <c r="H1228" s="4" t="str">
        <f>HYPERLINK("http://141.218.60.56/~jnz1568/getInfo.php?workbook=16_15.xlsx&amp;sheet=A0&amp;row=1228&amp;col=8&amp;number=&amp;sourceID=54","")</f>
        <v/>
      </c>
      <c r="I1228" s="4" t="str">
        <f>HYPERLINK("http://141.218.60.56/~jnz1568/getInfo.php?workbook=16_15.xlsx&amp;sheet=A0&amp;row=1228&amp;col=9&amp;number=68.281&amp;sourceID=54","68.281")</f>
        <v>68.281</v>
      </c>
      <c r="J1228" s="4" t="str">
        <f>HYPERLINK("http://141.218.60.56/~jnz1568/getInfo.php?workbook=16_15.xlsx&amp;sheet=A0&amp;row=1228&amp;col=10&amp;number=&amp;sourceID=54","")</f>
        <v/>
      </c>
      <c r="K1228" s="4" t="str">
        <f>HYPERLINK("http://141.218.60.56/~jnz1568/getInfo.php?workbook=16_15.xlsx&amp;sheet=A0&amp;row=1228&amp;col=11&amp;number=&amp;sourceID=54","")</f>
        <v/>
      </c>
      <c r="L1228" s="4" t="str">
        <f>HYPERLINK("http://141.218.60.56/~jnz1568/getInfo.php?workbook=16_15.xlsx&amp;sheet=A0&amp;row=1228&amp;col=12&amp;number=165.795453642&amp;sourceID=53","165.795453642")</f>
        <v>165.795453642</v>
      </c>
      <c r="M1228" s="4" t="str">
        <f>HYPERLINK("http://141.218.60.56/~jnz1568/getInfo.php?workbook=16_15.xlsx&amp;sheet=A0&amp;row=1228&amp;col=13&amp;number=&amp;sourceID=53","")</f>
        <v/>
      </c>
      <c r="N1228" s="4" t="str">
        <f>HYPERLINK("http://141.218.60.56/~jnz1568/getInfo.php?workbook=16_15.xlsx&amp;sheet=A0&amp;row=1228&amp;col=14&amp;number=&amp;sourceID=53","")</f>
        <v/>
      </c>
      <c r="O1228" s="4" t="str">
        <f>HYPERLINK("http://141.218.60.56/~jnz1568/getInfo.php?workbook=16_15.xlsx&amp;sheet=A0&amp;row=1228&amp;col=15&amp;number=&amp;sourceID=55","")</f>
        <v/>
      </c>
      <c r="P1228" s="4" t="str">
        <f>HYPERLINK("http://141.218.60.56/~jnz1568/getInfo.php?workbook=16_15.xlsx&amp;sheet=A0&amp;row=1228&amp;col=16&amp;number=&amp;sourceID=55","")</f>
        <v/>
      </c>
      <c r="Q1228" s="4" t="str">
        <f>HYPERLINK("http://141.218.60.56/~jnz1568/getInfo.php?workbook=16_15.xlsx&amp;sheet=A0&amp;row=1228&amp;col=17&amp;number=&amp;sourceID=56","")</f>
        <v/>
      </c>
      <c r="R1228" s="4" t="str">
        <f>HYPERLINK("http://141.218.60.56/~jnz1568/getInfo.php?workbook=16_15.xlsx&amp;sheet=A0&amp;row=1228&amp;col=18&amp;number=&amp;sourceID=56","")</f>
        <v/>
      </c>
      <c r="S1228" s="4" t="str">
        <f>HYPERLINK("http://141.218.60.56/~jnz1568/getInfo.php?workbook=16_15.xlsx&amp;sheet=A0&amp;row=1228&amp;col=19&amp;number=&amp;sourceID=57","")</f>
        <v/>
      </c>
      <c r="T1228" s="4" t="str">
        <f>HYPERLINK("http://141.218.60.56/~jnz1568/getInfo.php?workbook=16_15.xlsx&amp;sheet=A0&amp;row=1228&amp;col=20&amp;number=&amp;sourceID=57","")</f>
        <v/>
      </c>
      <c r="U1228" s="4" t="str">
        <f>HYPERLINK("http://141.218.60.56/~jnz1568/getInfo.php?workbook=16_15.xlsx&amp;sheet=A0&amp;row=1228&amp;col=21&amp;number=&amp;sourceID=47","")</f>
        <v/>
      </c>
      <c r="V1228" s="4" t="str">
        <f>HYPERLINK("http://141.218.60.56/~jnz1568/getInfo.php?workbook=16_15.xlsx&amp;sheet=A0&amp;row=1228&amp;col=22&amp;number=&amp;sourceID=47","")</f>
        <v/>
      </c>
    </row>
    <row r="1229" spans="1:22">
      <c r="A1229" s="3">
        <v>16</v>
      </c>
      <c r="B1229" s="3">
        <v>15</v>
      </c>
      <c r="C1229" s="3">
        <v>56</v>
      </c>
      <c r="D1229" s="3">
        <v>45</v>
      </c>
      <c r="E1229" s="3">
        <f>((1/(INDEX(E0!J$4:J$73,C1229,1)-INDEX(E0!J$4:J$73,D1229,1))))*100000000</f>
        <v>0</v>
      </c>
      <c r="F1229" s="4" t="str">
        <f>HYPERLINK("http://141.218.60.56/~jnz1568/getInfo.php?workbook=16_15.xlsx&amp;sheet=A0&amp;row=1229&amp;col=6&amp;number=&amp;sourceID=54","")</f>
        <v/>
      </c>
      <c r="G1229" s="4" t="str">
        <f>HYPERLINK("http://141.218.60.56/~jnz1568/getInfo.php?workbook=16_15.xlsx&amp;sheet=A0&amp;row=1229&amp;col=7&amp;number=0.00051173&amp;sourceID=54","0.00051173")</f>
        <v>0.00051173</v>
      </c>
      <c r="H1229" s="4" t="str">
        <f>HYPERLINK("http://141.218.60.56/~jnz1568/getInfo.php?workbook=16_15.xlsx&amp;sheet=A0&amp;row=1229&amp;col=8&amp;number=7.539e-05&amp;sourceID=54","7.539e-05")</f>
        <v>7.539e-05</v>
      </c>
      <c r="I1229" s="4" t="str">
        <f>HYPERLINK("http://141.218.60.56/~jnz1568/getInfo.php?workbook=16_15.xlsx&amp;sheet=A0&amp;row=1229&amp;col=9&amp;number=&amp;sourceID=54","")</f>
        <v/>
      </c>
      <c r="J1229" s="4" t="str">
        <f>HYPERLINK("http://141.218.60.56/~jnz1568/getInfo.php?workbook=16_15.xlsx&amp;sheet=A0&amp;row=1229&amp;col=10&amp;number=7.0682e-05&amp;sourceID=54","7.0682e-05")</f>
        <v>7.0682e-05</v>
      </c>
      <c r="K1229" s="4" t="str">
        <f>HYPERLINK("http://141.218.60.56/~jnz1568/getInfo.php?workbook=16_15.xlsx&amp;sheet=A0&amp;row=1229&amp;col=11&amp;number=1.5393e-05&amp;sourceID=54","1.5393e-05")</f>
        <v>1.5393e-05</v>
      </c>
      <c r="L1229" s="4" t="str">
        <f>HYPERLINK("http://141.218.60.56/~jnz1568/getInfo.php?workbook=16_15.xlsx&amp;sheet=A0&amp;row=1229&amp;col=12&amp;number=&amp;sourceID=53","")</f>
        <v/>
      </c>
      <c r="M1229" s="4" t="str">
        <f>HYPERLINK("http://141.218.60.56/~jnz1568/getInfo.php?workbook=16_15.xlsx&amp;sheet=A0&amp;row=1229&amp;col=13&amp;number=&amp;sourceID=53","")</f>
        <v/>
      </c>
      <c r="N1229" s="4" t="str">
        <f>HYPERLINK("http://141.218.60.56/~jnz1568/getInfo.php?workbook=16_15.xlsx&amp;sheet=A0&amp;row=1229&amp;col=14&amp;number=&amp;sourceID=53","")</f>
        <v/>
      </c>
      <c r="O1229" s="4" t="str">
        <f>HYPERLINK("http://141.218.60.56/~jnz1568/getInfo.php?workbook=16_15.xlsx&amp;sheet=A0&amp;row=1229&amp;col=15&amp;number=&amp;sourceID=55","")</f>
        <v/>
      </c>
      <c r="P1229" s="4" t="str">
        <f>HYPERLINK("http://141.218.60.56/~jnz1568/getInfo.php?workbook=16_15.xlsx&amp;sheet=A0&amp;row=1229&amp;col=16&amp;number=&amp;sourceID=55","")</f>
        <v/>
      </c>
      <c r="Q1229" s="4" t="str">
        <f>HYPERLINK("http://141.218.60.56/~jnz1568/getInfo.php?workbook=16_15.xlsx&amp;sheet=A0&amp;row=1229&amp;col=17&amp;number=&amp;sourceID=56","")</f>
        <v/>
      </c>
      <c r="R1229" s="4" t="str">
        <f>HYPERLINK("http://141.218.60.56/~jnz1568/getInfo.php?workbook=16_15.xlsx&amp;sheet=A0&amp;row=1229&amp;col=18&amp;number=&amp;sourceID=56","")</f>
        <v/>
      </c>
      <c r="S1229" s="4" t="str">
        <f>HYPERLINK("http://141.218.60.56/~jnz1568/getInfo.php?workbook=16_15.xlsx&amp;sheet=A0&amp;row=1229&amp;col=19&amp;number=&amp;sourceID=57","")</f>
        <v/>
      </c>
      <c r="T1229" s="4" t="str">
        <f>HYPERLINK("http://141.218.60.56/~jnz1568/getInfo.php?workbook=16_15.xlsx&amp;sheet=A0&amp;row=1229&amp;col=20&amp;number=&amp;sourceID=57","")</f>
        <v/>
      </c>
      <c r="U1229" s="4" t="str">
        <f>HYPERLINK("http://141.218.60.56/~jnz1568/getInfo.php?workbook=16_15.xlsx&amp;sheet=A0&amp;row=1229&amp;col=21&amp;number=&amp;sourceID=47","")</f>
        <v/>
      </c>
      <c r="V1229" s="4" t="str">
        <f>HYPERLINK("http://141.218.60.56/~jnz1568/getInfo.php?workbook=16_15.xlsx&amp;sheet=A0&amp;row=1229&amp;col=22&amp;number=&amp;sourceID=47","")</f>
        <v/>
      </c>
    </row>
    <row r="1230" spans="1:22">
      <c r="A1230" s="3">
        <v>16</v>
      </c>
      <c r="B1230" s="3">
        <v>15</v>
      </c>
      <c r="C1230" s="3">
        <v>56</v>
      </c>
      <c r="D1230" s="3">
        <v>46</v>
      </c>
      <c r="E1230" s="3">
        <f>((1/(INDEX(E0!J$4:J$73,C1230,1)-INDEX(E0!J$4:J$73,D1230,1))))*100000000</f>
        <v>0</v>
      </c>
      <c r="F1230" s="4" t="str">
        <f>HYPERLINK("http://141.218.60.56/~jnz1568/getInfo.php?workbook=16_15.xlsx&amp;sheet=A0&amp;row=1230&amp;col=6&amp;number=&amp;sourceID=54","")</f>
        <v/>
      </c>
      <c r="G1230" s="4" t="str">
        <f>HYPERLINK("http://141.218.60.56/~jnz1568/getInfo.php?workbook=16_15.xlsx&amp;sheet=A0&amp;row=1230&amp;col=7&amp;number=0.0030488&amp;sourceID=54","0.0030488")</f>
        <v>0.0030488</v>
      </c>
      <c r="H1230" s="4" t="str">
        <f>HYPERLINK("http://141.218.60.56/~jnz1568/getInfo.php?workbook=16_15.xlsx&amp;sheet=A0&amp;row=1230&amp;col=8&amp;number=0.023311&amp;sourceID=54","0.023311")</f>
        <v>0.023311</v>
      </c>
      <c r="I1230" s="4" t="str">
        <f>HYPERLINK("http://141.218.60.56/~jnz1568/getInfo.php?workbook=16_15.xlsx&amp;sheet=A0&amp;row=1230&amp;col=9&amp;number=&amp;sourceID=54","")</f>
        <v/>
      </c>
      <c r="J1230" s="4" t="str">
        <f>HYPERLINK("http://141.218.60.56/~jnz1568/getInfo.php?workbook=16_15.xlsx&amp;sheet=A0&amp;row=1230&amp;col=10&amp;number=0.0064629&amp;sourceID=54","0.0064629")</f>
        <v>0.0064629</v>
      </c>
      <c r="K1230" s="4" t="str">
        <f>HYPERLINK("http://141.218.60.56/~jnz1568/getInfo.php?workbook=16_15.xlsx&amp;sheet=A0&amp;row=1230&amp;col=11&amp;number=0.021936&amp;sourceID=54","0.021936")</f>
        <v>0.021936</v>
      </c>
      <c r="L1230" s="4" t="str">
        <f>HYPERLINK("http://141.218.60.56/~jnz1568/getInfo.php?workbook=16_15.xlsx&amp;sheet=A0&amp;row=1230&amp;col=12&amp;number=&amp;sourceID=53","")</f>
        <v/>
      </c>
      <c r="M1230" s="4" t="str">
        <f>HYPERLINK("http://141.218.60.56/~jnz1568/getInfo.php?workbook=16_15.xlsx&amp;sheet=A0&amp;row=1230&amp;col=13&amp;number=&amp;sourceID=53","")</f>
        <v/>
      </c>
      <c r="N1230" s="4" t="str">
        <f>HYPERLINK("http://141.218.60.56/~jnz1568/getInfo.php?workbook=16_15.xlsx&amp;sheet=A0&amp;row=1230&amp;col=14&amp;number=&amp;sourceID=53","")</f>
        <v/>
      </c>
      <c r="O1230" s="4" t="str">
        <f>HYPERLINK("http://141.218.60.56/~jnz1568/getInfo.php?workbook=16_15.xlsx&amp;sheet=A0&amp;row=1230&amp;col=15&amp;number=&amp;sourceID=55","")</f>
        <v/>
      </c>
      <c r="P1230" s="4" t="str">
        <f>HYPERLINK("http://141.218.60.56/~jnz1568/getInfo.php?workbook=16_15.xlsx&amp;sheet=A0&amp;row=1230&amp;col=16&amp;number=&amp;sourceID=55","")</f>
        <v/>
      </c>
      <c r="Q1230" s="4" t="str">
        <f>HYPERLINK("http://141.218.60.56/~jnz1568/getInfo.php?workbook=16_15.xlsx&amp;sheet=A0&amp;row=1230&amp;col=17&amp;number=&amp;sourceID=56","")</f>
        <v/>
      </c>
      <c r="R1230" s="4" t="str">
        <f>HYPERLINK("http://141.218.60.56/~jnz1568/getInfo.php?workbook=16_15.xlsx&amp;sheet=A0&amp;row=1230&amp;col=18&amp;number=&amp;sourceID=56","")</f>
        <v/>
      </c>
      <c r="S1230" s="4" t="str">
        <f>HYPERLINK("http://141.218.60.56/~jnz1568/getInfo.php?workbook=16_15.xlsx&amp;sheet=A0&amp;row=1230&amp;col=19&amp;number=&amp;sourceID=57","")</f>
        <v/>
      </c>
      <c r="T1230" s="4" t="str">
        <f>HYPERLINK("http://141.218.60.56/~jnz1568/getInfo.php?workbook=16_15.xlsx&amp;sheet=A0&amp;row=1230&amp;col=20&amp;number=&amp;sourceID=57","")</f>
        <v/>
      </c>
      <c r="U1230" s="4" t="str">
        <f>HYPERLINK("http://141.218.60.56/~jnz1568/getInfo.php?workbook=16_15.xlsx&amp;sheet=A0&amp;row=1230&amp;col=21&amp;number=&amp;sourceID=47","")</f>
        <v/>
      </c>
      <c r="V1230" s="4" t="str">
        <f>HYPERLINK("http://141.218.60.56/~jnz1568/getInfo.php?workbook=16_15.xlsx&amp;sheet=A0&amp;row=1230&amp;col=22&amp;number=&amp;sourceID=47","")</f>
        <v/>
      </c>
    </row>
    <row r="1231" spans="1:22">
      <c r="A1231" s="3">
        <v>16</v>
      </c>
      <c r="B1231" s="3">
        <v>15</v>
      </c>
      <c r="C1231" s="3">
        <v>56</v>
      </c>
      <c r="D1231" s="3">
        <v>47</v>
      </c>
      <c r="E1231" s="3">
        <f>((1/(INDEX(E0!J$4:J$73,C1231,1)-INDEX(E0!J$4:J$73,D1231,1))))*100000000</f>
        <v>0</v>
      </c>
      <c r="F1231" s="4" t="str">
        <f>HYPERLINK("http://141.218.60.56/~jnz1568/getInfo.php?workbook=16_15.xlsx&amp;sheet=A0&amp;row=1231&amp;col=6&amp;number=&amp;sourceID=54","")</f>
        <v/>
      </c>
      <c r="G1231" s="4" t="str">
        <f>HYPERLINK("http://141.218.60.56/~jnz1568/getInfo.php?workbook=16_15.xlsx&amp;sheet=A0&amp;row=1231&amp;col=7&amp;number=0.015721&amp;sourceID=54","0.015721")</f>
        <v>0.015721</v>
      </c>
      <c r="H1231" s="4" t="str">
        <f>HYPERLINK("http://141.218.60.56/~jnz1568/getInfo.php?workbook=16_15.xlsx&amp;sheet=A0&amp;row=1231&amp;col=8&amp;number=&amp;sourceID=54","")</f>
        <v/>
      </c>
      <c r="I1231" s="4" t="str">
        <f>HYPERLINK("http://141.218.60.56/~jnz1568/getInfo.php?workbook=16_15.xlsx&amp;sheet=A0&amp;row=1231&amp;col=9&amp;number=&amp;sourceID=54","")</f>
        <v/>
      </c>
      <c r="J1231" s="4" t="str">
        <f>HYPERLINK("http://141.218.60.56/~jnz1568/getInfo.php?workbook=16_15.xlsx&amp;sheet=A0&amp;row=1231&amp;col=10&amp;number=0.013069&amp;sourceID=54","0.013069")</f>
        <v>0.013069</v>
      </c>
      <c r="K1231" s="4" t="str">
        <f>HYPERLINK("http://141.218.60.56/~jnz1568/getInfo.php?workbook=16_15.xlsx&amp;sheet=A0&amp;row=1231&amp;col=11&amp;number=&amp;sourceID=54","")</f>
        <v/>
      </c>
      <c r="L1231" s="4" t="str">
        <f>HYPERLINK("http://141.218.60.56/~jnz1568/getInfo.php?workbook=16_15.xlsx&amp;sheet=A0&amp;row=1231&amp;col=12&amp;number=&amp;sourceID=53","")</f>
        <v/>
      </c>
      <c r="M1231" s="4" t="str">
        <f>HYPERLINK("http://141.218.60.56/~jnz1568/getInfo.php?workbook=16_15.xlsx&amp;sheet=A0&amp;row=1231&amp;col=13&amp;number=&amp;sourceID=53","")</f>
        <v/>
      </c>
      <c r="N1231" s="4" t="str">
        <f>HYPERLINK("http://141.218.60.56/~jnz1568/getInfo.php?workbook=16_15.xlsx&amp;sheet=A0&amp;row=1231&amp;col=14&amp;number=&amp;sourceID=53","")</f>
        <v/>
      </c>
      <c r="O1231" s="4" t="str">
        <f>HYPERLINK("http://141.218.60.56/~jnz1568/getInfo.php?workbook=16_15.xlsx&amp;sheet=A0&amp;row=1231&amp;col=15&amp;number=&amp;sourceID=55","")</f>
        <v/>
      </c>
      <c r="P1231" s="4" t="str">
        <f>HYPERLINK("http://141.218.60.56/~jnz1568/getInfo.php?workbook=16_15.xlsx&amp;sheet=A0&amp;row=1231&amp;col=16&amp;number=&amp;sourceID=55","")</f>
        <v/>
      </c>
      <c r="Q1231" s="4" t="str">
        <f>HYPERLINK("http://141.218.60.56/~jnz1568/getInfo.php?workbook=16_15.xlsx&amp;sheet=A0&amp;row=1231&amp;col=17&amp;number=&amp;sourceID=56","")</f>
        <v/>
      </c>
      <c r="R1231" s="4" t="str">
        <f>HYPERLINK("http://141.218.60.56/~jnz1568/getInfo.php?workbook=16_15.xlsx&amp;sheet=A0&amp;row=1231&amp;col=18&amp;number=&amp;sourceID=56","")</f>
        <v/>
      </c>
      <c r="S1231" s="4" t="str">
        <f>HYPERLINK("http://141.218.60.56/~jnz1568/getInfo.php?workbook=16_15.xlsx&amp;sheet=A0&amp;row=1231&amp;col=19&amp;number=&amp;sourceID=57","")</f>
        <v/>
      </c>
      <c r="T1231" s="4" t="str">
        <f>HYPERLINK("http://141.218.60.56/~jnz1568/getInfo.php?workbook=16_15.xlsx&amp;sheet=A0&amp;row=1231&amp;col=20&amp;number=&amp;sourceID=57","")</f>
        <v/>
      </c>
      <c r="U1231" s="4" t="str">
        <f>HYPERLINK("http://141.218.60.56/~jnz1568/getInfo.php?workbook=16_15.xlsx&amp;sheet=A0&amp;row=1231&amp;col=21&amp;number=&amp;sourceID=47","")</f>
        <v/>
      </c>
      <c r="V1231" s="4" t="str">
        <f>HYPERLINK("http://141.218.60.56/~jnz1568/getInfo.php?workbook=16_15.xlsx&amp;sheet=A0&amp;row=1231&amp;col=22&amp;number=&amp;sourceID=47","")</f>
        <v/>
      </c>
    </row>
    <row r="1232" spans="1:22">
      <c r="A1232" s="3">
        <v>16</v>
      </c>
      <c r="B1232" s="3">
        <v>15</v>
      </c>
      <c r="C1232" s="3">
        <v>56</v>
      </c>
      <c r="D1232" s="3">
        <v>48</v>
      </c>
      <c r="E1232" s="3">
        <f>((1/(INDEX(E0!J$4:J$73,C1232,1)-INDEX(E0!J$4:J$73,D1232,1))))*100000000</f>
        <v>0</v>
      </c>
      <c r="F1232" s="4" t="str">
        <f>HYPERLINK("http://141.218.60.56/~jnz1568/getInfo.php?workbook=16_15.xlsx&amp;sheet=A0&amp;row=1232&amp;col=6&amp;number=21087&amp;sourceID=54","21087")</f>
        <v>21087</v>
      </c>
      <c r="G1232" s="4" t="str">
        <f>HYPERLINK("http://141.218.60.56/~jnz1568/getInfo.php?workbook=16_15.xlsx&amp;sheet=A0&amp;row=1232&amp;col=7&amp;number=&amp;sourceID=54","")</f>
        <v/>
      </c>
      <c r="H1232" s="4" t="str">
        <f>HYPERLINK("http://141.218.60.56/~jnz1568/getInfo.php?workbook=16_15.xlsx&amp;sheet=A0&amp;row=1232&amp;col=8&amp;number=&amp;sourceID=54","")</f>
        <v/>
      </c>
      <c r="I1232" s="4" t="str">
        <f>HYPERLINK("http://141.218.60.56/~jnz1568/getInfo.php?workbook=16_15.xlsx&amp;sheet=A0&amp;row=1232&amp;col=9&amp;number=23783&amp;sourceID=54","23783")</f>
        <v>23783</v>
      </c>
      <c r="J1232" s="4" t="str">
        <f>HYPERLINK("http://141.218.60.56/~jnz1568/getInfo.php?workbook=16_15.xlsx&amp;sheet=A0&amp;row=1232&amp;col=10&amp;number=&amp;sourceID=54","")</f>
        <v/>
      </c>
      <c r="K1232" s="4" t="str">
        <f>HYPERLINK("http://141.218.60.56/~jnz1568/getInfo.php?workbook=16_15.xlsx&amp;sheet=A0&amp;row=1232&amp;col=11&amp;number=&amp;sourceID=54","")</f>
        <v/>
      </c>
      <c r="L1232" s="4" t="str">
        <f>HYPERLINK("http://141.218.60.56/~jnz1568/getInfo.php?workbook=16_15.xlsx&amp;sheet=A0&amp;row=1232&amp;col=12&amp;number=70489.970699&amp;sourceID=53","70489.970699")</f>
        <v>70489.970699</v>
      </c>
      <c r="M1232" s="4" t="str">
        <f>HYPERLINK("http://141.218.60.56/~jnz1568/getInfo.php?workbook=16_15.xlsx&amp;sheet=A0&amp;row=1232&amp;col=13&amp;number=&amp;sourceID=53","")</f>
        <v/>
      </c>
      <c r="N1232" s="4" t="str">
        <f>HYPERLINK("http://141.218.60.56/~jnz1568/getInfo.php?workbook=16_15.xlsx&amp;sheet=A0&amp;row=1232&amp;col=14&amp;number=&amp;sourceID=53","")</f>
        <v/>
      </c>
      <c r="O1232" s="4" t="str">
        <f>HYPERLINK("http://141.218.60.56/~jnz1568/getInfo.php?workbook=16_15.xlsx&amp;sheet=A0&amp;row=1232&amp;col=15&amp;number=&amp;sourceID=55","")</f>
        <v/>
      </c>
      <c r="P1232" s="4" t="str">
        <f>HYPERLINK("http://141.218.60.56/~jnz1568/getInfo.php?workbook=16_15.xlsx&amp;sheet=A0&amp;row=1232&amp;col=16&amp;number=&amp;sourceID=55","")</f>
        <v/>
      </c>
      <c r="Q1232" s="4" t="str">
        <f>HYPERLINK("http://141.218.60.56/~jnz1568/getInfo.php?workbook=16_15.xlsx&amp;sheet=A0&amp;row=1232&amp;col=17&amp;number=&amp;sourceID=56","")</f>
        <v/>
      </c>
      <c r="R1232" s="4" t="str">
        <f>HYPERLINK("http://141.218.60.56/~jnz1568/getInfo.php?workbook=16_15.xlsx&amp;sheet=A0&amp;row=1232&amp;col=18&amp;number=&amp;sourceID=56","")</f>
        <v/>
      </c>
      <c r="S1232" s="4" t="str">
        <f>HYPERLINK("http://141.218.60.56/~jnz1568/getInfo.php?workbook=16_15.xlsx&amp;sheet=A0&amp;row=1232&amp;col=19&amp;number=&amp;sourceID=57","")</f>
        <v/>
      </c>
      <c r="T1232" s="4" t="str">
        <f>HYPERLINK("http://141.218.60.56/~jnz1568/getInfo.php?workbook=16_15.xlsx&amp;sheet=A0&amp;row=1232&amp;col=20&amp;number=&amp;sourceID=57","")</f>
        <v/>
      </c>
      <c r="U1232" s="4" t="str">
        <f>HYPERLINK("http://141.218.60.56/~jnz1568/getInfo.php?workbook=16_15.xlsx&amp;sheet=A0&amp;row=1232&amp;col=21&amp;number=&amp;sourceID=47","")</f>
        <v/>
      </c>
      <c r="V1232" s="4" t="str">
        <f>HYPERLINK("http://141.218.60.56/~jnz1568/getInfo.php?workbook=16_15.xlsx&amp;sheet=A0&amp;row=1232&amp;col=22&amp;number=&amp;sourceID=47","")</f>
        <v/>
      </c>
    </row>
    <row r="1233" spans="1:22">
      <c r="A1233" s="3">
        <v>16</v>
      </c>
      <c r="B1233" s="3">
        <v>15</v>
      </c>
      <c r="C1233" s="3">
        <v>56</v>
      </c>
      <c r="D1233" s="3">
        <v>49</v>
      </c>
      <c r="E1233" s="3">
        <f>((1/(INDEX(E0!J$4:J$73,C1233,1)-INDEX(E0!J$4:J$73,D1233,1))))*100000000</f>
        <v>0</v>
      </c>
      <c r="F1233" s="4" t="str">
        <f>HYPERLINK("http://141.218.60.56/~jnz1568/getInfo.php?workbook=16_15.xlsx&amp;sheet=A0&amp;row=1233&amp;col=6&amp;number=&amp;sourceID=54","")</f>
        <v/>
      </c>
      <c r="G1233" s="4" t="str">
        <f>HYPERLINK("http://141.218.60.56/~jnz1568/getInfo.php?workbook=16_15.xlsx&amp;sheet=A0&amp;row=1233&amp;col=7&amp;number=0.0080957&amp;sourceID=54","0.0080957")</f>
        <v>0.0080957</v>
      </c>
      <c r="H1233" s="4" t="str">
        <f>HYPERLINK("http://141.218.60.56/~jnz1568/getInfo.php?workbook=16_15.xlsx&amp;sheet=A0&amp;row=1233&amp;col=8&amp;number=0.00013233&amp;sourceID=54","0.00013233")</f>
        <v>0.00013233</v>
      </c>
      <c r="I1233" s="4" t="str">
        <f>HYPERLINK("http://141.218.60.56/~jnz1568/getInfo.php?workbook=16_15.xlsx&amp;sheet=A0&amp;row=1233&amp;col=9&amp;number=&amp;sourceID=54","")</f>
        <v/>
      </c>
      <c r="J1233" s="4" t="str">
        <f>HYPERLINK("http://141.218.60.56/~jnz1568/getInfo.php?workbook=16_15.xlsx&amp;sheet=A0&amp;row=1233&amp;col=10&amp;number=0.0048896&amp;sourceID=54","0.0048896")</f>
        <v>0.0048896</v>
      </c>
      <c r="K1233" s="4" t="str">
        <f>HYPERLINK("http://141.218.60.56/~jnz1568/getInfo.php?workbook=16_15.xlsx&amp;sheet=A0&amp;row=1233&amp;col=11&amp;number=4.3203e-05&amp;sourceID=54","4.3203e-05")</f>
        <v>4.3203e-05</v>
      </c>
      <c r="L1233" s="4" t="str">
        <f>HYPERLINK("http://141.218.60.56/~jnz1568/getInfo.php?workbook=16_15.xlsx&amp;sheet=A0&amp;row=1233&amp;col=12&amp;number=&amp;sourceID=53","")</f>
        <v/>
      </c>
      <c r="M1233" s="4" t="str">
        <f>HYPERLINK("http://141.218.60.56/~jnz1568/getInfo.php?workbook=16_15.xlsx&amp;sheet=A0&amp;row=1233&amp;col=13&amp;number=&amp;sourceID=53","")</f>
        <v/>
      </c>
      <c r="N1233" s="4" t="str">
        <f>HYPERLINK("http://141.218.60.56/~jnz1568/getInfo.php?workbook=16_15.xlsx&amp;sheet=A0&amp;row=1233&amp;col=14&amp;number=&amp;sourceID=53","")</f>
        <v/>
      </c>
      <c r="O1233" s="4" t="str">
        <f>HYPERLINK("http://141.218.60.56/~jnz1568/getInfo.php?workbook=16_15.xlsx&amp;sheet=A0&amp;row=1233&amp;col=15&amp;number=&amp;sourceID=55","")</f>
        <v/>
      </c>
      <c r="P1233" s="4" t="str">
        <f>HYPERLINK("http://141.218.60.56/~jnz1568/getInfo.php?workbook=16_15.xlsx&amp;sheet=A0&amp;row=1233&amp;col=16&amp;number=&amp;sourceID=55","")</f>
        <v/>
      </c>
      <c r="Q1233" s="4" t="str">
        <f>HYPERLINK("http://141.218.60.56/~jnz1568/getInfo.php?workbook=16_15.xlsx&amp;sheet=A0&amp;row=1233&amp;col=17&amp;number=&amp;sourceID=56","")</f>
        <v/>
      </c>
      <c r="R1233" s="4" t="str">
        <f>HYPERLINK("http://141.218.60.56/~jnz1568/getInfo.php?workbook=16_15.xlsx&amp;sheet=A0&amp;row=1233&amp;col=18&amp;number=&amp;sourceID=56","")</f>
        <v/>
      </c>
      <c r="S1233" s="4" t="str">
        <f>HYPERLINK("http://141.218.60.56/~jnz1568/getInfo.php?workbook=16_15.xlsx&amp;sheet=A0&amp;row=1233&amp;col=19&amp;number=&amp;sourceID=57","")</f>
        <v/>
      </c>
      <c r="T1233" s="4" t="str">
        <f>HYPERLINK("http://141.218.60.56/~jnz1568/getInfo.php?workbook=16_15.xlsx&amp;sheet=A0&amp;row=1233&amp;col=20&amp;number=&amp;sourceID=57","")</f>
        <v/>
      </c>
      <c r="U1233" s="4" t="str">
        <f>HYPERLINK("http://141.218.60.56/~jnz1568/getInfo.php?workbook=16_15.xlsx&amp;sheet=A0&amp;row=1233&amp;col=21&amp;number=&amp;sourceID=47","")</f>
        <v/>
      </c>
      <c r="V1233" s="4" t="str">
        <f>HYPERLINK("http://141.218.60.56/~jnz1568/getInfo.php?workbook=16_15.xlsx&amp;sheet=A0&amp;row=1233&amp;col=22&amp;number=&amp;sourceID=47","")</f>
        <v/>
      </c>
    </row>
    <row r="1234" spans="1:22">
      <c r="A1234" s="3">
        <v>16</v>
      </c>
      <c r="B1234" s="3">
        <v>15</v>
      </c>
      <c r="C1234" s="3">
        <v>56</v>
      </c>
      <c r="D1234" s="3">
        <v>50</v>
      </c>
      <c r="E1234" s="3">
        <f>((1/(INDEX(E0!J$4:J$73,C1234,1)-INDEX(E0!J$4:J$73,D1234,1))))*100000000</f>
        <v>0</v>
      </c>
      <c r="F1234" s="4" t="str">
        <f>HYPERLINK("http://141.218.60.56/~jnz1568/getInfo.php?workbook=16_15.xlsx&amp;sheet=A0&amp;row=1234&amp;col=6&amp;number=0.0079964&amp;sourceID=54","0.0079964")</f>
        <v>0.0079964</v>
      </c>
      <c r="G1234" s="4" t="str">
        <f>HYPERLINK("http://141.218.60.56/~jnz1568/getInfo.php?workbook=16_15.xlsx&amp;sheet=A0&amp;row=1234&amp;col=7&amp;number=&amp;sourceID=54","")</f>
        <v/>
      </c>
      <c r="H1234" s="4" t="str">
        <f>HYPERLINK("http://141.218.60.56/~jnz1568/getInfo.php?workbook=16_15.xlsx&amp;sheet=A0&amp;row=1234&amp;col=8&amp;number=&amp;sourceID=54","")</f>
        <v/>
      </c>
      <c r="I1234" s="4" t="str">
        <f>HYPERLINK("http://141.218.60.56/~jnz1568/getInfo.php?workbook=16_15.xlsx&amp;sheet=A0&amp;row=1234&amp;col=9&amp;number=172.91&amp;sourceID=54","172.91")</f>
        <v>172.91</v>
      </c>
      <c r="J1234" s="4" t="str">
        <f>HYPERLINK("http://141.218.60.56/~jnz1568/getInfo.php?workbook=16_15.xlsx&amp;sheet=A0&amp;row=1234&amp;col=10&amp;number=&amp;sourceID=54","")</f>
        <v/>
      </c>
      <c r="K1234" s="4" t="str">
        <f>HYPERLINK("http://141.218.60.56/~jnz1568/getInfo.php?workbook=16_15.xlsx&amp;sheet=A0&amp;row=1234&amp;col=11&amp;number=&amp;sourceID=54","")</f>
        <v/>
      </c>
      <c r="L1234" s="4" t="str">
        <f>HYPERLINK("http://141.218.60.56/~jnz1568/getInfo.php?workbook=16_15.xlsx&amp;sheet=A0&amp;row=1234&amp;col=12&amp;number=554.560029036&amp;sourceID=53","554.560029036")</f>
        <v>554.560029036</v>
      </c>
      <c r="M1234" s="4" t="str">
        <f>HYPERLINK("http://141.218.60.56/~jnz1568/getInfo.php?workbook=16_15.xlsx&amp;sheet=A0&amp;row=1234&amp;col=13&amp;number=&amp;sourceID=53","")</f>
        <v/>
      </c>
      <c r="N1234" s="4" t="str">
        <f>HYPERLINK("http://141.218.60.56/~jnz1568/getInfo.php?workbook=16_15.xlsx&amp;sheet=A0&amp;row=1234&amp;col=14&amp;number=&amp;sourceID=53","")</f>
        <v/>
      </c>
      <c r="O1234" s="4" t="str">
        <f>HYPERLINK("http://141.218.60.56/~jnz1568/getInfo.php?workbook=16_15.xlsx&amp;sheet=A0&amp;row=1234&amp;col=15&amp;number=&amp;sourceID=55","")</f>
        <v/>
      </c>
      <c r="P1234" s="4" t="str">
        <f>HYPERLINK("http://141.218.60.56/~jnz1568/getInfo.php?workbook=16_15.xlsx&amp;sheet=A0&amp;row=1234&amp;col=16&amp;number=&amp;sourceID=55","")</f>
        <v/>
      </c>
      <c r="Q1234" s="4" t="str">
        <f>HYPERLINK("http://141.218.60.56/~jnz1568/getInfo.php?workbook=16_15.xlsx&amp;sheet=A0&amp;row=1234&amp;col=17&amp;number=&amp;sourceID=56","")</f>
        <v/>
      </c>
      <c r="R1234" s="4" t="str">
        <f>HYPERLINK("http://141.218.60.56/~jnz1568/getInfo.php?workbook=16_15.xlsx&amp;sheet=A0&amp;row=1234&amp;col=18&amp;number=&amp;sourceID=56","")</f>
        <v/>
      </c>
      <c r="S1234" s="4" t="str">
        <f>HYPERLINK("http://141.218.60.56/~jnz1568/getInfo.php?workbook=16_15.xlsx&amp;sheet=A0&amp;row=1234&amp;col=19&amp;number=&amp;sourceID=57","")</f>
        <v/>
      </c>
      <c r="T1234" s="4" t="str">
        <f>HYPERLINK("http://141.218.60.56/~jnz1568/getInfo.php?workbook=16_15.xlsx&amp;sheet=A0&amp;row=1234&amp;col=20&amp;number=&amp;sourceID=57","")</f>
        <v/>
      </c>
      <c r="U1234" s="4" t="str">
        <f>HYPERLINK("http://141.218.60.56/~jnz1568/getInfo.php?workbook=16_15.xlsx&amp;sheet=A0&amp;row=1234&amp;col=21&amp;number=&amp;sourceID=47","")</f>
        <v/>
      </c>
      <c r="V1234" s="4" t="str">
        <f>HYPERLINK("http://141.218.60.56/~jnz1568/getInfo.php?workbook=16_15.xlsx&amp;sheet=A0&amp;row=1234&amp;col=22&amp;number=&amp;sourceID=47","")</f>
        <v/>
      </c>
    </row>
    <row r="1235" spans="1:22">
      <c r="A1235" s="3">
        <v>16</v>
      </c>
      <c r="B1235" s="3">
        <v>15</v>
      </c>
      <c r="C1235" s="3">
        <v>56</v>
      </c>
      <c r="D1235" s="3">
        <v>52</v>
      </c>
      <c r="E1235" s="3">
        <f>((1/(INDEX(E0!J$4:J$73,C1235,1)-INDEX(E0!J$4:J$73,D1235,1))))*100000000</f>
        <v>0</v>
      </c>
      <c r="F1235" s="4" t="str">
        <f>HYPERLINK("http://141.218.60.56/~jnz1568/getInfo.php?workbook=16_15.xlsx&amp;sheet=A0&amp;row=1235&amp;col=6&amp;number=80.402&amp;sourceID=54","80.402")</f>
        <v>80.402</v>
      </c>
      <c r="G1235" s="4" t="str">
        <f>HYPERLINK("http://141.218.60.56/~jnz1568/getInfo.php?workbook=16_15.xlsx&amp;sheet=A0&amp;row=1235&amp;col=7&amp;number=&amp;sourceID=54","")</f>
        <v/>
      </c>
      <c r="H1235" s="4" t="str">
        <f>HYPERLINK("http://141.218.60.56/~jnz1568/getInfo.php?workbook=16_15.xlsx&amp;sheet=A0&amp;row=1235&amp;col=8&amp;number=&amp;sourceID=54","")</f>
        <v/>
      </c>
      <c r="I1235" s="4" t="str">
        <f>HYPERLINK("http://141.218.60.56/~jnz1568/getInfo.php?workbook=16_15.xlsx&amp;sheet=A0&amp;row=1235&amp;col=9&amp;number=6563.2&amp;sourceID=54","6563.2")</f>
        <v>6563.2</v>
      </c>
      <c r="J1235" s="4" t="str">
        <f>HYPERLINK("http://141.218.60.56/~jnz1568/getInfo.php?workbook=16_15.xlsx&amp;sheet=A0&amp;row=1235&amp;col=10&amp;number=&amp;sourceID=54","")</f>
        <v/>
      </c>
      <c r="K1235" s="4" t="str">
        <f>HYPERLINK("http://141.218.60.56/~jnz1568/getInfo.php?workbook=16_15.xlsx&amp;sheet=A0&amp;row=1235&amp;col=11&amp;number=&amp;sourceID=54","")</f>
        <v/>
      </c>
      <c r="L1235" s="4" t="str">
        <f>HYPERLINK("http://141.218.60.56/~jnz1568/getInfo.php?workbook=16_15.xlsx&amp;sheet=A0&amp;row=1235&amp;col=12&amp;number=11169.9108094&amp;sourceID=53","11169.9108094")</f>
        <v>11169.9108094</v>
      </c>
      <c r="M1235" s="4" t="str">
        <f>HYPERLINK("http://141.218.60.56/~jnz1568/getInfo.php?workbook=16_15.xlsx&amp;sheet=A0&amp;row=1235&amp;col=13&amp;number=&amp;sourceID=53","")</f>
        <v/>
      </c>
      <c r="N1235" s="4" t="str">
        <f>HYPERLINK("http://141.218.60.56/~jnz1568/getInfo.php?workbook=16_15.xlsx&amp;sheet=A0&amp;row=1235&amp;col=14&amp;number=&amp;sourceID=53","")</f>
        <v/>
      </c>
      <c r="O1235" s="4" t="str">
        <f>HYPERLINK("http://141.218.60.56/~jnz1568/getInfo.php?workbook=16_15.xlsx&amp;sheet=A0&amp;row=1235&amp;col=15&amp;number=&amp;sourceID=55","")</f>
        <v/>
      </c>
      <c r="P1235" s="4" t="str">
        <f>HYPERLINK("http://141.218.60.56/~jnz1568/getInfo.php?workbook=16_15.xlsx&amp;sheet=A0&amp;row=1235&amp;col=16&amp;number=&amp;sourceID=55","")</f>
        <v/>
      </c>
      <c r="Q1235" s="4" t="str">
        <f>HYPERLINK("http://141.218.60.56/~jnz1568/getInfo.php?workbook=16_15.xlsx&amp;sheet=A0&amp;row=1235&amp;col=17&amp;number=&amp;sourceID=56","")</f>
        <v/>
      </c>
      <c r="R1235" s="4" t="str">
        <f>HYPERLINK("http://141.218.60.56/~jnz1568/getInfo.php?workbook=16_15.xlsx&amp;sheet=A0&amp;row=1235&amp;col=18&amp;number=&amp;sourceID=56","")</f>
        <v/>
      </c>
      <c r="S1235" s="4" t="str">
        <f>HYPERLINK("http://141.218.60.56/~jnz1568/getInfo.php?workbook=16_15.xlsx&amp;sheet=A0&amp;row=1235&amp;col=19&amp;number=&amp;sourceID=57","")</f>
        <v/>
      </c>
      <c r="T1235" s="4" t="str">
        <f>HYPERLINK("http://141.218.60.56/~jnz1568/getInfo.php?workbook=16_15.xlsx&amp;sheet=A0&amp;row=1235&amp;col=20&amp;number=&amp;sourceID=57","")</f>
        <v/>
      </c>
      <c r="U1235" s="4" t="str">
        <f>HYPERLINK("http://141.218.60.56/~jnz1568/getInfo.php?workbook=16_15.xlsx&amp;sheet=A0&amp;row=1235&amp;col=21&amp;number=&amp;sourceID=47","")</f>
        <v/>
      </c>
      <c r="V1235" s="4" t="str">
        <f>HYPERLINK("http://141.218.60.56/~jnz1568/getInfo.php?workbook=16_15.xlsx&amp;sheet=A0&amp;row=1235&amp;col=22&amp;number=&amp;sourceID=47","")</f>
        <v/>
      </c>
    </row>
    <row r="1236" spans="1:22">
      <c r="A1236" s="3">
        <v>16</v>
      </c>
      <c r="B1236" s="3">
        <v>15</v>
      </c>
      <c r="C1236" s="3">
        <v>56</v>
      </c>
      <c r="D1236" s="3">
        <v>53</v>
      </c>
      <c r="E1236" s="3">
        <f>((1/(INDEX(E0!J$4:J$73,C1236,1)-INDEX(E0!J$4:J$73,D1236,1))))*100000000</f>
        <v>0</v>
      </c>
      <c r="F1236" s="4" t="str">
        <f>HYPERLINK("http://141.218.60.56/~jnz1568/getInfo.php?workbook=16_15.xlsx&amp;sheet=A0&amp;row=1236&amp;col=6&amp;number=16.036&amp;sourceID=54","16.036")</f>
        <v>16.036</v>
      </c>
      <c r="G1236" s="4" t="str">
        <f>HYPERLINK("http://141.218.60.56/~jnz1568/getInfo.php?workbook=16_15.xlsx&amp;sheet=A0&amp;row=1236&amp;col=7&amp;number=&amp;sourceID=54","")</f>
        <v/>
      </c>
      <c r="H1236" s="4" t="str">
        <f>HYPERLINK("http://141.218.60.56/~jnz1568/getInfo.php?workbook=16_15.xlsx&amp;sheet=A0&amp;row=1236&amp;col=8&amp;number=&amp;sourceID=54","")</f>
        <v/>
      </c>
      <c r="I1236" s="4" t="str">
        <f>HYPERLINK("http://141.218.60.56/~jnz1568/getInfo.php?workbook=16_15.xlsx&amp;sheet=A0&amp;row=1236&amp;col=9&amp;number=490.79&amp;sourceID=54","490.79")</f>
        <v>490.79</v>
      </c>
      <c r="J1236" s="4" t="str">
        <f>HYPERLINK("http://141.218.60.56/~jnz1568/getInfo.php?workbook=16_15.xlsx&amp;sheet=A0&amp;row=1236&amp;col=10&amp;number=&amp;sourceID=54","")</f>
        <v/>
      </c>
      <c r="K1236" s="4" t="str">
        <f>HYPERLINK("http://141.218.60.56/~jnz1568/getInfo.php?workbook=16_15.xlsx&amp;sheet=A0&amp;row=1236&amp;col=11&amp;number=&amp;sourceID=54","")</f>
        <v/>
      </c>
      <c r="L1236" s="4" t="str">
        <f>HYPERLINK("http://141.218.60.56/~jnz1568/getInfo.php?workbook=16_15.xlsx&amp;sheet=A0&amp;row=1236&amp;col=12&amp;number=349.707713027&amp;sourceID=53","349.707713027")</f>
        <v>349.707713027</v>
      </c>
      <c r="M1236" s="4" t="str">
        <f>HYPERLINK("http://141.218.60.56/~jnz1568/getInfo.php?workbook=16_15.xlsx&amp;sheet=A0&amp;row=1236&amp;col=13&amp;number=&amp;sourceID=53","")</f>
        <v/>
      </c>
      <c r="N1236" s="4" t="str">
        <f>HYPERLINK("http://141.218.60.56/~jnz1568/getInfo.php?workbook=16_15.xlsx&amp;sheet=A0&amp;row=1236&amp;col=14&amp;number=&amp;sourceID=53","")</f>
        <v/>
      </c>
      <c r="O1236" s="4" t="str">
        <f>HYPERLINK("http://141.218.60.56/~jnz1568/getInfo.php?workbook=16_15.xlsx&amp;sheet=A0&amp;row=1236&amp;col=15&amp;number=&amp;sourceID=55","")</f>
        <v/>
      </c>
      <c r="P1236" s="4" t="str">
        <f>HYPERLINK("http://141.218.60.56/~jnz1568/getInfo.php?workbook=16_15.xlsx&amp;sheet=A0&amp;row=1236&amp;col=16&amp;number=&amp;sourceID=55","")</f>
        <v/>
      </c>
      <c r="Q1236" s="4" t="str">
        <f>HYPERLINK("http://141.218.60.56/~jnz1568/getInfo.php?workbook=16_15.xlsx&amp;sheet=A0&amp;row=1236&amp;col=17&amp;number=&amp;sourceID=56","")</f>
        <v/>
      </c>
      <c r="R1236" s="4" t="str">
        <f>HYPERLINK("http://141.218.60.56/~jnz1568/getInfo.php?workbook=16_15.xlsx&amp;sheet=A0&amp;row=1236&amp;col=18&amp;number=&amp;sourceID=56","")</f>
        <v/>
      </c>
      <c r="S1236" s="4" t="str">
        <f>HYPERLINK("http://141.218.60.56/~jnz1568/getInfo.php?workbook=16_15.xlsx&amp;sheet=A0&amp;row=1236&amp;col=19&amp;number=&amp;sourceID=57","")</f>
        <v/>
      </c>
      <c r="T1236" s="4" t="str">
        <f>HYPERLINK("http://141.218.60.56/~jnz1568/getInfo.php?workbook=16_15.xlsx&amp;sheet=A0&amp;row=1236&amp;col=20&amp;number=&amp;sourceID=57","")</f>
        <v/>
      </c>
      <c r="U1236" s="4" t="str">
        <f>HYPERLINK("http://141.218.60.56/~jnz1568/getInfo.php?workbook=16_15.xlsx&amp;sheet=A0&amp;row=1236&amp;col=21&amp;number=&amp;sourceID=47","")</f>
        <v/>
      </c>
      <c r="V1236" s="4" t="str">
        <f>HYPERLINK("http://141.218.60.56/~jnz1568/getInfo.php?workbook=16_15.xlsx&amp;sheet=A0&amp;row=1236&amp;col=22&amp;number=&amp;sourceID=47","")</f>
        <v/>
      </c>
    </row>
    <row r="1237" spans="1:22">
      <c r="A1237" s="3">
        <v>16</v>
      </c>
      <c r="B1237" s="3">
        <v>15</v>
      </c>
      <c r="C1237" s="3">
        <v>56</v>
      </c>
      <c r="D1237" s="3">
        <v>55</v>
      </c>
      <c r="E1237" s="3">
        <f>((1/(INDEX(E0!J$4:J$73,C1237,1)-INDEX(E0!J$4:J$73,D1237,1))))*100000000</f>
        <v>0</v>
      </c>
      <c r="F1237" s="4" t="str">
        <f>HYPERLINK("http://141.218.60.56/~jnz1568/getInfo.php?workbook=16_15.xlsx&amp;sheet=A0&amp;row=1237&amp;col=6&amp;number=&amp;sourceID=54","")</f>
        <v/>
      </c>
      <c r="G1237" s="4" t="str">
        <f>HYPERLINK("http://141.218.60.56/~jnz1568/getInfo.php?workbook=16_15.xlsx&amp;sheet=A0&amp;row=1237&amp;col=7&amp;number=&amp;sourceID=54","")</f>
        <v/>
      </c>
      <c r="H1237" s="4" t="str">
        <f>HYPERLINK("http://141.218.60.56/~jnz1568/getInfo.php?workbook=16_15.xlsx&amp;sheet=A0&amp;row=1237&amp;col=8&amp;number=&amp;sourceID=54","")</f>
        <v/>
      </c>
      <c r="I1237" s="4" t="str">
        <f>HYPERLINK("http://141.218.60.56/~jnz1568/getInfo.php?workbook=16_15.xlsx&amp;sheet=A0&amp;row=1237&amp;col=9&amp;number=0.045602&amp;sourceID=54","0.045602")</f>
        <v>0.045602</v>
      </c>
      <c r="J1237" s="4" t="str">
        <f>HYPERLINK("http://141.218.60.56/~jnz1568/getInfo.php?workbook=16_15.xlsx&amp;sheet=A0&amp;row=1237&amp;col=10&amp;number=&amp;sourceID=54","")</f>
        <v/>
      </c>
      <c r="K1237" s="4" t="str">
        <f>HYPERLINK("http://141.218.60.56/~jnz1568/getInfo.php?workbook=16_15.xlsx&amp;sheet=A0&amp;row=1237&amp;col=11&amp;number=&amp;sourceID=54","")</f>
        <v/>
      </c>
      <c r="L1237" s="4" t="str">
        <f>HYPERLINK("http://141.218.60.56/~jnz1568/getInfo.php?workbook=16_15.xlsx&amp;sheet=A0&amp;row=1237&amp;col=12&amp;number=1.12779362355&amp;sourceID=53","1.12779362355")</f>
        <v>1.12779362355</v>
      </c>
      <c r="M1237" s="4" t="str">
        <f>HYPERLINK("http://141.218.60.56/~jnz1568/getInfo.php?workbook=16_15.xlsx&amp;sheet=A0&amp;row=1237&amp;col=13&amp;number=&amp;sourceID=53","")</f>
        <v/>
      </c>
      <c r="N1237" s="4" t="str">
        <f>HYPERLINK("http://141.218.60.56/~jnz1568/getInfo.php?workbook=16_15.xlsx&amp;sheet=A0&amp;row=1237&amp;col=14&amp;number=&amp;sourceID=53","")</f>
        <v/>
      </c>
      <c r="O1237" s="4" t="str">
        <f>HYPERLINK("http://141.218.60.56/~jnz1568/getInfo.php?workbook=16_15.xlsx&amp;sheet=A0&amp;row=1237&amp;col=15&amp;number=&amp;sourceID=55","")</f>
        <v/>
      </c>
      <c r="P1237" s="4" t="str">
        <f>HYPERLINK("http://141.218.60.56/~jnz1568/getInfo.php?workbook=16_15.xlsx&amp;sheet=A0&amp;row=1237&amp;col=16&amp;number=&amp;sourceID=55","")</f>
        <v/>
      </c>
      <c r="Q1237" s="4" t="str">
        <f>HYPERLINK("http://141.218.60.56/~jnz1568/getInfo.php?workbook=16_15.xlsx&amp;sheet=A0&amp;row=1237&amp;col=17&amp;number=&amp;sourceID=56","")</f>
        <v/>
      </c>
      <c r="R1237" s="4" t="str">
        <f>HYPERLINK("http://141.218.60.56/~jnz1568/getInfo.php?workbook=16_15.xlsx&amp;sheet=A0&amp;row=1237&amp;col=18&amp;number=&amp;sourceID=56","")</f>
        <v/>
      </c>
      <c r="S1237" s="4" t="str">
        <f>HYPERLINK("http://141.218.60.56/~jnz1568/getInfo.php?workbook=16_15.xlsx&amp;sheet=A0&amp;row=1237&amp;col=19&amp;number=&amp;sourceID=57","")</f>
        <v/>
      </c>
      <c r="T1237" s="4" t="str">
        <f>HYPERLINK("http://141.218.60.56/~jnz1568/getInfo.php?workbook=16_15.xlsx&amp;sheet=A0&amp;row=1237&amp;col=20&amp;number=&amp;sourceID=57","")</f>
        <v/>
      </c>
      <c r="U1237" s="4" t="str">
        <f>HYPERLINK("http://141.218.60.56/~jnz1568/getInfo.php?workbook=16_15.xlsx&amp;sheet=A0&amp;row=1237&amp;col=21&amp;number=&amp;sourceID=47","")</f>
        <v/>
      </c>
      <c r="V1237" s="4" t="str">
        <f>HYPERLINK("http://141.218.60.56/~jnz1568/getInfo.php?workbook=16_15.xlsx&amp;sheet=A0&amp;row=1237&amp;col=22&amp;number=&amp;sourceID=47","")</f>
        <v/>
      </c>
    </row>
    <row r="1238" spans="1:22">
      <c r="A1238" s="3">
        <v>16</v>
      </c>
      <c r="B1238" s="3">
        <v>15</v>
      </c>
      <c r="C1238" s="3">
        <v>57</v>
      </c>
      <c r="D1238" s="3">
        <v>1</v>
      </c>
      <c r="E1238" s="3">
        <f>((1/(INDEX(E0!J$4:J$73,C1238,1)-INDEX(E0!J$4:J$73,D1238,1))))*100000000</f>
        <v>0</v>
      </c>
      <c r="F1238" s="4" t="str">
        <f>HYPERLINK("http://141.218.60.56/~jnz1568/getInfo.php?workbook=16_15.xlsx&amp;sheet=A0&amp;row=1238&amp;col=6&amp;number=&amp;sourceID=54","")</f>
        <v/>
      </c>
      <c r="G1238" s="4" t="str">
        <f>HYPERLINK("http://141.218.60.56/~jnz1568/getInfo.php?workbook=16_15.xlsx&amp;sheet=A0&amp;row=1238&amp;col=7&amp;number=3.3819&amp;sourceID=54","3.3819")</f>
        <v>3.3819</v>
      </c>
      <c r="H1238" s="4" t="str">
        <f>HYPERLINK("http://141.218.60.56/~jnz1568/getInfo.php?workbook=16_15.xlsx&amp;sheet=A0&amp;row=1238&amp;col=8&amp;number=&amp;sourceID=54","")</f>
        <v/>
      </c>
      <c r="I1238" s="4" t="str">
        <f>HYPERLINK("http://141.218.60.56/~jnz1568/getInfo.php?workbook=16_15.xlsx&amp;sheet=A0&amp;row=1238&amp;col=9&amp;number=&amp;sourceID=54","")</f>
        <v/>
      </c>
      <c r="J1238" s="4" t="str">
        <f>HYPERLINK("http://141.218.60.56/~jnz1568/getInfo.php?workbook=16_15.xlsx&amp;sheet=A0&amp;row=1238&amp;col=10&amp;number=3.8474&amp;sourceID=54","3.8474")</f>
        <v>3.8474</v>
      </c>
      <c r="K1238" s="4" t="str">
        <f>HYPERLINK("http://141.218.60.56/~jnz1568/getInfo.php?workbook=16_15.xlsx&amp;sheet=A0&amp;row=1238&amp;col=11&amp;number=&amp;sourceID=54","")</f>
        <v/>
      </c>
      <c r="L1238" s="4" t="str">
        <f>HYPERLINK("http://141.218.60.56/~jnz1568/getInfo.php?workbook=16_15.xlsx&amp;sheet=A0&amp;row=1238&amp;col=12&amp;number=&amp;sourceID=53","")</f>
        <v/>
      </c>
      <c r="M1238" s="4" t="str">
        <f>HYPERLINK("http://141.218.60.56/~jnz1568/getInfo.php?workbook=16_15.xlsx&amp;sheet=A0&amp;row=1238&amp;col=13&amp;number=&amp;sourceID=53","")</f>
        <v/>
      </c>
      <c r="N1238" s="4" t="str">
        <f>HYPERLINK("http://141.218.60.56/~jnz1568/getInfo.php?workbook=16_15.xlsx&amp;sheet=A0&amp;row=1238&amp;col=14&amp;number=&amp;sourceID=53","")</f>
        <v/>
      </c>
      <c r="O1238" s="4" t="str">
        <f>HYPERLINK("http://141.218.60.56/~jnz1568/getInfo.php?workbook=16_15.xlsx&amp;sheet=A0&amp;row=1238&amp;col=15&amp;number=&amp;sourceID=55","")</f>
        <v/>
      </c>
      <c r="P1238" s="4" t="str">
        <f>HYPERLINK("http://141.218.60.56/~jnz1568/getInfo.php?workbook=16_15.xlsx&amp;sheet=A0&amp;row=1238&amp;col=16&amp;number=&amp;sourceID=55","")</f>
        <v/>
      </c>
      <c r="Q1238" s="4" t="str">
        <f>HYPERLINK("http://141.218.60.56/~jnz1568/getInfo.php?workbook=16_15.xlsx&amp;sheet=A0&amp;row=1238&amp;col=17&amp;number=&amp;sourceID=56","")</f>
        <v/>
      </c>
      <c r="R1238" s="4" t="str">
        <f>HYPERLINK("http://141.218.60.56/~jnz1568/getInfo.php?workbook=16_15.xlsx&amp;sheet=A0&amp;row=1238&amp;col=18&amp;number=&amp;sourceID=56","")</f>
        <v/>
      </c>
      <c r="S1238" s="4" t="str">
        <f>HYPERLINK("http://141.218.60.56/~jnz1568/getInfo.php?workbook=16_15.xlsx&amp;sheet=A0&amp;row=1238&amp;col=19&amp;number=&amp;sourceID=57","")</f>
        <v/>
      </c>
      <c r="T1238" s="4" t="str">
        <f>HYPERLINK("http://141.218.60.56/~jnz1568/getInfo.php?workbook=16_15.xlsx&amp;sheet=A0&amp;row=1238&amp;col=20&amp;number=&amp;sourceID=57","")</f>
        <v/>
      </c>
      <c r="U1238" s="4" t="str">
        <f>HYPERLINK("http://141.218.60.56/~jnz1568/getInfo.php?workbook=16_15.xlsx&amp;sheet=A0&amp;row=1238&amp;col=21&amp;number=&amp;sourceID=47","")</f>
        <v/>
      </c>
      <c r="V1238" s="4" t="str">
        <f>HYPERLINK("http://141.218.60.56/~jnz1568/getInfo.php?workbook=16_15.xlsx&amp;sheet=A0&amp;row=1238&amp;col=22&amp;number=&amp;sourceID=47","")</f>
        <v/>
      </c>
    </row>
    <row r="1239" spans="1:22">
      <c r="A1239" s="3">
        <v>16</v>
      </c>
      <c r="B1239" s="3">
        <v>15</v>
      </c>
      <c r="C1239" s="3">
        <v>57</v>
      </c>
      <c r="D1239" s="3">
        <v>2</v>
      </c>
      <c r="E1239" s="3">
        <f>((1/(INDEX(E0!J$4:J$73,C1239,1)-INDEX(E0!J$4:J$73,D1239,1))))*100000000</f>
        <v>0</v>
      </c>
      <c r="F1239" s="4" t="str">
        <f>HYPERLINK("http://141.218.60.56/~jnz1568/getInfo.php?workbook=16_15.xlsx&amp;sheet=A0&amp;row=1239&amp;col=6&amp;number=&amp;sourceID=54","")</f>
        <v/>
      </c>
      <c r="G1239" s="4" t="str">
        <f>HYPERLINK("http://141.218.60.56/~jnz1568/getInfo.php?workbook=16_15.xlsx&amp;sheet=A0&amp;row=1239&amp;col=7&amp;number=937.85&amp;sourceID=54","937.85")</f>
        <v>937.85</v>
      </c>
      <c r="H1239" s="4" t="str">
        <f>HYPERLINK("http://141.218.60.56/~jnz1568/getInfo.php?workbook=16_15.xlsx&amp;sheet=A0&amp;row=1239&amp;col=8&amp;number=&amp;sourceID=54","")</f>
        <v/>
      </c>
      <c r="I1239" s="4" t="str">
        <f>HYPERLINK("http://141.218.60.56/~jnz1568/getInfo.php?workbook=16_15.xlsx&amp;sheet=A0&amp;row=1239&amp;col=9&amp;number=&amp;sourceID=54","")</f>
        <v/>
      </c>
      <c r="J1239" s="4" t="str">
        <f>HYPERLINK("http://141.218.60.56/~jnz1568/getInfo.php?workbook=16_15.xlsx&amp;sheet=A0&amp;row=1239&amp;col=10&amp;number=946.44&amp;sourceID=54","946.44")</f>
        <v>946.44</v>
      </c>
      <c r="K1239" s="4" t="str">
        <f>HYPERLINK("http://141.218.60.56/~jnz1568/getInfo.php?workbook=16_15.xlsx&amp;sheet=A0&amp;row=1239&amp;col=11&amp;number=&amp;sourceID=54","")</f>
        <v/>
      </c>
      <c r="L1239" s="4" t="str">
        <f>HYPERLINK("http://141.218.60.56/~jnz1568/getInfo.php?workbook=16_15.xlsx&amp;sheet=A0&amp;row=1239&amp;col=12&amp;number=&amp;sourceID=53","")</f>
        <v/>
      </c>
      <c r="M1239" s="4" t="str">
        <f>HYPERLINK("http://141.218.60.56/~jnz1568/getInfo.php?workbook=16_15.xlsx&amp;sheet=A0&amp;row=1239&amp;col=13&amp;number=&amp;sourceID=53","")</f>
        <v/>
      </c>
      <c r="N1239" s="4" t="str">
        <f>HYPERLINK("http://141.218.60.56/~jnz1568/getInfo.php?workbook=16_15.xlsx&amp;sheet=A0&amp;row=1239&amp;col=14&amp;number=&amp;sourceID=53","")</f>
        <v/>
      </c>
      <c r="O1239" s="4" t="str">
        <f>HYPERLINK("http://141.218.60.56/~jnz1568/getInfo.php?workbook=16_15.xlsx&amp;sheet=A0&amp;row=1239&amp;col=15&amp;number=&amp;sourceID=55","")</f>
        <v/>
      </c>
      <c r="P1239" s="4" t="str">
        <f>HYPERLINK("http://141.218.60.56/~jnz1568/getInfo.php?workbook=16_15.xlsx&amp;sheet=A0&amp;row=1239&amp;col=16&amp;number=&amp;sourceID=55","")</f>
        <v/>
      </c>
      <c r="Q1239" s="4" t="str">
        <f>HYPERLINK("http://141.218.60.56/~jnz1568/getInfo.php?workbook=16_15.xlsx&amp;sheet=A0&amp;row=1239&amp;col=17&amp;number=&amp;sourceID=56","")</f>
        <v/>
      </c>
      <c r="R1239" s="4" t="str">
        <f>HYPERLINK("http://141.218.60.56/~jnz1568/getInfo.php?workbook=16_15.xlsx&amp;sheet=A0&amp;row=1239&amp;col=18&amp;number=&amp;sourceID=56","")</f>
        <v/>
      </c>
      <c r="S1239" s="4" t="str">
        <f>HYPERLINK("http://141.218.60.56/~jnz1568/getInfo.php?workbook=16_15.xlsx&amp;sheet=A0&amp;row=1239&amp;col=19&amp;number=&amp;sourceID=57","")</f>
        <v/>
      </c>
      <c r="T1239" s="4" t="str">
        <f>HYPERLINK("http://141.218.60.56/~jnz1568/getInfo.php?workbook=16_15.xlsx&amp;sheet=A0&amp;row=1239&amp;col=20&amp;number=&amp;sourceID=57","")</f>
        <v/>
      </c>
      <c r="U1239" s="4" t="str">
        <f>HYPERLINK("http://141.218.60.56/~jnz1568/getInfo.php?workbook=16_15.xlsx&amp;sheet=A0&amp;row=1239&amp;col=21&amp;number=&amp;sourceID=47","")</f>
        <v/>
      </c>
      <c r="V1239" s="4" t="str">
        <f>HYPERLINK("http://141.218.60.56/~jnz1568/getInfo.php?workbook=16_15.xlsx&amp;sheet=A0&amp;row=1239&amp;col=22&amp;number=&amp;sourceID=47","")</f>
        <v/>
      </c>
    </row>
    <row r="1240" spans="1:22">
      <c r="A1240" s="3">
        <v>16</v>
      </c>
      <c r="B1240" s="3">
        <v>15</v>
      </c>
      <c r="C1240" s="3">
        <v>57</v>
      </c>
      <c r="D1240" s="3">
        <v>3</v>
      </c>
      <c r="E1240" s="3">
        <f>((1/(INDEX(E0!J$4:J$73,C1240,1)-INDEX(E0!J$4:J$73,D1240,1))))*100000000</f>
        <v>0</v>
      </c>
      <c r="F1240" s="4" t="str">
        <f>HYPERLINK("http://141.218.60.56/~jnz1568/getInfo.php?workbook=16_15.xlsx&amp;sheet=A0&amp;row=1240&amp;col=6&amp;number=&amp;sourceID=54","")</f>
        <v/>
      </c>
      <c r="G1240" s="4" t="str">
        <f>HYPERLINK("http://141.218.60.56/~jnz1568/getInfo.php?workbook=16_15.xlsx&amp;sheet=A0&amp;row=1240&amp;col=7&amp;number=6931.2&amp;sourceID=54","6931.2")</f>
        <v>6931.2</v>
      </c>
      <c r="H1240" s="4" t="str">
        <f>HYPERLINK("http://141.218.60.56/~jnz1568/getInfo.php?workbook=16_15.xlsx&amp;sheet=A0&amp;row=1240&amp;col=8&amp;number=0&amp;sourceID=54","0")</f>
        <v>0</v>
      </c>
      <c r="I1240" s="4" t="str">
        <f>HYPERLINK("http://141.218.60.56/~jnz1568/getInfo.php?workbook=16_15.xlsx&amp;sheet=A0&amp;row=1240&amp;col=9&amp;number=&amp;sourceID=54","")</f>
        <v/>
      </c>
      <c r="J1240" s="4" t="str">
        <f>HYPERLINK("http://141.218.60.56/~jnz1568/getInfo.php?workbook=16_15.xlsx&amp;sheet=A0&amp;row=1240&amp;col=10&amp;number=7016.7&amp;sourceID=54","7016.7")</f>
        <v>7016.7</v>
      </c>
      <c r="K1240" s="4" t="str">
        <f>HYPERLINK("http://141.218.60.56/~jnz1568/getInfo.php?workbook=16_15.xlsx&amp;sheet=A0&amp;row=1240&amp;col=11&amp;number=0&amp;sourceID=54","0")</f>
        <v>0</v>
      </c>
      <c r="L1240" s="4" t="str">
        <f>HYPERLINK("http://141.218.60.56/~jnz1568/getInfo.php?workbook=16_15.xlsx&amp;sheet=A0&amp;row=1240&amp;col=12&amp;number=&amp;sourceID=53","")</f>
        <v/>
      </c>
      <c r="M1240" s="4" t="str">
        <f>HYPERLINK("http://141.218.60.56/~jnz1568/getInfo.php?workbook=16_15.xlsx&amp;sheet=A0&amp;row=1240&amp;col=13&amp;number=&amp;sourceID=53","")</f>
        <v/>
      </c>
      <c r="N1240" s="4" t="str">
        <f>HYPERLINK("http://141.218.60.56/~jnz1568/getInfo.php?workbook=16_15.xlsx&amp;sheet=A0&amp;row=1240&amp;col=14&amp;number=&amp;sourceID=53","")</f>
        <v/>
      </c>
      <c r="O1240" s="4" t="str">
        <f>HYPERLINK("http://141.218.60.56/~jnz1568/getInfo.php?workbook=16_15.xlsx&amp;sheet=A0&amp;row=1240&amp;col=15&amp;number=&amp;sourceID=55","")</f>
        <v/>
      </c>
      <c r="P1240" s="4" t="str">
        <f>HYPERLINK("http://141.218.60.56/~jnz1568/getInfo.php?workbook=16_15.xlsx&amp;sheet=A0&amp;row=1240&amp;col=16&amp;number=&amp;sourceID=55","")</f>
        <v/>
      </c>
      <c r="Q1240" s="4" t="str">
        <f>HYPERLINK("http://141.218.60.56/~jnz1568/getInfo.php?workbook=16_15.xlsx&amp;sheet=A0&amp;row=1240&amp;col=17&amp;number=&amp;sourceID=56","")</f>
        <v/>
      </c>
      <c r="R1240" s="4" t="str">
        <f>HYPERLINK("http://141.218.60.56/~jnz1568/getInfo.php?workbook=16_15.xlsx&amp;sheet=A0&amp;row=1240&amp;col=18&amp;number=&amp;sourceID=56","")</f>
        <v/>
      </c>
      <c r="S1240" s="4" t="str">
        <f>HYPERLINK("http://141.218.60.56/~jnz1568/getInfo.php?workbook=16_15.xlsx&amp;sheet=A0&amp;row=1240&amp;col=19&amp;number=&amp;sourceID=57","")</f>
        <v/>
      </c>
      <c r="T1240" s="4" t="str">
        <f>HYPERLINK("http://141.218.60.56/~jnz1568/getInfo.php?workbook=16_15.xlsx&amp;sheet=A0&amp;row=1240&amp;col=20&amp;number=&amp;sourceID=57","")</f>
        <v/>
      </c>
      <c r="U1240" s="4" t="str">
        <f>HYPERLINK("http://141.218.60.56/~jnz1568/getInfo.php?workbook=16_15.xlsx&amp;sheet=A0&amp;row=1240&amp;col=21&amp;number=&amp;sourceID=47","")</f>
        <v/>
      </c>
      <c r="V1240" s="4" t="str">
        <f>HYPERLINK("http://141.218.60.56/~jnz1568/getInfo.php?workbook=16_15.xlsx&amp;sheet=A0&amp;row=1240&amp;col=22&amp;number=&amp;sourceID=47","")</f>
        <v/>
      </c>
    </row>
    <row r="1241" spans="1:22">
      <c r="A1241" s="3">
        <v>16</v>
      </c>
      <c r="B1241" s="3">
        <v>15</v>
      </c>
      <c r="C1241" s="3">
        <v>57</v>
      </c>
      <c r="D1241" s="3">
        <v>5</v>
      </c>
      <c r="E1241" s="3">
        <f>((1/(INDEX(E0!J$4:J$73,C1241,1)-INDEX(E0!J$4:J$73,D1241,1))))*100000000</f>
        <v>0</v>
      </c>
      <c r="F1241" s="4" t="str">
        <f>HYPERLINK("http://141.218.60.56/~jnz1568/getInfo.php?workbook=16_15.xlsx&amp;sheet=A0&amp;row=1241&amp;col=6&amp;number=&amp;sourceID=54","")</f>
        <v/>
      </c>
      <c r="G1241" s="4" t="str">
        <f>HYPERLINK("http://141.218.60.56/~jnz1568/getInfo.php?workbook=16_15.xlsx&amp;sheet=A0&amp;row=1241&amp;col=7&amp;number=2746.8&amp;sourceID=54","2746.8")</f>
        <v>2746.8</v>
      </c>
      <c r="H1241" s="4" t="str">
        <f>HYPERLINK("http://141.218.60.56/~jnz1568/getInfo.php?workbook=16_15.xlsx&amp;sheet=A0&amp;row=1241&amp;col=8&amp;number=&amp;sourceID=54","")</f>
        <v/>
      </c>
      <c r="I1241" s="4" t="str">
        <f>HYPERLINK("http://141.218.60.56/~jnz1568/getInfo.php?workbook=16_15.xlsx&amp;sheet=A0&amp;row=1241&amp;col=9&amp;number=&amp;sourceID=54","")</f>
        <v/>
      </c>
      <c r="J1241" s="4" t="str">
        <f>HYPERLINK("http://141.218.60.56/~jnz1568/getInfo.php?workbook=16_15.xlsx&amp;sheet=A0&amp;row=1241&amp;col=10&amp;number=2767.8&amp;sourceID=54","2767.8")</f>
        <v>2767.8</v>
      </c>
      <c r="K1241" s="4" t="str">
        <f>HYPERLINK("http://141.218.60.56/~jnz1568/getInfo.php?workbook=16_15.xlsx&amp;sheet=A0&amp;row=1241&amp;col=11&amp;number=&amp;sourceID=54","")</f>
        <v/>
      </c>
      <c r="L1241" s="4" t="str">
        <f>HYPERLINK("http://141.218.60.56/~jnz1568/getInfo.php?workbook=16_15.xlsx&amp;sheet=A0&amp;row=1241&amp;col=12&amp;number=&amp;sourceID=53","")</f>
        <v/>
      </c>
      <c r="M1241" s="4" t="str">
        <f>HYPERLINK("http://141.218.60.56/~jnz1568/getInfo.php?workbook=16_15.xlsx&amp;sheet=A0&amp;row=1241&amp;col=13&amp;number=&amp;sourceID=53","")</f>
        <v/>
      </c>
      <c r="N1241" s="4" t="str">
        <f>HYPERLINK("http://141.218.60.56/~jnz1568/getInfo.php?workbook=16_15.xlsx&amp;sheet=A0&amp;row=1241&amp;col=14&amp;number=&amp;sourceID=53","")</f>
        <v/>
      </c>
      <c r="O1241" s="4" t="str">
        <f>HYPERLINK("http://141.218.60.56/~jnz1568/getInfo.php?workbook=16_15.xlsx&amp;sheet=A0&amp;row=1241&amp;col=15&amp;number=&amp;sourceID=55","")</f>
        <v/>
      </c>
      <c r="P1241" s="4" t="str">
        <f>HYPERLINK("http://141.218.60.56/~jnz1568/getInfo.php?workbook=16_15.xlsx&amp;sheet=A0&amp;row=1241&amp;col=16&amp;number=&amp;sourceID=55","")</f>
        <v/>
      </c>
      <c r="Q1241" s="4" t="str">
        <f>HYPERLINK("http://141.218.60.56/~jnz1568/getInfo.php?workbook=16_15.xlsx&amp;sheet=A0&amp;row=1241&amp;col=17&amp;number=&amp;sourceID=56","")</f>
        <v/>
      </c>
      <c r="R1241" s="4" t="str">
        <f>HYPERLINK("http://141.218.60.56/~jnz1568/getInfo.php?workbook=16_15.xlsx&amp;sheet=A0&amp;row=1241&amp;col=18&amp;number=&amp;sourceID=56","")</f>
        <v/>
      </c>
      <c r="S1241" s="4" t="str">
        <f>HYPERLINK("http://141.218.60.56/~jnz1568/getInfo.php?workbook=16_15.xlsx&amp;sheet=A0&amp;row=1241&amp;col=19&amp;number=&amp;sourceID=57","")</f>
        <v/>
      </c>
      <c r="T1241" s="4" t="str">
        <f>HYPERLINK("http://141.218.60.56/~jnz1568/getInfo.php?workbook=16_15.xlsx&amp;sheet=A0&amp;row=1241&amp;col=20&amp;number=&amp;sourceID=57","")</f>
        <v/>
      </c>
      <c r="U1241" s="4" t="str">
        <f>HYPERLINK("http://141.218.60.56/~jnz1568/getInfo.php?workbook=16_15.xlsx&amp;sheet=A0&amp;row=1241&amp;col=21&amp;number=&amp;sourceID=47","")</f>
        <v/>
      </c>
      <c r="V1241" s="4" t="str">
        <f>HYPERLINK("http://141.218.60.56/~jnz1568/getInfo.php?workbook=16_15.xlsx&amp;sheet=A0&amp;row=1241&amp;col=22&amp;number=&amp;sourceID=47","")</f>
        <v/>
      </c>
    </row>
    <row r="1242" spans="1:22">
      <c r="A1242" s="3">
        <v>16</v>
      </c>
      <c r="B1242" s="3">
        <v>15</v>
      </c>
      <c r="C1242" s="3">
        <v>57</v>
      </c>
      <c r="D1242" s="3">
        <v>6</v>
      </c>
      <c r="E1242" s="3">
        <f>((1/(INDEX(E0!J$4:J$73,C1242,1)-INDEX(E0!J$4:J$73,D1242,1))))*100000000</f>
        <v>0</v>
      </c>
      <c r="F1242" s="4" t="str">
        <f>HYPERLINK("http://141.218.60.56/~jnz1568/getInfo.php?workbook=16_15.xlsx&amp;sheet=A0&amp;row=1242&amp;col=6&amp;number=962.62&amp;sourceID=54","962.62")</f>
        <v>962.62</v>
      </c>
      <c r="G1242" s="4" t="str">
        <f>HYPERLINK("http://141.218.60.56/~jnz1568/getInfo.php?workbook=16_15.xlsx&amp;sheet=A0&amp;row=1242&amp;col=7&amp;number=&amp;sourceID=54","")</f>
        <v/>
      </c>
      <c r="H1242" s="4" t="str">
        <f>HYPERLINK("http://141.218.60.56/~jnz1568/getInfo.php?workbook=16_15.xlsx&amp;sheet=A0&amp;row=1242&amp;col=8&amp;number=&amp;sourceID=54","")</f>
        <v/>
      </c>
      <c r="I1242" s="4" t="str">
        <f>HYPERLINK("http://141.218.60.56/~jnz1568/getInfo.php?workbook=16_15.xlsx&amp;sheet=A0&amp;row=1242&amp;col=9&amp;number=973.75&amp;sourceID=54","973.75")</f>
        <v>973.75</v>
      </c>
      <c r="J1242" s="4" t="str">
        <f>HYPERLINK("http://141.218.60.56/~jnz1568/getInfo.php?workbook=16_15.xlsx&amp;sheet=A0&amp;row=1242&amp;col=10&amp;number=&amp;sourceID=54","")</f>
        <v/>
      </c>
      <c r="K1242" s="4" t="str">
        <f>HYPERLINK("http://141.218.60.56/~jnz1568/getInfo.php?workbook=16_15.xlsx&amp;sheet=A0&amp;row=1242&amp;col=11&amp;number=&amp;sourceID=54","")</f>
        <v/>
      </c>
      <c r="L1242" s="4" t="str">
        <f>HYPERLINK("http://141.218.60.56/~jnz1568/getInfo.php?workbook=16_15.xlsx&amp;sheet=A0&amp;row=1242&amp;col=12&amp;number=1683.78172912&amp;sourceID=53","1683.78172912")</f>
        <v>1683.78172912</v>
      </c>
      <c r="M1242" s="4" t="str">
        <f>HYPERLINK("http://141.218.60.56/~jnz1568/getInfo.php?workbook=16_15.xlsx&amp;sheet=A0&amp;row=1242&amp;col=13&amp;number=&amp;sourceID=53","")</f>
        <v/>
      </c>
      <c r="N1242" s="4" t="str">
        <f>HYPERLINK("http://141.218.60.56/~jnz1568/getInfo.php?workbook=16_15.xlsx&amp;sheet=A0&amp;row=1242&amp;col=14&amp;number=&amp;sourceID=53","")</f>
        <v/>
      </c>
      <c r="O1242" s="4" t="str">
        <f>HYPERLINK("http://141.218.60.56/~jnz1568/getInfo.php?workbook=16_15.xlsx&amp;sheet=A0&amp;row=1242&amp;col=15&amp;number=&amp;sourceID=55","")</f>
        <v/>
      </c>
      <c r="P1242" s="4" t="str">
        <f>HYPERLINK("http://141.218.60.56/~jnz1568/getInfo.php?workbook=16_15.xlsx&amp;sheet=A0&amp;row=1242&amp;col=16&amp;number=&amp;sourceID=55","")</f>
        <v/>
      </c>
      <c r="Q1242" s="4" t="str">
        <f>HYPERLINK("http://141.218.60.56/~jnz1568/getInfo.php?workbook=16_15.xlsx&amp;sheet=A0&amp;row=1242&amp;col=17&amp;number=&amp;sourceID=56","")</f>
        <v/>
      </c>
      <c r="R1242" s="4" t="str">
        <f>HYPERLINK("http://141.218.60.56/~jnz1568/getInfo.php?workbook=16_15.xlsx&amp;sheet=A0&amp;row=1242&amp;col=18&amp;number=&amp;sourceID=56","")</f>
        <v/>
      </c>
      <c r="S1242" s="4" t="str">
        <f>HYPERLINK("http://141.218.60.56/~jnz1568/getInfo.php?workbook=16_15.xlsx&amp;sheet=A0&amp;row=1242&amp;col=19&amp;number=&amp;sourceID=57","")</f>
        <v/>
      </c>
      <c r="T1242" s="4" t="str">
        <f>HYPERLINK("http://141.218.60.56/~jnz1568/getInfo.php?workbook=16_15.xlsx&amp;sheet=A0&amp;row=1242&amp;col=20&amp;number=&amp;sourceID=57","")</f>
        <v/>
      </c>
      <c r="U1242" s="4" t="str">
        <f>HYPERLINK("http://141.218.60.56/~jnz1568/getInfo.php?workbook=16_15.xlsx&amp;sheet=A0&amp;row=1242&amp;col=21&amp;number=&amp;sourceID=47","")</f>
        <v/>
      </c>
      <c r="V1242" s="4" t="str">
        <f>HYPERLINK("http://141.218.60.56/~jnz1568/getInfo.php?workbook=16_15.xlsx&amp;sheet=A0&amp;row=1242&amp;col=22&amp;number=&amp;sourceID=47","")</f>
        <v/>
      </c>
    </row>
    <row r="1243" spans="1:22">
      <c r="A1243" s="3">
        <v>16</v>
      </c>
      <c r="B1243" s="3">
        <v>15</v>
      </c>
      <c r="C1243" s="3">
        <v>57</v>
      </c>
      <c r="D1243" s="3">
        <v>10</v>
      </c>
      <c r="E1243" s="3">
        <f>((1/(INDEX(E0!J$4:J$73,C1243,1)-INDEX(E0!J$4:J$73,D1243,1))))*100000000</f>
        <v>0</v>
      </c>
      <c r="F1243" s="4" t="str">
        <f>HYPERLINK("http://141.218.60.56/~jnz1568/getInfo.php?workbook=16_15.xlsx&amp;sheet=A0&amp;row=1243&amp;col=6&amp;number=4724500&amp;sourceID=54","4724500")</f>
        <v>4724500</v>
      </c>
      <c r="G1243" s="4" t="str">
        <f>HYPERLINK("http://141.218.60.56/~jnz1568/getInfo.php?workbook=16_15.xlsx&amp;sheet=A0&amp;row=1243&amp;col=7&amp;number=&amp;sourceID=54","")</f>
        <v/>
      </c>
      <c r="H1243" s="4" t="str">
        <f>HYPERLINK("http://141.218.60.56/~jnz1568/getInfo.php?workbook=16_15.xlsx&amp;sheet=A0&amp;row=1243&amp;col=8&amp;number=&amp;sourceID=54","")</f>
        <v/>
      </c>
      <c r="I1243" s="4" t="str">
        <f>HYPERLINK("http://141.218.60.56/~jnz1568/getInfo.php?workbook=16_15.xlsx&amp;sheet=A0&amp;row=1243&amp;col=9&amp;number=4549800&amp;sourceID=54","4549800")</f>
        <v>4549800</v>
      </c>
      <c r="J1243" s="4" t="str">
        <f>HYPERLINK("http://141.218.60.56/~jnz1568/getInfo.php?workbook=16_15.xlsx&amp;sheet=A0&amp;row=1243&amp;col=10&amp;number=&amp;sourceID=54","")</f>
        <v/>
      </c>
      <c r="K1243" s="4" t="str">
        <f>HYPERLINK("http://141.218.60.56/~jnz1568/getInfo.php?workbook=16_15.xlsx&amp;sheet=A0&amp;row=1243&amp;col=11&amp;number=&amp;sourceID=54","")</f>
        <v/>
      </c>
      <c r="L1243" s="4" t="str">
        <f>HYPERLINK("http://141.218.60.56/~jnz1568/getInfo.php?workbook=16_15.xlsx&amp;sheet=A0&amp;row=1243&amp;col=12&amp;number=5907544.76528&amp;sourceID=53","5907544.76528")</f>
        <v>5907544.76528</v>
      </c>
      <c r="M1243" s="4" t="str">
        <f>HYPERLINK("http://141.218.60.56/~jnz1568/getInfo.php?workbook=16_15.xlsx&amp;sheet=A0&amp;row=1243&amp;col=13&amp;number=&amp;sourceID=53","")</f>
        <v/>
      </c>
      <c r="N1243" s="4" t="str">
        <f>HYPERLINK("http://141.218.60.56/~jnz1568/getInfo.php?workbook=16_15.xlsx&amp;sheet=A0&amp;row=1243&amp;col=14&amp;number=&amp;sourceID=53","")</f>
        <v/>
      </c>
      <c r="O1243" s="4" t="str">
        <f>HYPERLINK("http://141.218.60.56/~jnz1568/getInfo.php?workbook=16_15.xlsx&amp;sheet=A0&amp;row=1243&amp;col=15&amp;number=&amp;sourceID=55","")</f>
        <v/>
      </c>
      <c r="P1243" s="4" t="str">
        <f>HYPERLINK("http://141.218.60.56/~jnz1568/getInfo.php?workbook=16_15.xlsx&amp;sheet=A0&amp;row=1243&amp;col=16&amp;number=&amp;sourceID=55","")</f>
        <v/>
      </c>
      <c r="Q1243" s="4" t="str">
        <f>HYPERLINK("http://141.218.60.56/~jnz1568/getInfo.php?workbook=16_15.xlsx&amp;sheet=A0&amp;row=1243&amp;col=17&amp;number=&amp;sourceID=56","")</f>
        <v/>
      </c>
      <c r="R1243" s="4" t="str">
        <f>HYPERLINK("http://141.218.60.56/~jnz1568/getInfo.php?workbook=16_15.xlsx&amp;sheet=A0&amp;row=1243&amp;col=18&amp;number=&amp;sourceID=56","")</f>
        <v/>
      </c>
      <c r="S1243" s="4" t="str">
        <f>HYPERLINK("http://141.218.60.56/~jnz1568/getInfo.php?workbook=16_15.xlsx&amp;sheet=A0&amp;row=1243&amp;col=19&amp;number=&amp;sourceID=57","")</f>
        <v/>
      </c>
      <c r="T1243" s="4" t="str">
        <f>HYPERLINK("http://141.218.60.56/~jnz1568/getInfo.php?workbook=16_15.xlsx&amp;sheet=A0&amp;row=1243&amp;col=20&amp;number=&amp;sourceID=57","")</f>
        <v/>
      </c>
      <c r="U1243" s="4" t="str">
        <f>HYPERLINK("http://141.218.60.56/~jnz1568/getInfo.php?workbook=16_15.xlsx&amp;sheet=A0&amp;row=1243&amp;col=21&amp;number=&amp;sourceID=47","")</f>
        <v/>
      </c>
      <c r="V1243" s="4" t="str">
        <f>HYPERLINK("http://141.218.60.56/~jnz1568/getInfo.php?workbook=16_15.xlsx&amp;sheet=A0&amp;row=1243&amp;col=22&amp;number=&amp;sourceID=47","")</f>
        <v/>
      </c>
    </row>
    <row r="1244" spans="1:22">
      <c r="A1244" s="3">
        <v>16</v>
      </c>
      <c r="B1244" s="3">
        <v>15</v>
      </c>
      <c r="C1244" s="3">
        <v>57</v>
      </c>
      <c r="D1244" s="3">
        <v>16</v>
      </c>
      <c r="E1244" s="3">
        <f>((1/(INDEX(E0!J$4:J$73,C1244,1)-INDEX(E0!J$4:J$73,D1244,1))))*100000000</f>
        <v>0</v>
      </c>
      <c r="F1244" s="4" t="str">
        <f>HYPERLINK("http://141.218.60.56/~jnz1568/getInfo.php?workbook=16_15.xlsx&amp;sheet=A0&amp;row=1244&amp;col=6&amp;number=80.359&amp;sourceID=54","80.359")</f>
        <v>80.359</v>
      </c>
      <c r="G1244" s="4" t="str">
        <f>HYPERLINK("http://141.218.60.56/~jnz1568/getInfo.php?workbook=16_15.xlsx&amp;sheet=A0&amp;row=1244&amp;col=7&amp;number=&amp;sourceID=54","")</f>
        <v/>
      </c>
      <c r="H1244" s="4" t="str">
        <f>HYPERLINK("http://141.218.60.56/~jnz1568/getInfo.php?workbook=16_15.xlsx&amp;sheet=A0&amp;row=1244&amp;col=8&amp;number=&amp;sourceID=54","")</f>
        <v/>
      </c>
      <c r="I1244" s="4" t="str">
        <f>HYPERLINK("http://141.218.60.56/~jnz1568/getInfo.php?workbook=16_15.xlsx&amp;sheet=A0&amp;row=1244&amp;col=9&amp;number=54.99&amp;sourceID=54","54.99")</f>
        <v>54.99</v>
      </c>
      <c r="J1244" s="4" t="str">
        <f>HYPERLINK("http://141.218.60.56/~jnz1568/getInfo.php?workbook=16_15.xlsx&amp;sheet=A0&amp;row=1244&amp;col=10&amp;number=&amp;sourceID=54","")</f>
        <v/>
      </c>
      <c r="K1244" s="4" t="str">
        <f>HYPERLINK("http://141.218.60.56/~jnz1568/getInfo.php?workbook=16_15.xlsx&amp;sheet=A0&amp;row=1244&amp;col=11&amp;number=&amp;sourceID=54","")</f>
        <v/>
      </c>
      <c r="L1244" s="4" t="str">
        <f>HYPERLINK("http://141.218.60.56/~jnz1568/getInfo.php?workbook=16_15.xlsx&amp;sheet=A0&amp;row=1244&amp;col=12&amp;number=20.0000180805&amp;sourceID=53","20.0000180805")</f>
        <v>20.0000180805</v>
      </c>
      <c r="M1244" s="4" t="str">
        <f>HYPERLINK("http://141.218.60.56/~jnz1568/getInfo.php?workbook=16_15.xlsx&amp;sheet=A0&amp;row=1244&amp;col=13&amp;number=&amp;sourceID=53","")</f>
        <v/>
      </c>
      <c r="N1244" s="4" t="str">
        <f>HYPERLINK("http://141.218.60.56/~jnz1568/getInfo.php?workbook=16_15.xlsx&amp;sheet=A0&amp;row=1244&amp;col=14&amp;number=&amp;sourceID=53","")</f>
        <v/>
      </c>
      <c r="O1244" s="4" t="str">
        <f>HYPERLINK("http://141.218.60.56/~jnz1568/getInfo.php?workbook=16_15.xlsx&amp;sheet=A0&amp;row=1244&amp;col=15&amp;number=&amp;sourceID=55","")</f>
        <v/>
      </c>
      <c r="P1244" s="4" t="str">
        <f>HYPERLINK("http://141.218.60.56/~jnz1568/getInfo.php?workbook=16_15.xlsx&amp;sheet=A0&amp;row=1244&amp;col=16&amp;number=&amp;sourceID=55","")</f>
        <v/>
      </c>
      <c r="Q1244" s="4" t="str">
        <f>HYPERLINK("http://141.218.60.56/~jnz1568/getInfo.php?workbook=16_15.xlsx&amp;sheet=A0&amp;row=1244&amp;col=17&amp;number=&amp;sourceID=56","")</f>
        <v/>
      </c>
      <c r="R1244" s="4" t="str">
        <f>HYPERLINK("http://141.218.60.56/~jnz1568/getInfo.php?workbook=16_15.xlsx&amp;sheet=A0&amp;row=1244&amp;col=18&amp;number=&amp;sourceID=56","")</f>
        <v/>
      </c>
      <c r="S1244" s="4" t="str">
        <f>HYPERLINK("http://141.218.60.56/~jnz1568/getInfo.php?workbook=16_15.xlsx&amp;sheet=A0&amp;row=1244&amp;col=19&amp;number=&amp;sourceID=57","")</f>
        <v/>
      </c>
      <c r="T1244" s="4" t="str">
        <f>HYPERLINK("http://141.218.60.56/~jnz1568/getInfo.php?workbook=16_15.xlsx&amp;sheet=A0&amp;row=1244&amp;col=20&amp;number=&amp;sourceID=57","")</f>
        <v/>
      </c>
      <c r="U1244" s="4" t="str">
        <f>HYPERLINK("http://141.218.60.56/~jnz1568/getInfo.php?workbook=16_15.xlsx&amp;sheet=A0&amp;row=1244&amp;col=21&amp;number=&amp;sourceID=47","")</f>
        <v/>
      </c>
      <c r="V1244" s="4" t="str">
        <f>HYPERLINK("http://141.218.60.56/~jnz1568/getInfo.php?workbook=16_15.xlsx&amp;sheet=A0&amp;row=1244&amp;col=22&amp;number=&amp;sourceID=47","")</f>
        <v/>
      </c>
    </row>
    <row r="1245" spans="1:22">
      <c r="A1245" s="3">
        <v>16</v>
      </c>
      <c r="B1245" s="3">
        <v>15</v>
      </c>
      <c r="C1245" s="3">
        <v>57</v>
      </c>
      <c r="D1245" s="3">
        <v>17</v>
      </c>
      <c r="E1245" s="3">
        <f>((1/(INDEX(E0!J$4:J$73,C1245,1)-INDEX(E0!J$4:J$73,D1245,1))))*100000000</f>
        <v>0</v>
      </c>
      <c r="F1245" s="4" t="str">
        <f>HYPERLINK("http://141.218.60.56/~jnz1568/getInfo.php?workbook=16_15.xlsx&amp;sheet=A0&amp;row=1245&amp;col=6&amp;number=328.38&amp;sourceID=54","328.38")</f>
        <v>328.38</v>
      </c>
      <c r="G1245" s="4" t="str">
        <f>HYPERLINK("http://141.218.60.56/~jnz1568/getInfo.php?workbook=16_15.xlsx&amp;sheet=A0&amp;row=1245&amp;col=7&amp;number=&amp;sourceID=54","")</f>
        <v/>
      </c>
      <c r="H1245" s="4" t="str">
        <f>HYPERLINK("http://141.218.60.56/~jnz1568/getInfo.php?workbook=16_15.xlsx&amp;sheet=A0&amp;row=1245&amp;col=8&amp;number=&amp;sourceID=54","")</f>
        <v/>
      </c>
      <c r="I1245" s="4" t="str">
        <f>HYPERLINK("http://141.218.60.56/~jnz1568/getInfo.php?workbook=16_15.xlsx&amp;sheet=A0&amp;row=1245&amp;col=9&amp;number=371.74&amp;sourceID=54","371.74")</f>
        <v>371.74</v>
      </c>
      <c r="J1245" s="4" t="str">
        <f>HYPERLINK("http://141.218.60.56/~jnz1568/getInfo.php?workbook=16_15.xlsx&amp;sheet=A0&amp;row=1245&amp;col=10&amp;number=&amp;sourceID=54","")</f>
        <v/>
      </c>
      <c r="K1245" s="4" t="str">
        <f>HYPERLINK("http://141.218.60.56/~jnz1568/getInfo.php?workbook=16_15.xlsx&amp;sheet=A0&amp;row=1245&amp;col=11&amp;number=&amp;sourceID=54","")</f>
        <v/>
      </c>
      <c r="L1245" s="4" t="str">
        <f>HYPERLINK("http://141.218.60.56/~jnz1568/getInfo.php?workbook=16_15.xlsx&amp;sheet=A0&amp;row=1245&amp;col=12&amp;number=490.583282141&amp;sourceID=53","490.583282141")</f>
        <v>490.583282141</v>
      </c>
      <c r="M1245" s="4" t="str">
        <f>HYPERLINK("http://141.218.60.56/~jnz1568/getInfo.php?workbook=16_15.xlsx&amp;sheet=A0&amp;row=1245&amp;col=13&amp;number=&amp;sourceID=53","")</f>
        <v/>
      </c>
      <c r="N1245" s="4" t="str">
        <f>HYPERLINK("http://141.218.60.56/~jnz1568/getInfo.php?workbook=16_15.xlsx&amp;sheet=A0&amp;row=1245&amp;col=14&amp;number=&amp;sourceID=53","")</f>
        <v/>
      </c>
      <c r="O1245" s="4" t="str">
        <f>HYPERLINK("http://141.218.60.56/~jnz1568/getInfo.php?workbook=16_15.xlsx&amp;sheet=A0&amp;row=1245&amp;col=15&amp;number=&amp;sourceID=55","")</f>
        <v/>
      </c>
      <c r="P1245" s="4" t="str">
        <f>HYPERLINK("http://141.218.60.56/~jnz1568/getInfo.php?workbook=16_15.xlsx&amp;sheet=A0&amp;row=1245&amp;col=16&amp;number=&amp;sourceID=55","")</f>
        <v/>
      </c>
      <c r="Q1245" s="4" t="str">
        <f>HYPERLINK("http://141.218.60.56/~jnz1568/getInfo.php?workbook=16_15.xlsx&amp;sheet=A0&amp;row=1245&amp;col=17&amp;number=&amp;sourceID=56","")</f>
        <v/>
      </c>
      <c r="R1245" s="4" t="str">
        <f>HYPERLINK("http://141.218.60.56/~jnz1568/getInfo.php?workbook=16_15.xlsx&amp;sheet=A0&amp;row=1245&amp;col=18&amp;number=&amp;sourceID=56","")</f>
        <v/>
      </c>
      <c r="S1245" s="4" t="str">
        <f>HYPERLINK("http://141.218.60.56/~jnz1568/getInfo.php?workbook=16_15.xlsx&amp;sheet=A0&amp;row=1245&amp;col=19&amp;number=&amp;sourceID=57","")</f>
        <v/>
      </c>
      <c r="T1245" s="4" t="str">
        <f>HYPERLINK("http://141.218.60.56/~jnz1568/getInfo.php?workbook=16_15.xlsx&amp;sheet=A0&amp;row=1245&amp;col=20&amp;number=&amp;sourceID=57","")</f>
        <v/>
      </c>
      <c r="U1245" s="4" t="str">
        <f>HYPERLINK("http://141.218.60.56/~jnz1568/getInfo.php?workbook=16_15.xlsx&amp;sheet=A0&amp;row=1245&amp;col=21&amp;number=&amp;sourceID=47","")</f>
        <v/>
      </c>
      <c r="V1245" s="4" t="str">
        <f>HYPERLINK("http://141.218.60.56/~jnz1568/getInfo.php?workbook=16_15.xlsx&amp;sheet=A0&amp;row=1245&amp;col=22&amp;number=&amp;sourceID=47","")</f>
        <v/>
      </c>
    </row>
    <row r="1246" spans="1:22">
      <c r="A1246" s="3">
        <v>16</v>
      </c>
      <c r="B1246" s="3">
        <v>15</v>
      </c>
      <c r="C1246" s="3">
        <v>57</v>
      </c>
      <c r="D1246" s="3">
        <v>18</v>
      </c>
      <c r="E1246" s="3">
        <f>((1/(INDEX(E0!J$4:J$73,C1246,1)-INDEX(E0!J$4:J$73,D1246,1))))*100000000</f>
        <v>0</v>
      </c>
      <c r="F1246" s="4" t="str">
        <f>HYPERLINK("http://141.218.60.56/~jnz1568/getInfo.php?workbook=16_15.xlsx&amp;sheet=A0&amp;row=1246&amp;col=6&amp;number=1621.1&amp;sourceID=54","1621.1")</f>
        <v>1621.1</v>
      </c>
      <c r="G1246" s="4" t="str">
        <f>HYPERLINK("http://141.218.60.56/~jnz1568/getInfo.php?workbook=16_15.xlsx&amp;sheet=A0&amp;row=1246&amp;col=7&amp;number=&amp;sourceID=54","")</f>
        <v/>
      </c>
      <c r="H1246" s="4" t="str">
        <f>HYPERLINK("http://141.218.60.56/~jnz1568/getInfo.php?workbook=16_15.xlsx&amp;sheet=A0&amp;row=1246&amp;col=8&amp;number=&amp;sourceID=54","")</f>
        <v/>
      </c>
      <c r="I1246" s="4" t="str">
        <f>HYPERLINK("http://141.218.60.56/~jnz1568/getInfo.php?workbook=16_15.xlsx&amp;sheet=A0&amp;row=1246&amp;col=9&amp;number=1812.4&amp;sourceID=54","1812.4")</f>
        <v>1812.4</v>
      </c>
      <c r="J1246" s="4" t="str">
        <f>HYPERLINK("http://141.218.60.56/~jnz1568/getInfo.php?workbook=16_15.xlsx&amp;sheet=A0&amp;row=1246&amp;col=10&amp;number=&amp;sourceID=54","")</f>
        <v/>
      </c>
      <c r="K1246" s="4" t="str">
        <f>HYPERLINK("http://141.218.60.56/~jnz1568/getInfo.php?workbook=16_15.xlsx&amp;sheet=A0&amp;row=1246&amp;col=11&amp;number=&amp;sourceID=54","")</f>
        <v/>
      </c>
      <c r="L1246" s="4" t="str">
        <f>HYPERLINK("http://141.218.60.56/~jnz1568/getInfo.php?workbook=16_15.xlsx&amp;sheet=A0&amp;row=1246&amp;col=12&amp;number=1630.39030544&amp;sourceID=53","1630.39030544")</f>
        <v>1630.39030544</v>
      </c>
      <c r="M1246" s="4" t="str">
        <f>HYPERLINK("http://141.218.60.56/~jnz1568/getInfo.php?workbook=16_15.xlsx&amp;sheet=A0&amp;row=1246&amp;col=13&amp;number=&amp;sourceID=53","")</f>
        <v/>
      </c>
      <c r="N1246" s="4" t="str">
        <f>HYPERLINK("http://141.218.60.56/~jnz1568/getInfo.php?workbook=16_15.xlsx&amp;sheet=A0&amp;row=1246&amp;col=14&amp;number=&amp;sourceID=53","")</f>
        <v/>
      </c>
      <c r="O1246" s="4" t="str">
        <f>HYPERLINK("http://141.218.60.56/~jnz1568/getInfo.php?workbook=16_15.xlsx&amp;sheet=A0&amp;row=1246&amp;col=15&amp;number=&amp;sourceID=55","")</f>
        <v/>
      </c>
      <c r="P1246" s="4" t="str">
        <f>HYPERLINK("http://141.218.60.56/~jnz1568/getInfo.php?workbook=16_15.xlsx&amp;sheet=A0&amp;row=1246&amp;col=16&amp;number=&amp;sourceID=55","")</f>
        <v/>
      </c>
      <c r="Q1246" s="4" t="str">
        <f>HYPERLINK("http://141.218.60.56/~jnz1568/getInfo.php?workbook=16_15.xlsx&amp;sheet=A0&amp;row=1246&amp;col=17&amp;number=&amp;sourceID=56","")</f>
        <v/>
      </c>
      <c r="R1246" s="4" t="str">
        <f>HYPERLINK("http://141.218.60.56/~jnz1568/getInfo.php?workbook=16_15.xlsx&amp;sheet=A0&amp;row=1246&amp;col=18&amp;number=&amp;sourceID=56","")</f>
        <v/>
      </c>
      <c r="S1246" s="4" t="str">
        <f>HYPERLINK("http://141.218.60.56/~jnz1568/getInfo.php?workbook=16_15.xlsx&amp;sheet=A0&amp;row=1246&amp;col=19&amp;number=&amp;sourceID=57","")</f>
        <v/>
      </c>
      <c r="T1246" s="4" t="str">
        <f>HYPERLINK("http://141.218.60.56/~jnz1568/getInfo.php?workbook=16_15.xlsx&amp;sheet=A0&amp;row=1246&amp;col=20&amp;number=&amp;sourceID=57","")</f>
        <v/>
      </c>
      <c r="U1246" s="4" t="str">
        <f>HYPERLINK("http://141.218.60.56/~jnz1568/getInfo.php?workbook=16_15.xlsx&amp;sheet=A0&amp;row=1246&amp;col=21&amp;number=&amp;sourceID=47","")</f>
        <v/>
      </c>
      <c r="V1246" s="4" t="str">
        <f>HYPERLINK("http://141.218.60.56/~jnz1568/getInfo.php?workbook=16_15.xlsx&amp;sheet=A0&amp;row=1246&amp;col=22&amp;number=&amp;sourceID=47","")</f>
        <v/>
      </c>
    </row>
    <row r="1247" spans="1:22">
      <c r="A1247" s="3">
        <v>16</v>
      </c>
      <c r="B1247" s="3">
        <v>15</v>
      </c>
      <c r="C1247" s="3">
        <v>57</v>
      </c>
      <c r="D1247" s="3">
        <v>19</v>
      </c>
      <c r="E1247" s="3">
        <f>((1/(INDEX(E0!J$4:J$73,C1247,1)-INDEX(E0!J$4:J$73,D1247,1))))*100000000</f>
        <v>0</v>
      </c>
      <c r="F1247" s="4" t="str">
        <f>HYPERLINK("http://141.218.60.56/~jnz1568/getInfo.php?workbook=16_15.xlsx&amp;sheet=A0&amp;row=1247&amp;col=6&amp;number=8056.5&amp;sourceID=54","8056.5")</f>
        <v>8056.5</v>
      </c>
      <c r="G1247" s="4" t="str">
        <f>HYPERLINK("http://141.218.60.56/~jnz1568/getInfo.php?workbook=16_15.xlsx&amp;sheet=A0&amp;row=1247&amp;col=7&amp;number=&amp;sourceID=54","")</f>
        <v/>
      </c>
      <c r="H1247" s="4" t="str">
        <f>HYPERLINK("http://141.218.60.56/~jnz1568/getInfo.php?workbook=16_15.xlsx&amp;sheet=A0&amp;row=1247&amp;col=8&amp;number=&amp;sourceID=54","")</f>
        <v/>
      </c>
      <c r="I1247" s="4" t="str">
        <f>HYPERLINK("http://141.218.60.56/~jnz1568/getInfo.php?workbook=16_15.xlsx&amp;sheet=A0&amp;row=1247&amp;col=9&amp;number=8626.9&amp;sourceID=54","8626.9")</f>
        <v>8626.9</v>
      </c>
      <c r="J1247" s="4" t="str">
        <f>HYPERLINK("http://141.218.60.56/~jnz1568/getInfo.php?workbook=16_15.xlsx&amp;sheet=A0&amp;row=1247&amp;col=10&amp;number=&amp;sourceID=54","")</f>
        <v/>
      </c>
      <c r="K1247" s="4" t="str">
        <f>HYPERLINK("http://141.218.60.56/~jnz1568/getInfo.php?workbook=16_15.xlsx&amp;sheet=A0&amp;row=1247&amp;col=11&amp;number=&amp;sourceID=54","")</f>
        <v/>
      </c>
      <c r="L1247" s="4" t="str">
        <f>HYPERLINK("http://141.218.60.56/~jnz1568/getInfo.php?workbook=16_15.xlsx&amp;sheet=A0&amp;row=1247&amp;col=12&amp;number=8367.1354198&amp;sourceID=53","8367.1354198")</f>
        <v>8367.1354198</v>
      </c>
      <c r="M1247" s="4" t="str">
        <f>HYPERLINK("http://141.218.60.56/~jnz1568/getInfo.php?workbook=16_15.xlsx&amp;sheet=A0&amp;row=1247&amp;col=13&amp;number=&amp;sourceID=53","")</f>
        <v/>
      </c>
      <c r="N1247" s="4" t="str">
        <f>HYPERLINK("http://141.218.60.56/~jnz1568/getInfo.php?workbook=16_15.xlsx&amp;sheet=A0&amp;row=1247&amp;col=14&amp;number=&amp;sourceID=53","")</f>
        <v/>
      </c>
      <c r="O1247" s="4" t="str">
        <f>HYPERLINK("http://141.218.60.56/~jnz1568/getInfo.php?workbook=16_15.xlsx&amp;sheet=A0&amp;row=1247&amp;col=15&amp;number=&amp;sourceID=55","")</f>
        <v/>
      </c>
      <c r="P1247" s="4" t="str">
        <f>HYPERLINK("http://141.218.60.56/~jnz1568/getInfo.php?workbook=16_15.xlsx&amp;sheet=A0&amp;row=1247&amp;col=16&amp;number=&amp;sourceID=55","")</f>
        <v/>
      </c>
      <c r="Q1247" s="4" t="str">
        <f>HYPERLINK("http://141.218.60.56/~jnz1568/getInfo.php?workbook=16_15.xlsx&amp;sheet=A0&amp;row=1247&amp;col=17&amp;number=&amp;sourceID=56","")</f>
        <v/>
      </c>
      <c r="R1247" s="4" t="str">
        <f>HYPERLINK("http://141.218.60.56/~jnz1568/getInfo.php?workbook=16_15.xlsx&amp;sheet=A0&amp;row=1247&amp;col=18&amp;number=&amp;sourceID=56","")</f>
        <v/>
      </c>
      <c r="S1247" s="4" t="str">
        <f>HYPERLINK("http://141.218.60.56/~jnz1568/getInfo.php?workbook=16_15.xlsx&amp;sheet=A0&amp;row=1247&amp;col=19&amp;number=&amp;sourceID=57","")</f>
        <v/>
      </c>
      <c r="T1247" s="4" t="str">
        <f>HYPERLINK("http://141.218.60.56/~jnz1568/getInfo.php?workbook=16_15.xlsx&amp;sheet=A0&amp;row=1247&amp;col=20&amp;number=&amp;sourceID=57","")</f>
        <v/>
      </c>
      <c r="U1247" s="4" t="str">
        <f>HYPERLINK("http://141.218.60.56/~jnz1568/getInfo.php?workbook=16_15.xlsx&amp;sheet=A0&amp;row=1247&amp;col=21&amp;number=&amp;sourceID=47","")</f>
        <v/>
      </c>
      <c r="V1247" s="4" t="str">
        <f>HYPERLINK("http://141.218.60.56/~jnz1568/getInfo.php?workbook=16_15.xlsx&amp;sheet=A0&amp;row=1247&amp;col=22&amp;number=&amp;sourceID=47","")</f>
        <v/>
      </c>
    </row>
    <row r="1248" spans="1:22">
      <c r="A1248" s="3">
        <v>16</v>
      </c>
      <c r="B1248" s="3">
        <v>15</v>
      </c>
      <c r="C1248" s="3">
        <v>57</v>
      </c>
      <c r="D1248" s="3">
        <v>24</v>
      </c>
      <c r="E1248" s="3">
        <f>((1/(INDEX(E0!J$4:J$73,C1248,1)-INDEX(E0!J$4:J$73,D1248,1))))*100000000</f>
        <v>0</v>
      </c>
      <c r="F1248" s="4" t="str">
        <f>HYPERLINK("http://141.218.60.56/~jnz1568/getInfo.php?workbook=16_15.xlsx&amp;sheet=A0&amp;row=1248&amp;col=6&amp;number=436.76&amp;sourceID=54","436.76")</f>
        <v>436.76</v>
      </c>
      <c r="G1248" s="4" t="str">
        <f>HYPERLINK("http://141.218.60.56/~jnz1568/getInfo.php?workbook=16_15.xlsx&amp;sheet=A0&amp;row=1248&amp;col=7&amp;number=&amp;sourceID=54","")</f>
        <v/>
      </c>
      <c r="H1248" s="4" t="str">
        <f>HYPERLINK("http://141.218.60.56/~jnz1568/getInfo.php?workbook=16_15.xlsx&amp;sheet=A0&amp;row=1248&amp;col=8&amp;number=&amp;sourceID=54","")</f>
        <v/>
      </c>
      <c r="I1248" s="4" t="str">
        <f>HYPERLINK("http://141.218.60.56/~jnz1568/getInfo.php?workbook=16_15.xlsx&amp;sheet=A0&amp;row=1248&amp;col=9&amp;number=5148.2&amp;sourceID=54","5148.2")</f>
        <v>5148.2</v>
      </c>
      <c r="J1248" s="4" t="str">
        <f>HYPERLINK("http://141.218.60.56/~jnz1568/getInfo.php?workbook=16_15.xlsx&amp;sheet=A0&amp;row=1248&amp;col=10&amp;number=&amp;sourceID=54","")</f>
        <v/>
      </c>
      <c r="K1248" s="4" t="str">
        <f>HYPERLINK("http://141.218.60.56/~jnz1568/getInfo.php?workbook=16_15.xlsx&amp;sheet=A0&amp;row=1248&amp;col=11&amp;number=&amp;sourceID=54","")</f>
        <v/>
      </c>
      <c r="L1248" s="4" t="str">
        <f>HYPERLINK("http://141.218.60.56/~jnz1568/getInfo.php?workbook=16_15.xlsx&amp;sheet=A0&amp;row=1248&amp;col=12&amp;number=3516.53751508&amp;sourceID=53","3516.53751508")</f>
        <v>3516.53751508</v>
      </c>
      <c r="M1248" s="4" t="str">
        <f>HYPERLINK("http://141.218.60.56/~jnz1568/getInfo.php?workbook=16_15.xlsx&amp;sheet=A0&amp;row=1248&amp;col=13&amp;number=&amp;sourceID=53","")</f>
        <v/>
      </c>
      <c r="N1248" s="4" t="str">
        <f>HYPERLINK("http://141.218.60.56/~jnz1568/getInfo.php?workbook=16_15.xlsx&amp;sheet=A0&amp;row=1248&amp;col=14&amp;number=&amp;sourceID=53","")</f>
        <v/>
      </c>
      <c r="O1248" s="4" t="str">
        <f>HYPERLINK("http://141.218.60.56/~jnz1568/getInfo.php?workbook=16_15.xlsx&amp;sheet=A0&amp;row=1248&amp;col=15&amp;number=&amp;sourceID=55","")</f>
        <v/>
      </c>
      <c r="P1248" s="4" t="str">
        <f>HYPERLINK("http://141.218.60.56/~jnz1568/getInfo.php?workbook=16_15.xlsx&amp;sheet=A0&amp;row=1248&amp;col=16&amp;number=&amp;sourceID=55","")</f>
        <v/>
      </c>
      <c r="Q1248" s="4" t="str">
        <f>HYPERLINK("http://141.218.60.56/~jnz1568/getInfo.php?workbook=16_15.xlsx&amp;sheet=A0&amp;row=1248&amp;col=17&amp;number=&amp;sourceID=56","")</f>
        <v/>
      </c>
      <c r="R1248" s="4" t="str">
        <f>HYPERLINK("http://141.218.60.56/~jnz1568/getInfo.php?workbook=16_15.xlsx&amp;sheet=A0&amp;row=1248&amp;col=18&amp;number=&amp;sourceID=56","")</f>
        <v/>
      </c>
      <c r="S1248" s="4" t="str">
        <f>HYPERLINK("http://141.218.60.56/~jnz1568/getInfo.php?workbook=16_15.xlsx&amp;sheet=A0&amp;row=1248&amp;col=19&amp;number=&amp;sourceID=57","")</f>
        <v/>
      </c>
      <c r="T1248" s="4" t="str">
        <f>HYPERLINK("http://141.218.60.56/~jnz1568/getInfo.php?workbook=16_15.xlsx&amp;sheet=A0&amp;row=1248&amp;col=20&amp;number=&amp;sourceID=57","")</f>
        <v/>
      </c>
      <c r="U1248" s="4" t="str">
        <f>HYPERLINK("http://141.218.60.56/~jnz1568/getInfo.php?workbook=16_15.xlsx&amp;sheet=A0&amp;row=1248&amp;col=21&amp;number=&amp;sourceID=47","")</f>
        <v/>
      </c>
      <c r="V1248" s="4" t="str">
        <f>HYPERLINK("http://141.218.60.56/~jnz1568/getInfo.php?workbook=16_15.xlsx&amp;sheet=A0&amp;row=1248&amp;col=22&amp;number=&amp;sourceID=47","")</f>
        <v/>
      </c>
    </row>
    <row r="1249" spans="1:22">
      <c r="A1249" s="3">
        <v>16</v>
      </c>
      <c r="B1249" s="3">
        <v>15</v>
      </c>
      <c r="C1249" s="3">
        <v>57</v>
      </c>
      <c r="D1249" s="3">
        <v>25</v>
      </c>
      <c r="E1249" s="3">
        <f>((1/(INDEX(E0!J$4:J$73,C1249,1)-INDEX(E0!J$4:J$73,D1249,1))))*100000000</f>
        <v>0</v>
      </c>
      <c r="F1249" s="4" t="str">
        <f>HYPERLINK("http://141.218.60.56/~jnz1568/getInfo.php?workbook=16_15.xlsx&amp;sheet=A0&amp;row=1249&amp;col=6&amp;number=452750&amp;sourceID=54","452750")</f>
        <v>452750</v>
      </c>
      <c r="G1249" s="4" t="str">
        <f>HYPERLINK("http://141.218.60.56/~jnz1568/getInfo.php?workbook=16_15.xlsx&amp;sheet=A0&amp;row=1249&amp;col=7&amp;number=&amp;sourceID=54","")</f>
        <v/>
      </c>
      <c r="H1249" s="4" t="str">
        <f>HYPERLINK("http://141.218.60.56/~jnz1568/getInfo.php?workbook=16_15.xlsx&amp;sheet=A0&amp;row=1249&amp;col=8&amp;number=&amp;sourceID=54","")</f>
        <v/>
      </c>
      <c r="I1249" s="4" t="str">
        <f>HYPERLINK("http://141.218.60.56/~jnz1568/getInfo.php?workbook=16_15.xlsx&amp;sheet=A0&amp;row=1249&amp;col=9&amp;number=831350&amp;sourceID=54","831350")</f>
        <v>831350</v>
      </c>
      <c r="J1249" s="4" t="str">
        <f>HYPERLINK("http://141.218.60.56/~jnz1568/getInfo.php?workbook=16_15.xlsx&amp;sheet=A0&amp;row=1249&amp;col=10&amp;number=&amp;sourceID=54","")</f>
        <v/>
      </c>
      <c r="K1249" s="4" t="str">
        <f>HYPERLINK("http://141.218.60.56/~jnz1568/getInfo.php?workbook=16_15.xlsx&amp;sheet=A0&amp;row=1249&amp;col=11&amp;number=&amp;sourceID=54","")</f>
        <v/>
      </c>
      <c r="L1249" s="4" t="str">
        <f>HYPERLINK("http://141.218.60.56/~jnz1568/getInfo.php?workbook=16_15.xlsx&amp;sheet=A0&amp;row=1249&amp;col=12&amp;number=737867.76188&amp;sourceID=53","737867.76188")</f>
        <v>737867.76188</v>
      </c>
      <c r="M1249" s="4" t="str">
        <f>HYPERLINK("http://141.218.60.56/~jnz1568/getInfo.php?workbook=16_15.xlsx&amp;sheet=A0&amp;row=1249&amp;col=13&amp;number=&amp;sourceID=53","")</f>
        <v/>
      </c>
      <c r="N1249" s="4" t="str">
        <f>HYPERLINK("http://141.218.60.56/~jnz1568/getInfo.php?workbook=16_15.xlsx&amp;sheet=A0&amp;row=1249&amp;col=14&amp;number=&amp;sourceID=53","")</f>
        <v/>
      </c>
      <c r="O1249" s="4" t="str">
        <f>HYPERLINK("http://141.218.60.56/~jnz1568/getInfo.php?workbook=16_15.xlsx&amp;sheet=A0&amp;row=1249&amp;col=15&amp;number=&amp;sourceID=55","")</f>
        <v/>
      </c>
      <c r="P1249" s="4" t="str">
        <f>HYPERLINK("http://141.218.60.56/~jnz1568/getInfo.php?workbook=16_15.xlsx&amp;sheet=A0&amp;row=1249&amp;col=16&amp;number=&amp;sourceID=55","")</f>
        <v/>
      </c>
      <c r="Q1249" s="4" t="str">
        <f>HYPERLINK("http://141.218.60.56/~jnz1568/getInfo.php?workbook=16_15.xlsx&amp;sheet=A0&amp;row=1249&amp;col=17&amp;number=&amp;sourceID=56","")</f>
        <v/>
      </c>
      <c r="R1249" s="4" t="str">
        <f>HYPERLINK("http://141.218.60.56/~jnz1568/getInfo.php?workbook=16_15.xlsx&amp;sheet=A0&amp;row=1249&amp;col=18&amp;number=&amp;sourceID=56","")</f>
        <v/>
      </c>
      <c r="S1249" s="4" t="str">
        <f>HYPERLINK("http://141.218.60.56/~jnz1568/getInfo.php?workbook=16_15.xlsx&amp;sheet=A0&amp;row=1249&amp;col=19&amp;number=&amp;sourceID=57","")</f>
        <v/>
      </c>
      <c r="T1249" s="4" t="str">
        <f>HYPERLINK("http://141.218.60.56/~jnz1568/getInfo.php?workbook=16_15.xlsx&amp;sheet=A0&amp;row=1249&amp;col=20&amp;number=&amp;sourceID=57","")</f>
        <v/>
      </c>
      <c r="U1249" s="4" t="str">
        <f>HYPERLINK("http://141.218.60.56/~jnz1568/getInfo.php?workbook=16_15.xlsx&amp;sheet=A0&amp;row=1249&amp;col=21&amp;number=&amp;sourceID=47","")</f>
        <v/>
      </c>
      <c r="V1249" s="4" t="str">
        <f>HYPERLINK("http://141.218.60.56/~jnz1568/getInfo.php?workbook=16_15.xlsx&amp;sheet=A0&amp;row=1249&amp;col=22&amp;number=&amp;sourceID=47","")</f>
        <v/>
      </c>
    </row>
    <row r="1250" spans="1:22">
      <c r="A1250" s="3">
        <v>16</v>
      </c>
      <c r="B1250" s="3">
        <v>15</v>
      </c>
      <c r="C1250" s="3">
        <v>57</v>
      </c>
      <c r="D1250" s="3">
        <v>26</v>
      </c>
      <c r="E1250" s="3">
        <f>((1/(INDEX(E0!J$4:J$73,C1250,1)-INDEX(E0!J$4:J$73,D1250,1))))*100000000</f>
        <v>0</v>
      </c>
      <c r="F1250" s="4" t="str">
        <f>HYPERLINK("http://141.218.60.56/~jnz1568/getInfo.php?workbook=16_15.xlsx&amp;sheet=A0&amp;row=1250&amp;col=6&amp;number=457730&amp;sourceID=54","457730")</f>
        <v>457730</v>
      </c>
      <c r="G1250" s="4" t="str">
        <f>HYPERLINK("http://141.218.60.56/~jnz1568/getInfo.php?workbook=16_15.xlsx&amp;sheet=A0&amp;row=1250&amp;col=7&amp;number=&amp;sourceID=54","")</f>
        <v/>
      </c>
      <c r="H1250" s="4" t="str">
        <f>HYPERLINK("http://141.218.60.56/~jnz1568/getInfo.php?workbook=16_15.xlsx&amp;sheet=A0&amp;row=1250&amp;col=8&amp;number=&amp;sourceID=54","")</f>
        <v/>
      </c>
      <c r="I1250" s="4" t="str">
        <f>HYPERLINK("http://141.218.60.56/~jnz1568/getInfo.php?workbook=16_15.xlsx&amp;sheet=A0&amp;row=1250&amp;col=9&amp;number=457000&amp;sourceID=54","457000")</f>
        <v>457000</v>
      </c>
      <c r="J1250" s="4" t="str">
        <f>HYPERLINK("http://141.218.60.56/~jnz1568/getInfo.php?workbook=16_15.xlsx&amp;sheet=A0&amp;row=1250&amp;col=10&amp;number=&amp;sourceID=54","")</f>
        <v/>
      </c>
      <c r="K1250" s="4" t="str">
        <f>HYPERLINK("http://141.218.60.56/~jnz1568/getInfo.php?workbook=16_15.xlsx&amp;sheet=A0&amp;row=1250&amp;col=11&amp;number=&amp;sourceID=54","")</f>
        <v/>
      </c>
      <c r="L1250" s="4" t="str">
        <f>HYPERLINK("http://141.218.60.56/~jnz1568/getInfo.php?workbook=16_15.xlsx&amp;sheet=A0&amp;row=1250&amp;col=12&amp;number=437511.591663&amp;sourceID=53","437511.591663")</f>
        <v>437511.591663</v>
      </c>
      <c r="M1250" s="4" t="str">
        <f>HYPERLINK("http://141.218.60.56/~jnz1568/getInfo.php?workbook=16_15.xlsx&amp;sheet=A0&amp;row=1250&amp;col=13&amp;number=&amp;sourceID=53","")</f>
        <v/>
      </c>
      <c r="N1250" s="4" t="str">
        <f>HYPERLINK("http://141.218.60.56/~jnz1568/getInfo.php?workbook=16_15.xlsx&amp;sheet=A0&amp;row=1250&amp;col=14&amp;number=&amp;sourceID=53","")</f>
        <v/>
      </c>
      <c r="O1250" s="4" t="str">
        <f>HYPERLINK("http://141.218.60.56/~jnz1568/getInfo.php?workbook=16_15.xlsx&amp;sheet=A0&amp;row=1250&amp;col=15&amp;number=&amp;sourceID=55","")</f>
        <v/>
      </c>
      <c r="P1250" s="4" t="str">
        <f>HYPERLINK("http://141.218.60.56/~jnz1568/getInfo.php?workbook=16_15.xlsx&amp;sheet=A0&amp;row=1250&amp;col=16&amp;number=&amp;sourceID=55","")</f>
        <v/>
      </c>
      <c r="Q1250" s="4" t="str">
        <f>HYPERLINK("http://141.218.60.56/~jnz1568/getInfo.php?workbook=16_15.xlsx&amp;sheet=A0&amp;row=1250&amp;col=17&amp;number=&amp;sourceID=56","")</f>
        <v/>
      </c>
      <c r="R1250" s="4" t="str">
        <f>HYPERLINK("http://141.218.60.56/~jnz1568/getInfo.php?workbook=16_15.xlsx&amp;sheet=A0&amp;row=1250&amp;col=18&amp;number=&amp;sourceID=56","")</f>
        <v/>
      </c>
      <c r="S1250" s="4" t="str">
        <f>HYPERLINK("http://141.218.60.56/~jnz1568/getInfo.php?workbook=16_15.xlsx&amp;sheet=A0&amp;row=1250&amp;col=19&amp;number=&amp;sourceID=57","")</f>
        <v/>
      </c>
      <c r="T1250" s="4" t="str">
        <f>HYPERLINK("http://141.218.60.56/~jnz1568/getInfo.php?workbook=16_15.xlsx&amp;sheet=A0&amp;row=1250&amp;col=20&amp;number=&amp;sourceID=57","")</f>
        <v/>
      </c>
      <c r="U1250" s="4" t="str">
        <f>HYPERLINK("http://141.218.60.56/~jnz1568/getInfo.php?workbook=16_15.xlsx&amp;sheet=A0&amp;row=1250&amp;col=21&amp;number=&amp;sourceID=47","")</f>
        <v/>
      </c>
      <c r="V1250" s="4" t="str">
        <f>HYPERLINK("http://141.218.60.56/~jnz1568/getInfo.php?workbook=16_15.xlsx&amp;sheet=A0&amp;row=1250&amp;col=22&amp;number=&amp;sourceID=47","")</f>
        <v/>
      </c>
    </row>
    <row r="1251" spans="1:22">
      <c r="A1251" s="3">
        <v>16</v>
      </c>
      <c r="B1251" s="3">
        <v>15</v>
      </c>
      <c r="C1251" s="3">
        <v>57</v>
      </c>
      <c r="D1251" s="3">
        <v>27</v>
      </c>
      <c r="E1251" s="3">
        <f>((1/(INDEX(E0!J$4:J$73,C1251,1)-INDEX(E0!J$4:J$73,D1251,1))))*100000000</f>
        <v>0</v>
      </c>
      <c r="F1251" s="4" t="str">
        <f>HYPERLINK("http://141.218.60.56/~jnz1568/getInfo.php?workbook=16_15.xlsx&amp;sheet=A0&amp;row=1251&amp;col=6&amp;number=11788000&amp;sourceID=54","11788000")</f>
        <v>11788000</v>
      </c>
      <c r="G1251" s="4" t="str">
        <f>HYPERLINK("http://141.218.60.56/~jnz1568/getInfo.php?workbook=16_15.xlsx&amp;sheet=A0&amp;row=1251&amp;col=7&amp;number=&amp;sourceID=54","")</f>
        <v/>
      </c>
      <c r="H1251" s="4" t="str">
        <f>HYPERLINK("http://141.218.60.56/~jnz1568/getInfo.php?workbook=16_15.xlsx&amp;sheet=A0&amp;row=1251&amp;col=8&amp;number=&amp;sourceID=54","")</f>
        <v/>
      </c>
      <c r="I1251" s="4" t="str">
        <f>HYPERLINK("http://141.218.60.56/~jnz1568/getInfo.php?workbook=16_15.xlsx&amp;sheet=A0&amp;row=1251&amp;col=9&amp;number=11495000&amp;sourceID=54","11495000")</f>
        <v>11495000</v>
      </c>
      <c r="J1251" s="4" t="str">
        <f>HYPERLINK("http://141.218.60.56/~jnz1568/getInfo.php?workbook=16_15.xlsx&amp;sheet=A0&amp;row=1251&amp;col=10&amp;number=&amp;sourceID=54","")</f>
        <v/>
      </c>
      <c r="K1251" s="4" t="str">
        <f>HYPERLINK("http://141.218.60.56/~jnz1568/getInfo.php?workbook=16_15.xlsx&amp;sheet=A0&amp;row=1251&amp;col=11&amp;number=&amp;sourceID=54","")</f>
        <v/>
      </c>
      <c r="L1251" s="4" t="str">
        <f>HYPERLINK("http://141.218.60.56/~jnz1568/getInfo.php?workbook=16_15.xlsx&amp;sheet=A0&amp;row=1251&amp;col=12&amp;number=10886748.3689&amp;sourceID=53","10886748.3689")</f>
        <v>10886748.3689</v>
      </c>
      <c r="M1251" s="4" t="str">
        <f>HYPERLINK("http://141.218.60.56/~jnz1568/getInfo.php?workbook=16_15.xlsx&amp;sheet=A0&amp;row=1251&amp;col=13&amp;number=&amp;sourceID=53","")</f>
        <v/>
      </c>
      <c r="N1251" s="4" t="str">
        <f>HYPERLINK("http://141.218.60.56/~jnz1568/getInfo.php?workbook=16_15.xlsx&amp;sheet=A0&amp;row=1251&amp;col=14&amp;number=&amp;sourceID=53","")</f>
        <v/>
      </c>
      <c r="O1251" s="4" t="str">
        <f>HYPERLINK("http://141.218.60.56/~jnz1568/getInfo.php?workbook=16_15.xlsx&amp;sheet=A0&amp;row=1251&amp;col=15&amp;number=&amp;sourceID=55","")</f>
        <v/>
      </c>
      <c r="P1251" s="4" t="str">
        <f>HYPERLINK("http://141.218.60.56/~jnz1568/getInfo.php?workbook=16_15.xlsx&amp;sheet=A0&amp;row=1251&amp;col=16&amp;number=&amp;sourceID=55","")</f>
        <v/>
      </c>
      <c r="Q1251" s="4" t="str">
        <f>HYPERLINK("http://141.218.60.56/~jnz1568/getInfo.php?workbook=16_15.xlsx&amp;sheet=A0&amp;row=1251&amp;col=17&amp;number=&amp;sourceID=56","")</f>
        <v/>
      </c>
      <c r="R1251" s="4" t="str">
        <f>HYPERLINK("http://141.218.60.56/~jnz1568/getInfo.php?workbook=16_15.xlsx&amp;sheet=A0&amp;row=1251&amp;col=18&amp;number=&amp;sourceID=56","")</f>
        <v/>
      </c>
      <c r="S1251" s="4" t="str">
        <f>HYPERLINK("http://141.218.60.56/~jnz1568/getInfo.php?workbook=16_15.xlsx&amp;sheet=A0&amp;row=1251&amp;col=19&amp;number=&amp;sourceID=57","")</f>
        <v/>
      </c>
      <c r="T1251" s="4" t="str">
        <f>HYPERLINK("http://141.218.60.56/~jnz1568/getInfo.php?workbook=16_15.xlsx&amp;sheet=A0&amp;row=1251&amp;col=20&amp;number=&amp;sourceID=57","")</f>
        <v/>
      </c>
      <c r="U1251" s="4" t="str">
        <f>HYPERLINK("http://141.218.60.56/~jnz1568/getInfo.php?workbook=16_15.xlsx&amp;sheet=A0&amp;row=1251&amp;col=21&amp;number=&amp;sourceID=47","")</f>
        <v/>
      </c>
      <c r="V1251" s="4" t="str">
        <f>HYPERLINK("http://141.218.60.56/~jnz1568/getInfo.php?workbook=16_15.xlsx&amp;sheet=A0&amp;row=1251&amp;col=22&amp;number=&amp;sourceID=47","")</f>
        <v/>
      </c>
    </row>
    <row r="1252" spans="1:22">
      <c r="A1252" s="3">
        <v>16</v>
      </c>
      <c r="B1252" s="3">
        <v>15</v>
      </c>
      <c r="C1252" s="3">
        <v>57</v>
      </c>
      <c r="D1252" s="3">
        <v>30</v>
      </c>
      <c r="E1252" s="3">
        <f>((1/(INDEX(E0!J$4:J$73,C1252,1)-INDEX(E0!J$4:J$73,D1252,1))))*100000000</f>
        <v>0</v>
      </c>
      <c r="F1252" s="4" t="str">
        <f>HYPERLINK("http://141.218.60.56/~jnz1568/getInfo.php?workbook=16_15.xlsx&amp;sheet=A0&amp;row=1252&amp;col=6&amp;number=83970000&amp;sourceID=54","83970000")</f>
        <v>83970000</v>
      </c>
      <c r="G1252" s="4" t="str">
        <f>HYPERLINK("http://141.218.60.56/~jnz1568/getInfo.php?workbook=16_15.xlsx&amp;sheet=A0&amp;row=1252&amp;col=7&amp;number=&amp;sourceID=54","")</f>
        <v/>
      </c>
      <c r="H1252" s="4" t="str">
        <f>HYPERLINK("http://141.218.60.56/~jnz1568/getInfo.php?workbook=16_15.xlsx&amp;sheet=A0&amp;row=1252&amp;col=8&amp;number=&amp;sourceID=54","")</f>
        <v/>
      </c>
      <c r="I1252" s="4" t="str">
        <f>HYPERLINK("http://141.218.60.56/~jnz1568/getInfo.php?workbook=16_15.xlsx&amp;sheet=A0&amp;row=1252&amp;col=9&amp;number=79482000&amp;sourceID=54","79482000")</f>
        <v>79482000</v>
      </c>
      <c r="J1252" s="4" t="str">
        <f>HYPERLINK("http://141.218.60.56/~jnz1568/getInfo.php?workbook=16_15.xlsx&amp;sheet=A0&amp;row=1252&amp;col=10&amp;number=&amp;sourceID=54","")</f>
        <v/>
      </c>
      <c r="K1252" s="4" t="str">
        <f>HYPERLINK("http://141.218.60.56/~jnz1568/getInfo.php?workbook=16_15.xlsx&amp;sheet=A0&amp;row=1252&amp;col=11&amp;number=&amp;sourceID=54","")</f>
        <v/>
      </c>
      <c r="L1252" s="4" t="str">
        <f>HYPERLINK("http://141.218.60.56/~jnz1568/getInfo.php?workbook=16_15.xlsx&amp;sheet=A0&amp;row=1252&amp;col=12&amp;number=83326644.45&amp;sourceID=53","83326644.45")</f>
        <v>83326644.45</v>
      </c>
      <c r="M1252" s="4" t="str">
        <f>HYPERLINK("http://141.218.60.56/~jnz1568/getInfo.php?workbook=16_15.xlsx&amp;sheet=A0&amp;row=1252&amp;col=13&amp;number=&amp;sourceID=53","")</f>
        <v/>
      </c>
      <c r="N1252" s="4" t="str">
        <f>HYPERLINK("http://141.218.60.56/~jnz1568/getInfo.php?workbook=16_15.xlsx&amp;sheet=A0&amp;row=1252&amp;col=14&amp;number=&amp;sourceID=53","")</f>
        <v/>
      </c>
      <c r="O1252" s="4" t="str">
        <f>HYPERLINK("http://141.218.60.56/~jnz1568/getInfo.php?workbook=16_15.xlsx&amp;sheet=A0&amp;row=1252&amp;col=15&amp;number=&amp;sourceID=55","")</f>
        <v/>
      </c>
      <c r="P1252" s="4" t="str">
        <f>HYPERLINK("http://141.218.60.56/~jnz1568/getInfo.php?workbook=16_15.xlsx&amp;sheet=A0&amp;row=1252&amp;col=16&amp;number=&amp;sourceID=55","")</f>
        <v/>
      </c>
      <c r="Q1252" s="4" t="str">
        <f>HYPERLINK("http://141.218.60.56/~jnz1568/getInfo.php?workbook=16_15.xlsx&amp;sheet=A0&amp;row=1252&amp;col=17&amp;number=&amp;sourceID=56","")</f>
        <v/>
      </c>
      <c r="R1252" s="4" t="str">
        <f>HYPERLINK("http://141.218.60.56/~jnz1568/getInfo.php?workbook=16_15.xlsx&amp;sheet=A0&amp;row=1252&amp;col=18&amp;number=&amp;sourceID=56","")</f>
        <v/>
      </c>
      <c r="S1252" s="4" t="str">
        <f>HYPERLINK("http://141.218.60.56/~jnz1568/getInfo.php?workbook=16_15.xlsx&amp;sheet=A0&amp;row=1252&amp;col=19&amp;number=&amp;sourceID=57","")</f>
        <v/>
      </c>
      <c r="T1252" s="4" t="str">
        <f>HYPERLINK("http://141.218.60.56/~jnz1568/getInfo.php?workbook=16_15.xlsx&amp;sheet=A0&amp;row=1252&amp;col=20&amp;number=&amp;sourceID=57","")</f>
        <v/>
      </c>
      <c r="U1252" s="4" t="str">
        <f>HYPERLINK("http://141.218.60.56/~jnz1568/getInfo.php?workbook=16_15.xlsx&amp;sheet=A0&amp;row=1252&amp;col=21&amp;number=&amp;sourceID=47","")</f>
        <v/>
      </c>
      <c r="V1252" s="4" t="str">
        <f>HYPERLINK("http://141.218.60.56/~jnz1568/getInfo.php?workbook=16_15.xlsx&amp;sheet=A0&amp;row=1252&amp;col=22&amp;number=&amp;sourceID=47","")</f>
        <v/>
      </c>
    </row>
    <row r="1253" spans="1:22">
      <c r="A1253" s="3">
        <v>16</v>
      </c>
      <c r="B1253" s="3">
        <v>15</v>
      </c>
      <c r="C1253" s="3">
        <v>57</v>
      </c>
      <c r="D1253" s="3">
        <v>32</v>
      </c>
      <c r="E1253" s="3">
        <f>((1/(INDEX(E0!J$4:J$73,C1253,1)-INDEX(E0!J$4:J$73,D1253,1))))*100000000</f>
        <v>0</v>
      </c>
      <c r="F1253" s="4" t="str">
        <f>HYPERLINK("http://141.218.60.56/~jnz1568/getInfo.php?workbook=16_15.xlsx&amp;sheet=A0&amp;row=1253&amp;col=6&amp;number=381450&amp;sourceID=54","381450")</f>
        <v>381450</v>
      </c>
      <c r="G1253" s="4" t="str">
        <f>HYPERLINK("http://141.218.60.56/~jnz1568/getInfo.php?workbook=16_15.xlsx&amp;sheet=A0&amp;row=1253&amp;col=7&amp;number=&amp;sourceID=54","")</f>
        <v/>
      </c>
      <c r="H1253" s="4" t="str">
        <f>HYPERLINK("http://141.218.60.56/~jnz1568/getInfo.php?workbook=16_15.xlsx&amp;sheet=A0&amp;row=1253&amp;col=8&amp;number=&amp;sourceID=54","")</f>
        <v/>
      </c>
      <c r="I1253" s="4" t="str">
        <f>HYPERLINK("http://141.218.60.56/~jnz1568/getInfo.php?workbook=16_15.xlsx&amp;sheet=A0&amp;row=1253&amp;col=9&amp;number=431430&amp;sourceID=54","431430")</f>
        <v>431430</v>
      </c>
      <c r="J1253" s="4" t="str">
        <f>HYPERLINK("http://141.218.60.56/~jnz1568/getInfo.php?workbook=16_15.xlsx&amp;sheet=A0&amp;row=1253&amp;col=10&amp;number=&amp;sourceID=54","")</f>
        <v/>
      </c>
      <c r="K1253" s="4" t="str">
        <f>HYPERLINK("http://141.218.60.56/~jnz1568/getInfo.php?workbook=16_15.xlsx&amp;sheet=A0&amp;row=1253&amp;col=11&amp;number=&amp;sourceID=54","")</f>
        <v/>
      </c>
      <c r="L1253" s="4" t="str">
        <f>HYPERLINK("http://141.218.60.56/~jnz1568/getInfo.php?workbook=16_15.xlsx&amp;sheet=A0&amp;row=1253&amp;col=12&amp;number=414001.024868&amp;sourceID=53","414001.024868")</f>
        <v>414001.024868</v>
      </c>
      <c r="M1253" s="4" t="str">
        <f>HYPERLINK("http://141.218.60.56/~jnz1568/getInfo.php?workbook=16_15.xlsx&amp;sheet=A0&amp;row=1253&amp;col=13&amp;number=&amp;sourceID=53","")</f>
        <v/>
      </c>
      <c r="N1253" s="4" t="str">
        <f>HYPERLINK("http://141.218.60.56/~jnz1568/getInfo.php?workbook=16_15.xlsx&amp;sheet=A0&amp;row=1253&amp;col=14&amp;number=&amp;sourceID=53","")</f>
        <v/>
      </c>
      <c r="O1253" s="4" t="str">
        <f>HYPERLINK("http://141.218.60.56/~jnz1568/getInfo.php?workbook=16_15.xlsx&amp;sheet=A0&amp;row=1253&amp;col=15&amp;number=&amp;sourceID=55","")</f>
        <v/>
      </c>
      <c r="P1253" s="4" t="str">
        <f>HYPERLINK("http://141.218.60.56/~jnz1568/getInfo.php?workbook=16_15.xlsx&amp;sheet=A0&amp;row=1253&amp;col=16&amp;number=&amp;sourceID=55","")</f>
        <v/>
      </c>
      <c r="Q1253" s="4" t="str">
        <f>HYPERLINK("http://141.218.60.56/~jnz1568/getInfo.php?workbook=16_15.xlsx&amp;sheet=A0&amp;row=1253&amp;col=17&amp;number=&amp;sourceID=56","")</f>
        <v/>
      </c>
      <c r="R1253" s="4" t="str">
        <f>HYPERLINK("http://141.218.60.56/~jnz1568/getInfo.php?workbook=16_15.xlsx&amp;sheet=A0&amp;row=1253&amp;col=18&amp;number=&amp;sourceID=56","")</f>
        <v/>
      </c>
      <c r="S1253" s="4" t="str">
        <f>HYPERLINK("http://141.218.60.56/~jnz1568/getInfo.php?workbook=16_15.xlsx&amp;sheet=A0&amp;row=1253&amp;col=19&amp;number=&amp;sourceID=57","")</f>
        <v/>
      </c>
      <c r="T1253" s="4" t="str">
        <f>HYPERLINK("http://141.218.60.56/~jnz1568/getInfo.php?workbook=16_15.xlsx&amp;sheet=A0&amp;row=1253&amp;col=20&amp;number=&amp;sourceID=57","")</f>
        <v/>
      </c>
      <c r="U1253" s="4" t="str">
        <f>HYPERLINK("http://141.218.60.56/~jnz1568/getInfo.php?workbook=16_15.xlsx&amp;sheet=A0&amp;row=1253&amp;col=21&amp;number=&amp;sourceID=47","")</f>
        <v/>
      </c>
      <c r="V1253" s="4" t="str">
        <f>HYPERLINK("http://141.218.60.56/~jnz1568/getInfo.php?workbook=16_15.xlsx&amp;sheet=A0&amp;row=1253&amp;col=22&amp;number=&amp;sourceID=47","")</f>
        <v/>
      </c>
    </row>
    <row r="1254" spans="1:22">
      <c r="A1254" s="3">
        <v>16</v>
      </c>
      <c r="B1254" s="3">
        <v>15</v>
      </c>
      <c r="C1254" s="3">
        <v>57</v>
      </c>
      <c r="D1254" s="3">
        <v>33</v>
      </c>
      <c r="E1254" s="3">
        <f>((1/(INDEX(E0!J$4:J$73,C1254,1)-INDEX(E0!J$4:J$73,D1254,1))))*100000000</f>
        <v>0</v>
      </c>
      <c r="F1254" s="4" t="str">
        <f>HYPERLINK("http://141.218.60.56/~jnz1568/getInfo.php?workbook=16_15.xlsx&amp;sheet=A0&amp;row=1254&amp;col=6&amp;number=15350000&amp;sourceID=54","15350000")</f>
        <v>15350000</v>
      </c>
      <c r="G1254" s="4" t="str">
        <f>HYPERLINK("http://141.218.60.56/~jnz1568/getInfo.php?workbook=16_15.xlsx&amp;sheet=A0&amp;row=1254&amp;col=7&amp;number=&amp;sourceID=54","")</f>
        <v/>
      </c>
      <c r="H1254" s="4" t="str">
        <f>HYPERLINK("http://141.218.60.56/~jnz1568/getInfo.php?workbook=16_15.xlsx&amp;sheet=A0&amp;row=1254&amp;col=8&amp;number=&amp;sourceID=54","")</f>
        <v/>
      </c>
      <c r="I1254" s="4" t="str">
        <f>HYPERLINK("http://141.218.60.56/~jnz1568/getInfo.php?workbook=16_15.xlsx&amp;sheet=A0&amp;row=1254&amp;col=9&amp;number=17351000&amp;sourceID=54","17351000")</f>
        <v>17351000</v>
      </c>
      <c r="J1254" s="4" t="str">
        <f>HYPERLINK("http://141.218.60.56/~jnz1568/getInfo.php?workbook=16_15.xlsx&amp;sheet=A0&amp;row=1254&amp;col=10&amp;number=&amp;sourceID=54","")</f>
        <v/>
      </c>
      <c r="K1254" s="4" t="str">
        <f>HYPERLINK("http://141.218.60.56/~jnz1568/getInfo.php?workbook=16_15.xlsx&amp;sheet=A0&amp;row=1254&amp;col=11&amp;number=&amp;sourceID=54","")</f>
        <v/>
      </c>
      <c r="L1254" s="4" t="str">
        <f>HYPERLINK("http://141.218.60.56/~jnz1568/getInfo.php?workbook=16_15.xlsx&amp;sheet=A0&amp;row=1254&amp;col=12&amp;number=16450700.6454&amp;sourceID=53","16450700.6454")</f>
        <v>16450700.6454</v>
      </c>
      <c r="M1254" s="4" t="str">
        <f>HYPERLINK("http://141.218.60.56/~jnz1568/getInfo.php?workbook=16_15.xlsx&amp;sheet=A0&amp;row=1254&amp;col=13&amp;number=&amp;sourceID=53","")</f>
        <v/>
      </c>
      <c r="N1254" s="4" t="str">
        <f>HYPERLINK("http://141.218.60.56/~jnz1568/getInfo.php?workbook=16_15.xlsx&amp;sheet=A0&amp;row=1254&amp;col=14&amp;number=&amp;sourceID=53","")</f>
        <v/>
      </c>
      <c r="O1254" s="4" t="str">
        <f>HYPERLINK("http://141.218.60.56/~jnz1568/getInfo.php?workbook=16_15.xlsx&amp;sheet=A0&amp;row=1254&amp;col=15&amp;number=&amp;sourceID=55","")</f>
        <v/>
      </c>
      <c r="P1254" s="4" t="str">
        <f>HYPERLINK("http://141.218.60.56/~jnz1568/getInfo.php?workbook=16_15.xlsx&amp;sheet=A0&amp;row=1254&amp;col=16&amp;number=&amp;sourceID=55","")</f>
        <v/>
      </c>
      <c r="Q1254" s="4" t="str">
        <f>HYPERLINK("http://141.218.60.56/~jnz1568/getInfo.php?workbook=16_15.xlsx&amp;sheet=A0&amp;row=1254&amp;col=17&amp;number=&amp;sourceID=56","")</f>
        <v/>
      </c>
      <c r="R1254" s="4" t="str">
        <f>HYPERLINK("http://141.218.60.56/~jnz1568/getInfo.php?workbook=16_15.xlsx&amp;sheet=A0&amp;row=1254&amp;col=18&amp;number=&amp;sourceID=56","")</f>
        <v/>
      </c>
      <c r="S1254" s="4" t="str">
        <f>HYPERLINK("http://141.218.60.56/~jnz1568/getInfo.php?workbook=16_15.xlsx&amp;sheet=A0&amp;row=1254&amp;col=19&amp;number=&amp;sourceID=57","")</f>
        <v/>
      </c>
      <c r="T1254" s="4" t="str">
        <f>HYPERLINK("http://141.218.60.56/~jnz1568/getInfo.php?workbook=16_15.xlsx&amp;sheet=A0&amp;row=1254&amp;col=20&amp;number=&amp;sourceID=57","")</f>
        <v/>
      </c>
      <c r="U1254" s="4" t="str">
        <f>HYPERLINK("http://141.218.60.56/~jnz1568/getInfo.php?workbook=16_15.xlsx&amp;sheet=A0&amp;row=1254&amp;col=21&amp;number=&amp;sourceID=47","")</f>
        <v/>
      </c>
      <c r="V1254" s="4" t="str">
        <f>HYPERLINK("http://141.218.60.56/~jnz1568/getInfo.php?workbook=16_15.xlsx&amp;sheet=A0&amp;row=1254&amp;col=22&amp;number=&amp;sourceID=47","")</f>
        <v/>
      </c>
    </row>
    <row r="1255" spans="1:22">
      <c r="A1255" s="3">
        <v>16</v>
      </c>
      <c r="B1255" s="3">
        <v>15</v>
      </c>
      <c r="C1255" s="3">
        <v>57</v>
      </c>
      <c r="D1255" s="3">
        <v>35</v>
      </c>
      <c r="E1255" s="3">
        <f>((1/(INDEX(E0!J$4:J$73,C1255,1)-INDEX(E0!J$4:J$73,D1255,1))))*100000000</f>
        <v>0</v>
      </c>
      <c r="F1255" s="4" t="str">
        <f>HYPERLINK("http://141.218.60.56/~jnz1568/getInfo.php?workbook=16_15.xlsx&amp;sheet=A0&amp;row=1255&amp;col=6&amp;number=&amp;sourceID=54","")</f>
        <v/>
      </c>
      <c r="G1255" s="4" t="str">
        <f>HYPERLINK("http://141.218.60.56/~jnz1568/getInfo.php?workbook=16_15.xlsx&amp;sheet=A0&amp;row=1255&amp;col=7&amp;number=2.1856e-05&amp;sourceID=54","2.1856e-05")</f>
        <v>2.1856e-05</v>
      </c>
      <c r="H1255" s="4" t="str">
        <f>HYPERLINK("http://141.218.60.56/~jnz1568/getInfo.php?workbook=16_15.xlsx&amp;sheet=A0&amp;row=1255&amp;col=8&amp;number=&amp;sourceID=54","")</f>
        <v/>
      </c>
      <c r="I1255" s="4" t="str">
        <f>HYPERLINK("http://141.218.60.56/~jnz1568/getInfo.php?workbook=16_15.xlsx&amp;sheet=A0&amp;row=1255&amp;col=9&amp;number=&amp;sourceID=54","")</f>
        <v/>
      </c>
      <c r="J1255" s="4" t="str">
        <f>HYPERLINK("http://141.218.60.56/~jnz1568/getInfo.php?workbook=16_15.xlsx&amp;sheet=A0&amp;row=1255&amp;col=10&amp;number=1.6244e-05&amp;sourceID=54","1.6244e-05")</f>
        <v>1.6244e-05</v>
      </c>
      <c r="K1255" s="4" t="str">
        <f>HYPERLINK("http://141.218.60.56/~jnz1568/getInfo.php?workbook=16_15.xlsx&amp;sheet=A0&amp;row=1255&amp;col=11&amp;number=&amp;sourceID=54","")</f>
        <v/>
      </c>
      <c r="L1255" s="4" t="str">
        <f>HYPERLINK("http://141.218.60.56/~jnz1568/getInfo.php?workbook=16_15.xlsx&amp;sheet=A0&amp;row=1255&amp;col=12&amp;number=&amp;sourceID=53","")</f>
        <v/>
      </c>
      <c r="M1255" s="4" t="str">
        <f>HYPERLINK("http://141.218.60.56/~jnz1568/getInfo.php?workbook=16_15.xlsx&amp;sheet=A0&amp;row=1255&amp;col=13&amp;number=&amp;sourceID=53","")</f>
        <v/>
      </c>
      <c r="N1255" s="4" t="str">
        <f>HYPERLINK("http://141.218.60.56/~jnz1568/getInfo.php?workbook=16_15.xlsx&amp;sheet=A0&amp;row=1255&amp;col=14&amp;number=&amp;sourceID=53","")</f>
        <v/>
      </c>
      <c r="O1255" s="4" t="str">
        <f>HYPERLINK("http://141.218.60.56/~jnz1568/getInfo.php?workbook=16_15.xlsx&amp;sheet=A0&amp;row=1255&amp;col=15&amp;number=&amp;sourceID=55","")</f>
        <v/>
      </c>
      <c r="P1255" s="4" t="str">
        <f>HYPERLINK("http://141.218.60.56/~jnz1568/getInfo.php?workbook=16_15.xlsx&amp;sheet=A0&amp;row=1255&amp;col=16&amp;number=&amp;sourceID=55","")</f>
        <v/>
      </c>
      <c r="Q1255" s="4" t="str">
        <f>HYPERLINK("http://141.218.60.56/~jnz1568/getInfo.php?workbook=16_15.xlsx&amp;sheet=A0&amp;row=1255&amp;col=17&amp;number=&amp;sourceID=56","")</f>
        <v/>
      </c>
      <c r="R1255" s="4" t="str">
        <f>HYPERLINK("http://141.218.60.56/~jnz1568/getInfo.php?workbook=16_15.xlsx&amp;sheet=A0&amp;row=1255&amp;col=18&amp;number=&amp;sourceID=56","")</f>
        <v/>
      </c>
      <c r="S1255" s="4" t="str">
        <f>HYPERLINK("http://141.218.60.56/~jnz1568/getInfo.php?workbook=16_15.xlsx&amp;sheet=A0&amp;row=1255&amp;col=19&amp;number=&amp;sourceID=57","")</f>
        <v/>
      </c>
      <c r="T1255" s="4" t="str">
        <f>HYPERLINK("http://141.218.60.56/~jnz1568/getInfo.php?workbook=16_15.xlsx&amp;sheet=A0&amp;row=1255&amp;col=20&amp;number=&amp;sourceID=57","")</f>
        <v/>
      </c>
      <c r="U1255" s="4" t="str">
        <f>HYPERLINK("http://141.218.60.56/~jnz1568/getInfo.php?workbook=16_15.xlsx&amp;sheet=A0&amp;row=1255&amp;col=21&amp;number=&amp;sourceID=47","")</f>
        <v/>
      </c>
      <c r="V1255" s="4" t="str">
        <f>HYPERLINK("http://141.218.60.56/~jnz1568/getInfo.php?workbook=16_15.xlsx&amp;sheet=A0&amp;row=1255&amp;col=22&amp;number=&amp;sourceID=47","")</f>
        <v/>
      </c>
    </row>
    <row r="1256" spans="1:22">
      <c r="A1256" s="3">
        <v>16</v>
      </c>
      <c r="B1256" s="3">
        <v>15</v>
      </c>
      <c r="C1256" s="3">
        <v>57</v>
      </c>
      <c r="D1256" s="3">
        <v>36</v>
      </c>
      <c r="E1256" s="3">
        <f>((1/(INDEX(E0!J$4:J$73,C1256,1)-INDEX(E0!J$4:J$73,D1256,1))))*100000000</f>
        <v>0</v>
      </c>
      <c r="F1256" s="4" t="str">
        <f>HYPERLINK("http://141.218.60.56/~jnz1568/getInfo.php?workbook=16_15.xlsx&amp;sheet=A0&amp;row=1256&amp;col=6&amp;number=&amp;sourceID=54","")</f>
        <v/>
      </c>
      <c r="G1256" s="4" t="str">
        <f>HYPERLINK("http://141.218.60.56/~jnz1568/getInfo.php?workbook=16_15.xlsx&amp;sheet=A0&amp;row=1256&amp;col=7&amp;number=7.4218e-05&amp;sourceID=54","7.4218e-05")</f>
        <v>7.4218e-05</v>
      </c>
      <c r="H1256" s="4" t="str">
        <f>HYPERLINK("http://141.218.60.56/~jnz1568/getInfo.php?workbook=16_15.xlsx&amp;sheet=A0&amp;row=1256&amp;col=8&amp;number=0.016598&amp;sourceID=54","0.016598")</f>
        <v>0.016598</v>
      </c>
      <c r="I1256" s="4" t="str">
        <f>HYPERLINK("http://141.218.60.56/~jnz1568/getInfo.php?workbook=16_15.xlsx&amp;sheet=A0&amp;row=1256&amp;col=9&amp;number=&amp;sourceID=54","")</f>
        <v/>
      </c>
      <c r="J1256" s="4" t="str">
        <f>HYPERLINK("http://141.218.60.56/~jnz1568/getInfo.php?workbook=16_15.xlsx&amp;sheet=A0&amp;row=1256&amp;col=10&amp;number=7.3579e-05&amp;sourceID=54","7.3579e-05")</f>
        <v>7.3579e-05</v>
      </c>
      <c r="K1256" s="4" t="str">
        <f>HYPERLINK("http://141.218.60.56/~jnz1568/getInfo.php?workbook=16_15.xlsx&amp;sheet=A0&amp;row=1256&amp;col=11&amp;number=0.015982&amp;sourceID=54","0.015982")</f>
        <v>0.015982</v>
      </c>
      <c r="L1256" s="4" t="str">
        <f>HYPERLINK("http://141.218.60.56/~jnz1568/getInfo.php?workbook=16_15.xlsx&amp;sheet=A0&amp;row=1256&amp;col=12&amp;number=&amp;sourceID=53","")</f>
        <v/>
      </c>
      <c r="M1256" s="4" t="str">
        <f>HYPERLINK("http://141.218.60.56/~jnz1568/getInfo.php?workbook=16_15.xlsx&amp;sheet=A0&amp;row=1256&amp;col=13&amp;number=&amp;sourceID=53","")</f>
        <v/>
      </c>
      <c r="N1256" s="4" t="str">
        <f>HYPERLINK("http://141.218.60.56/~jnz1568/getInfo.php?workbook=16_15.xlsx&amp;sheet=A0&amp;row=1256&amp;col=14&amp;number=&amp;sourceID=53","")</f>
        <v/>
      </c>
      <c r="O1256" s="4" t="str">
        <f>HYPERLINK("http://141.218.60.56/~jnz1568/getInfo.php?workbook=16_15.xlsx&amp;sheet=A0&amp;row=1256&amp;col=15&amp;number=&amp;sourceID=55","")</f>
        <v/>
      </c>
      <c r="P1256" s="4" t="str">
        <f>HYPERLINK("http://141.218.60.56/~jnz1568/getInfo.php?workbook=16_15.xlsx&amp;sheet=A0&amp;row=1256&amp;col=16&amp;number=&amp;sourceID=55","")</f>
        <v/>
      </c>
      <c r="Q1256" s="4" t="str">
        <f>HYPERLINK("http://141.218.60.56/~jnz1568/getInfo.php?workbook=16_15.xlsx&amp;sheet=A0&amp;row=1256&amp;col=17&amp;number=&amp;sourceID=56","")</f>
        <v/>
      </c>
      <c r="R1256" s="4" t="str">
        <f>HYPERLINK("http://141.218.60.56/~jnz1568/getInfo.php?workbook=16_15.xlsx&amp;sheet=A0&amp;row=1256&amp;col=18&amp;number=&amp;sourceID=56","")</f>
        <v/>
      </c>
      <c r="S1256" s="4" t="str">
        <f>HYPERLINK("http://141.218.60.56/~jnz1568/getInfo.php?workbook=16_15.xlsx&amp;sheet=A0&amp;row=1256&amp;col=19&amp;number=&amp;sourceID=57","")</f>
        <v/>
      </c>
      <c r="T1256" s="4" t="str">
        <f>HYPERLINK("http://141.218.60.56/~jnz1568/getInfo.php?workbook=16_15.xlsx&amp;sheet=A0&amp;row=1256&amp;col=20&amp;number=&amp;sourceID=57","")</f>
        <v/>
      </c>
      <c r="U1256" s="4" t="str">
        <f>HYPERLINK("http://141.218.60.56/~jnz1568/getInfo.php?workbook=16_15.xlsx&amp;sheet=A0&amp;row=1256&amp;col=21&amp;number=&amp;sourceID=47","")</f>
        <v/>
      </c>
      <c r="V1256" s="4" t="str">
        <f>HYPERLINK("http://141.218.60.56/~jnz1568/getInfo.php?workbook=16_15.xlsx&amp;sheet=A0&amp;row=1256&amp;col=22&amp;number=&amp;sourceID=47","")</f>
        <v/>
      </c>
    </row>
    <row r="1257" spans="1:22">
      <c r="A1257" s="3">
        <v>16</v>
      </c>
      <c r="B1257" s="3">
        <v>15</v>
      </c>
      <c r="C1257" s="3">
        <v>57</v>
      </c>
      <c r="D1257" s="3">
        <v>37</v>
      </c>
      <c r="E1257" s="3">
        <f>((1/(INDEX(E0!J$4:J$73,C1257,1)-INDEX(E0!J$4:J$73,D1257,1))))*100000000</f>
        <v>0</v>
      </c>
      <c r="F1257" s="4" t="str">
        <f>HYPERLINK("http://141.218.60.56/~jnz1568/getInfo.php?workbook=16_15.xlsx&amp;sheet=A0&amp;row=1257&amp;col=6&amp;number=&amp;sourceID=54","")</f>
        <v/>
      </c>
      <c r="G1257" s="4" t="str">
        <f>HYPERLINK("http://141.218.60.56/~jnz1568/getInfo.php?workbook=16_15.xlsx&amp;sheet=A0&amp;row=1257&amp;col=7&amp;number=0.00020358&amp;sourceID=54","0.00020358")</f>
        <v>0.00020358</v>
      </c>
      <c r="H1257" s="4" t="str">
        <f>HYPERLINK("http://141.218.60.56/~jnz1568/getInfo.php?workbook=16_15.xlsx&amp;sheet=A0&amp;row=1257&amp;col=8&amp;number=0.048672&amp;sourceID=54","0.048672")</f>
        <v>0.048672</v>
      </c>
      <c r="I1257" s="4" t="str">
        <f>HYPERLINK("http://141.218.60.56/~jnz1568/getInfo.php?workbook=16_15.xlsx&amp;sheet=A0&amp;row=1257&amp;col=9&amp;number=&amp;sourceID=54","")</f>
        <v/>
      </c>
      <c r="J1257" s="4" t="str">
        <f>HYPERLINK("http://141.218.60.56/~jnz1568/getInfo.php?workbook=16_15.xlsx&amp;sheet=A0&amp;row=1257&amp;col=10&amp;number=0.00017847&amp;sourceID=54","0.00017847")</f>
        <v>0.00017847</v>
      </c>
      <c r="K1257" s="4" t="str">
        <f>HYPERLINK("http://141.218.60.56/~jnz1568/getInfo.php?workbook=16_15.xlsx&amp;sheet=A0&amp;row=1257&amp;col=11&amp;number=0.046638&amp;sourceID=54","0.046638")</f>
        <v>0.046638</v>
      </c>
      <c r="L1257" s="4" t="str">
        <f>HYPERLINK("http://141.218.60.56/~jnz1568/getInfo.php?workbook=16_15.xlsx&amp;sheet=A0&amp;row=1257&amp;col=12&amp;number=&amp;sourceID=53","")</f>
        <v/>
      </c>
      <c r="M1257" s="4" t="str">
        <f>HYPERLINK("http://141.218.60.56/~jnz1568/getInfo.php?workbook=16_15.xlsx&amp;sheet=A0&amp;row=1257&amp;col=13&amp;number=&amp;sourceID=53","")</f>
        <v/>
      </c>
      <c r="N1257" s="4" t="str">
        <f>HYPERLINK("http://141.218.60.56/~jnz1568/getInfo.php?workbook=16_15.xlsx&amp;sheet=A0&amp;row=1257&amp;col=14&amp;number=&amp;sourceID=53","")</f>
        <v/>
      </c>
      <c r="O1257" s="4" t="str">
        <f>HYPERLINK("http://141.218.60.56/~jnz1568/getInfo.php?workbook=16_15.xlsx&amp;sheet=A0&amp;row=1257&amp;col=15&amp;number=&amp;sourceID=55","")</f>
        <v/>
      </c>
      <c r="P1257" s="4" t="str">
        <f>HYPERLINK("http://141.218.60.56/~jnz1568/getInfo.php?workbook=16_15.xlsx&amp;sheet=A0&amp;row=1257&amp;col=16&amp;number=&amp;sourceID=55","")</f>
        <v/>
      </c>
      <c r="Q1257" s="4" t="str">
        <f>HYPERLINK("http://141.218.60.56/~jnz1568/getInfo.php?workbook=16_15.xlsx&amp;sheet=A0&amp;row=1257&amp;col=17&amp;number=&amp;sourceID=56","")</f>
        <v/>
      </c>
      <c r="R1257" s="4" t="str">
        <f>HYPERLINK("http://141.218.60.56/~jnz1568/getInfo.php?workbook=16_15.xlsx&amp;sheet=A0&amp;row=1257&amp;col=18&amp;number=&amp;sourceID=56","")</f>
        <v/>
      </c>
      <c r="S1257" s="4" t="str">
        <f>HYPERLINK("http://141.218.60.56/~jnz1568/getInfo.php?workbook=16_15.xlsx&amp;sheet=A0&amp;row=1257&amp;col=19&amp;number=&amp;sourceID=57","")</f>
        <v/>
      </c>
      <c r="T1257" s="4" t="str">
        <f>HYPERLINK("http://141.218.60.56/~jnz1568/getInfo.php?workbook=16_15.xlsx&amp;sheet=A0&amp;row=1257&amp;col=20&amp;number=&amp;sourceID=57","")</f>
        <v/>
      </c>
      <c r="U1257" s="4" t="str">
        <f>HYPERLINK("http://141.218.60.56/~jnz1568/getInfo.php?workbook=16_15.xlsx&amp;sheet=A0&amp;row=1257&amp;col=21&amp;number=&amp;sourceID=47","")</f>
        <v/>
      </c>
      <c r="V1257" s="4" t="str">
        <f>HYPERLINK("http://141.218.60.56/~jnz1568/getInfo.php?workbook=16_15.xlsx&amp;sheet=A0&amp;row=1257&amp;col=22&amp;number=&amp;sourceID=47","")</f>
        <v/>
      </c>
    </row>
    <row r="1258" spans="1:22">
      <c r="A1258" s="3">
        <v>16</v>
      </c>
      <c r="B1258" s="3">
        <v>15</v>
      </c>
      <c r="C1258" s="3">
        <v>57</v>
      </c>
      <c r="D1258" s="3">
        <v>39</v>
      </c>
      <c r="E1258" s="3">
        <f>((1/(INDEX(E0!J$4:J$73,C1258,1)-INDEX(E0!J$4:J$73,D1258,1))))*100000000</f>
        <v>0</v>
      </c>
      <c r="F1258" s="4" t="str">
        <f>HYPERLINK("http://141.218.60.56/~jnz1568/getInfo.php?workbook=16_15.xlsx&amp;sheet=A0&amp;row=1258&amp;col=6&amp;number=&amp;sourceID=54","")</f>
        <v/>
      </c>
      <c r="G1258" s="4" t="str">
        <f>HYPERLINK("http://141.218.60.56/~jnz1568/getInfo.php?workbook=16_15.xlsx&amp;sheet=A0&amp;row=1258&amp;col=7&amp;number=0.00030961&amp;sourceID=54","0.00030961")</f>
        <v>0.00030961</v>
      </c>
      <c r="H1258" s="4" t="str">
        <f>HYPERLINK("http://141.218.60.56/~jnz1568/getInfo.php?workbook=16_15.xlsx&amp;sheet=A0&amp;row=1258&amp;col=8&amp;number=&amp;sourceID=54","")</f>
        <v/>
      </c>
      <c r="I1258" s="4" t="str">
        <f>HYPERLINK("http://141.218.60.56/~jnz1568/getInfo.php?workbook=16_15.xlsx&amp;sheet=A0&amp;row=1258&amp;col=9&amp;number=&amp;sourceID=54","")</f>
        <v/>
      </c>
      <c r="J1258" s="4" t="str">
        <f>HYPERLINK("http://141.218.60.56/~jnz1568/getInfo.php?workbook=16_15.xlsx&amp;sheet=A0&amp;row=1258&amp;col=10&amp;number=0.00026837&amp;sourceID=54","0.00026837")</f>
        <v>0.00026837</v>
      </c>
      <c r="K1258" s="4" t="str">
        <f>HYPERLINK("http://141.218.60.56/~jnz1568/getInfo.php?workbook=16_15.xlsx&amp;sheet=A0&amp;row=1258&amp;col=11&amp;number=&amp;sourceID=54","")</f>
        <v/>
      </c>
      <c r="L1258" s="4" t="str">
        <f>HYPERLINK("http://141.218.60.56/~jnz1568/getInfo.php?workbook=16_15.xlsx&amp;sheet=A0&amp;row=1258&amp;col=12&amp;number=&amp;sourceID=53","")</f>
        <v/>
      </c>
      <c r="M1258" s="4" t="str">
        <f>HYPERLINK("http://141.218.60.56/~jnz1568/getInfo.php?workbook=16_15.xlsx&amp;sheet=A0&amp;row=1258&amp;col=13&amp;number=&amp;sourceID=53","")</f>
        <v/>
      </c>
      <c r="N1258" s="4" t="str">
        <f>HYPERLINK("http://141.218.60.56/~jnz1568/getInfo.php?workbook=16_15.xlsx&amp;sheet=A0&amp;row=1258&amp;col=14&amp;number=&amp;sourceID=53","")</f>
        <v/>
      </c>
      <c r="O1258" s="4" t="str">
        <f>HYPERLINK("http://141.218.60.56/~jnz1568/getInfo.php?workbook=16_15.xlsx&amp;sheet=A0&amp;row=1258&amp;col=15&amp;number=&amp;sourceID=55","")</f>
        <v/>
      </c>
      <c r="P1258" s="4" t="str">
        <f>HYPERLINK("http://141.218.60.56/~jnz1568/getInfo.php?workbook=16_15.xlsx&amp;sheet=A0&amp;row=1258&amp;col=16&amp;number=&amp;sourceID=55","")</f>
        <v/>
      </c>
      <c r="Q1258" s="4" t="str">
        <f>HYPERLINK("http://141.218.60.56/~jnz1568/getInfo.php?workbook=16_15.xlsx&amp;sheet=A0&amp;row=1258&amp;col=17&amp;number=&amp;sourceID=56","")</f>
        <v/>
      </c>
      <c r="R1258" s="4" t="str">
        <f>HYPERLINK("http://141.218.60.56/~jnz1568/getInfo.php?workbook=16_15.xlsx&amp;sheet=A0&amp;row=1258&amp;col=18&amp;number=&amp;sourceID=56","")</f>
        <v/>
      </c>
      <c r="S1258" s="4" t="str">
        <f>HYPERLINK("http://141.218.60.56/~jnz1568/getInfo.php?workbook=16_15.xlsx&amp;sheet=A0&amp;row=1258&amp;col=19&amp;number=&amp;sourceID=57","")</f>
        <v/>
      </c>
      <c r="T1258" s="4" t="str">
        <f>HYPERLINK("http://141.218.60.56/~jnz1568/getInfo.php?workbook=16_15.xlsx&amp;sheet=A0&amp;row=1258&amp;col=20&amp;number=&amp;sourceID=57","")</f>
        <v/>
      </c>
      <c r="U1258" s="4" t="str">
        <f>HYPERLINK("http://141.218.60.56/~jnz1568/getInfo.php?workbook=16_15.xlsx&amp;sheet=A0&amp;row=1258&amp;col=21&amp;number=&amp;sourceID=47","")</f>
        <v/>
      </c>
      <c r="V1258" s="4" t="str">
        <f>HYPERLINK("http://141.218.60.56/~jnz1568/getInfo.php?workbook=16_15.xlsx&amp;sheet=A0&amp;row=1258&amp;col=22&amp;number=&amp;sourceID=47","")</f>
        <v/>
      </c>
    </row>
    <row r="1259" spans="1:22">
      <c r="A1259" s="3">
        <v>16</v>
      </c>
      <c r="B1259" s="3">
        <v>15</v>
      </c>
      <c r="C1259" s="3">
        <v>57</v>
      </c>
      <c r="D1259" s="3">
        <v>40</v>
      </c>
      <c r="E1259" s="3">
        <f>((1/(INDEX(E0!J$4:J$73,C1259,1)-INDEX(E0!J$4:J$73,D1259,1))))*100000000</f>
        <v>0</v>
      </c>
      <c r="F1259" s="4" t="str">
        <f>HYPERLINK("http://141.218.60.56/~jnz1568/getInfo.php?workbook=16_15.xlsx&amp;sheet=A0&amp;row=1259&amp;col=6&amp;number=&amp;sourceID=54","")</f>
        <v/>
      </c>
      <c r="G1259" s="4" t="str">
        <f>HYPERLINK("http://141.218.60.56/~jnz1568/getInfo.php?workbook=16_15.xlsx&amp;sheet=A0&amp;row=1259&amp;col=7&amp;number=0.004071&amp;sourceID=54","0.004071")</f>
        <v>0.004071</v>
      </c>
      <c r="H1259" s="4" t="str">
        <f>HYPERLINK("http://141.218.60.56/~jnz1568/getInfo.php?workbook=16_15.xlsx&amp;sheet=A0&amp;row=1259&amp;col=8&amp;number=0.0001052&amp;sourceID=54","0.0001052")</f>
        <v>0.0001052</v>
      </c>
      <c r="I1259" s="4" t="str">
        <f>HYPERLINK("http://141.218.60.56/~jnz1568/getInfo.php?workbook=16_15.xlsx&amp;sheet=A0&amp;row=1259&amp;col=9&amp;number=&amp;sourceID=54","")</f>
        <v/>
      </c>
      <c r="J1259" s="4" t="str">
        <f>HYPERLINK("http://141.218.60.56/~jnz1568/getInfo.php?workbook=16_15.xlsx&amp;sheet=A0&amp;row=1259&amp;col=10&amp;number=0.0036517&amp;sourceID=54","0.0036517")</f>
        <v>0.0036517</v>
      </c>
      <c r="K1259" s="4" t="str">
        <f>HYPERLINK("http://141.218.60.56/~jnz1568/getInfo.php?workbook=16_15.xlsx&amp;sheet=A0&amp;row=1259&amp;col=11&amp;number=0.00014129&amp;sourceID=54","0.00014129")</f>
        <v>0.00014129</v>
      </c>
      <c r="L1259" s="4" t="str">
        <f>HYPERLINK("http://141.218.60.56/~jnz1568/getInfo.php?workbook=16_15.xlsx&amp;sheet=A0&amp;row=1259&amp;col=12&amp;number=&amp;sourceID=53","")</f>
        <v/>
      </c>
      <c r="M1259" s="4" t="str">
        <f>HYPERLINK("http://141.218.60.56/~jnz1568/getInfo.php?workbook=16_15.xlsx&amp;sheet=A0&amp;row=1259&amp;col=13&amp;number=&amp;sourceID=53","")</f>
        <v/>
      </c>
      <c r="N1259" s="4" t="str">
        <f>HYPERLINK("http://141.218.60.56/~jnz1568/getInfo.php?workbook=16_15.xlsx&amp;sheet=A0&amp;row=1259&amp;col=14&amp;number=&amp;sourceID=53","")</f>
        <v/>
      </c>
      <c r="O1259" s="4" t="str">
        <f>HYPERLINK("http://141.218.60.56/~jnz1568/getInfo.php?workbook=16_15.xlsx&amp;sheet=A0&amp;row=1259&amp;col=15&amp;number=&amp;sourceID=55","")</f>
        <v/>
      </c>
      <c r="P1259" s="4" t="str">
        <f>HYPERLINK("http://141.218.60.56/~jnz1568/getInfo.php?workbook=16_15.xlsx&amp;sheet=A0&amp;row=1259&amp;col=16&amp;number=&amp;sourceID=55","")</f>
        <v/>
      </c>
      <c r="Q1259" s="4" t="str">
        <f>HYPERLINK("http://141.218.60.56/~jnz1568/getInfo.php?workbook=16_15.xlsx&amp;sheet=A0&amp;row=1259&amp;col=17&amp;number=&amp;sourceID=56","")</f>
        <v/>
      </c>
      <c r="R1259" s="4" t="str">
        <f>HYPERLINK("http://141.218.60.56/~jnz1568/getInfo.php?workbook=16_15.xlsx&amp;sheet=A0&amp;row=1259&amp;col=18&amp;number=&amp;sourceID=56","")</f>
        <v/>
      </c>
      <c r="S1259" s="4" t="str">
        <f>HYPERLINK("http://141.218.60.56/~jnz1568/getInfo.php?workbook=16_15.xlsx&amp;sheet=A0&amp;row=1259&amp;col=19&amp;number=&amp;sourceID=57","")</f>
        <v/>
      </c>
      <c r="T1259" s="4" t="str">
        <f>HYPERLINK("http://141.218.60.56/~jnz1568/getInfo.php?workbook=16_15.xlsx&amp;sheet=A0&amp;row=1259&amp;col=20&amp;number=&amp;sourceID=57","")</f>
        <v/>
      </c>
      <c r="U1259" s="4" t="str">
        <f>HYPERLINK("http://141.218.60.56/~jnz1568/getInfo.php?workbook=16_15.xlsx&amp;sheet=A0&amp;row=1259&amp;col=21&amp;number=&amp;sourceID=47","")</f>
        <v/>
      </c>
      <c r="V1259" s="4" t="str">
        <f>HYPERLINK("http://141.218.60.56/~jnz1568/getInfo.php?workbook=16_15.xlsx&amp;sheet=A0&amp;row=1259&amp;col=22&amp;number=&amp;sourceID=47","")</f>
        <v/>
      </c>
    </row>
    <row r="1260" spans="1:22">
      <c r="A1260" s="3">
        <v>16</v>
      </c>
      <c r="B1260" s="3">
        <v>15</v>
      </c>
      <c r="C1260" s="3">
        <v>57</v>
      </c>
      <c r="D1260" s="3">
        <v>41</v>
      </c>
      <c r="E1260" s="3">
        <f>((1/(INDEX(E0!J$4:J$73,C1260,1)-INDEX(E0!J$4:J$73,D1260,1))))*100000000</f>
        <v>0</v>
      </c>
      <c r="F1260" s="4" t="str">
        <f>HYPERLINK("http://141.218.60.56/~jnz1568/getInfo.php?workbook=16_15.xlsx&amp;sheet=A0&amp;row=1260&amp;col=6&amp;number=377.16&amp;sourceID=54","377.16")</f>
        <v>377.16</v>
      </c>
      <c r="G1260" s="4" t="str">
        <f>HYPERLINK("http://141.218.60.56/~jnz1568/getInfo.php?workbook=16_15.xlsx&amp;sheet=A0&amp;row=1260&amp;col=7&amp;number=&amp;sourceID=54","")</f>
        <v/>
      </c>
      <c r="H1260" s="4" t="str">
        <f>HYPERLINK("http://141.218.60.56/~jnz1568/getInfo.php?workbook=16_15.xlsx&amp;sheet=A0&amp;row=1260&amp;col=8&amp;number=&amp;sourceID=54","")</f>
        <v/>
      </c>
      <c r="I1260" s="4" t="str">
        <f>HYPERLINK("http://141.218.60.56/~jnz1568/getInfo.php?workbook=16_15.xlsx&amp;sheet=A0&amp;row=1260&amp;col=9&amp;number=418.91&amp;sourceID=54","418.91")</f>
        <v>418.91</v>
      </c>
      <c r="J1260" s="4" t="str">
        <f>HYPERLINK("http://141.218.60.56/~jnz1568/getInfo.php?workbook=16_15.xlsx&amp;sheet=A0&amp;row=1260&amp;col=10&amp;number=&amp;sourceID=54","")</f>
        <v/>
      </c>
      <c r="K1260" s="4" t="str">
        <f>HYPERLINK("http://141.218.60.56/~jnz1568/getInfo.php?workbook=16_15.xlsx&amp;sheet=A0&amp;row=1260&amp;col=11&amp;number=&amp;sourceID=54","")</f>
        <v/>
      </c>
      <c r="L1260" s="4" t="str">
        <f>HYPERLINK("http://141.218.60.56/~jnz1568/getInfo.php?workbook=16_15.xlsx&amp;sheet=A0&amp;row=1260&amp;col=12&amp;number=1164.16267575&amp;sourceID=53","1164.16267575")</f>
        <v>1164.16267575</v>
      </c>
      <c r="M1260" s="4" t="str">
        <f>HYPERLINK("http://141.218.60.56/~jnz1568/getInfo.php?workbook=16_15.xlsx&amp;sheet=A0&amp;row=1260&amp;col=13&amp;number=&amp;sourceID=53","")</f>
        <v/>
      </c>
      <c r="N1260" s="4" t="str">
        <f>HYPERLINK("http://141.218.60.56/~jnz1568/getInfo.php?workbook=16_15.xlsx&amp;sheet=A0&amp;row=1260&amp;col=14&amp;number=&amp;sourceID=53","")</f>
        <v/>
      </c>
      <c r="O1260" s="4" t="str">
        <f>HYPERLINK("http://141.218.60.56/~jnz1568/getInfo.php?workbook=16_15.xlsx&amp;sheet=A0&amp;row=1260&amp;col=15&amp;number=&amp;sourceID=55","")</f>
        <v/>
      </c>
      <c r="P1260" s="4" t="str">
        <f>HYPERLINK("http://141.218.60.56/~jnz1568/getInfo.php?workbook=16_15.xlsx&amp;sheet=A0&amp;row=1260&amp;col=16&amp;number=&amp;sourceID=55","")</f>
        <v/>
      </c>
      <c r="Q1260" s="4" t="str">
        <f>HYPERLINK("http://141.218.60.56/~jnz1568/getInfo.php?workbook=16_15.xlsx&amp;sheet=A0&amp;row=1260&amp;col=17&amp;number=&amp;sourceID=56","")</f>
        <v/>
      </c>
      <c r="R1260" s="4" t="str">
        <f>HYPERLINK("http://141.218.60.56/~jnz1568/getInfo.php?workbook=16_15.xlsx&amp;sheet=A0&amp;row=1260&amp;col=18&amp;number=&amp;sourceID=56","")</f>
        <v/>
      </c>
      <c r="S1260" s="4" t="str">
        <f>HYPERLINK("http://141.218.60.56/~jnz1568/getInfo.php?workbook=16_15.xlsx&amp;sheet=A0&amp;row=1260&amp;col=19&amp;number=&amp;sourceID=57","")</f>
        <v/>
      </c>
      <c r="T1260" s="4" t="str">
        <f>HYPERLINK("http://141.218.60.56/~jnz1568/getInfo.php?workbook=16_15.xlsx&amp;sheet=A0&amp;row=1260&amp;col=20&amp;number=&amp;sourceID=57","")</f>
        <v/>
      </c>
      <c r="U1260" s="4" t="str">
        <f>HYPERLINK("http://141.218.60.56/~jnz1568/getInfo.php?workbook=16_15.xlsx&amp;sheet=A0&amp;row=1260&amp;col=21&amp;number=&amp;sourceID=47","")</f>
        <v/>
      </c>
      <c r="V1260" s="4" t="str">
        <f>HYPERLINK("http://141.218.60.56/~jnz1568/getInfo.php?workbook=16_15.xlsx&amp;sheet=A0&amp;row=1260&amp;col=22&amp;number=&amp;sourceID=47","")</f>
        <v/>
      </c>
    </row>
    <row r="1261" spans="1:22">
      <c r="A1261" s="3">
        <v>16</v>
      </c>
      <c r="B1261" s="3">
        <v>15</v>
      </c>
      <c r="C1261" s="3">
        <v>57</v>
      </c>
      <c r="D1261" s="3">
        <v>42</v>
      </c>
      <c r="E1261" s="3">
        <f>((1/(INDEX(E0!J$4:J$73,C1261,1)-INDEX(E0!J$4:J$73,D1261,1))))*100000000</f>
        <v>0</v>
      </c>
      <c r="F1261" s="4" t="str">
        <f>HYPERLINK("http://141.218.60.56/~jnz1568/getInfo.php?workbook=16_15.xlsx&amp;sheet=A0&amp;row=1261&amp;col=6&amp;number=&amp;sourceID=54","")</f>
        <v/>
      </c>
      <c r="G1261" s="4" t="str">
        <f>HYPERLINK("http://141.218.60.56/~jnz1568/getInfo.php?workbook=16_15.xlsx&amp;sheet=A0&amp;row=1261&amp;col=7&amp;number=0.013441&amp;sourceID=54","0.013441")</f>
        <v>0.013441</v>
      </c>
      <c r="H1261" s="4" t="str">
        <f>HYPERLINK("http://141.218.60.56/~jnz1568/getInfo.php?workbook=16_15.xlsx&amp;sheet=A0&amp;row=1261&amp;col=8&amp;number=&amp;sourceID=54","")</f>
        <v/>
      </c>
      <c r="I1261" s="4" t="str">
        <f>HYPERLINK("http://141.218.60.56/~jnz1568/getInfo.php?workbook=16_15.xlsx&amp;sheet=A0&amp;row=1261&amp;col=9&amp;number=&amp;sourceID=54","")</f>
        <v/>
      </c>
      <c r="J1261" s="4" t="str">
        <f>HYPERLINK("http://141.218.60.56/~jnz1568/getInfo.php?workbook=16_15.xlsx&amp;sheet=A0&amp;row=1261&amp;col=10&amp;number=0.010698&amp;sourceID=54","0.010698")</f>
        <v>0.010698</v>
      </c>
      <c r="K1261" s="4" t="str">
        <f>HYPERLINK("http://141.218.60.56/~jnz1568/getInfo.php?workbook=16_15.xlsx&amp;sheet=A0&amp;row=1261&amp;col=11&amp;number=&amp;sourceID=54","")</f>
        <v/>
      </c>
      <c r="L1261" s="4" t="str">
        <f>HYPERLINK("http://141.218.60.56/~jnz1568/getInfo.php?workbook=16_15.xlsx&amp;sheet=A0&amp;row=1261&amp;col=12&amp;number=&amp;sourceID=53","")</f>
        <v/>
      </c>
      <c r="M1261" s="4" t="str">
        <f>HYPERLINK("http://141.218.60.56/~jnz1568/getInfo.php?workbook=16_15.xlsx&amp;sheet=A0&amp;row=1261&amp;col=13&amp;number=&amp;sourceID=53","")</f>
        <v/>
      </c>
      <c r="N1261" s="4" t="str">
        <f>HYPERLINK("http://141.218.60.56/~jnz1568/getInfo.php?workbook=16_15.xlsx&amp;sheet=A0&amp;row=1261&amp;col=14&amp;number=&amp;sourceID=53","")</f>
        <v/>
      </c>
      <c r="O1261" s="4" t="str">
        <f>HYPERLINK("http://141.218.60.56/~jnz1568/getInfo.php?workbook=16_15.xlsx&amp;sheet=A0&amp;row=1261&amp;col=15&amp;number=&amp;sourceID=55","")</f>
        <v/>
      </c>
      <c r="P1261" s="4" t="str">
        <f>HYPERLINK("http://141.218.60.56/~jnz1568/getInfo.php?workbook=16_15.xlsx&amp;sheet=A0&amp;row=1261&amp;col=16&amp;number=&amp;sourceID=55","")</f>
        <v/>
      </c>
      <c r="Q1261" s="4" t="str">
        <f>HYPERLINK("http://141.218.60.56/~jnz1568/getInfo.php?workbook=16_15.xlsx&amp;sheet=A0&amp;row=1261&amp;col=17&amp;number=&amp;sourceID=56","")</f>
        <v/>
      </c>
      <c r="R1261" s="4" t="str">
        <f>HYPERLINK("http://141.218.60.56/~jnz1568/getInfo.php?workbook=16_15.xlsx&amp;sheet=A0&amp;row=1261&amp;col=18&amp;number=&amp;sourceID=56","")</f>
        <v/>
      </c>
      <c r="S1261" s="4" t="str">
        <f>HYPERLINK("http://141.218.60.56/~jnz1568/getInfo.php?workbook=16_15.xlsx&amp;sheet=A0&amp;row=1261&amp;col=19&amp;number=&amp;sourceID=57","")</f>
        <v/>
      </c>
      <c r="T1261" s="4" t="str">
        <f>HYPERLINK("http://141.218.60.56/~jnz1568/getInfo.php?workbook=16_15.xlsx&amp;sheet=A0&amp;row=1261&amp;col=20&amp;number=&amp;sourceID=57","")</f>
        <v/>
      </c>
      <c r="U1261" s="4" t="str">
        <f>HYPERLINK("http://141.218.60.56/~jnz1568/getInfo.php?workbook=16_15.xlsx&amp;sheet=A0&amp;row=1261&amp;col=21&amp;number=&amp;sourceID=47","")</f>
        <v/>
      </c>
      <c r="V1261" s="4" t="str">
        <f>HYPERLINK("http://141.218.60.56/~jnz1568/getInfo.php?workbook=16_15.xlsx&amp;sheet=A0&amp;row=1261&amp;col=22&amp;number=&amp;sourceID=47","")</f>
        <v/>
      </c>
    </row>
    <row r="1262" spans="1:22">
      <c r="A1262" s="3">
        <v>16</v>
      </c>
      <c r="B1262" s="3">
        <v>15</v>
      </c>
      <c r="C1262" s="3">
        <v>57</v>
      </c>
      <c r="D1262" s="3">
        <v>45</v>
      </c>
      <c r="E1262" s="3">
        <f>((1/(INDEX(E0!J$4:J$73,C1262,1)-INDEX(E0!J$4:J$73,D1262,1))))*100000000</f>
        <v>0</v>
      </c>
      <c r="F1262" s="4" t="str">
        <f>HYPERLINK("http://141.218.60.56/~jnz1568/getInfo.php?workbook=16_15.xlsx&amp;sheet=A0&amp;row=1262&amp;col=6&amp;number=&amp;sourceID=54","")</f>
        <v/>
      </c>
      <c r="G1262" s="4" t="str">
        <f>HYPERLINK("http://141.218.60.56/~jnz1568/getInfo.php?workbook=16_15.xlsx&amp;sheet=A0&amp;row=1262&amp;col=7&amp;number=0.00011263&amp;sourceID=54","0.00011263")</f>
        <v>0.00011263</v>
      </c>
      <c r="H1262" s="4" t="str">
        <f>HYPERLINK("http://141.218.60.56/~jnz1568/getInfo.php?workbook=16_15.xlsx&amp;sheet=A0&amp;row=1262&amp;col=8&amp;number=&amp;sourceID=54","")</f>
        <v/>
      </c>
      <c r="I1262" s="4" t="str">
        <f>HYPERLINK("http://141.218.60.56/~jnz1568/getInfo.php?workbook=16_15.xlsx&amp;sheet=A0&amp;row=1262&amp;col=9&amp;number=&amp;sourceID=54","")</f>
        <v/>
      </c>
      <c r="J1262" s="4" t="str">
        <f>HYPERLINK("http://141.218.60.56/~jnz1568/getInfo.php?workbook=16_15.xlsx&amp;sheet=A0&amp;row=1262&amp;col=10&amp;number=4.103e-05&amp;sourceID=54","4.103e-05")</f>
        <v>4.103e-05</v>
      </c>
      <c r="K1262" s="4" t="str">
        <f>HYPERLINK("http://141.218.60.56/~jnz1568/getInfo.php?workbook=16_15.xlsx&amp;sheet=A0&amp;row=1262&amp;col=11&amp;number=&amp;sourceID=54","")</f>
        <v/>
      </c>
      <c r="L1262" s="4" t="str">
        <f>HYPERLINK("http://141.218.60.56/~jnz1568/getInfo.php?workbook=16_15.xlsx&amp;sheet=A0&amp;row=1262&amp;col=12&amp;number=&amp;sourceID=53","")</f>
        <v/>
      </c>
      <c r="M1262" s="4" t="str">
        <f>HYPERLINK("http://141.218.60.56/~jnz1568/getInfo.php?workbook=16_15.xlsx&amp;sheet=A0&amp;row=1262&amp;col=13&amp;number=&amp;sourceID=53","")</f>
        <v/>
      </c>
      <c r="N1262" s="4" t="str">
        <f>HYPERLINK("http://141.218.60.56/~jnz1568/getInfo.php?workbook=16_15.xlsx&amp;sheet=A0&amp;row=1262&amp;col=14&amp;number=&amp;sourceID=53","")</f>
        <v/>
      </c>
      <c r="O1262" s="4" t="str">
        <f>HYPERLINK("http://141.218.60.56/~jnz1568/getInfo.php?workbook=16_15.xlsx&amp;sheet=A0&amp;row=1262&amp;col=15&amp;number=&amp;sourceID=55","")</f>
        <v/>
      </c>
      <c r="P1262" s="4" t="str">
        <f>HYPERLINK("http://141.218.60.56/~jnz1568/getInfo.php?workbook=16_15.xlsx&amp;sheet=A0&amp;row=1262&amp;col=16&amp;number=&amp;sourceID=55","")</f>
        <v/>
      </c>
      <c r="Q1262" s="4" t="str">
        <f>HYPERLINK("http://141.218.60.56/~jnz1568/getInfo.php?workbook=16_15.xlsx&amp;sheet=A0&amp;row=1262&amp;col=17&amp;number=&amp;sourceID=56","")</f>
        <v/>
      </c>
      <c r="R1262" s="4" t="str">
        <f>HYPERLINK("http://141.218.60.56/~jnz1568/getInfo.php?workbook=16_15.xlsx&amp;sheet=A0&amp;row=1262&amp;col=18&amp;number=&amp;sourceID=56","")</f>
        <v/>
      </c>
      <c r="S1262" s="4" t="str">
        <f>HYPERLINK("http://141.218.60.56/~jnz1568/getInfo.php?workbook=16_15.xlsx&amp;sheet=A0&amp;row=1262&amp;col=19&amp;number=&amp;sourceID=57","")</f>
        <v/>
      </c>
      <c r="T1262" s="4" t="str">
        <f>HYPERLINK("http://141.218.60.56/~jnz1568/getInfo.php?workbook=16_15.xlsx&amp;sheet=A0&amp;row=1262&amp;col=20&amp;number=&amp;sourceID=57","")</f>
        <v/>
      </c>
      <c r="U1262" s="4" t="str">
        <f>HYPERLINK("http://141.218.60.56/~jnz1568/getInfo.php?workbook=16_15.xlsx&amp;sheet=A0&amp;row=1262&amp;col=21&amp;number=&amp;sourceID=47","")</f>
        <v/>
      </c>
      <c r="V1262" s="4" t="str">
        <f>HYPERLINK("http://141.218.60.56/~jnz1568/getInfo.php?workbook=16_15.xlsx&amp;sheet=A0&amp;row=1262&amp;col=22&amp;number=&amp;sourceID=47","")</f>
        <v/>
      </c>
    </row>
    <row r="1263" spans="1:22">
      <c r="A1263" s="3">
        <v>16</v>
      </c>
      <c r="B1263" s="3">
        <v>15</v>
      </c>
      <c r="C1263" s="3">
        <v>57</v>
      </c>
      <c r="D1263" s="3">
        <v>46</v>
      </c>
      <c r="E1263" s="3">
        <f>((1/(INDEX(E0!J$4:J$73,C1263,1)-INDEX(E0!J$4:J$73,D1263,1))))*100000000</f>
        <v>0</v>
      </c>
      <c r="F1263" s="4" t="str">
        <f>HYPERLINK("http://141.218.60.56/~jnz1568/getInfo.php?workbook=16_15.xlsx&amp;sheet=A0&amp;row=1263&amp;col=6&amp;number=&amp;sourceID=54","")</f>
        <v/>
      </c>
      <c r="G1263" s="4" t="str">
        <f>HYPERLINK("http://141.218.60.56/~jnz1568/getInfo.php?workbook=16_15.xlsx&amp;sheet=A0&amp;row=1263&amp;col=7&amp;number=0.091994&amp;sourceID=54","0.091994")</f>
        <v>0.091994</v>
      </c>
      <c r="H1263" s="4" t="str">
        <f>HYPERLINK("http://141.218.60.56/~jnz1568/getInfo.php?workbook=16_15.xlsx&amp;sheet=A0&amp;row=1263&amp;col=8&amp;number=0.0094392&amp;sourceID=54","0.0094392")</f>
        <v>0.0094392</v>
      </c>
      <c r="I1263" s="4" t="str">
        <f>HYPERLINK("http://141.218.60.56/~jnz1568/getInfo.php?workbook=16_15.xlsx&amp;sheet=A0&amp;row=1263&amp;col=9&amp;number=&amp;sourceID=54","")</f>
        <v/>
      </c>
      <c r="J1263" s="4" t="str">
        <f>HYPERLINK("http://141.218.60.56/~jnz1568/getInfo.php?workbook=16_15.xlsx&amp;sheet=A0&amp;row=1263&amp;col=10&amp;number=0.071935&amp;sourceID=54","0.071935")</f>
        <v>0.071935</v>
      </c>
      <c r="K1263" s="4" t="str">
        <f>HYPERLINK("http://141.218.60.56/~jnz1568/getInfo.php?workbook=16_15.xlsx&amp;sheet=A0&amp;row=1263&amp;col=11&amp;number=0.0089519&amp;sourceID=54","0.0089519")</f>
        <v>0.0089519</v>
      </c>
      <c r="L1263" s="4" t="str">
        <f>HYPERLINK("http://141.218.60.56/~jnz1568/getInfo.php?workbook=16_15.xlsx&amp;sheet=A0&amp;row=1263&amp;col=12&amp;number=&amp;sourceID=53","")</f>
        <v/>
      </c>
      <c r="M1263" s="4" t="str">
        <f>HYPERLINK("http://141.218.60.56/~jnz1568/getInfo.php?workbook=16_15.xlsx&amp;sheet=A0&amp;row=1263&amp;col=13&amp;number=&amp;sourceID=53","")</f>
        <v/>
      </c>
      <c r="N1263" s="4" t="str">
        <f>HYPERLINK("http://141.218.60.56/~jnz1568/getInfo.php?workbook=16_15.xlsx&amp;sheet=A0&amp;row=1263&amp;col=14&amp;number=&amp;sourceID=53","")</f>
        <v/>
      </c>
      <c r="O1263" s="4" t="str">
        <f>HYPERLINK("http://141.218.60.56/~jnz1568/getInfo.php?workbook=16_15.xlsx&amp;sheet=A0&amp;row=1263&amp;col=15&amp;number=&amp;sourceID=55","")</f>
        <v/>
      </c>
      <c r="P1263" s="4" t="str">
        <f>HYPERLINK("http://141.218.60.56/~jnz1568/getInfo.php?workbook=16_15.xlsx&amp;sheet=A0&amp;row=1263&amp;col=16&amp;number=&amp;sourceID=55","")</f>
        <v/>
      </c>
      <c r="Q1263" s="4" t="str">
        <f>HYPERLINK("http://141.218.60.56/~jnz1568/getInfo.php?workbook=16_15.xlsx&amp;sheet=A0&amp;row=1263&amp;col=17&amp;number=&amp;sourceID=56","")</f>
        <v/>
      </c>
      <c r="R1263" s="4" t="str">
        <f>HYPERLINK("http://141.218.60.56/~jnz1568/getInfo.php?workbook=16_15.xlsx&amp;sheet=A0&amp;row=1263&amp;col=18&amp;number=&amp;sourceID=56","")</f>
        <v/>
      </c>
      <c r="S1263" s="4" t="str">
        <f>HYPERLINK("http://141.218.60.56/~jnz1568/getInfo.php?workbook=16_15.xlsx&amp;sheet=A0&amp;row=1263&amp;col=19&amp;number=&amp;sourceID=57","")</f>
        <v/>
      </c>
      <c r="T1263" s="4" t="str">
        <f>HYPERLINK("http://141.218.60.56/~jnz1568/getInfo.php?workbook=16_15.xlsx&amp;sheet=A0&amp;row=1263&amp;col=20&amp;number=&amp;sourceID=57","")</f>
        <v/>
      </c>
      <c r="U1263" s="4" t="str">
        <f>HYPERLINK("http://141.218.60.56/~jnz1568/getInfo.php?workbook=16_15.xlsx&amp;sheet=A0&amp;row=1263&amp;col=21&amp;number=&amp;sourceID=47","")</f>
        <v/>
      </c>
      <c r="V1263" s="4" t="str">
        <f>HYPERLINK("http://141.218.60.56/~jnz1568/getInfo.php?workbook=16_15.xlsx&amp;sheet=A0&amp;row=1263&amp;col=22&amp;number=&amp;sourceID=47","")</f>
        <v/>
      </c>
    </row>
    <row r="1264" spans="1:22">
      <c r="A1264" s="3">
        <v>16</v>
      </c>
      <c r="B1264" s="3">
        <v>15</v>
      </c>
      <c r="C1264" s="3">
        <v>57</v>
      </c>
      <c r="D1264" s="3">
        <v>49</v>
      </c>
      <c r="E1264" s="3">
        <f>((1/(INDEX(E0!J$4:J$73,C1264,1)-INDEX(E0!J$4:J$73,D1264,1))))*100000000</f>
        <v>0</v>
      </c>
      <c r="F1264" s="4" t="str">
        <f>HYPERLINK("http://141.218.60.56/~jnz1568/getInfo.php?workbook=16_15.xlsx&amp;sheet=A0&amp;row=1264&amp;col=6&amp;number=&amp;sourceID=54","")</f>
        <v/>
      </c>
      <c r="G1264" s="4" t="str">
        <f>HYPERLINK("http://141.218.60.56/~jnz1568/getInfo.php?workbook=16_15.xlsx&amp;sheet=A0&amp;row=1264&amp;col=7&amp;number=0.022785&amp;sourceID=54","0.022785")</f>
        <v>0.022785</v>
      </c>
      <c r="H1264" s="4" t="str">
        <f>HYPERLINK("http://141.218.60.56/~jnz1568/getInfo.php?workbook=16_15.xlsx&amp;sheet=A0&amp;row=1264&amp;col=8&amp;number=&amp;sourceID=54","")</f>
        <v/>
      </c>
      <c r="I1264" s="4" t="str">
        <f>HYPERLINK("http://141.218.60.56/~jnz1568/getInfo.php?workbook=16_15.xlsx&amp;sheet=A0&amp;row=1264&amp;col=9&amp;number=&amp;sourceID=54","")</f>
        <v/>
      </c>
      <c r="J1264" s="4" t="str">
        <f>HYPERLINK("http://141.218.60.56/~jnz1568/getInfo.php?workbook=16_15.xlsx&amp;sheet=A0&amp;row=1264&amp;col=10&amp;number=0.017069&amp;sourceID=54","0.017069")</f>
        <v>0.017069</v>
      </c>
      <c r="K1264" s="4" t="str">
        <f>HYPERLINK("http://141.218.60.56/~jnz1568/getInfo.php?workbook=16_15.xlsx&amp;sheet=A0&amp;row=1264&amp;col=11&amp;number=&amp;sourceID=54","")</f>
        <v/>
      </c>
      <c r="L1264" s="4" t="str">
        <f>HYPERLINK("http://141.218.60.56/~jnz1568/getInfo.php?workbook=16_15.xlsx&amp;sheet=A0&amp;row=1264&amp;col=12&amp;number=&amp;sourceID=53","")</f>
        <v/>
      </c>
      <c r="M1264" s="4" t="str">
        <f>HYPERLINK("http://141.218.60.56/~jnz1568/getInfo.php?workbook=16_15.xlsx&amp;sheet=A0&amp;row=1264&amp;col=13&amp;number=&amp;sourceID=53","")</f>
        <v/>
      </c>
      <c r="N1264" s="4" t="str">
        <f>HYPERLINK("http://141.218.60.56/~jnz1568/getInfo.php?workbook=16_15.xlsx&amp;sheet=A0&amp;row=1264&amp;col=14&amp;number=&amp;sourceID=53","")</f>
        <v/>
      </c>
      <c r="O1264" s="4" t="str">
        <f>HYPERLINK("http://141.218.60.56/~jnz1568/getInfo.php?workbook=16_15.xlsx&amp;sheet=A0&amp;row=1264&amp;col=15&amp;number=&amp;sourceID=55","")</f>
        <v/>
      </c>
      <c r="P1264" s="4" t="str">
        <f>HYPERLINK("http://141.218.60.56/~jnz1568/getInfo.php?workbook=16_15.xlsx&amp;sheet=A0&amp;row=1264&amp;col=16&amp;number=&amp;sourceID=55","")</f>
        <v/>
      </c>
      <c r="Q1264" s="4" t="str">
        <f>HYPERLINK("http://141.218.60.56/~jnz1568/getInfo.php?workbook=16_15.xlsx&amp;sheet=A0&amp;row=1264&amp;col=17&amp;number=&amp;sourceID=56","")</f>
        <v/>
      </c>
      <c r="R1264" s="4" t="str">
        <f>HYPERLINK("http://141.218.60.56/~jnz1568/getInfo.php?workbook=16_15.xlsx&amp;sheet=A0&amp;row=1264&amp;col=18&amp;number=&amp;sourceID=56","")</f>
        <v/>
      </c>
      <c r="S1264" s="4" t="str">
        <f>HYPERLINK("http://141.218.60.56/~jnz1568/getInfo.php?workbook=16_15.xlsx&amp;sheet=A0&amp;row=1264&amp;col=19&amp;number=&amp;sourceID=57","")</f>
        <v/>
      </c>
      <c r="T1264" s="4" t="str">
        <f>HYPERLINK("http://141.218.60.56/~jnz1568/getInfo.php?workbook=16_15.xlsx&amp;sheet=A0&amp;row=1264&amp;col=20&amp;number=&amp;sourceID=57","")</f>
        <v/>
      </c>
      <c r="U1264" s="4" t="str">
        <f>HYPERLINK("http://141.218.60.56/~jnz1568/getInfo.php?workbook=16_15.xlsx&amp;sheet=A0&amp;row=1264&amp;col=21&amp;number=&amp;sourceID=47","")</f>
        <v/>
      </c>
      <c r="V1264" s="4" t="str">
        <f>HYPERLINK("http://141.218.60.56/~jnz1568/getInfo.php?workbook=16_15.xlsx&amp;sheet=A0&amp;row=1264&amp;col=22&amp;number=&amp;sourceID=47","")</f>
        <v/>
      </c>
    </row>
    <row r="1265" spans="1:22">
      <c r="A1265" s="3">
        <v>16</v>
      </c>
      <c r="B1265" s="3">
        <v>15</v>
      </c>
      <c r="C1265" s="3">
        <v>57</v>
      </c>
      <c r="D1265" s="3">
        <v>50</v>
      </c>
      <c r="E1265" s="3">
        <f>((1/(INDEX(E0!J$4:J$73,C1265,1)-INDEX(E0!J$4:J$73,D1265,1))))*100000000</f>
        <v>0</v>
      </c>
      <c r="F1265" s="4" t="str">
        <f>HYPERLINK("http://141.218.60.56/~jnz1568/getInfo.php?workbook=16_15.xlsx&amp;sheet=A0&amp;row=1265&amp;col=6&amp;number=13887&amp;sourceID=54","13887")</f>
        <v>13887</v>
      </c>
      <c r="G1265" s="4" t="str">
        <f>HYPERLINK("http://141.218.60.56/~jnz1568/getInfo.php?workbook=16_15.xlsx&amp;sheet=A0&amp;row=1265&amp;col=7&amp;number=&amp;sourceID=54","")</f>
        <v/>
      </c>
      <c r="H1265" s="4" t="str">
        <f>HYPERLINK("http://141.218.60.56/~jnz1568/getInfo.php?workbook=16_15.xlsx&amp;sheet=A0&amp;row=1265&amp;col=8&amp;number=&amp;sourceID=54","")</f>
        <v/>
      </c>
      <c r="I1265" s="4" t="str">
        <f>HYPERLINK("http://141.218.60.56/~jnz1568/getInfo.php?workbook=16_15.xlsx&amp;sheet=A0&amp;row=1265&amp;col=9&amp;number=17128&amp;sourceID=54","17128")</f>
        <v>17128</v>
      </c>
      <c r="J1265" s="4" t="str">
        <f>HYPERLINK("http://141.218.60.56/~jnz1568/getInfo.php?workbook=16_15.xlsx&amp;sheet=A0&amp;row=1265&amp;col=10&amp;number=&amp;sourceID=54","")</f>
        <v/>
      </c>
      <c r="K1265" s="4" t="str">
        <f>HYPERLINK("http://141.218.60.56/~jnz1568/getInfo.php?workbook=16_15.xlsx&amp;sheet=A0&amp;row=1265&amp;col=11&amp;number=&amp;sourceID=54","")</f>
        <v/>
      </c>
      <c r="L1265" s="4" t="str">
        <f>HYPERLINK("http://141.218.60.56/~jnz1568/getInfo.php?workbook=16_15.xlsx&amp;sheet=A0&amp;row=1265&amp;col=12&amp;number=48994.9931066&amp;sourceID=53","48994.9931066")</f>
        <v>48994.9931066</v>
      </c>
      <c r="M1265" s="4" t="str">
        <f>HYPERLINK("http://141.218.60.56/~jnz1568/getInfo.php?workbook=16_15.xlsx&amp;sheet=A0&amp;row=1265&amp;col=13&amp;number=&amp;sourceID=53","")</f>
        <v/>
      </c>
      <c r="N1265" s="4" t="str">
        <f>HYPERLINK("http://141.218.60.56/~jnz1568/getInfo.php?workbook=16_15.xlsx&amp;sheet=A0&amp;row=1265&amp;col=14&amp;number=&amp;sourceID=53","")</f>
        <v/>
      </c>
      <c r="O1265" s="4" t="str">
        <f>HYPERLINK("http://141.218.60.56/~jnz1568/getInfo.php?workbook=16_15.xlsx&amp;sheet=A0&amp;row=1265&amp;col=15&amp;number=&amp;sourceID=55","")</f>
        <v/>
      </c>
      <c r="P1265" s="4" t="str">
        <f>HYPERLINK("http://141.218.60.56/~jnz1568/getInfo.php?workbook=16_15.xlsx&amp;sheet=A0&amp;row=1265&amp;col=16&amp;number=&amp;sourceID=55","")</f>
        <v/>
      </c>
      <c r="Q1265" s="4" t="str">
        <f>HYPERLINK("http://141.218.60.56/~jnz1568/getInfo.php?workbook=16_15.xlsx&amp;sheet=A0&amp;row=1265&amp;col=17&amp;number=&amp;sourceID=56","")</f>
        <v/>
      </c>
      <c r="R1265" s="4" t="str">
        <f>HYPERLINK("http://141.218.60.56/~jnz1568/getInfo.php?workbook=16_15.xlsx&amp;sheet=A0&amp;row=1265&amp;col=18&amp;number=&amp;sourceID=56","")</f>
        <v/>
      </c>
      <c r="S1265" s="4" t="str">
        <f>HYPERLINK("http://141.218.60.56/~jnz1568/getInfo.php?workbook=16_15.xlsx&amp;sheet=A0&amp;row=1265&amp;col=19&amp;number=&amp;sourceID=57","")</f>
        <v/>
      </c>
      <c r="T1265" s="4" t="str">
        <f>HYPERLINK("http://141.218.60.56/~jnz1568/getInfo.php?workbook=16_15.xlsx&amp;sheet=A0&amp;row=1265&amp;col=20&amp;number=&amp;sourceID=57","")</f>
        <v/>
      </c>
      <c r="U1265" s="4" t="str">
        <f>HYPERLINK("http://141.218.60.56/~jnz1568/getInfo.php?workbook=16_15.xlsx&amp;sheet=A0&amp;row=1265&amp;col=21&amp;number=&amp;sourceID=47","")</f>
        <v/>
      </c>
      <c r="V1265" s="4" t="str">
        <f>HYPERLINK("http://141.218.60.56/~jnz1568/getInfo.php?workbook=16_15.xlsx&amp;sheet=A0&amp;row=1265&amp;col=22&amp;number=&amp;sourceID=47","")</f>
        <v/>
      </c>
    </row>
    <row r="1266" spans="1:22">
      <c r="A1266" s="3">
        <v>16</v>
      </c>
      <c r="B1266" s="3">
        <v>15</v>
      </c>
      <c r="C1266" s="3">
        <v>57</v>
      </c>
      <c r="D1266" s="3">
        <v>52</v>
      </c>
      <c r="E1266" s="3">
        <f>((1/(INDEX(E0!J$4:J$73,C1266,1)-INDEX(E0!J$4:J$73,D1266,1))))*100000000</f>
        <v>0</v>
      </c>
      <c r="F1266" s="4" t="str">
        <f>HYPERLINK("http://141.218.60.56/~jnz1568/getInfo.php?workbook=16_15.xlsx&amp;sheet=A0&amp;row=1266&amp;col=6&amp;number=4.7652&amp;sourceID=54","4.7652")</f>
        <v>4.7652</v>
      </c>
      <c r="G1266" s="4" t="str">
        <f>HYPERLINK("http://141.218.60.56/~jnz1568/getInfo.php?workbook=16_15.xlsx&amp;sheet=A0&amp;row=1266&amp;col=7&amp;number=&amp;sourceID=54","")</f>
        <v/>
      </c>
      <c r="H1266" s="4" t="str">
        <f>HYPERLINK("http://141.218.60.56/~jnz1568/getInfo.php?workbook=16_15.xlsx&amp;sheet=A0&amp;row=1266&amp;col=8&amp;number=&amp;sourceID=54","")</f>
        <v/>
      </c>
      <c r="I1266" s="4" t="str">
        <f>HYPERLINK("http://141.218.60.56/~jnz1568/getInfo.php?workbook=16_15.xlsx&amp;sheet=A0&amp;row=1266&amp;col=9&amp;number=241.28&amp;sourceID=54","241.28")</f>
        <v>241.28</v>
      </c>
      <c r="J1266" s="4" t="str">
        <f>HYPERLINK("http://141.218.60.56/~jnz1568/getInfo.php?workbook=16_15.xlsx&amp;sheet=A0&amp;row=1266&amp;col=10&amp;number=&amp;sourceID=54","")</f>
        <v/>
      </c>
      <c r="K1266" s="4" t="str">
        <f>HYPERLINK("http://141.218.60.56/~jnz1568/getInfo.php?workbook=16_15.xlsx&amp;sheet=A0&amp;row=1266&amp;col=11&amp;number=&amp;sourceID=54","")</f>
        <v/>
      </c>
      <c r="L1266" s="4" t="str">
        <f>HYPERLINK("http://141.218.60.56/~jnz1568/getInfo.php?workbook=16_15.xlsx&amp;sheet=A0&amp;row=1266&amp;col=12&amp;number=575.246974127&amp;sourceID=53","575.246974127")</f>
        <v>575.246974127</v>
      </c>
      <c r="M1266" s="4" t="str">
        <f>HYPERLINK("http://141.218.60.56/~jnz1568/getInfo.php?workbook=16_15.xlsx&amp;sheet=A0&amp;row=1266&amp;col=13&amp;number=&amp;sourceID=53","")</f>
        <v/>
      </c>
      <c r="N1266" s="4" t="str">
        <f>HYPERLINK("http://141.218.60.56/~jnz1568/getInfo.php?workbook=16_15.xlsx&amp;sheet=A0&amp;row=1266&amp;col=14&amp;number=&amp;sourceID=53","")</f>
        <v/>
      </c>
      <c r="O1266" s="4" t="str">
        <f>HYPERLINK("http://141.218.60.56/~jnz1568/getInfo.php?workbook=16_15.xlsx&amp;sheet=A0&amp;row=1266&amp;col=15&amp;number=&amp;sourceID=55","")</f>
        <v/>
      </c>
      <c r="P1266" s="4" t="str">
        <f>HYPERLINK("http://141.218.60.56/~jnz1568/getInfo.php?workbook=16_15.xlsx&amp;sheet=A0&amp;row=1266&amp;col=16&amp;number=&amp;sourceID=55","")</f>
        <v/>
      </c>
      <c r="Q1266" s="4" t="str">
        <f>HYPERLINK("http://141.218.60.56/~jnz1568/getInfo.php?workbook=16_15.xlsx&amp;sheet=A0&amp;row=1266&amp;col=17&amp;number=&amp;sourceID=56","")</f>
        <v/>
      </c>
      <c r="R1266" s="4" t="str">
        <f>HYPERLINK("http://141.218.60.56/~jnz1568/getInfo.php?workbook=16_15.xlsx&amp;sheet=A0&amp;row=1266&amp;col=18&amp;number=&amp;sourceID=56","")</f>
        <v/>
      </c>
      <c r="S1266" s="4" t="str">
        <f>HYPERLINK("http://141.218.60.56/~jnz1568/getInfo.php?workbook=16_15.xlsx&amp;sheet=A0&amp;row=1266&amp;col=19&amp;number=&amp;sourceID=57","")</f>
        <v/>
      </c>
      <c r="T1266" s="4" t="str">
        <f>HYPERLINK("http://141.218.60.56/~jnz1568/getInfo.php?workbook=16_15.xlsx&amp;sheet=A0&amp;row=1266&amp;col=20&amp;number=&amp;sourceID=57","")</f>
        <v/>
      </c>
      <c r="U1266" s="4" t="str">
        <f>HYPERLINK("http://141.218.60.56/~jnz1568/getInfo.php?workbook=16_15.xlsx&amp;sheet=A0&amp;row=1266&amp;col=21&amp;number=&amp;sourceID=47","")</f>
        <v/>
      </c>
      <c r="V1266" s="4" t="str">
        <f>HYPERLINK("http://141.218.60.56/~jnz1568/getInfo.php?workbook=16_15.xlsx&amp;sheet=A0&amp;row=1266&amp;col=22&amp;number=&amp;sourceID=47","")</f>
        <v/>
      </c>
    </row>
    <row r="1267" spans="1:22">
      <c r="A1267" s="3">
        <v>16</v>
      </c>
      <c r="B1267" s="3">
        <v>15</v>
      </c>
      <c r="C1267" s="3">
        <v>57</v>
      </c>
      <c r="D1267" s="3">
        <v>53</v>
      </c>
      <c r="E1267" s="3">
        <f>((1/(INDEX(E0!J$4:J$73,C1267,1)-INDEX(E0!J$4:J$73,D1267,1))))*100000000</f>
        <v>0</v>
      </c>
      <c r="F1267" s="4" t="str">
        <f>HYPERLINK("http://141.218.60.56/~jnz1568/getInfo.php?workbook=16_15.xlsx&amp;sheet=A0&amp;row=1267&amp;col=6&amp;number=151.01&amp;sourceID=54","151.01")</f>
        <v>151.01</v>
      </c>
      <c r="G1267" s="4" t="str">
        <f>HYPERLINK("http://141.218.60.56/~jnz1568/getInfo.php?workbook=16_15.xlsx&amp;sheet=A0&amp;row=1267&amp;col=7&amp;number=&amp;sourceID=54","")</f>
        <v/>
      </c>
      <c r="H1267" s="4" t="str">
        <f>HYPERLINK("http://141.218.60.56/~jnz1568/getInfo.php?workbook=16_15.xlsx&amp;sheet=A0&amp;row=1267&amp;col=8&amp;number=&amp;sourceID=54","")</f>
        <v/>
      </c>
      <c r="I1267" s="4" t="str">
        <f>HYPERLINK("http://141.218.60.56/~jnz1568/getInfo.php?workbook=16_15.xlsx&amp;sheet=A0&amp;row=1267&amp;col=9&amp;number=7859.5&amp;sourceID=54","7859.5")</f>
        <v>7859.5</v>
      </c>
      <c r="J1267" s="4" t="str">
        <f>HYPERLINK("http://141.218.60.56/~jnz1568/getInfo.php?workbook=16_15.xlsx&amp;sheet=A0&amp;row=1267&amp;col=10&amp;number=&amp;sourceID=54","")</f>
        <v/>
      </c>
      <c r="K1267" s="4" t="str">
        <f>HYPERLINK("http://141.218.60.56/~jnz1568/getInfo.php?workbook=16_15.xlsx&amp;sheet=A0&amp;row=1267&amp;col=11&amp;number=&amp;sourceID=54","")</f>
        <v/>
      </c>
      <c r="L1267" s="4" t="str">
        <f>HYPERLINK("http://141.218.60.56/~jnz1568/getInfo.php?workbook=16_15.xlsx&amp;sheet=A0&amp;row=1267&amp;col=12&amp;number=12561.9211042&amp;sourceID=53","12561.9211042")</f>
        <v>12561.9211042</v>
      </c>
      <c r="M1267" s="4" t="str">
        <f>HYPERLINK("http://141.218.60.56/~jnz1568/getInfo.php?workbook=16_15.xlsx&amp;sheet=A0&amp;row=1267&amp;col=13&amp;number=&amp;sourceID=53","")</f>
        <v/>
      </c>
      <c r="N1267" s="4" t="str">
        <f>HYPERLINK("http://141.218.60.56/~jnz1568/getInfo.php?workbook=16_15.xlsx&amp;sheet=A0&amp;row=1267&amp;col=14&amp;number=&amp;sourceID=53","")</f>
        <v/>
      </c>
      <c r="O1267" s="4" t="str">
        <f>HYPERLINK("http://141.218.60.56/~jnz1568/getInfo.php?workbook=16_15.xlsx&amp;sheet=A0&amp;row=1267&amp;col=15&amp;number=&amp;sourceID=55","")</f>
        <v/>
      </c>
      <c r="P1267" s="4" t="str">
        <f>HYPERLINK("http://141.218.60.56/~jnz1568/getInfo.php?workbook=16_15.xlsx&amp;sheet=A0&amp;row=1267&amp;col=16&amp;number=&amp;sourceID=55","")</f>
        <v/>
      </c>
      <c r="Q1267" s="4" t="str">
        <f>HYPERLINK("http://141.218.60.56/~jnz1568/getInfo.php?workbook=16_15.xlsx&amp;sheet=A0&amp;row=1267&amp;col=17&amp;number=&amp;sourceID=56","")</f>
        <v/>
      </c>
      <c r="R1267" s="4" t="str">
        <f>HYPERLINK("http://141.218.60.56/~jnz1568/getInfo.php?workbook=16_15.xlsx&amp;sheet=A0&amp;row=1267&amp;col=18&amp;number=&amp;sourceID=56","")</f>
        <v/>
      </c>
      <c r="S1267" s="4" t="str">
        <f>HYPERLINK("http://141.218.60.56/~jnz1568/getInfo.php?workbook=16_15.xlsx&amp;sheet=A0&amp;row=1267&amp;col=19&amp;number=&amp;sourceID=57","")</f>
        <v/>
      </c>
      <c r="T1267" s="4" t="str">
        <f>HYPERLINK("http://141.218.60.56/~jnz1568/getInfo.php?workbook=16_15.xlsx&amp;sheet=A0&amp;row=1267&amp;col=20&amp;number=&amp;sourceID=57","")</f>
        <v/>
      </c>
      <c r="U1267" s="4" t="str">
        <f>HYPERLINK("http://141.218.60.56/~jnz1568/getInfo.php?workbook=16_15.xlsx&amp;sheet=A0&amp;row=1267&amp;col=21&amp;number=&amp;sourceID=47","")</f>
        <v/>
      </c>
      <c r="V1267" s="4" t="str">
        <f>HYPERLINK("http://141.218.60.56/~jnz1568/getInfo.php?workbook=16_15.xlsx&amp;sheet=A0&amp;row=1267&amp;col=22&amp;number=&amp;sourceID=47","")</f>
        <v/>
      </c>
    </row>
    <row r="1268" spans="1:22">
      <c r="A1268" s="3">
        <v>16</v>
      </c>
      <c r="B1268" s="3">
        <v>15</v>
      </c>
      <c r="C1268" s="3">
        <v>57</v>
      </c>
      <c r="D1268" s="3">
        <v>56</v>
      </c>
      <c r="E1268" s="3">
        <f>((1/(INDEX(E0!J$4:J$73,C1268,1)-INDEX(E0!J$4:J$73,D1268,1))))*100000000</f>
        <v>0</v>
      </c>
      <c r="F1268" s="4" t="str">
        <f>HYPERLINK("http://141.218.60.56/~jnz1568/getInfo.php?workbook=16_15.xlsx&amp;sheet=A0&amp;row=1268&amp;col=6&amp;number=&amp;sourceID=54","")</f>
        <v/>
      </c>
      <c r="G1268" s="4" t="str">
        <f>HYPERLINK("http://141.218.60.56/~jnz1568/getInfo.php?workbook=16_15.xlsx&amp;sheet=A0&amp;row=1268&amp;col=7&amp;number=1.859e-12&amp;sourceID=54","1.859e-12")</f>
        <v>1.859e-12</v>
      </c>
      <c r="H1268" s="4" t="str">
        <f>HYPERLINK("http://141.218.60.56/~jnz1568/getInfo.php?workbook=16_15.xlsx&amp;sheet=A0&amp;row=1268&amp;col=8&amp;number=5.3526e-06&amp;sourceID=54","5.3526e-06")</f>
        <v>5.3526e-06</v>
      </c>
      <c r="I1268" s="4" t="str">
        <f>HYPERLINK("http://141.218.60.56/~jnz1568/getInfo.php?workbook=16_15.xlsx&amp;sheet=A0&amp;row=1268&amp;col=9&amp;number=&amp;sourceID=54","")</f>
        <v/>
      </c>
      <c r="J1268" s="4" t="str">
        <f>HYPERLINK("http://141.218.60.56/~jnz1568/getInfo.php?workbook=16_15.xlsx&amp;sheet=A0&amp;row=1268&amp;col=10&amp;number=2.401e-12&amp;sourceID=54","2.401e-12")</f>
        <v>2.401e-12</v>
      </c>
      <c r="K1268" s="4" t="str">
        <f>HYPERLINK("http://141.218.60.56/~jnz1568/getInfo.php?workbook=16_15.xlsx&amp;sheet=A0&amp;row=1268&amp;col=11&amp;number=4.6798e-06&amp;sourceID=54","4.6798e-06")</f>
        <v>4.6798e-06</v>
      </c>
      <c r="L1268" s="4" t="str">
        <f>HYPERLINK("http://141.218.60.56/~jnz1568/getInfo.php?workbook=16_15.xlsx&amp;sheet=A0&amp;row=1268&amp;col=12&amp;number=&amp;sourceID=53","")</f>
        <v/>
      </c>
      <c r="M1268" s="4" t="str">
        <f>HYPERLINK("http://141.218.60.56/~jnz1568/getInfo.php?workbook=16_15.xlsx&amp;sheet=A0&amp;row=1268&amp;col=13&amp;number=&amp;sourceID=53","")</f>
        <v/>
      </c>
      <c r="N1268" s="4" t="str">
        <f>HYPERLINK("http://141.218.60.56/~jnz1568/getInfo.php?workbook=16_15.xlsx&amp;sheet=A0&amp;row=1268&amp;col=14&amp;number=&amp;sourceID=53","")</f>
        <v/>
      </c>
      <c r="O1268" s="4" t="str">
        <f>HYPERLINK("http://141.218.60.56/~jnz1568/getInfo.php?workbook=16_15.xlsx&amp;sheet=A0&amp;row=1268&amp;col=15&amp;number=&amp;sourceID=55","")</f>
        <v/>
      </c>
      <c r="P1268" s="4" t="str">
        <f>HYPERLINK("http://141.218.60.56/~jnz1568/getInfo.php?workbook=16_15.xlsx&amp;sheet=A0&amp;row=1268&amp;col=16&amp;number=&amp;sourceID=55","")</f>
        <v/>
      </c>
      <c r="Q1268" s="4" t="str">
        <f>HYPERLINK("http://141.218.60.56/~jnz1568/getInfo.php?workbook=16_15.xlsx&amp;sheet=A0&amp;row=1268&amp;col=17&amp;number=&amp;sourceID=56","")</f>
        <v/>
      </c>
      <c r="R1268" s="4" t="str">
        <f>HYPERLINK("http://141.218.60.56/~jnz1568/getInfo.php?workbook=16_15.xlsx&amp;sheet=A0&amp;row=1268&amp;col=18&amp;number=&amp;sourceID=56","")</f>
        <v/>
      </c>
      <c r="S1268" s="4" t="str">
        <f>HYPERLINK("http://141.218.60.56/~jnz1568/getInfo.php?workbook=16_15.xlsx&amp;sheet=A0&amp;row=1268&amp;col=19&amp;number=&amp;sourceID=57","")</f>
        <v/>
      </c>
      <c r="T1268" s="4" t="str">
        <f>HYPERLINK("http://141.218.60.56/~jnz1568/getInfo.php?workbook=16_15.xlsx&amp;sheet=A0&amp;row=1268&amp;col=20&amp;number=&amp;sourceID=57","")</f>
        <v/>
      </c>
      <c r="U1268" s="4" t="str">
        <f>HYPERLINK("http://141.218.60.56/~jnz1568/getInfo.php?workbook=16_15.xlsx&amp;sheet=A0&amp;row=1268&amp;col=21&amp;number=&amp;sourceID=47","")</f>
        <v/>
      </c>
      <c r="V1268" s="4" t="str">
        <f>HYPERLINK("http://141.218.60.56/~jnz1568/getInfo.php?workbook=16_15.xlsx&amp;sheet=A0&amp;row=1268&amp;col=22&amp;number=&amp;sourceID=47","")</f>
        <v/>
      </c>
    </row>
    <row r="1269" spans="1:22">
      <c r="A1269" s="3">
        <v>16</v>
      </c>
      <c r="B1269" s="3">
        <v>15</v>
      </c>
      <c r="C1269" s="3">
        <v>58</v>
      </c>
      <c r="D1269" s="3">
        <v>1</v>
      </c>
      <c r="E1269" s="3">
        <f>((1/(INDEX(E0!J$4:J$73,C1269,1)-INDEX(E0!J$4:J$73,D1269,1))))*100000000</f>
        <v>0</v>
      </c>
      <c r="F1269" s="4" t="str">
        <f>HYPERLINK("http://141.218.60.56/~jnz1568/getInfo.php?workbook=16_15.xlsx&amp;sheet=A0&amp;row=1269&amp;col=6&amp;number=&amp;sourceID=54","")</f>
        <v/>
      </c>
      <c r="G1269" s="4" t="str">
        <f>HYPERLINK("http://141.218.60.56/~jnz1568/getInfo.php?workbook=16_15.xlsx&amp;sheet=A0&amp;row=1269&amp;col=7&amp;number=0.74143&amp;sourceID=54","0.74143")</f>
        <v>0.74143</v>
      </c>
      <c r="H1269" s="4" t="str">
        <f>HYPERLINK("http://141.218.60.56/~jnz1568/getInfo.php?workbook=16_15.xlsx&amp;sheet=A0&amp;row=1269&amp;col=8&amp;number=4.8748e-06&amp;sourceID=54","4.8748e-06")</f>
        <v>4.8748e-06</v>
      </c>
      <c r="I1269" s="4" t="str">
        <f>HYPERLINK("http://141.218.60.56/~jnz1568/getInfo.php?workbook=16_15.xlsx&amp;sheet=A0&amp;row=1269&amp;col=9&amp;number=&amp;sourceID=54","")</f>
        <v/>
      </c>
      <c r="J1269" s="4" t="str">
        <f>HYPERLINK("http://141.218.60.56/~jnz1568/getInfo.php?workbook=16_15.xlsx&amp;sheet=A0&amp;row=1269&amp;col=10&amp;number=0.84205&amp;sourceID=54","0.84205")</f>
        <v>0.84205</v>
      </c>
      <c r="K1269" s="4" t="str">
        <f>HYPERLINK("http://141.218.60.56/~jnz1568/getInfo.php?workbook=16_15.xlsx&amp;sheet=A0&amp;row=1269&amp;col=11&amp;number=4.991e-06&amp;sourceID=54","4.991e-06")</f>
        <v>4.991e-06</v>
      </c>
      <c r="L1269" s="4" t="str">
        <f>HYPERLINK("http://141.218.60.56/~jnz1568/getInfo.php?workbook=16_15.xlsx&amp;sheet=A0&amp;row=1269&amp;col=12&amp;number=&amp;sourceID=53","")</f>
        <v/>
      </c>
      <c r="M1269" s="4" t="str">
        <f>HYPERLINK("http://141.218.60.56/~jnz1568/getInfo.php?workbook=16_15.xlsx&amp;sheet=A0&amp;row=1269&amp;col=13&amp;number=&amp;sourceID=53","")</f>
        <v/>
      </c>
      <c r="N1269" s="4" t="str">
        <f>HYPERLINK("http://141.218.60.56/~jnz1568/getInfo.php?workbook=16_15.xlsx&amp;sheet=A0&amp;row=1269&amp;col=14&amp;number=&amp;sourceID=53","")</f>
        <v/>
      </c>
      <c r="O1269" s="4" t="str">
        <f>HYPERLINK("http://141.218.60.56/~jnz1568/getInfo.php?workbook=16_15.xlsx&amp;sheet=A0&amp;row=1269&amp;col=15&amp;number=&amp;sourceID=55","")</f>
        <v/>
      </c>
      <c r="P1269" s="4" t="str">
        <f>HYPERLINK("http://141.218.60.56/~jnz1568/getInfo.php?workbook=16_15.xlsx&amp;sheet=A0&amp;row=1269&amp;col=16&amp;number=&amp;sourceID=55","")</f>
        <v/>
      </c>
      <c r="Q1269" s="4" t="str">
        <f>HYPERLINK("http://141.218.60.56/~jnz1568/getInfo.php?workbook=16_15.xlsx&amp;sheet=A0&amp;row=1269&amp;col=17&amp;number=&amp;sourceID=56","")</f>
        <v/>
      </c>
      <c r="R1269" s="4" t="str">
        <f>HYPERLINK("http://141.218.60.56/~jnz1568/getInfo.php?workbook=16_15.xlsx&amp;sheet=A0&amp;row=1269&amp;col=18&amp;number=&amp;sourceID=56","")</f>
        <v/>
      </c>
      <c r="S1269" s="4" t="str">
        <f>HYPERLINK("http://141.218.60.56/~jnz1568/getInfo.php?workbook=16_15.xlsx&amp;sheet=A0&amp;row=1269&amp;col=19&amp;number=&amp;sourceID=57","")</f>
        <v/>
      </c>
      <c r="T1269" s="4" t="str">
        <f>HYPERLINK("http://141.218.60.56/~jnz1568/getInfo.php?workbook=16_15.xlsx&amp;sheet=A0&amp;row=1269&amp;col=20&amp;number=&amp;sourceID=57","")</f>
        <v/>
      </c>
      <c r="U1269" s="4" t="str">
        <f>HYPERLINK("http://141.218.60.56/~jnz1568/getInfo.php?workbook=16_15.xlsx&amp;sheet=A0&amp;row=1269&amp;col=21&amp;number=&amp;sourceID=47","")</f>
        <v/>
      </c>
      <c r="V1269" s="4" t="str">
        <f>HYPERLINK("http://141.218.60.56/~jnz1568/getInfo.php?workbook=16_15.xlsx&amp;sheet=A0&amp;row=1269&amp;col=22&amp;number=&amp;sourceID=47","")</f>
        <v/>
      </c>
    </row>
    <row r="1270" spans="1:22">
      <c r="A1270" s="3">
        <v>16</v>
      </c>
      <c r="B1270" s="3">
        <v>15</v>
      </c>
      <c r="C1270" s="3">
        <v>58</v>
      </c>
      <c r="D1270" s="3">
        <v>2</v>
      </c>
      <c r="E1270" s="3">
        <f>((1/(INDEX(E0!J$4:J$73,C1270,1)-INDEX(E0!J$4:J$73,D1270,1))))*100000000</f>
        <v>0</v>
      </c>
      <c r="F1270" s="4" t="str">
        <f>HYPERLINK("http://141.218.60.56/~jnz1568/getInfo.php?workbook=16_15.xlsx&amp;sheet=A0&amp;row=1270&amp;col=6&amp;number=&amp;sourceID=54","")</f>
        <v/>
      </c>
      <c r="G1270" s="4" t="str">
        <f>HYPERLINK("http://141.218.60.56/~jnz1568/getInfo.php?workbook=16_15.xlsx&amp;sheet=A0&amp;row=1270&amp;col=7&amp;number=335.46&amp;sourceID=54","335.46")</f>
        <v>335.46</v>
      </c>
      <c r="H1270" s="4" t="str">
        <f>HYPERLINK("http://141.218.60.56/~jnz1568/getInfo.php?workbook=16_15.xlsx&amp;sheet=A0&amp;row=1270&amp;col=8&amp;number=0.012291&amp;sourceID=54","0.012291")</f>
        <v>0.012291</v>
      </c>
      <c r="I1270" s="4" t="str">
        <f>HYPERLINK("http://141.218.60.56/~jnz1568/getInfo.php?workbook=16_15.xlsx&amp;sheet=A0&amp;row=1270&amp;col=9&amp;number=&amp;sourceID=54","")</f>
        <v/>
      </c>
      <c r="J1270" s="4" t="str">
        <f>HYPERLINK("http://141.218.60.56/~jnz1568/getInfo.php?workbook=16_15.xlsx&amp;sheet=A0&amp;row=1270&amp;col=10&amp;number=354.08&amp;sourceID=54","354.08")</f>
        <v>354.08</v>
      </c>
      <c r="K1270" s="4" t="str">
        <f>HYPERLINK("http://141.218.60.56/~jnz1568/getInfo.php?workbook=16_15.xlsx&amp;sheet=A0&amp;row=1270&amp;col=11&amp;number=0.012526&amp;sourceID=54","0.012526")</f>
        <v>0.012526</v>
      </c>
      <c r="L1270" s="4" t="str">
        <f>HYPERLINK("http://141.218.60.56/~jnz1568/getInfo.php?workbook=16_15.xlsx&amp;sheet=A0&amp;row=1270&amp;col=12&amp;number=&amp;sourceID=53","")</f>
        <v/>
      </c>
      <c r="M1270" s="4" t="str">
        <f>HYPERLINK("http://141.218.60.56/~jnz1568/getInfo.php?workbook=16_15.xlsx&amp;sheet=A0&amp;row=1270&amp;col=13&amp;number=&amp;sourceID=53","")</f>
        <v/>
      </c>
      <c r="N1270" s="4" t="str">
        <f>HYPERLINK("http://141.218.60.56/~jnz1568/getInfo.php?workbook=16_15.xlsx&amp;sheet=A0&amp;row=1270&amp;col=14&amp;number=&amp;sourceID=53","")</f>
        <v/>
      </c>
      <c r="O1270" s="4" t="str">
        <f>HYPERLINK("http://141.218.60.56/~jnz1568/getInfo.php?workbook=16_15.xlsx&amp;sheet=A0&amp;row=1270&amp;col=15&amp;number=&amp;sourceID=55","")</f>
        <v/>
      </c>
      <c r="P1270" s="4" t="str">
        <f>HYPERLINK("http://141.218.60.56/~jnz1568/getInfo.php?workbook=16_15.xlsx&amp;sheet=A0&amp;row=1270&amp;col=16&amp;number=&amp;sourceID=55","")</f>
        <v/>
      </c>
      <c r="Q1270" s="4" t="str">
        <f>HYPERLINK("http://141.218.60.56/~jnz1568/getInfo.php?workbook=16_15.xlsx&amp;sheet=A0&amp;row=1270&amp;col=17&amp;number=&amp;sourceID=56","")</f>
        <v/>
      </c>
      <c r="R1270" s="4" t="str">
        <f>HYPERLINK("http://141.218.60.56/~jnz1568/getInfo.php?workbook=16_15.xlsx&amp;sheet=A0&amp;row=1270&amp;col=18&amp;number=&amp;sourceID=56","")</f>
        <v/>
      </c>
      <c r="S1270" s="4" t="str">
        <f>HYPERLINK("http://141.218.60.56/~jnz1568/getInfo.php?workbook=16_15.xlsx&amp;sheet=A0&amp;row=1270&amp;col=19&amp;number=&amp;sourceID=57","")</f>
        <v/>
      </c>
      <c r="T1270" s="4" t="str">
        <f>HYPERLINK("http://141.218.60.56/~jnz1568/getInfo.php?workbook=16_15.xlsx&amp;sheet=A0&amp;row=1270&amp;col=20&amp;number=&amp;sourceID=57","")</f>
        <v/>
      </c>
      <c r="U1270" s="4" t="str">
        <f>HYPERLINK("http://141.218.60.56/~jnz1568/getInfo.php?workbook=16_15.xlsx&amp;sheet=A0&amp;row=1270&amp;col=21&amp;number=&amp;sourceID=47","")</f>
        <v/>
      </c>
      <c r="V1270" s="4" t="str">
        <f>HYPERLINK("http://141.218.60.56/~jnz1568/getInfo.php?workbook=16_15.xlsx&amp;sheet=A0&amp;row=1270&amp;col=22&amp;number=&amp;sourceID=47","")</f>
        <v/>
      </c>
    </row>
    <row r="1271" spans="1:22">
      <c r="A1271" s="3">
        <v>16</v>
      </c>
      <c r="B1271" s="3">
        <v>15</v>
      </c>
      <c r="C1271" s="3">
        <v>58</v>
      </c>
      <c r="D1271" s="3">
        <v>3</v>
      </c>
      <c r="E1271" s="3">
        <f>((1/(INDEX(E0!J$4:J$73,C1271,1)-INDEX(E0!J$4:J$73,D1271,1))))*100000000</f>
        <v>0</v>
      </c>
      <c r="F1271" s="4" t="str">
        <f>HYPERLINK("http://141.218.60.56/~jnz1568/getInfo.php?workbook=16_15.xlsx&amp;sheet=A0&amp;row=1271&amp;col=6&amp;number=&amp;sourceID=54","")</f>
        <v/>
      </c>
      <c r="G1271" s="4" t="str">
        <f>HYPERLINK("http://141.218.60.56/~jnz1568/getInfo.php?workbook=16_15.xlsx&amp;sheet=A0&amp;row=1271&amp;col=7&amp;number=3275.5&amp;sourceID=54","3275.5")</f>
        <v>3275.5</v>
      </c>
      <c r="H1271" s="4" t="str">
        <f>HYPERLINK("http://141.218.60.56/~jnz1568/getInfo.php?workbook=16_15.xlsx&amp;sheet=A0&amp;row=1271&amp;col=8&amp;number=0.035212&amp;sourceID=54","0.035212")</f>
        <v>0.035212</v>
      </c>
      <c r="I1271" s="4" t="str">
        <f>HYPERLINK("http://141.218.60.56/~jnz1568/getInfo.php?workbook=16_15.xlsx&amp;sheet=A0&amp;row=1271&amp;col=9&amp;number=&amp;sourceID=54","")</f>
        <v/>
      </c>
      <c r="J1271" s="4" t="str">
        <f>HYPERLINK("http://141.218.60.56/~jnz1568/getInfo.php?workbook=16_15.xlsx&amp;sheet=A0&amp;row=1271&amp;col=10&amp;number=3301.1&amp;sourceID=54","3301.1")</f>
        <v>3301.1</v>
      </c>
      <c r="K1271" s="4" t="str">
        <f>HYPERLINK("http://141.218.60.56/~jnz1568/getInfo.php?workbook=16_15.xlsx&amp;sheet=A0&amp;row=1271&amp;col=11&amp;number=0.036798&amp;sourceID=54","0.036798")</f>
        <v>0.036798</v>
      </c>
      <c r="L1271" s="4" t="str">
        <f>HYPERLINK("http://141.218.60.56/~jnz1568/getInfo.php?workbook=16_15.xlsx&amp;sheet=A0&amp;row=1271&amp;col=12&amp;number=&amp;sourceID=53","")</f>
        <v/>
      </c>
      <c r="M1271" s="4" t="str">
        <f>HYPERLINK("http://141.218.60.56/~jnz1568/getInfo.php?workbook=16_15.xlsx&amp;sheet=A0&amp;row=1271&amp;col=13&amp;number=&amp;sourceID=53","")</f>
        <v/>
      </c>
      <c r="N1271" s="4" t="str">
        <f>HYPERLINK("http://141.218.60.56/~jnz1568/getInfo.php?workbook=16_15.xlsx&amp;sheet=A0&amp;row=1271&amp;col=14&amp;number=&amp;sourceID=53","")</f>
        <v/>
      </c>
      <c r="O1271" s="4" t="str">
        <f>HYPERLINK("http://141.218.60.56/~jnz1568/getInfo.php?workbook=16_15.xlsx&amp;sheet=A0&amp;row=1271&amp;col=15&amp;number=&amp;sourceID=55","")</f>
        <v/>
      </c>
      <c r="P1271" s="4" t="str">
        <f>HYPERLINK("http://141.218.60.56/~jnz1568/getInfo.php?workbook=16_15.xlsx&amp;sheet=A0&amp;row=1271&amp;col=16&amp;number=&amp;sourceID=55","")</f>
        <v/>
      </c>
      <c r="Q1271" s="4" t="str">
        <f>HYPERLINK("http://141.218.60.56/~jnz1568/getInfo.php?workbook=16_15.xlsx&amp;sheet=A0&amp;row=1271&amp;col=17&amp;number=&amp;sourceID=56","")</f>
        <v/>
      </c>
      <c r="R1271" s="4" t="str">
        <f>HYPERLINK("http://141.218.60.56/~jnz1568/getInfo.php?workbook=16_15.xlsx&amp;sheet=A0&amp;row=1271&amp;col=18&amp;number=&amp;sourceID=56","")</f>
        <v/>
      </c>
      <c r="S1271" s="4" t="str">
        <f>HYPERLINK("http://141.218.60.56/~jnz1568/getInfo.php?workbook=16_15.xlsx&amp;sheet=A0&amp;row=1271&amp;col=19&amp;number=&amp;sourceID=57","")</f>
        <v/>
      </c>
      <c r="T1271" s="4" t="str">
        <f>HYPERLINK("http://141.218.60.56/~jnz1568/getInfo.php?workbook=16_15.xlsx&amp;sheet=A0&amp;row=1271&amp;col=20&amp;number=&amp;sourceID=57","")</f>
        <v/>
      </c>
      <c r="U1271" s="4" t="str">
        <f>HYPERLINK("http://141.218.60.56/~jnz1568/getInfo.php?workbook=16_15.xlsx&amp;sheet=A0&amp;row=1271&amp;col=21&amp;number=&amp;sourceID=47","")</f>
        <v/>
      </c>
      <c r="V1271" s="4" t="str">
        <f>HYPERLINK("http://141.218.60.56/~jnz1568/getInfo.php?workbook=16_15.xlsx&amp;sheet=A0&amp;row=1271&amp;col=22&amp;number=&amp;sourceID=47","")</f>
        <v/>
      </c>
    </row>
    <row r="1272" spans="1:22">
      <c r="A1272" s="3">
        <v>16</v>
      </c>
      <c r="B1272" s="3">
        <v>15</v>
      </c>
      <c r="C1272" s="3">
        <v>58</v>
      </c>
      <c r="D1272" s="3">
        <v>4</v>
      </c>
      <c r="E1272" s="3">
        <f>((1/(INDEX(E0!J$4:J$73,C1272,1)-INDEX(E0!J$4:J$73,D1272,1))))*100000000</f>
        <v>0</v>
      </c>
      <c r="F1272" s="4" t="str">
        <f>HYPERLINK("http://141.218.60.56/~jnz1568/getInfo.php?workbook=16_15.xlsx&amp;sheet=A0&amp;row=1272&amp;col=6&amp;number=&amp;sourceID=54","")</f>
        <v/>
      </c>
      <c r="G1272" s="4" t="str">
        <f>HYPERLINK("http://141.218.60.56/~jnz1568/getInfo.php?workbook=16_15.xlsx&amp;sheet=A0&amp;row=1272&amp;col=7&amp;number=191.65&amp;sourceID=54","191.65")</f>
        <v>191.65</v>
      </c>
      <c r="H1272" s="4" t="str">
        <f>HYPERLINK("http://141.218.60.56/~jnz1568/getInfo.php?workbook=16_15.xlsx&amp;sheet=A0&amp;row=1272&amp;col=8&amp;number=&amp;sourceID=54","")</f>
        <v/>
      </c>
      <c r="I1272" s="4" t="str">
        <f>HYPERLINK("http://141.218.60.56/~jnz1568/getInfo.php?workbook=16_15.xlsx&amp;sheet=A0&amp;row=1272&amp;col=9&amp;number=&amp;sourceID=54","")</f>
        <v/>
      </c>
      <c r="J1272" s="4" t="str">
        <f>HYPERLINK("http://141.218.60.56/~jnz1568/getInfo.php?workbook=16_15.xlsx&amp;sheet=A0&amp;row=1272&amp;col=10&amp;number=200.11&amp;sourceID=54","200.11")</f>
        <v>200.11</v>
      </c>
      <c r="K1272" s="4" t="str">
        <f>HYPERLINK("http://141.218.60.56/~jnz1568/getInfo.php?workbook=16_15.xlsx&amp;sheet=A0&amp;row=1272&amp;col=11&amp;number=&amp;sourceID=54","")</f>
        <v/>
      </c>
      <c r="L1272" s="4" t="str">
        <f>HYPERLINK("http://141.218.60.56/~jnz1568/getInfo.php?workbook=16_15.xlsx&amp;sheet=A0&amp;row=1272&amp;col=12&amp;number=&amp;sourceID=53","")</f>
        <v/>
      </c>
      <c r="M1272" s="4" t="str">
        <f>HYPERLINK("http://141.218.60.56/~jnz1568/getInfo.php?workbook=16_15.xlsx&amp;sheet=A0&amp;row=1272&amp;col=13&amp;number=&amp;sourceID=53","")</f>
        <v/>
      </c>
      <c r="N1272" s="4" t="str">
        <f>HYPERLINK("http://141.218.60.56/~jnz1568/getInfo.php?workbook=16_15.xlsx&amp;sheet=A0&amp;row=1272&amp;col=14&amp;number=&amp;sourceID=53","")</f>
        <v/>
      </c>
      <c r="O1272" s="4" t="str">
        <f>HYPERLINK("http://141.218.60.56/~jnz1568/getInfo.php?workbook=16_15.xlsx&amp;sheet=A0&amp;row=1272&amp;col=15&amp;number=&amp;sourceID=55","")</f>
        <v/>
      </c>
      <c r="P1272" s="4" t="str">
        <f>HYPERLINK("http://141.218.60.56/~jnz1568/getInfo.php?workbook=16_15.xlsx&amp;sheet=A0&amp;row=1272&amp;col=16&amp;number=&amp;sourceID=55","")</f>
        <v/>
      </c>
      <c r="Q1272" s="4" t="str">
        <f>HYPERLINK("http://141.218.60.56/~jnz1568/getInfo.php?workbook=16_15.xlsx&amp;sheet=A0&amp;row=1272&amp;col=17&amp;number=&amp;sourceID=56","")</f>
        <v/>
      </c>
      <c r="R1272" s="4" t="str">
        <f>HYPERLINK("http://141.218.60.56/~jnz1568/getInfo.php?workbook=16_15.xlsx&amp;sheet=A0&amp;row=1272&amp;col=18&amp;number=&amp;sourceID=56","")</f>
        <v/>
      </c>
      <c r="S1272" s="4" t="str">
        <f>HYPERLINK("http://141.218.60.56/~jnz1568/getInfo.php?workbook=16_15.xlsx&amp;sheet=A0&amp;row=1272&amp;col=19&amp;number=&amp;sourceID=57","")</f>
        <v/>
      </c>
      <c r="T1272" s="4" t="str">
        <f>HYPERLINK("http://141.218.60.56/~jnz1568/getInfo.php?workbook=16_15.xlsx&amp;sheet=A0&amp;row=1272&amp;col=20&amp;number=&amp;sourceID=57","")</f>
        <v/>
      </c>
      <c r="U1272" s="4" t="str">
        <f>HYPERLINK("http://141.218.60.56/~jnz1568/getInfo.php?workbook=16_15.xlsx&amp;sheet=A0&amp;row=1272&amp;col=21&amp;number=&amp;sourceID=47","")</f>
        <v/>
      </c>
      <c r="V1272" s="4" t="str">
        <f>HYPERLINK("http://141.218.60.56/~jnz1568/getInfo.php?workbook=16_15.xlsx&amp;sheet=A0&amp;row=1272&amp;col=22&amp;number=&amp;sourceID=47","")</f>
        <v/>
      </c>
    </row>
    <row r="1273" spans="1:22">
      <c r="A1273" s="3">
        <v>16</v>
      </c>
      <c r="B1273" s="3">
        <v>15</v>
      </c>
      <c r="C1273" s="3">
        <v>58</v>
      </c>
      <c r="D1273" s="3">
        <v>5</v>
      </c>
      <c r="E1273" s="3">
        <f>((1/(INDEX(E0!J$4:J$73,C1273,1)-INDEX(E0!J$4:J$73,D1273,1))))*100000000</f>
        <v>0</v>
      </c>
      <c r="F1273" s="4" t="str">
        <f>HYPERLINK("http://141.218.60.56/~jnz1568/getInfo.php?workbook=16_15.xlsx&amp;sheet=A0&amp;row=1273&amp;col=6&amp;number=&amp;sourceID=54","")</f>
        <v/>
      </c>
      <c r="G1273" s="4" t="str">
        <f>HYPERLINK("http://141.218.60.56/~jnz1568/getInfo.php?workbook=16_15.xlsx&amp;sheet=A0&amp;row=1273&amp;col=7&amp;number=1573.8&amp;sourceID=54","1573.8")</f>
        <v>1573.8</v>
      </c>
      <c r="H1273" s="4" t="str">
        <f>HYPERLINK("http://141.218.60.56/~jnz1568/getInfo.php?workbook=16_15.xlsx&amp;sheet=A0&amp;row=1273&amp;col=8&amp;number=0.0058981&amp;sourceID=54","0.0058981")</f>
        <v>0.0058981</v>
      </c>
      <c r="I1273" s="4" t="str">
        <f>HYPERLINK("http://141.218.60.56/~jnz1568/getInfo.php?workbook=16_15.xlsx&amp;sheet=A0&amp;row=1273&amp;col=9&amp;number=&amp;sourceID=54","")</f>
        <v/>
      </c>
      <c r="J1273" s="4" t="str">
        <f>HYPERLINK("http://141.218.60.56/~jnz1568/getInfo.php?workbook=16_15.xlsx&amp;sheet=A0&amp;row=1273&amp;col=10&amp;number=1576.2&amp;sourceID=54","1576.2")</f>
        <v>1576.2</v>
      </c>
      <c r="K1273" s="4" t="str">
        <f>HYPERLINK("http://141.218.60.56/~jnz1568/getInfo.php?workbook=16_15.xlsx&amp;sheet=A0&amp;row=1273&amp;col=11&amp;number=0.0059559&amp;sourceID=54","0.0059559")</f>
        <v>0.0059559</v>
      </c>
      <c r="L1273" s="4" t="str">
        <f>HYPERLINK("http://141.218.60.56/~jnz1568/getInfo.php?workbook=16_15.xlsx&amp;sheet=A0&amp;row=1273&amp;col=12&amp;number=&amp;sourceID=53","")</f>
        <v/>
      </c>
      <c r="M1273" s="4" t="str">
        <f>HYPERLINK("http://141.218.60.56/~jnz1568/getInfo.php?workbook=16_15.xlsx&amp;sheet=A0&amp;row=1273&amp;col=13&amp;number=&amp;sourceID=53","")</f>
        <v/>
      </c>
      <c r="N1273" s="4" t="str">
        <f>HYPERLINK("http://141.218.60.56/~jnz1568/getInfo.php?workbook=16_15.xlsx&amp;sheet=A0&amp;row=1273&amp;col=14&amp;number=&amp;sourceID=53","")</f>
        <v/>
      </c>
      <c r="O1273" s="4" t="str">
        <f>HYPERLINK("http://141.218.60.56/~jnz1568/getInfo.php?workbook=16_15.xlsx&amp;sheet=A0&amp;row=1273&amp;col=15&amp;number=&amp;sourceID=55","")</f>
        <v/>
      </c>
      <c r="P1273" s="4" t="str">
        <f>HYPERLINK("http://141.218.60.56/~jnz1568/getInfo.php?workbook=16_15.xlsx&amp;sheet=A0&amp;row=1273&amp;col=16&amp;number=&amp;sourceID=55","")</f>
        <v/>
      </c>
      <c r="Q1273" s="4" t="str">
        <f>HYPERLINK("http://141.218.60.56/~jnz1568/getInfo.php?workbook=16_15.xlsx&amp;sheet=A0&amp;row=1273&amp;col=17&amp;number=&amp;sourceID=56","")</f>
        <v/>
      </c>
      <c r="R1273" s="4" t="str">
        <f>HYPERLINK("http://141.218.60.56/~jnz1568/getInfo.php?workbook=16_15.xlsx&amp;sheet=A0&amp;row=1273&amp;col=18&amp;number=&amp;sourceID=56","")</f>
        <v/>
      </c>
      <c r="S1273" s="4" t="str">
        <f>HYPERLINK("http://141.218.60.56/~jnz1568/getInfo.php?workbook=16_15.xlsx&amp;sheet=A0&amp;row=1273&amp;col=19&amp;number=&amp;sourceID=57","")</f>
        <v/>
      </c>
      <c r="T1273" s="4" t="str">
        <f>HYPERLINK("http://141.218.60.56/~jnz1568/getInfo.php?workbook=16_15.xlsx&amp;sheet=A0&amp;row=1273&amp;col=20&amp;number=&amp;sourceID=57","")</f>
        <v/>
      </c>
      <c r="U1273" s="4" t="str">
        <f>HYPERLINK("http://141.218.60.56/~jnz1568/getInfo.php?workbook=16_15.xlsx&amp;sheet=A0&amp;row=1273&amp;col=21&amp;number=&amp;sourceID=47","")</f>
        <v/>
      </c>
      <c r="V1273" s="4" t="str">
        <f>HYPERLINK("http://141.218.60.56/~jnz1568/getInfo.php?workbook=16_15.xlsx&amp;sheet=A0&amp;row=1273&amp;col=22&amp;number=&amp;sourceID=47","")</f>
        <v/>
      </c>
    </row>
    <row r="1274" spans="1:22">
      <c r="A1274" s="3">
        <v>16</v>
      </c>
      <c r="B1274" s="3">
        <v>15</v>
      </c>
      <c r="C1274" s="3">
        <v>58</v>
      </c>
      <c r="D1274" s="3">
        <v>6</v>
      </c>
      <c r="E1274" s="3">
        <f>((1/(INDEX(E0!J$4:J$73,C1274,1)-INDEX(E0!J$4:J$73,D1274,1))))*100000000</f>
        <v>0</v>
      </c>
      <c r="F1274" s="4" t="str">
        <f>HYPERLINK("http://141.218.60.56/~jnz1568/getInfo.php?workbook=16_15.xlsx&amp;sheet=A0&amp;row=1274&amp;col=6&amp;number=1268.5&amp;sourceID=54","1268.5")</f>
        <v>1268.5</v>
      </c>
      <c r="G1274" s="4" t="str">
        <f>HYPERLINK("http://141.218.60.56/~jnz1568/getInfo.php?workbook=16_15.xlsx&amp;sheet=A0&amp;row=1274&amp;col=7&amp;number=&amp;sourceID=54","")</f>
        <v/>
      </c>
      <c r="H1274" s="4" t="str">
        <f>HYPERLINK("http://141.218.60.56/~jnz1568/getInfo.php?workbook=16_15.xlsx&amp;sheet=A0&amp;row=1274&amp;col=8&amp;number=&amp;sourceID=54","")</f>
        <v/>
      </c>
      <c r="I1274" s="4" t="str">
        <f>HYPERLINK("http://141.218.60.56/~jnz1568/getInfo.php?workbook=16_15.xlsx&amp;sheet=A0&amp;row=1274&amp;col=9&amp;number=1453&amp;sourceID=54","1453")</f>
        <v>1453</v>
      </c>
      <c r="J1274" s="4" t="str">
        <f>HYPERLINK("http://141.218.60.56/~jnz1568/getInfo.php?workbook=16_15.xlsx&amp;sheet=A0&amp;row=1274&amp;col=10&amp;number=&amp;sourceID=54","")</f>
        <v/>
      </c>
      <c r="K1274" s="4" t="str">
        <f>HYPERLINK("http://141.218.60.56/~jnz1568/getInfo.php?workbook=16_15.xlsx&amp;sheet=A0&amp;row=1274&amp;col=11&amp;number=&amp;sourceID=54","")</f>
        <v/>
      </c>
      <c r="L1274" s="4" t="str">
        <f>HYPERLINK("http://141.218.60.56/~jnz1568/getInfo.php?workbook=16_15.xlsx&amp;sheet=A0&amp;row=1274&amp;col=12&amp;number=3751.72290088&amp;sourceID=53","3751.72290088")</f>
        <v>3751.72290088</v>
      </c>
      <c r="M1274" s="4" t="str">
        <f>HYPERLINK("http://141.218.60.56/~jnz1568/getInfo.php?workbook=16_15.xlsx&amp;sheet=A0&amp;row=1274&amp;col=13&amp;number=&amp;sourceID=53","")</f>
        <v/>
      </c>
      <c r="N1274" s="4" t="str">
        <f>HYPERLINK("http://141.218.60.56/~jnz1568/getInfo.php?workbook=16_15.xlsx&amp;sheet=A0&amp;row=1274&amp;col=14&amp;number=&amp;sourceID=53","")</f>
        <v/>
      </c>
      <c r="O1274" s="4" t="str">
        <f>HYPERLINK("http://141.218.60.56/~jnz1568/getInfo.php?workbook=16_15.xlsx&amp;sheet=A0&amp;row=1274&amp;col=15&amp;number=&amp;sourceID=55","")</f>
        <v/>
      </c>
      <c r="P1274" s="4" t="str">
        <f>HYPERLINK("http://141.218.60.56/~jnz1568/getInfo.php?workbook=16_15.xlsx&amp;sheet=A0&amp;row=1274&amp;col=16&amp;number=&amp;sourceID=55","")</f>
        <v/>
      </c>
      <c r="Q1274" s="4" t="str">
        <f>HYPERLINK("http://141.218.60.56/~jnz1568/getInfo.php?workbook=16_15.xlsx&amp;sheet=A0&amp;row=1274&amp;col=17&amp;number=&amp;sourceID=56","")</f>
        <v/>
      </c>
      <c r="R1274" s="4" t="str">
        <f>HYPERLINK("http://141.218.60.56/~jnz1568/getInfo.php?workbook=16_15.xlsx&amp;sheet=A0&amp;row=1274&amp;col=18&amp;number=&amp;sourceID=56","")</f>
        <v/>
      </c>
      <c r="S1274" s="4" t="str">
        <f>HYPERLINK("http://141.218.60.56/~jnz1568/getInfo.php?workbook=16_15.xlsx&amp;sheet=A0&amp;row=1274&amp;col=19&amp;number=&amp;sourceID=57","")</f>
        <v/>
      </c>
      <c r="T1274" s="4" t="str">
        <f>HYPERLINK("http://141.218.60.56/~jnz1568/getInfo.php?workbook=16_15.xlsx&amp;sheet=A0&amp;row=1274&amp;col=20&amp;number=&amp;sourceID=57","")</f>
        <v/>
      </c>
      <c r="U1274" s="4" t="str">
        <f>HYPERLINK("http://141.218.60.56/~jnz1568/getInfo.php?workbook=16_15.xlsx&amp;sheet=A0&amp;row=1274&amp;col=21&amp;number=&amp;sourceID=47","")</f>
        <v/>
      </c>
      <c r="V1274" s="4" t="str">
        <f>HYPERLINK("http://141.218.60.56/~jnz1568/getInfo.php?workbook=16_15.xlsx&amp;sheet=A0&amp;row=1274&amp;col=22&amp;number=&amp;sourceID=47","")</f>
        <v/>
      </c>
    </row>
    <row r="1275" spans="1:22">
      <c r="A1275" s="3">
        <v>16</v>
      </c>
      <c r="B1275" s="3">
        <v>15</v>
      </c>
      <c r="C1275" s="3">
        <v>58</v>
      </c>
      <c r="D1275" s="3">
        <v>7</v>
      </c>
      <c r="E1275" s="3">
        <f>((1/(INDEX(E0!J$4:J$73,C1275,1)-INDEX(E0!J$4:J$73,D1275,1))))*100000000</f>
        <v>0</v>
      </c>
      <c r="F1275" s="4" t="str">
        <f>HYPERLINK("http://141.218.60.56/~jnz1568/getInfo.php?workbook=16_15.xlsx&amp;sheet=A0&amp;row=1275&amp;col=6&amp;number=4500.7&amp;sourceID=54","4500.7")</f>
        <v>4500.7</v>
      </c>
      <c r="G1275" s="4" t="str">
        <f>HYPERLINK("http://141.218.60.56/~jnz1568/getInfo.php?workbook=16_15.xlsx&amp;sheet=A0&amp;row=1275&amp;col=7&amp;number=&amp;sourceID=54","")</f>
        <v/>
      </c>
      <c r="H1275" s="4" t="str">
        <f>HYPERLINK("http://141.218.60.56/~jnz1568/getInfo.php?workbook=16_15.xlsx&amp;sheet=A0&amp;row=1275&amp;col=8&amp;number=&amp;sourceID=54","")</f>
        <v/>
      </c>
      <c r="I1275" s="4" t="str">
        <f>HYPERLINK("http://141.218.60.56/~jnz1568/getInfo.php?workbook=16_15.xlsx&amp;sheet=A0&amp;row=1275&amp;col=9&amp;number=4800.8&amp;sourceID=54","4800.8")</f>
        <v>4800.8</v>
      </c>
      <c r="J1275" s="4" t="str">
        <f>HYPERLINK("http://141.218.60.56/~jnz1568/getInfo.php?workbook=16_15.xlsx&amp;sheet=A0&amp;row=1275&amp;col=10&amp;number=&amp;sourceID=54","")</f>
        <v/>
      </c>
      <c r="K1275" s="4" t="str">
        <f>HYPERLINK("http://141.218.60.56/~jnz1568/getInfo.php?workbook=16_15.xlsx&amp;sheet=A0&amp;row=1275&amp;col=11&amp;number=&amp;sourceID=54","")</f>
        <v/>
      </c>
      <c r="L1275" s="4" t="str">
        <f>HYPERLINK("http://141.218.60.56/~jnz1568/getInfo.php?workbook=16_15.xlsx&amp;sheet=A0&amp;row=1275&amp;col=12&amp;number=5391.00423954&amp;sourceID=53","5391.00423954")</f>
        <v>5391.00423954</v>
      </c>
      <c r="M1275" s="4" t="str">
        <f>HYPERLINK("http://141.218.60.56/~jnz1568/getInfo.php?workbook=16_15.xlsx&amp;sheet=A0&amp;row=1275&amp;col=13&amp;number=&amp;sourceID=53","")</f>
        <v/>
      </c>
      <c r="N1275" s="4" t="str">
        <f>HYPERLINK("http://141.218.60.56/~jnz1568/getInfo.php?workbook=16_15.xlsx&amp;sheet=A0&amp;row=1275&amp;col=14&amp;number=&amp;sourceID=53","")</f>
        <v/>
      </c>
      <c r="O1275" s="4" t="str">
        <f>HYPERLINK("http://141.218.60.56/~jnz1568/getInfo.php?workbook=16_15.xlsx&amp;sheet=A0&amp;row=1275&amp;col=15&amp;number=&amp;sourceID=55","")</f>
        <v/>
      </c>
      <c r="P1275" s="4" t="str">
        <f>HYPERLINK("http://141.218.60.56/~jnz1568/getInfo.php?workbook=16_15.xlsx&amp;sheet=A0&amp;row=1275&amp;col=16&amp;number=&amp;sourceID=55","")</f>
        <v/>
      </c>
      <c r="Q1275" s="4" t="str">
        <f>HYPERLINK("http://141.218.60.56/~jnz1568/getInfo.php?workbook=16_15.xlsx&amp;sheet=A0&amp;row=1275&amp;col=17&amp;number=&amp;sourceID=56","")</f>
        <v/>
      </c>
      <c r="R1275" s="4" t="str">
        <f>HYPERLINK("http://141.218.60.56/~jnz1568/getInfo.php?workbook=16_15.xlsx&amp;sheet=A0&amp;row=1275&amp;col=18&amp;number=&amp;sourceID=56","")</f>
        <v/>
      </c>
      <c r="S1275" s="4" t="str">
        <f>HYPERLINK("http://141.218.60.56/~jnz1568/getInfo.php?workbook=16_15.xlsx&amp;sheet=A0&amp;row=1275&amp;col=19&amp;number=&amp;sourceID=57","")</f>
        <v/>
      </c>
      <c r="T1275" s="4" t="str">
        <f>HYPERLINK("http://141.218.60.56/~jnz1568/getInfo.php?workbook=16_15.xlsx&amp;sheet=A0&amp;row=1275&amp;col=20&amp;number=&amp;sourceID=57","")</f>
        <v/>
      </c>
      <c r="U1275" s="4" t="str">
        <f>HYPERLINK("http://141.218.60.56/~jnz1568/getInfo.php?workbook=16_15.xlsx&amp;sheet=A0&amp;row=1275&amp;col=21&amp;number=&amp;sourceID=47","")</f>
        <v/>
      </c>
      <c r="V1275" s="4" t="str">
        <f>HYPERLINK("http://141.218.60.56/~jnz1568/getInfo.php?workbook=16_15.xlsx&amp;sheet=A0&amp;row=1275&amp;col=22&amp;number=&amp;sourceID=47","")</f>
        <v/>
      </c>
    </row>
    <row r="1276" spans="1:22">
      <c r="A1276" s="3">
        <v>16</v>
      </c>
      <c r="B1276" s="3">
        <v>15</v>
      </c>
      <c r="C1276" s="3">
        <v>58</v>
      </c>
      <c r="D1276" s="3">
        <v>9</v>
      </c>
      <c r="E1276" s="3">
        <f>((1/(INDEX(E0!J$4:J$73,C1276,1)-INDEX(E0!J$4:J$73,D1276,1))))*100000000</f>
        <v>0</v>
      </c>
      <c r="F1276" s="4" t="str">
        <f>HYPERLINK("http://141.218.60.56/~jnz1568/getInfo.php?workbook=16_15.xlsx&amp;sheet=A0&amp;row=1276&amp;col=6&amp;number=2345200&amp;sourceID=54","2345200")</f>
        <v>2345200</v>
      </c>
      <c r="G1276" s="4" t="str">
        <f>HYPERLINK("http://141.218.60.56/~jnz1568/getInfo.php?workbook=16_15.xlsx&amp;sheet=A0&amp;row=1276&amp;col=7&amp;number=&amp;sourceID=54","")</f>
        <v/>
      </c>
      <c r="H1276" s="4" t="str">
        <f>HYPERLINK("http://141.218.60.56/~jnz1568/getInfo.php?workbook=16_15.xlsx&amp;sheet=A0&amp;row=1276&amp;col=8&amp;number=&amp;sourceID=54","")</f>
        <v/>
      </c>
      <c r="I1276" s="4" t="str">
        <f>HYPERLINK("http://141.218.60.56/~jnz1568/getInfo.php?workbook=16_15.xlsx&amp;sheet=A0&amp;row=1276&amp;col=9&amp;number=2210400&amp;sourceID=54","2210400")</f>
        <v>2210400</v>
      </c>
      <c r="J1276" s="4" t="str">
        <f>HYPERLINK("http://141.218.60.56/~jnz1568/getInfo.php?workbook=16_15.xlsx&amp;sheet=A0&amp;row=1276&amp;col=10&amp;number=&amp;sourceID=54","")</f>
        <v/>
      </c>
      <c r="K1276" s="4" t="str">
        <f>HYPERLINK("http://141.218.60.56/~jnz1568/getInfo.php?workbook=16_15.xlsx&amp;sheet=A0&amp;row=1276&amp;col=11&amp;number=&amp;sourceID=54","")</f>
        <v/>
      </c>
      <c r="L1276" s="4" t="str">
        <f>HYPERLINK("http://141.218.60.56/~jnz1568/getInfo.php?workbook=16_15.xlsx&amp;sheet=A0&amp;row=1276&amp;col=12&amp;number=1550797.01345&amp;sourceID=53","1550797.01345")</f>
        <v>1550797.01345</v>
      </c>
      <c r="M1276" s="4" t="str">
        <f>HYPERLINK("http://141.218.60.56/~jnz1568/getInfo.php?workbook=16_15.xlsx&amp;sheet=A0&amp;row=1276&amp;col=13&amp;number=&amp;sourceID=53","")</f>
        <v/>
      </c>
      <c r="N1276" s="4" t="str">
        <f>HYPERLINK("http://141.218.60.56/~jnz1568/getInfo.php?workbook=16_15.xlsx&amp;sheet=A0&amp;row=1276&amp;col=14&amp;number=&amp;sourceID=53","")</f>
        <v/>
      </c>
      <c r="O1276" s="4" t="str">
        <f>HYPERLINK("http://141.218.60.56/~jnz1568/getInfo.php?workbook=16_15.xlsx&amp;sheet=A0&amp;row=1276&amp;col=15&amp;number=&amp;sourceID=55","")</f>
        <v/>
      </c>
      <c r="P1276" s="4" t="str">
        <f>HYPERLINK("http://141.218.60.56/~jnz1568/getInfo.php?workbook=16_15.xlsx&amp;sheet=A0&amp;row=1276&amp;col=16&amp;number=&amp;sourceID=55","")</f>
        <v/>
      </c>
      <c r="Q1276" s="4" t="str">
        <f>HYPERLINK("http://141.218.60.56/~jnz1568/getInfo.php?workbook=16_15.xlsx&amp;sheet=A0&amp;row=1276&amp;col=17&amp;number=&amp;sourceID=56","")</f>
        <v/>
      </c>
      <c r="R1276" s="4" t="str">
        <f>HYPERLINK("http://141.218.60.56/~jnz1568/getInfo.php?workbook=16_15.xlsx&amp;sheet=A0&amp;row=1276&amp;col=18&amp;number=&amp;sourceID=56","")</f>
        <v/>
      </c>
      <c r="S1276" s="4" t="str">
        <f>HYPERLINK("http://141.218.60.56/~jnz1568/getInfo.php?workbook=16_15.xlsx&amp;sheet=A0&amp;row=1276&amp;col=19&amp;number=&amp;sourceID=57","")</f>
        <v/>
      </c>
      <c r="T1276" s="4" t="str">
        <f>HYPERLINK("http://141.218.60.56/~jnz1568/getInfo.php?workbook=16_15.xlsx&amp;sheet=A0&amp;row=1276&amp;col=20&amp;number=&amp;sourceID=57","")</f>
        <v/>
      </c>
      <c r="U1276" s="4" t="str">
        <f>HYPERLINK("http://141.218.60.56/~jnz1568/getInfo.php?workbook=16_15.xlsx&amp;sheet=A0&amp;row=1276&amp;col=21&amp;number=&amp;sourceID=47","")</f>
        <v/>
      </c>
      <c r="V1276" s="4" t="str">
        <f>HYPERLINK("http://141.218.60.56/~jnz1568/getInfo.php?workbook=16_15.xlsx&amp;sheet=A0&amp;row=1276&amp;col=22&amp;number=&amp;sourceID=47","")</f>
        <v/>
      </c>
    </row>
    <row r="1277" spans="1:22">
      <c r="A1277" s="3">
        <v>16</v>
      </c>
      <c r="B1277" s="3">
        <v>15</v>
      </c>
      <c r="C1277" s="3">
        <v>58</v>
      </c>
      <c r="D1277" s="3">
        <v>10</v>
      </c>
      <c r="E1277" s="3">
        <f>((1/(INDEX(E0!J$4:J$73,C1277,1)-INDEX(E0!J$4:J$73,D1277,1))))*100000000</f>
        <v>0</v>
      </c>
      <c r="F1277" s="4" t="str">
        <f>HYPERLINK("http://141.218.60.56/~jnz1568/getInfo.php?workbook=16_15.xlsx&amp;sheet=A0&amp;row=1277&amp;col=6&amp;number=23357000&amp;sourceID=54","23357000")</f>
        <v>23357000</v>
      </c>
      <c r="G1277" s="4" t="str">
        <f>HYPERLINK("http://141.218.60.56/~jnz1568/getInfo.php?workbook=16_15.xlsx&amp;sheet=A0&amp;row=1277&amp;col=7&amp;number=&amp;sourceID=54","")</f>
        <v/>
      </c>
      <c r="H1277" s="4" t="str">
        <f>HYPERLINK("http://141.218.60.56/~jnz1568/getInfo.php?workbook=16_15.xlsx&amp;sheet=A0&amp;row=1277&amp;col=8&amp;number=&amp;sourceID=54","")</f>
        <v/>
      </c>
      <c r="I1277" s="4" t="str">
        <f>HYPERLINK("http://141.218.60.56/~jnz1568/getInfo.php?workbook=16_15.xlsx&amp;sheet=A0&amp;row=1277&amp;col=9&amp;number=22589000&amp;sourceID=54","22589000")</f>
        <v>22589000</v>
      </c>
      <c r="J1277" s="4" t="str">
        <f>HYPERLINK("http://141.218.60.56/~jnz1568/getInfo.php?workbook=16_15.xlsx&amp;sheet=A0&amp;row=1277&amp;col=10&amp;number=&amp;sourceID=54","")</f>
        <v/>
      </c>
      <c r="K1277" s="4" t="str">
        <f>HYPERLINK("http://141.218.60.56/~jnz1568/getInfo.php?workbook=16_15.xlsx&amp;sheet=A0&amp;row=1277&amp;col=11&amp;number=&amp;sourceID=54","")</f>
        <v/>
      </c>
      <c r="L1277" s="4" t="str">
        <f>HYPERLINK("http://141.218.60.56/~jnz1568/getInfo.php?workbook=16_15.xlsx&amp;sheet=A0&amp;row=1277&amp;col=12&amp;number=12329034.8939&amp;sourceID=53","12329034.8939")</f>
        <v>12329034.8939</v>
      </c>
      <c r="M1277" s="4" t="str">
        <f>HYPERLINK("http://141.218.60.56/~jnz1568/getInfo.php?workbook=16_15.xlsx&amp;sheet=A0&amp;row=1277&amp;col=13&amp;number=&amp;sourceID=53","")</f>
        <v/>
      </c>
      <c r="N1277" s="4" t="str">
        <f>HYPERLINK("http://141.218.60.56/~jnz1568/getInfo.php?workbook=16_15.xlsx&amp;sheet=A0&amp;row=1277&amp;col=14&amp;number=&amp;sourceID=53","")</f>
        <v/>
      </c>
      <c r="O1277" s="4" t="str">
        <f>HYPERLINK("http://141.218.60.56/~jnz1568/getInfo.php?workbook=16_15.xlsx&amp;sheet=A0&amp;row=1277&amp;col=15&amp;number=&amp;sourceID=55","")</f>
        <v/>
      </c>
      <c r="P1277" s="4" t="str">
        <f>HYPERLINK("http://141.218.60.56/~jnz1568/getInfo.php?workbook=16_15.xlsx&amp;sheet=A0&amp;row=1277&amp;col=16&amp;number=&amp;sourceID=55","")</f>
        <v/>
      </c>
      <c r="Q1277" s="4" t="str">
        <f>HYPERLINK("http://141.218.60.56/~jnz1568/getInfo.php?workbook=16_15.xlsx&amp;sheet=A0&amp;row=1277&amp;col=17&amp;number=&amp;sourceID=56","")</f>
        <v/>
      </c>
      <c r="R1277" s="4" t="str">
        <f>HYPERLINK("http://141.218.60.56/~jnz1568/getInfo.php?workbook=16_15.xlsx&amp;sheet=A0&amp;row=1277&amp;col=18&amp;number=&amp;sourceID=56","")</f>
        <v/>
      </c>
      <c r="S1277" s="4" t="str">
        <f>HYPERLINK("http://141.218.60.56/~jnz1568/getInfo.php?workbook=16_15.xlsx&amp;sheet=A0&amp;row=1277&amp;col=19&amp;number=&amp;sourceID=57","")</f>
        <v/>
      </c>
      <c r="T1277" s="4" t="str">
        <f>HYPERLINK("http://141.218.60.56/~jnz1568/getInfo.php?workbook=16_15.xlsx&amp;sheet=A0&amp;row=1277&amp;col=20&amp;number=&amp;sourceID=57","")</f>
        <v/>
      </c>
      <c r="U1277" s="4" t="str">
        <f>HYPERLINK("http://141.218.60.56/~jnz1568/getInfo.php?workbook=16_15.xlsx&amp;sheet=A0&amp;row=1277&amp;col=21&amp;number=&amp;sourceID=47","")</f>
        <v/>
      </c>
      <c r="V1277" s="4" t="str">
        <f>HYPERLINK("http://141.218.60.56/~jnz1568/getInfo.php?workbook=16_15.xlsx&amp;sheet=A0&amp;row=1277&amp;col=22&amp;number=&amp;sourceID=47","")</f>
        <v/>
      </c>
    </row>
    <row r="1278" spans="1:22">
      <c r="A1278" s="3">
        <v>16</v>
      </c>
      <c r="B1278" s="3">
        <v>15</v>
      </c>
      <c r="C1278" s="3">
        <v>58</v>
      </c>
      <c r="D1278" s="3">
        <v>11</v>
      </c>
      <c r="E1278" s="3">
        <f>((1/(INDEX(E0!J$4:J$73,C1278,1)-INDEX(E0!J$4:J$73,D1278,1))))*100000000</f>
        <v>0</v>
      </c>
      <c r="F1278" s="4" t="str">
        <f>HYPERLINK("http://141.218.60.56/~jnz1568/getInfo.php?workbook=16_15.xlsx&amp;sheet=A0&amp;row=1278&amp;col=6&amp;number=3373500&amp;sourceID=54","3373500")</f>
        <v>3373500</v>
      </c>
      <c r="G1278" s="4" t="str">
        <f>HYPERLINK("http://141.218.60.56/~jnz1568/getInfo.php?workbook=16_15.xlsx&amp;sheet=A0&amp;row=1278&amp;col=7&amp;number=&amp;sourceID=54","")</f>
        <v/>
      </c>
      <c r="H1278" s="4" t="str">
        <f>HYPERLINK("http://141.218.60.56/~jnz1568/getInfo.php?workbook=16_15.xlsx&amp;sheet=A0&amp;row=1278&amp;col=8&amp;number=&amp;sourceID=54","")</f>
        <v/>
      </c>
      <c r="I1278" s="4" t="str">
        <f>HYPERLINK("http://141.218.60.56/~jnz1568/getInfo.php?workbook=16_15.xlsx&amp;sheet=A0&amp;row=1278&amp;col=9&amp;number=3304900&amp;sourceID=54","3304900")</f>
        <v>3304900</v>
      </c>
      <c r="J1278" s="4" t="str">
        <f>HYPERLINK("http://141.218.60.56/~jnz1568/getInfo.php?workbook=16_15.xlsx&amp;sheet=A0&amp;row=1278&amp;col=10&amp;number=&amp;sourceID=54","")</f>
        <v/>
      </c>
      <c r="K1278" s="4" t="str">
        <f>HYPERLINK("http://141.218.60.56/~jnz1568/getInfo.php?workbook=16_15.xlsx&amp;sheet=A0&amp;row=1278&amp;col=11&amp;number=&amp;sourceID=54","")</f>
        <v/>
      </c>
      <c r="L1278" s="4" t="str">
        <f>HYPERLINK("http://141.218.60.56/~jnz1568/getInfo.php?workbook=16_15.xlsx&amp;sheet=A0&amp;row=1278&amp;col=12&amp;number=1914577.1337&amp;sourceID=53","1914577.1337")</f>
        <v>1914577.1337</v>
      </c>
      <c r="M1278" s="4" t="str">
        <f>HYPERLINK("http://141.218.60.56/~jnz1568/getInfo.php?workbook=16_15.xlsx&amp;sheet=A0&amp;row=1278&amp;col=13&amp;number=&amp;sourceID=53","")</f>
        <v/>
      </c>
      <c r="N1278" s="4" t="str">
        <f>HYPERLINK("http://141.218.60.56/~jnz1568/getInfo.php?workbook=16_15.xlsx&amp;sheet=A0&amp;row=1278&amp;col=14&amp;number=&amp;sourceID=53","")</f>
        <v/>
      </c>
      <c r="O1278" s="4" t="str">
        <f>HYPERLINK("http://141.218.60.56/~jnz1568/getInfo.php?workbook=16_15.xlsx&amp;sheet=A0&amp;row=1278&amp;col=15&amp;number=&amp;sourceID=55","")</f>
        <v/>
      </c>
      <c r="P1278" s="4" t="str">
        <f>HYPERLINK("http://141.218.60.56/~jnz1568/getInfo.php?workbook=16_15.xlsx&amp;sheet=A0&amp;row=1278&amp;col=16&amp;number=&amp;sourceID=55","")</f>
        <v/>
      </c>
      <c r="Q1278" s="4" t="str">
        <f>HYPERLINK("http://141.218.60.56/~jnz1568/getInfo.php?workbook=16_15.xlsx&amp;sheet=A0&amp;row=1278&amp;col=17&amp;number=&amp;sourceID=56","")</f>
        <v/>
      </c>
      <c r="R1278" s="4" t="str">
        <f>HYPERLINK("http://141.218.60.56/~jnz1568/getInfo.php?workbook=16_15.xlsx&amp;sheet=A0&amp;row=1278&amp;col=18&amp;number=&amp;sourceID=56","")</f>
        <v/>
      </c>
      <c r="S1278" s="4" t="str">
        <f>HYPERLINK("http://141.218.60.56/~jnz1568/getInfo.php?workbook=16_15.xlsx&amp;sheet=A0&amp;row=1278&amp;col=19&amp;number=&amp;sourceID=57","")</f>
        <v/>
      </c>
      <c r="T1278" s="4" t="str">
        <f>HYPERLINK("http://141.218.60.56/~jnz1568/getInfo.php?workbook=16_15.xlsx&amp;sheet=A0&amp;row=1278&amp;col=20&amp;number=&amp;sourceID=57","")</f>
        <v/>
      </c>
      <c r="U1278" s="4" t="str">
        <f>HYPERLINK("http://141.218.60.56/~jnz1568/getInfo.php?workbook=16_15.xlsx&amp;sheet=A0&amp;row=1278&amp;col=21&amp;number=&amp;sourceID=47","")</f>
        <v/>
      </c>
      <c r="V1278" s="4" t="str">
        <f>HYPERLINK("http://141.218.60.56/~jnz1568/getInfo.php?workbook=16_15.xlsx&amp;sheet=A0&amp;row=1278&amp;col=22&amp;number=&amp;sourceID=47","")</f>
        <v/>
      </c>
    </row>
    <row r="1279" spans="1:22">
      <c r="A1279" s="3">
        <v>16</v>
      </c>
      <c r="B1279" s="3">
        <v>15</v>
      </c>
      <c r="C1279" s="3">
        <v>58</v>
      </c>
      <c r="D1279" s="3">
        <v>14</v>
      </c>
      <c r="E1279" s="3">
        <f>((1/(INDEX(E0!J$4:J$73,C1279,1)-INDEX(E0!J$4:J$73,D1279,1))))*100000000</f>
        <v>0</v>
      </c>
      <c r="F1279" s="4" t="str">
        <f>HYPERLINK("http://141.218.60.56/~jnz1568/getInfo.php?workbook=16_15.xlsx&amp;sheet=A0&amp;row=1279&amp;col=6&amp;number=50078&amp;sourceID=54","50078")</f>
        <v>50078</v>
      </c>
      <c r="G1279" s="4" t="str">
        <f>HYPERLINK("http://141.218.60.56/~jnz1568/getInfo.php?workbook=16_15.xlsx&amp;sheet=A0&amp;row=1279&amp;col=7&amp;number=&amp;sourceID=54","")</f>
        <v/>
      </c>
      <c r="H1279" s="4" t="str">
        <f>HYPERLINK("http://141.218.60.56/~jnz1568/getInfo.php?workbook=16_15.xlsx&amp;sheet=A0&amp;row=1279&amp;col=8&amp;number=&amp;sourceID=54","")</f>
        <v/>
      </c>
      <c r="I1279" s="4" t="str">
        <f>HYPERLINK("http://141.218.60.56/~jnz1568/getInfo.php?workbook=16_15.xlsx&amp;sheet=A0&amp;row=1279&amp;col=9&amp;number=67759&amp;sourceID=54","67759")</f>
        <v>67759</v>
      </c>
      <c r="J1279" s="4" t="str">
        <f>HYPERLINK("http://141.218.60.56/~jnz1568/getInfo.php?workbook=16_15.xlsx&amp;sheet=A0&amp;row=1279&amp;col=10&amp;number=&amp;sourceID=54","")</f>
        <v/>
      </c>
      <c r="K1279" s="4" t="str">
        <f>HYPERLINK("http://141.218.60.56/~jnz1568/getInfo.php?workbook=16_15.xlsx&amp;sheet=A0&amp;row=1279&amp;col=11&amp;number=&amp;sourceID=54","")</f>
        <v/>
      </c>
      <c r="L1279" s="4" t="str">
        <f>HYPERLINK("http://141.218.60.56/~jnz1568/getInfo.php?workbook=16_15.xlsx&amp;sheet=A0&amp;row=1279&amp;col=12&amp;number=5686.29482027&amp;sourceID=53","5686.29482027")</f>
        <v>5686.29482027</v>
      </c>
      <c r="M1279" s="4" t="str">
        <f>HYPERLINK("http://141.218.60.56/~jnz1568/getInfo.php?workbook=16_15.xlsx&amp;sheet=A0&amp;row=1279&amp;col=13&amp;number=&amp;sourceID=53","")</f>
        <v/>
      </c>
      <c r="N1279" s="4" t="str">
        <f>HYPERLINK("http://141.218.60.56/~jnz1568/getInfo.php?workbook=16_15.xlsx&amp;sheet=A0&amp;row=1279&amp;col=14&amp;number=&amp;sourceID=53","")</f>
        <v/>
      </c>
      <c r="O1279" s="4" t="str">
        <f>HYPERLINK("http://141.218.60.56/~jnz1568/getInfo.php?workbook=16_15.xlsx&amp;sheet=A0&amp;row=1279&amp;col=15&amp;number=&amp;sourceID=55","")</f>
        <v/>
      </c>
      <c r="P1279" s="4" t="str">
        <f>HYPERLINK("http://141.218.60.56/~jnz1568/getInfo.php?workbook=16_15.xlsx&amp;sheet=A0&amp;row=1279&amp;col=16&amp;number=&amp;sourceID=55","")</f>
        <v/>
      </c>
      <c r="Q1279" s="4" t="str">
        <f>HYPERLINK("http://141.218.60.56/~jnz1568/getInfo.php?workbook=16_15.xlsx&amp;sheet=A0&amp;row=1279&amp;col=17&amp;number=&amp;sourceID=56","")</f>
        <v/>
      </c>
      <c r="R1279" s="4" t="str">
        <f>HYPERLINK("http://141.218.60.56/~jnz1568/getInfo.php?workbook=16_15.xlsx&amp;sheet=A0&amp;row=1279&amp;col=18&amp;number=&amp;sourceID=56","")</f>
        <v/>
      </c>
      <c r="S1279" s="4" t="str">
        <f>HYPERLINK("http://141.218.60.56/~jnz1568/getInfo.php?workbook=16_15.xlsx&amp;sheet=A0&amp;row=1279&amp;col=19&amp;number=&amp;sourceID=57","")</f>
        <v/>
      </c>
      <c r="T1279" s="4" t="str">
        <f>HYPERLINK("http://141.218.60.56/~jnz1568/getInfo.php?workbook=16_15.xlsx&amp;sheet=A0&amp;row=1279&amp;col=20&amp;number=&amp;sourceID=57","")</f>
        <v/>
      </c>
      <c r="U1279" s="4" t="str">
        <f>HYPERLINK("http://141.218.60.56/~jnz1568/getInfo.php?workbook=16_15.xlsx&amp;sheet=A0&amp;row=1279&amp;col=21&amp;number=&amp;sourceID=47","")</f>
        <v/>
      </c>
      <c r="V1279" s="4" t="str">
        <f>HYPERLINK("http://141.218.60.56/~jnz1568/getInfo.php?workbook=16_15.xlsx&amp;sheet=A0&amp;row=1279&amp;col=22&amp;number=&amp;sourceID=47","")</f>
        <v/>
      </c>
    </row>
    <row r="1280" spans="1:22">
      <c r="A1280" s="3">
        <v>16</v>
      </c>
      <c r="B1280" s="3">
        <v>15</v>
      </c>
      <c r="C1280" s="3">
        <v>58</v>
      </c>
      <c r="D1280" s="3">
        <v>15</v>
      </c>
      <c r="E1280" s="3">
        <f>((1/(INDEX(E0!J$4:J$73,C1280,1)-INDEX(E0!J$4:J$73,D1280,1))))*100000000</f>
        <v>0</v>
      </c>
      <c r="F1280" s="4" t="str">
        <f>HYPERLINK("http://141.218.60.56/~jnz1568/getInfo.php?workbook=16_15.xlsx&amp;sheet=A0&amp;row=1280&amp;col=6&amp;number=721.64&amp;sourceID=54","721.64")</f>
        <v>721.64</v>
      </c>
      <c r="G1280" s="4" t="str">
        <f>HYPERLINK("http://141.218.60.56/~jnz1568/getInfo.php?workbook=16_15.xlsx&amp;sheet=A0&amp;row=1280&amp;col=7&amp;number=&amp;sourceID=54","")</f>
        <v/>
      </c>
      <c r="H1280" s="4" t="str">
        <f>HYPERLINK("http://141.218.60.56/~jnz1568/getInfo.php?workbook=16_15.xlsx&amp;sheet=A0&amp;row=1280&amp;col=8&amp;number=&amp;sourceID=54","")</f>
        <v/>
      </c>
      <c r="I1280" s="4" t="str">
        <f>HYPERLINK("http://141.218.60.56/~jnz1568/getInfo.php?workbook=16_15.xlsx&amp;sheet=A0&amp;row=1280&amp;col=9&amp;number=770.89&amp;sourceID=54","770.89")</f>
        <v>770.89</v>
      </c>
      <c r="J1280" s="4" t="str">
        <f>HYPERLINK("http://141.218.60.56/~jnz1568/getInfo.php?workbook=16_15.xlsx&amp;sheet=A0&amp;row=1280&amp;col=10&amp;number=&amp;sourceID=54","")</f>
        <v/>
      </c>
      <c r="K1280" s="4" t="str">
        <f>HYPERLINK("http://141.218.60.56/~jnz1568/getInfo.php?workbook=16_15.xlsx&amp;sheet=A0&amp;row=1280&amp;col=11&amp;number=&amp;sourceID=54","")</f>
        <v/>
      </c>
      <c r="L1280" s="4" t="str">
        <f>HYPERLINK("http://141.218.60.56/~jnz1568/getInfo.php?workbook=16_15.xlsx&amp;sheet=A0&amp;row=1280&amp;col=12&amp;number=848.665034554&amp;sourceID=53","848.665034554")</f>
        <v>848.665034554</v>
      </c>
      <c r="M1280" s="4" t="str">
        <f>HYPERLINK("http://141.218.60.56/~jnz1568/getInfo.php?workbook=16_15.xlsx&amp;sheet=A0&amp;row=1280&amp;col=13&amp;number=&amp;sourceID=53","")</f>
        <v/>
      </c>
      <c r="N1280" s="4" t="str">
        <f>HYPERLINK("http://141.218.60.56/~jnz1568/getInfo.php?workbook=16_15.xlsx&amp;sheet=A0&amp;row=1280&amp;col=14&amp;number=&amp;sourceID=53","")</f>
        <v/>
      </c>
      <c r="O1280" s="4" t="str">
        <f>HYPERLINK("http://141.218.60.56/~jnz1568/getInfo.php?workbook=16_15.xlsx&amp;sheet=A0&amp;row=1280&amp;col=15&amp;number=&amp;sourceID=55","")</f>
        <v/>
      </c>
      <c r="P1280" s="4" t="str">
        <f>HYPERLINK("http://141.218.60.56/~jnz1568/getInfo.php?workbook=16_15.xlsx&amp;sheet=A0&amp;row=1280&amp;col=16&amp;number=&amp;sourceID=55","")</f>
        <v/>
      </c>
      <c r="Q1280" s="4" t="str">
        <f>HYPERLINK("http://141.218.60.56/~jnz1568/getInfo.php?workbook=16_15.xlsx&amp;sheet=A0&amp;row=1280&amp;col=17&amp;number=&amp;sourceID=56","")</f>
        <v/>
      </c>
      <c r="R1280" s="4" t="str">
        <f>HYPERLINK("http://141.218.60.56/~jnz1568/getInfo.php?workbook=16_15.xlsx&amp;sheet=A0&amp;row=1280&amp;col=18&amp;number=&amp;sourceID=56","")</f>
        <v/>
      </c>
      <c r="S1280" s="4" t="str">
        <f>HYPERLINK("http://141.218.60.56/~jnz1568/getInfo.php?workbook=16_15.xlsx&amp;sheet=A0&amp;row=1280&amp;col=19&amp;number=&amp;sourceID=57","")</f>
        <v/>
      </c>
      <c r="T1280" s="4" t="str">
        <f>HYPERLINK("http://141.218.60.56/~jnz1568/getInfo.php?workbook=16_15.xlsx&amp;sheet=A0&amp;row=1280&amp;col=20&amp;number=&amp;sourceID=57","")</f>
        <v/>
      </c>
      <c r="U1280" s="4" t="str">
        <f>HYPERLINK("http://141.218.60.56/~jnz1568/getInfo.php?workbook=16_15.xlsx&amp;sheet=A0&amp;row=1280&amp;col=21&amp;number=&amp;sourceID=47","")</f>
        <v/>
      </c>
      <c r="V1280" s="4" t="str">
        <f>HYPERLINK("http://141.218.60.56/~jnz1568/getInfo.php?workbook=16_15.xlsx&amp;sheet=A0&amp;row=1280&amp;col=22&amp;number=&amp;sourceID=47","")</f>
        <v/>
      </c>
    </row>
    <row r="1281" spans="1:22">
      <c r="A1281" s="3">
        <v>16</v>
      </c>
      <c r="B1281" s="3">
        <v>15</v>
      </c>
      <c r="C1281" s="3">
        <v>58</v>
      </c>
      <c r="D1281" s="3">
        <v>16</v>
      </c>
      <c r="E1281" s="3">
        <f>((1/(INDEX(E0!J$4:J$73,C1281,1)-INDEX(E0!J$4:J$73,D1281,1))))*100000000</f>
        <v>0</v>
      </c>
      <c r="F1281" s="4" t="str">
        <f>HYPERLINK("http://141.218.60.56/~jnz1568/getInfo.php?workbook=16_15.xlsx&amp;sheet=A0&amp;row=1281&amp;col=6&amp;number=464.44&amp;sourceID=54","464.44")</f>
        <v>464.44</v>
      </c>
      <c r="G1281" s="4" t="str">
        <f>HYPERLINK("http://141.218.60.56/~jnz1568/getInfo.php?workbook=16_15.xlsx&amp;sheet=A0&amp;row=1281&amp;col=7&amp;number=&amp;sourceID=54","")</f>
        <v/>
      </c>
      <c r="H1281" s="4" t="str">
        <f>HYPERLINK("http://141.218.60.56/~jnz1568/getInfo.php?workbook=16_15.xlsx&amp;sheet=A0&amp;row=1281&amp;col=8&amp;number=&amp;sourceID=54","")</f>
        <v/>
      </c>
      <c r="I1281" s="4" t="str">
        <f>HYPERLINK("http://141.218.60.56/~jnz1568/getInfo.php?workbook=16_15.xlsx&amp;sheet=A0&amp;row=1281&amp;col=9&amp;number=388.6&amp;sourceID=54","388.6")</f>
        <v>388.6</v>
      </c>
      <c r="J1281" s="4" t="str">
        <f>HYPERLINK("http://141.218.60.56/~jnz1568/getInfo.php?workbook=16_15.xlsx&amp;sheet=A0&amp;row=1281&amp;col=10&amp;number=&amp;sourceID=54","")</f>
        <v/>
      </c>
      <c r="K1281" s="4" t="str">
        <f>HYPERLINK("http://141.218.60.56/~jnz1568/getInfo.php?workbook=16_15.xlsx&amp;sheet=A0&amp;row=1281&amp;col=11&amp;number=&amp;sourceID=54","")</f>
        <v/>
      </c>
      <c r="L1281" s="4" t="str">
        <f>HYPERLINK("http://141.218.60.56/~jnz1568/getInfo.php?workbook=16_15.xlsx&amp;sheet=A0&amp;row=1281&amp;col=12&amp;number=747.70692959&amp;sourceID=53","747.70692959")</f>
        <v>747.70692959</v>
      </c>
      <c r="M1281" s="4" t="str">
        <f>HYPERLINK("http://141.218.60.56/~jnz1568/getInfo.php?workbook=16_15.xlsx&amp;sheet=A0&amp;row=1281&amp;col=13&amp;number=&amp;sourceID=53","")</f>
        <v/>
      </c>
      <c r="N1281" s="4" t="str">
        <f>HYPERLINK("http://141.218.60.56/~jnz1568/getInfo.php?workbook=16_15.xlsx&amp;sheet=A0&amp;row=1281&amp;col=14&amp;number=&amp;sourceID=53","")</f>
        <v/>
      </c>
      <c r="O1281" s="4" t="str">
        <f>HYPERLINK("http://141.218.60.56/~jnz1568/getInfo.php?workbook=16_15.xlsx&amp;sheet=A0&amp;row=1281&amp;col=15&amp;number=&amp;sourceID=55","")</f>
        <v/>
      </c>
      <c r="P1281" s="4" t="str">
        <f>HYPERLINK("http://141.218.60.56/~jnz1568/getInfo.php?workbook=16_15.xlsx&amp;sheet=A0&amp;row=1281&amp;col=16&amp;number=&amp;sourceID=55","")</f>
        <v/>
      </c>
      <c r="Q1281" s="4" t="str">
        <f>HYPERLINK("http://141.218.60.56/~jnz1568/getInfo.php?workbook=16_15.xlsx&amp;sheet=A0&amp;row=1281&amp;col=17&amp;number=&amp;sourceID=56","")</f>
        <v/>
      </c>
      <c r="R1281" s="4" t="str">
        <f>HYPERLINK("http://141.218.60.56/~jnz1568/getInfo.php?workbook=16_15.xlsx&amp;sheet=A0&amp;row=1281&amp;col=18&amp;number=&amp;sourceID=56","")</f>
        <v/>
      </c>
      <c r="S1281" s="4" t="str">
        <f>HYPERLINK("http://141.218.60.56/~jnz1568/getInfo.php?workbook=16_15.xlsx&amp;sheet=A0&amp;row=1281&amp;col=19&amp;number=&amp;sourceID=57","")</f>
        <v/>
      </c>
      <c r="T1281" s="4" t="str">
        <f>HYPERLINK("http://141.218.60.56/~jnz1568/getInfo.php?workbook=16_15.xlsx&amp;sheet=A0&amp;row=1281&amp;col=20&amp;number=&amp;sourceID=57","")</f>
        <v/>
      </c>
      <c r="U1281" s="4" t="str">
        <f>HYPERLINK("http://141.218.60.56/~jnz1568/getInfo.php?workbook=16_15.xlsx&amp;sheet=A0&amp;row=1281&amp;col=21&amp;number=&amp;sourceID=47","")</f>
        <v/>
      </c>
      <c r="V1281" s="4" t="str">
        <f>HYPERLINK("http://141.218.60.56/~jnz1568/getInfo.php?workbook=16_15.xlsx&amp;sheet=A0&amp;row=1281&amp;col=22&amp;number=&amp;sourceID=47","")</f>
        <v/>
      </c>
    </row>
    <row r="1282" spans="1:22">
      <c r="A1282" s="3">
        <v>16</v>
      </c>
      <c r="B1282" s="3">
        <v>15</v>
      </c>
      <c r="C1282" s="3">
        <v>58</v>
      </c>
      <c r="D1282" s="3">
        <v>17</v>
      </c>
      <c r="E1282" s="3">
        <f>((1/(INDEX(E0!J$4:J$73,C1282,1)-INDEX(E0!J$4:J$73,D1282,1))))*100000000</f>
        <v>0</v>
      </c>
      <c r="F1282" s="4" t="str">
        <f>HYPERLINK("http://141.218.60.56/~jnz1568/getInfo.php?workbook=16_15.xlsx&amp;sheet=A0&amp;row=1282&amp;col=6&amp;number=6243.7&amp;sourceID=54","6243.7")</f>
        <v>6243.7</v>
      </c>
      <c r="G1282" s="4" t="str">
        <f>HYPERLINK("http://141.218.60.56/~jnz1568/getInfo.php?workbook=16_15.xlsx&amp;sheet=A0&amp;row=1282&amp;col=7&amp;number=&amp;sourceID=54","")</f>
        <v/>
      </c>
      <c r="H1282" s="4" t="str">
        <f>HYPERLINK("http://141.218.60.56/~jnz1568/getInfo.php?workbook=16_15.xlsx&amp;sheet=A0&amp;row=1282&amp;col=8&amp;number=&amp;sourceID=54","")</f>
        <v/>
      </c>
      <c r="I1282" s="4" t="str">
        <f>HYPERLINK("http://141.218.60.56/~jnz1568/getInfo.php?workbook=16_15.xlsx&amp;sheet=A0&amp;row=1282&amp;col=9&amp;number=6597.4&amp;sourceID=54","6597.4")</f>
        <v>6597.4</v>
      </c>
      <c r="J1282" s="4" t="str">
        <f>HYPERLINK("http://141.218.60.56/~jnz1568/getInfo.php?workbook=16_15.xlsx&amp;sheet=A0&amp;row=1282&amp;col=10&amp;number=&amp;sourceID=54","")</f>
        <v/>
      </c>
      <c r="K1282" s="4" t="str">
        <f>HYPERLINK("http://141.218.60.56/~jnz1568/getInfo.php?workbook=16_15.xlsx&amp;sheet=A0&amp;row=1282&amp;col=11&amp;number=&amp;sourceID=54","")</f>
        <v/>
      </c>
      <c r="L1282" s="4" t="str">
        <f>HYPERLINK("http://141.218.60.56/~jnz1568/getInfo.php?workbook=16_15.xlsx&amp;sheet=A0&amp;row=1282&amp;col=12&amp;number=7339.79279327&amp;sourceID=53","7339.79279327")</f>
        <v>7339.79279327</v>
      </c>
      <c r="M1282" s="4" t="str">
        <f>HYPERLINK("http://141.218.60.56/~jnz1568/getInfo.php?workbook=16_15.xlsx&amp;sheet=A0&amp;row=1282&amp;col=13&amp;number=&amp;sourceID=53","")</f>
        <v/>
      </c>
      <c r="N1282" s="4" t="str">
        <f>HYPERLINK("http://141.218.60.56/~jnz1568/getInfo.php?workbook=16_15.xlsx&amp;sheet=A0&amp;row=1282&amp;col=14&amp;number=&amp;sourceID=53","")</f>
        <v/>
      </c>
      <c r="O1282" s="4" t="str">
        <f>HYPERLINK("http://141.218.60.56/~jnz1568/getInfo.php?workbook=16_15.xlsx&amp;sheet=A0&amp;row=1282&amp;col=15&amp;number=&amp;sourceID=55","")</f>
        <v/>
      </c>
      <c r="P1282" s="4" t="str">
        <f>HYPERLINK("http://141.218.60.56/~jnz1568/getInfo.php?workbook=16_15.xlsx&amp;sheet=A0&amp;row=1282&amp;col=16&amp;number=&amp;sourceID=55","")</f>
        <v/>
      </c>
      <c r="Q1282" s="4" t="str">
        <f>HYPERLINK("http://141.218.60.56/~jnz1568/getInfo.php?workbook=16_15.xlsx&amp;sheet=A0&amp;row=1282&amp;col=17&amp;number=&amp;sourceID=56","")</f>
        <v/>
      </c>
      <c r="R1282" s="4" t="str">
        <f>HYPERLINK("http://141.218.60.56/~jnz1568/getInfo.php?workbook=16_15.xlsx&amp;sheet=A0&amp;row=1282&amp;col=18&amp;number=&amp;sourceID=56","")</f>
        <v/>
      </c>
      <c r="S1282" s="4" t="str">
        <f>HYPERLINK("http://141.218.60.56/~jnz1568/getInfo.php?workbook=16_15.xlsx&amp;sheet=A0&amp;row=1282&amp;col=19&amp;number=&amp;sourceID=57","")</f>
        <v/>
      </c>
      <c r="T1282" s="4" t="str">
        <f>HYPERLINK("http://141.218.60.56/~jnz1568/getInfo.php?workbook=16_15.xlsx&amp;sheet=A0&amp;row=1282&amp;col=20&amp;number=&amp;sourceID=57","")</f>
        <v/>
      </c>
      <c r="U1282" s="4" t="str">
        <f>HYPERLINK("http://141.218.60.56/~jnz1568/getInfo.php?workbook=16_15.xlsx&amp;sheet=A0&amp;row=1282&amp;col=21&amp;number=&amp;sourceID=47","")</f>
        <v/>
      </c>
      <c r="V1282" s="4" t="str">
        <f>HYPERLINK("http://141.218.60.56/~jnz1568/getInfo.php?workbook=16_15.xlsx&amp;sheet=A0&amp;row=1282&amp;col=22&amp;number=&amp;sourceID=47","")</f>
        <v/>
      </c>
    </row>
    <row r="1283" spans="1:22">
      <c r="A1283" s="3">
        <v>16</v>
      </c>
      <c r="B1283" s="3">
        <v>15</v>
      </c>
      <c r="C1283" s="3">
        <v>58</v>
      </c>
      <c r="D1283" s="3">
        <v>18</v>
      </c>
      <c r="E1283" s="3">
        <f>((1/(INDEX(E0!J$4:J$73,C1283,1)-INDEX(E0!J$4:J$73,D1283,1))))*100000000</f>
        <v>0</v>
      </c>
      <c r="F1283" s="4" t="str">
        <f>HYPERLINK("http://141.218.60.56/~jnz1568/getInfo.php?workbook=16_15.xlsx&amp;sheet=A0&amp;row=1283&amp;col=6&amp;number=5562.8&amp;sourceID=54","5562.8")</f>
        <v>5562.8</v>
      </c>
      <c r="G1283" s="4" t="str">
        <f>HYPERLINK("http://141.218.60.56/~jnz1568/getInfo.php?workbook=16_15.xlsx&amp;sheet=A0&amp;row=1283&amp;col=7&amp;number=&amp;sourceID=54","")</f>
        <v/>
      </c>
      <c r="H1283" s="4" t="str">
        <f>HYPERLINK("http://141.218.60.56/~jnz1568/getInfo.php?workbook=16_15.xlsx&amp;sheet=A0&amp;row=1283&amp;col=8&amp;number=&amp;sourceID=54","")</f>
        <v/>
      </c>
      <c r="I1283" s="4" t="str">
        <f>HYPERLINK("http://141.218.60.56/~jnz1568/getInfo.php?workbook=16_15.xlsx&amp;sheet=A0&amp;row=1283&amp;col=9&amp;number=6238.2&amp;sourceID=54","6238.2")</f>
        <v>6238.2</v>
      </c>
      <c r="J1283" s="4" t="str">
        <f>HYPERLINK("http://141.218.60.56/~jnz1568/getInfo.php?workbook=16_15.xlsx&amp;sheet=A0&amp;row=1283&amp;col=10&amp;number=&amp;sourceID=54","")</f>
        <v/>
      </c>
      <c r="K1283" s="4" t="str">
        <f>HYPERLINK("http://141.218.60.56/~jnz1568/getInfo.php?workbook=16_15.xlsx&amp;sheet=A0&amp;row=1283&amp;col=11&amp;number=&amp;sourceID=54","")</f>
        <v/>
      </c>
      <c r="L1283" s="4" t="str">
        <f>HYPERLINK("http://141.218.60.56/~jnz1568/getInfo.php?workbook=16_15.xlsx&amp;sheet=A0&amp;row=1283&amp;col=12&amp;number=9189.69147549&amp;sourceID=53","9189.69147549")</f>
        <v>9189.69147549</v>
      </c>
      <c r="M1283" s="4" t="str">
        <f>HYPERLINK("http://141.218.60.56/~jnz1568/getInfo.php?workbook=16_15.xlsx&amp;sheet=A0&amp;row=1283&amp;col=13&amp;number=&amp;sourceID=53","")</f>
        <v/>
      </c>
      <c r="N1283" s="4" t="str">
        <f>HYPERLINK("http://141.218.60.56/~jnz1568/getInfo.php?workbook=16_15.xlsx&amp;sheet=A0&amp;row=1283&amp;col=14&amp;number=&amp;sourceID=53","")</f>
        <v/>
      </c>
      <c r="O1283" s="4" t="str">
        <f>HYPERLINK("http://141.218.60.56/~jnz1568/getInfo.php?workbook=16_15.xlsx&amp;sheet=A0&amp;row=1283&amp;col=15&amp;number=&amp;sourceID=55","")</f>
        <v/>
      </c>
      <c r="P1283" s="4" t="str">
        <f>HYPERLINK("http://141.218.60.56/~jnz1568/getInfo.php?workbook=16_15.xlsx&amp;sheet=A0&amp;row=1283&amp;col=16&amp;number=&amp;sourceID=55","")</f>
        <v/>
      </c>
      <c r="Q1283" s="4" t="str">
        <f>HYPERLINK("http://141.218.60.56/~jnz1568/getInfo.php?workbook=16_15.xlsx&amp;sheet=A0&amp;row=1283&amp;col=17&amp;number=&amp;sourceID=56","")</f>
        <v/>
      </c>
      <c r="R1283" s="4" t="str">
        <f>HYPERLINK("http://141.218.60.56/~jnz1568/getInfo.php?workbook=16_15.xlsx&amp;sheet=A0&amp;row=1283&amp;col=18&amp;number=&amp;sourceID=56","")</f>
        <v/>
      </c>
      <c r="S1283" s="4" t="str">
        <f>HYPERLINK("http://141.218.60.56/~jnz1568/getInfo.php?workbook=16_15.xlsx&amp;sheet=A0&amp;row=1283&amp;col=19&amp;number=&amp;sourceID=57","")</f>
        <v/>
      </c>
      <c r="T1283" s="4" t="str">
        <f>HYPERLINK("http://141.218.60.56/~jnz1568/getInfo.php?workbook=16_15.xlsx&amp;sheet=A0&amp;row=1283&amp;col=20&amp;number=&amp;sourceID=57","")</f>
        <v/>
      </c>
      <c r="U1283" s="4" t="str">
        <f>HYPERLINK("http://141.218.60.56/~jnz1568/getInfo.php?workbook=16_15.xlsx&amp;sheet=A0&amp;row=1283&amp;col=21&amp;number=&amp;sourceID=47","")</f>
        <v/>
      </c>
      <c r="V1283" s="4" t="str">
        <f>HYPERLINK("http://141.218.60.56/~jnz1568/getInfo.php?workbook=16_15.xlsx&amp;sheet=A0&amp;row=1283&amp;col=22&amp;number=&amp;sourceID=47","")</f>
        <v/>
      </c>
    </row>
    <row r="1284" spans="1:22">
      <c r="A1284" s="3">
        <v>16</v>
      </c>
      <c r="B1284" s="3">
        <v>15</v>
      </c>
      <c r="C1284" s="3">
        <v>58</v>
      </c>
      <c r="D1284" s="3">
        <v>21</v>
      </c>
      <c r="E1284" s="3">
        <f>((1/(INDEX(E0!J$4:J$73,C1284,1)-INDEX(E0!J$4:J$73,D1284,1))))*100000000</f>
        <v>0</v>
      </c>
      <c r="F1284" s="4" t="str">
        <f>HYPERLINK("http://141.218.60.56/~jnz1568/getInfo.php?workbook=16_15.xlsx&amp;sheet=A0&amp;row=1284&amp;col=6&amp;number=25484000&amp;sourceID=54","25484000")</f>
        <v>25484000</v>
      </c>
      <c r="G1284" s="4" t="str">
        <f>HYPERLINK("http://141.218.60.56/~jnz1568/getInfo.php?workbook=16_15.xlsx&amp;sheet=A0&amp;row=1284&amp;col=7&amp;number=&amp;sourceID=54","")</f>
        <v/>
      </c>
      <c r="H1284" s="4" t="str">
        <f>HYPERLINK("http://141.218.60.56/~jnz1568/getInfo.php?workbook=16_15.xlsx&amp;sheet=A0&amp;row=1284&amp;col=8&amp;number=&amp;sourceID=54","")</f>
        <v/>
      </c>
      <c r="I1284" s="4" t="str">
        <f>HYPERLINK("http://141.218.60.56/~jnz1568/getInfo.php?workbook=16_15.xlsx&amp;sheet=A0&amp;row=1284&amp;col=9&amp;number=24003000&amp;sourceID=54","24003000")</f>
        <v>24003000</v>
      </c>
      <c r="J1284" s="4" t="str">
        <f>HYPERLINK("http://141.218.60.56/~jnz1568/getInfo.php?workbook=16_15.xlsx&amp;sheet=A0&amp;row=1284&amp;col=10&amp;number=&amp;sourceID=54","")</f>
        <v/>
      </c>
      <c r="K1284" s="4" t="str">
        <f>HYPERLINK("http://141.218.60.56/~jnz1568/getInfo.php?workbook=16_15.xlsx&amp;sheet=A0&amp;row=1284&amp;col=11&amp;number=&amp;sourceID=54","")</f>
        <v/>
      </c>
      <c r="L1284" s="4" t="str">
        <f>HYPERLINK("http://141.218.60.56/~jnz1568/getInfo.php?workbook=16_15.xlsx&amp;sheet=A0&amp;row=1284&amp;col=12&amp;number=4904702.24837&amp;sourceID=53","4904702.24837")</f>
        <v>4904702.24837</v>
      </c>
      <c r="M1284" s="4" t="str">
        <f>HYPERLINK("http://141.218.60.56/~jnz1568/getInfo.php?workbook=16_15.xlsx&amp;sheet=A0&amp;row=1284&amp;col=13&amp;number=&amp;sourceID=53","")</f>
        <v/>
      </c>
      <c r="N1284" s="4" t="str">
        <f>HYPERLINK("http://141.218.60.56/~jnz1568/getInfo.php?workbook=16_15.xlsx&amp;sheet=A0&amp;row=1284&amp;col=14&amp;number=&amp;sourceID=53","")</f>
        <v/>
      </c>
      <c r="O1284" s="4" t="str">
        <f>HYPERLINK("http://141.218.60.56/~jnz1568/getInfo.php?workbook=16_15.xlsx&amp;sheet=A0&amp;row=1284&amp;col=15&amp;number=&amp;sourceID=55","")</f>
        <v/>
      </c>
      <c r="P1284" s="4" t="str">
        <f>HYPERLINK("http://141.218.60.56/~jnz1568/getInfo.php?workbook=16_15.xlsx&amp;sheet=A0&amp;row=1284&amp;col=16&amp;number=&amp;sourceID=55","")</f>
        <v/>
      </c>
      <c r="Q1284" s="4" t="str">
        <f>HYPERLINK("http://141.218.60.56/~jnz1568/getInfo.php?workbook=16_15.xlsx&amp;sheet=A0&amp;row=1284&amp;col=17&amp;number=&amp;sourceID=56","")</f>
        <v/>
      </c>
      <c r="R1284" s="4" t="str">
        <f>HYPERLINK("http://141.218.60.56/~jnz1568/getInfo.php?workbook=16_15.xlsx&amp;sheet=A0&amp;row=1284&amp;col=18&amp;number=&amp;sourceID=56","")</f>
        <v/>
      </c>
      <c r="S1284" s="4" t="str">
        <f>HYPERLINK("http://141.218.60.56/~jnz1568/getInfo.php?workbook=16_15.xlsx&amp;sheet=A0&amp;row=1284&amp;col=19&amp;number=&amp;sourceID=57","")</f>
        <v/>
      </c>
      <c r="T1284" s="4" t="str">
        <f>HYPERLINK("http://141.218.60.56/~jnz1568/getInfo.php?workbook=16_15.xlsx&amp;sheet=A0&amp;row=1284&amp;col=20&amp;number=&amp;sourceID=57","")</f>
        <v/>
      </c>
      <c r="U1284" s="4" t="str">
        <f>HYPERLINK("http://141.218.60.56/~jnz1568/getInfo.php?workbook=16_15.xlsx&amp;sheet=A0&amp;row=1284&amp;col=21&amp;number=&amp;sourceID=47","")</f>
        <v/>
      </c>
      <c r="V1284" s="4" t="str">
        <f>HYPERLINK("http://141.218.60.56/~jnz1568/getInfo.php?workbook=16_15.xlsx&amp;sheet=A0&amp;row=1284&amp;col=22&amp;number=&amp;sourceID=47","")</f>
        <v/>
      </c>
    </row>
    <row r="1285" spans="1:22">
      <c r="A1285" s="3">
        <v>16</v>
      </c>
      <c r="B1285" s="3">
        <v>15</v>
      </c>
      <c r="C1285" s="3">
        <v>58</v>
      </c>
      <c r="D1285" s="3">
        <v>23</v>
      </c>
      <c r="E1285" s="3">
        <f>((1/(INDEX(E0!J$4:J$73,C1285,1)-INDEX(E0!J$4:J$73,D1285,1))))*100000000</f>
        <v>0</v>
      </c>
      <c r="F1285" s="4" t="str">
        <f>HYPERLINK("http://141.218.60.56/~jnz1568/getInfo.php?workbook=16_15.xlsx&amp;sheet=A0&amp;row=1285&amp;col=6&amp;number=3983.1&amp;sourceID=54","3983.1")</f>
        <v>3983.1</v>
      </c>
      <c r="G1285" s="4" t="str">
        <f>HYPERLINK("http://141.218.60.56/~jnz1568/getInfo.php?workbook=16_15.xlsx&amp;sheet=A0&amp;row=1285&amp;col=7&amp;number=&amp;sourceID=54","")</f>
        <v/>
      </c>
      <c r="H1285" s="4" t="str">
        <f>HYPERLINK("http://141.218.60.56/~jnz1568/getInfo.php?workbook=16_15.xlsx&amp;sheet=A0&amp;row=1285&amp;col=8&amp;number=&amp;sourceID=54","")</f>
        <v/>
      </c>
      <c r="I1285" s="4" t="str">
        <f>HYPERLINK("http://141.218.60.56/~jnz1568/getInfo.php?workbook=16_15.xlsx&amp;sheet=A0&amp;row=1285&amp;col=9&amp;number=4268.2&amp;sourceID=54","4268.2")</f>
        <v>4268.2</v>
      </c>
      <c r="J1285" s="4" t="str">
        <f>HYPERLINK("http://141.218.60.56/~jnz1568/getInfo.php?workbook=16_15.xlsx&amp;sheet=A0&amp;row=1285&amp;col=10&amp;number=&amp;sourceID=54","")</f>
        <v/>
      </c>
      <c r="K1285" s="4" t="str">
        <f>HYPERLINK("http://141.218.60.56/~jnz1568/getInfo.php?workbook=16_15.xlsx&amp;sheet=A0&amp;row=1285&amp;col=11&amp;number=&amp;sourceID=54","")</f>
        <v/>
      </c>
      <c r="L1285" s="4" t="str">
        <f>HYPERLINK("http://141.218.60.56/~jnz1568/getInfo.php?workbook=16_15.xlsx&amp;sheet=A0&amp;row=1285&amp;col=12&amp;number=5478.75191542&amp;sourceID=53","5478.75191542")</f>
        <v>5478.75191542</v>
      </c>
      <c r="M1285" s="4" t="str">
        <f>HYPERLINK("http://141.218.60.56/~jnz1568/getInfo.php?workbook=16_15.xlsx&amp;sheet=A0&amp;row=1285&amp;col=13&amp;number=&amp;sourceID=53","")</f>
        <v/>
      </c>
      <c r="N1285" s="4" t="str">
        <f>HYPERLINK("http://141.218.60.56/~jnz1568/getInfo.php?workbook=16_15.xlsx&amp;sheet=A0&amp;row=1285&amp;col=14&amp;number=&amp;sourceID=53","")</f>
        <v/>
      </c>
      <c r="O1285" s="4" t="str">
        <f>HYPERLINK("http://141.218.60.56/~jnz1568/getInfo.php?workbook=16_15.xlsx&amp;sheet=A0&amp;row=1285&amp;col=15&amp;number=&amp;sourceID=55","")</f>
        <v/>
      </c>
      <c r="P1285" s="4" t="str">
        <f>HYPERLINK("http://141.218.60.56/~jnz1568/getInfo.php?workbook=16_15.xlsx&amp;sheet=A0&amp;row=1285&amp;col=16&amp;number=&amp;sourceID=55","")</f>
        <v/>
      </c>
      <c r="Q1285" s="4" t="str">
        <f>HYPERLINK("http://141.218.60.56/~jnz1568/getInfo.php?workbook=16_15.xlsx&amp;sheet=A0&amp;row=1285&amp;col=17&amp;number=&amp;sourceID=56","")</f>
        <v/>
      </c>
      <c r="R1285" s="4" t="str">
        <f>HYPERLINK("http://141.218.60.56/~jnz1568/getInfo.php?workbook=16_15.xlsx&amp;sheet=A0&amp;row=1285&amp;col=18&amp;number=&amp;sourceID=56","")</f>
        <v/>
      </c>
      <c r="S1285" s="4" t="str">
        <f>HYPERLINK("http://141.218.60.56/~jnz1568/getInfo.php?workbook=16_15.xlsx&amp;sheet=A0&amp;row=1285&amp;col=19&amp;number=&amp;sourceID=57","")</f>
        <v/>
      </c>
      <c r="T1285" s="4" t="str">
        <f>HYPERLINK("http://141.218.60.56/~jnz1568/getInfo.php?workbook=16_15.xlsx&amp;sheet=A0&amp;row=1285&amp;col=20&amp;number=&amp;sourceID=57","")</f>
        <v/>
      </c>
      <c r="U1285" s="4" t="str">
        <f>HYPERLINK("http://141.218.60.56/~jnz1568/getInfo.php?workbook=16_15.xlsx&amp;sheet=A0&amp;row=1285&amp;col=21&amp;number=&amp;sourceID=47","")</f>
        <v/>
      </c>
      <c r="V1285" s="4" t="str">
        <f>HYPERLINK("http://141.218.60.56/~jnz1568/getInfo.php?workbook=16_15.xlsx&amp;sheet=A0&amp;row=1285&amp;col=22&amp;number=&amp;sourceID=47","")</f>
        <v/>
      </c>
    </row>
    <row r="1286" spans="1:22">
      <c r="A1286" s="3">
        <v>16</v>
      </c>
      <c r="B1286" s="3">
        <v>15</v>
      </c>
      <c r="C1286" s="3">
        <v>58</v>
      </c>
      <c r="D1286" s="3">
        <v>24</v>
      </c>
      <c r="E1286" s="3">
        <f>((1/(INDEX(E0!J$4:J$73,C1286,1)-INDEX(E0!J$4:J$73,D1286,1))))*100000000</f>
        <v>0</v>
      </c>
      <c r="F1286" s="4" t="str">
        <f>HYPERLINK("http://141.218.60.56/~jnz1568/getInfo.php?workbook=16_15.xlsx&amp;sheet=A0&amp;row=1286&amp;col=6&amp;number=8474.1&amp;sourceID=54","8474.1")</f>
        <v>8474.1</v>
      </c>
      <c r="G1286" s="4" t="str">
        <f>HYPERLINK("http://141.218.60.56/~jnz1568/getInfo.php?workbook=16_15.xlsx&amp;sheet=A0&amp;row=1286&amp;col=7&amp;number=&amp;sourceID=54","")</f>
        <v/>
      </c>
      <c r="H1286" s="4" t="str">
        <f>HYPERLINK("http://141.218.60.56/~jnz1568/getInfo.php?workbook=16_15.xlsx&amp;sheet=A0&amp;row=1286&amp;col=8&amp;number=&amp;sourceID=54","")</f>
        <v/>
      </c>
      <c r="I1286" s="4" t="str">
        <f>HYPERLINK("http://141.218.60.56/~jnz1568/getInfo.php?workbook=16_15.xlsx&amp;sheet=A0&amp;row=1286&amp;col=9&amp;number=28434&amp;sourceID=54","28434")</f>
        <v>28434</v>
      </c>
      <c r="J1286" s="4" t="str">
        <f>HYPERLINK("http://141.218.60.56/~jnz1568/getInfo.php?workbook=16_15.xlsx&amp;sheet=A0&amp;row=1286&amp;col=10&amp;number=&amp;sourceID=54","")</f>
        <v/>
      </c>
      <c r="K1286" s="4" t="str">
        <f>HYPERLINK("http://141.218.60.56/~jnz1568/getInfo.php?workbook=16_15.xlsx&amp;sheet=A0&amp;row=1286&amp;col=11&amp;number=&amp;sourceID=54","")</f>
        <v/>
      </c>
      <c r="L1286" s="4" t="str">
        <f>HYPERLINK("http://141.218.60.56/~jnz1568/getInfo.php?workbook=16_15.xlsx&amp;sheet=A0&amp;row=1286&amp;col=12&amp;number=22503.9105684&amp;sourceID=53","22503.9105684")</f>
        <v>22503.9105684</v>
      </c>
      <c r="M1286" s="4" t="str">
        <f>HYPERLINK("http://141.218.60.56/~jnz1568/getInfo.php?workbook=16_15.xlsx&amp;sheet=A0&amp;row=1286&amp;col=13&amp;number=&amp;sourceID=53","")</f>
        <v/>
      </c>
      <c r="N1286" s="4" t="str">
        <f>HYPERLINK("http://141.218.60.56/~jnz1568/getInfo.php?workbook=16_15.xlsx&amp;sheet=A0&amp;row=1286&amp;col=14&amp;number=&amp;sourceID=53","")</f>
        <v/>
      </c>
      <c r="O1286" s="4" t="str">
        <f>HYPERLINK("http://141.218.60.56/~jnz1568/getInfo.php?workbook=16_15.xlsx&amp;sheet=A0&amp;row=1286&amp;col=15&amp;number=&amp;sourceID=55","")</f>
        <v/>
      </c>
      <c r="P1286" s="4" t="str">
        <f>HYPERLINK("http://141.218.60.56/~jnz1568/getInfo.php?workbook=16_15.xlsx&amp;sheet=A0&amp;row=1286&amp;col=16&amp;number=&amp;sourceID=55","")</f>
        <v/>
      </c>
      <c r="Q1286" s="4" t="str">
        <f>HYPERLINK("http://141.218.60.56/~jnz1568/getInfo.php?workbook=16_15.xlsx&amp;sheet=A0&amp;row=1286&amp;col=17&amp;number=&amp;sourceID=56","")</f>
        <v/>
      </c>
      <c r="R1286" s="4" t="str">
        <f>HYPERLINK("http://141.218.60.56/~jnz1568/getInfo.php?workbook=16_15.xlsx&amp;sheet=A0&amp;row=1286&amp;col=18&amp;number=&amp;sourceID=56","")</f>
        <v/>
      </c>
      <c r="S1286" s="4" t="str">
        <f>HYPERLINK("http://141.218.60.56/~jnz1568/getInfo.php?workbook=16_15.xlsx&amp;sheet=A0&amp;row=1286&amp;col=19&amp;number=&amp;sourceID=57","")</f>
        <v/>
      </c>
      <c r="T1286" s="4" t="str">
        <f>HYPERLINK("http://141.218.60.56/~jnz1568/getInfo.php?workbook=16_15.xlsx&amp;sheet=A0&amp;row=1286&amp;col=20&amp;number=&amp;sourceID=57","")</f>
        <v/>
      </c>
      <c r="U1286" s="4" t="str">
        <f>HYPERLINK("http://141.218.60.56/~jnz1568/getInfo.php?workbook=16_15.xlsx&amp;sheet=A0&amp;row=1286&amp;col=21&amp;number=&amp;sourceID=47","")</f>
        <v/>
      </c>
      <c r="V1286" s="4" t="str">
        <f>HYPERLINK("http://141.218.60.56/~jnz1568/getInfo.php?workbook=16_15.xlsx&amp;sheet=A0&amp;row=1286&amp;col=22&amp;number=&amp;sourceID=47","")</f>
        <v/>
      </c>
    </row>
    <row r="1287" spans="1:22">
      <c r="A1287" s="3">
        <v>16</v>
      </c>
      <c r="B1287" s="3">
        <v>15</v>
      </c>
      <c r="C1287" s="3">
        <v>58</v>
      </c>
      <c r="D1287" s="3">
        <v>25</v>
      </c>
      <c r="E1287" s="3">
        <f>((1/(INDEX(E0!J$4:J$73,C1287,1)-INDEX(E0!J$4:J$73,D1287,1))))*100000000</f>
        <v>0</v>
      </c>
      <c r="F1287" s="4" t="str">
        <f>HYPERLINK("http://141.218.60.56/~jnz1568/getInfo.php?workbook=16_15.xlsx&amp;sheet=A0&amp;row=1287&amp;col=6&amp;number=266640&amp;sourceID=54","266640")</f>
        <v>266640</v>
      </c>
      <c r="G1287" s="4" t="str">
        <f>HYPERLINK("http://141.218.60.56/~jnz1568/getInfo.php?workbook=16_15.xlsx&amp;sheet=A0&amp;row=1287&amp;col=7&amp;number=&amp;sourceID=54","")</f>
        <v/>
      </c>
      <c r="H1287" s="4" t="str">
        <f>HYPERLINK("http://141.218.60.56/~jnz1568/getInfo.php?workbook=16_15.xlsx&amp;sheet=A0&amp;row=1287&amp;col=8&amp;number=&amp;sourceID=54","")</f>
        <v/>
      </c>
      <c r="I1287" s="4" t="str">
        <f>HYPERLINK("http://141.218.60.56/~jnz1568/getInfo.php?workbook=16_15.xlsx&amp;sheet=A0&amp;row=1287&amp;col=9&amp;number=518070&amp;sourceID=54","518070")</f>
        <v>518070</v>
      </c>
      <c r="J1287" s="4" t="str">
        <f>HYPERLINK("http://141.218.60.56/~jnz1568/getInfo.php?workbook=16_15.xlsx&amp;sheet=A0&amp;row=1287&amp;col=10&amp;number=&amp;sourceID=54","")</f>
        <v/>
      </c>
      <c r="K1287" s="4" t="str">
        <f>HYPERLINK("http://141.218.60.56/~jnz1568/getInfo.php?workbook=16_15.xlsx&amp;sheet=A0&amp;row=1287&amp;col=11&amp;number=&amp;sourceID=54","")</f>
        <v/>
      </c>
      <c r="L1287" s="4" t="str">
        <f>HYPERLINK("http://141.218.60.56/~jnz1568/getInfo.php?workbook=16_15.xlsx&amp;sheet=A0&amp;row=1287&amp;col=12&amp;number=372185.562555&amp;sourceID=53","372185.562555")</f>
        <v>372185.562555</v>
      </c>
      <c r="M1287" s="4" t="str">
        <f>HYPERLINK("http://141.218.60.56/~jnz1568/getInfo.php?workbook=16_15.xlsx&amp;sheet=A0&amp;row=1287&amp;col=13&amp;number=&amp;sourceID=53","")</f>
        <v/>
      </c>
      <c r="N1287" s="4" t="str">
        <f>HYPERLINK("http://141.218.60.56/~jnz1568/getInfo.php?workbook=16_15.xlsx&amp;sheet=A0&amp;row=1287&amp;col=14&amp;number=&amp;sourceID=53","")</f>
        <v/>
      </c>
      <c r="O1287" s="4" t="str">
        <f>HYPERLINK("http://141.218.60.56/~jnz1568/getInfo.php?workbook=16_15.xlsx&amp;sheet=A0&amp;row=1287&amp;col=15&amp;number=&amp;sourceID=55","")</f>
        <v/>
      </c>
      <c r="P1287" s="4" t="str">
        <f>HYPERLINK("http://141.218.60.56/~jnz1568/getInfo.php?workbook=16_15.xlsx&amp;sheet=A0&amp;row=1287&amp;col=16&amp;number=&amp;sourceID=55","")</f>
        <v/>
      </c>
      <c r="Q1287" s="4" t="str">
        <f>HYPERLINK("http://141.218.60.56/~jnz1568/getInfo.php?workbook=16_15.xlsx&amp;sheet=A0&amp;row=1287&amp;col=17&amp;number=&amp;sourceID=56","")</f>
        <v/>
      </c>
      <c r="R1287" s="4" t="str">
        <f>HYPERLINK("http://141.218.60.56/~jnz1568/getInfo.php?workbook=16_15.xlsx&amp;sheet=A0&amp;row=1287&amp;col=18&amp;number=&amp;sourceID=56","")</f>
        <v/>
      </c>
      <c r="S1287" s="4" t="str">
        <f>HYPERLINK("http://141.218.60.56/~jnz1568/getInfo.php?workbook=16_15.xlsx&amp;sheet=A0&amp;row=1287&amp;col=19&amp;number=&amp;sourceID=57","")</f>
        <v/>
      </c>
      <c r="T1287" s="4" t="str">
        <f>HYPERLINK("http://141.218.60.56/~jnz1568/getInfo.php?workbook=16_15.xlsx&amp;sheet=A0&amp;row=1287&amp;col=20&amp;number=&amp;sourceID=57","")</f>
        <v/>
      </c>
      <c r="U1287" s="4" t="str">
        <f>HYPERLINK("http://141.218.60.56/~jnz1568/getInfo.php?workbook=16_15.xlsx&amp;sheet=A0&amp;row=1287&amp;col=21&amp;number=&amp;sourceID=47","")</f>
        <v/>
      </c>
      <c r="V1287" s="4" t="str">
        <f>HYPERLINK("http://141.218.60.56/~jnz1568/getInfo.php?workbook=16_15.xlsx&amp;sheet=A0&amp;row=1287&amp;col=22&amp;number=&amp;sourceID=47","")</f>
        <v/>
      </c>
    </row>
    <row r="1288" spans="1:22">
      <c r="A1288" s="3">
        <v>16</v>
      </c>
      <c r="B1288" s="3">
        <v>15</v>
      </c>
      <c r="C1288" s="3">
        <v>58</v>
      </c>
      <c r="D1288" s="3">
        <v>26</v>
      </c>
      <c r="E1288" s="3">
        <f>((1/(INDEX(E0!J$4:J$73,C1288,1)-INDEX(E0!J$4:J$73,D1288,1))))*100000000</f>
        <v>0</v>
      </c>
      <c r="F1288" s="4" t="str">
        <f>HYPERLINK("http://141.218.60.56/~jnz1568/getInfo.php?workbook=16_15.xlsx&amp;sheet=A0&amp;row=1288&amp;col=6&amp;number=1314100&amp;sourceID=54","1314100")</f>
        <v>1314100</v>
      </c>
      <c r="G1288" s="4" t="str">
        <f>HYPERLINK("http://141.218.60.56/~jnz1568/getInfo.php?workbook=16_15.xlsx&amp;sheet=A0&amp;row=1288&amp;col=7&amp;number=&amp;sourceID=54","")</f>
        <v/>
      </c>
      <c r="H1288" s="4" t="str">
        <f>HYPERLINK("http://141.218.60.56/~jnz1568/getInfo.php?workbook=16_15.xlsx&amp;sheet=A0&amp;row=1288&amp;col=8&amp;number=&amp;sourceID=54","")</f>
        <v/>
      </c>
      <c r="I1288" s="4" t="str">
        <f>HYPERLINK("http://141.218.60.56/~jnz1568/getInfo.php?workbook=16_15.xlsx&amp;sheet=A0&amp;row=1288&amp;col=9&amp;number=1265600&amp;sourceID=54","1265600")</f>
        <v>1265600</v>
      </c>
      <c r="J1288" s="4" t="str">
        <f>HYPERLINK("http://141.218.60.56/~jnz1568/getInfo.php?workbook=16_15.xlsx&amp;sheet=A0&amp;row=1288&amp;col=10&amp;number=&amp;sourceID=54","")</f>
        <v/>
      </c>
      <c r="K1288" s="4" t="str">
        <f>HYPERLINK("http://141.218.60.56/~jnz1568/getInfo.php?workbook=16_15.xlsx&amp;sheet=A0&amp;row=1288&amp;col=11&amp;number=&amp;sourceID=54","")</f>
        <v/>
      </c>
      <c r="L1288" s="4" t="str">
        <f>HYPERLINK("http://141.218.60.56/~jnz1568/getInfo.php?workbook=16_15.xlsx&amp;sheet=A0&amp;row=1288&amp;col=12&amp;number=1220971.07429&amp;sourceID=53","1220971.07429")</f>
        <v>1220971.07429</v>
      </c>
      <c r="M1288" s="4" t="str">
        <f>HYPERLINK("http://141.218.60.56/~jnz1568/getInfo.php?workbook=16_15.xlsx&amp;sheet=A0&amp;row=1288&amp;col=13&amp;number=&amp;sourceID=53","")</f>
        <v/>
      </c>
      <c r="N1288" s="4" t="str">
        <f>HYPERLINK("http://141.218.60.56/~jnz1568/getInfo.php?workbook=16_15.xlsx&amp;sheet=A0&amp;row=1288&amp;col=14&amp;number=&amp;sourceID=53","")</f>
        <v/>
      </c>
      <c r="O1288" s="4" t="str">
        <f>HYPERLINK("http://141.218.60.56/~jnz1568/getInfo.php?workbook=16_15.xlsx&amp;sheet=A0&amp;row=1288&amp;col=15&amp;number=&amp;sourceID=55","")</f>
        <v/>
      </c>
      <c r="P1288" s="4" t="str">
        <f>HYPERLINK("http://141.218.60.56/~jnz1568/getInfo.php?workbook=16_15.xlsx&amp;sheet=A0&amp;row=1288&amp;col=16&amp;number=&amp;sourceID=55","")</f>
        <v/>
      </c>
      <c r="Q1288" s="4" t="str">
        <f>HYPERLINK("http://141.218.60.56/~jnz1568/getInfo.php?workbook=16_15.xlsx&amp;sheet=A0&amp;row=1288&amp;col=17&amp;number=&amp;sourceID=56","")</f>
        <v/>
      </c>
      <c r="R1288" s="4" t="str">
        <f>HYPERLINK("http://141.218.60.56/~jnz1568/getInfo.php?workbook=16_15.xlsx&amp;sheet=A0&amp;row=1288&amp;col=18&amp;number=&amp;sourceID=56","")</f>
        <v/>
      </c>
      <c r="S1288" s="4" t="str">
        <f>HYPERLINK("http://141.218.60.56/~jnz1568/getInfo.php?workbook=16_15.xlsx&amp;sheet=A0&amp;row=1288&amp;col=19&amp;number=&amp;sourceID=57","")</f>
        <v/>
      </c>
      <c r="T1288" s="4" t="str">
        <f>HYPERLINK("http://141.218.60.56/~jnz1568/getInfo.php?workbook=16_15.xlsx&amp;sheet=A0&amp;row=1288&amp;col=20&amp;number=&amp;sourceID=57","")</f>
        <v/>
      </c>
      <c r="U1288" s="4" t="str">
        <f>HYPERLINK("http://141.218.60.56/~jnz1568/getInfo.php?workbook=16_15.xlsx&amp;sheet=A0&amp;row=1288&amp;col=21&amp;number=&amp;sourceID=47","")</f>
        <v/>
      </c>
      <c r="V1288" s="4" t="str">
        <f>HYPERLINK("http://141.218.60.56/~jnz1568/getInfo.php?workbook=16_15.xlsx&amp;sheet=A0&amp;row=1288&amp;col=22&amp;number=&amp;sourceID=47","")</f>
        <v/>
      </c>
    </row>
    <row r="1289" spans="1:22">
      <c r="A1289" s="3">
        <v>16</v>
      </c>
      <c r="B1289" s="3">
        <v>15</v>
      </c>
      <c r="C1289" s="3">
        <v>58</v>
      </c>
      <c r="D1289" s="3">
        <v>27</v>
      </c>
      <c r="E1289" s="3">
        <f>((1/(INDEX(E0!J$4:J$73,C1289,1)-INDEX(E0!J$4:J$73,D1289,1))))*100000000</f>
        <v>0</v>
      </c>
      <c r="F1289" s="4" t="str">
        <f>HYPERLINK("http://141.218.60.56/~jnz1568/getInfo.php?workbook=16_15.xlsx&amp;sheet=A0&amp;row=1289&amp;col=6&amp;number=8643900&amp;sourceID=54","8643900")</f>
        <v>8643900</v>
      </c>
      <c r="G1289" s="4" t="str">
        <f>HYPERLINK("http://141.218.60.56/~jnz1568/getInfo.php?workbook=16_15.xlsx&amp;sheet=A0&amp;row=1289&amp;col=7&amp;number=&amp;sourceID=54","")</f>
        <v/>
      </c>
      <c r="H1289" s="4" t="str">
        <f>HYPERLINK("http://141.218.60.56/~jnz1568/getInfo.php?workbook=16_15.xlsx&amp;sheet=A0&amp;row=1289&amp;col=8&amp;number=&amp;sourceID=54","")</f>
        <v/>
      </c>
      <c r="I1289" s="4" t="str">
        <f>HYPERLINK("http://141.218.60.56/~jnz1568/getInfo.php?workbook=16_15.xlsx&amp;sheet=A0&amp;row=1289&amp;col=9&amp;number=8514000&amp;sourceID=54","8514000")</f>
        <v>8514000</v>
      </c>
      <c r="J1289" s="4" t="str">
        <f>HYPERLINK("http://141.218.60.56/~jnz1568/getInfo.php?workbook=16_15.xlsx&amp;sheet=A0&amp;row=1289&amp;col=10&amp;number=&amp;sourceID=54","")</f>
        <v/>
      </c>
      <c r="K1289" s="4" t="str">
        <f>HYPERLINK("http://141.218.60.56/~jnz1568/getInfo.php?workbook=16_15.xlsx&amp;sheet=A0&amp;row=1289&amp;col=11&amp;number=&amp;sourceID=54","")</f>
        <v/>
      </c>
      <c r="L1289" s="4" t="str">
        <f>HYPERLINK("http://141.218.60.56/~jnz1568/getInfo.php?workbook=16_15.xlsx&amp;sheet=A0&amp;row=1289&amp;col=12&amp;number=6825197.85136&amp;sourceID=53","6825197.85136")</f>
        <v>6825197.85136</v>
      </c>
      <c r="M1289" s="4" t="str">
        <f>HYPERLINK("http://141.218.60.56/~jnz1568/getInfo.php?workbook=16_15.xlsx&amp;sheet=A0&amp;row=1289&amp;col=13&amp;number=&amp;sourceID=53","")</f>
        <v/>
      </c>
      <c r="N1289" s="4" t="str">
        <f>HYPERLINK("http://141.218.60.56/~jnz1568/getInfo.php?workbook=16_15.xlsx&amp;sheet=A0&amp;row=1289&amp;col=14&amp;number=&amp;sourceID=53","")</f>
        <v/>
      </c>
      <c r="O1289" s="4" t="str">
        <f>HYPERLINK("http://141.218.60.56/~jnz1568/getInfo.php?workbook=16_15.xlsx&amp;sheet=A0&amp;row=1289&amp;col=15&amp;number=&amp;sourceID=55","")</f>
        <v/>
      </c>
      <c r="P1289" s="4" t="str">
        <f>HYPERLINK("http://141.218.60.56/~jnz1568/getInfo.php?workbook=16_15.xlsx&amp;sheet=A0&amp;row=1289&amp;col=16&amp;number=&amp;sourceID=55","")</f>
        <v/>
      </c>
      <c r="Q1289" s="4" t="str">
        <f>HYPERLINK("http://141.218.60.56/~jnz1568/getInfo.php?workbook=16_15.xlsx&amp;sheet=A0&amp;row=1289&amp;col=17&amp;number=&amp;sourceID=56","")</f>
        <v/>
      </c>
      <c r="R1289" s="4" t="str">
        <f>HYPERLINK("http://141.218.60.56/~jnz1568/getInfo.php?workbook=16_15.xlsx&amp;sheet=A0&amp;row=1289&amp;col=18&amp;number=&amp;sourceID=56","")</f>
        <v/>
      </c>
      <c r="S1289" s="4" t="str">
        <f>HYPERLINK("http://141.218.60.56/~jnz1568/getInfo.php?workbook=16_15.xlsx&amp;sheet=A0&amp;row=1289&amp;col=19&amp;number=&amp;sourceID=57","")</f>
        <v/>
      </c>
      <c r="T1289" s="4" t="str">
        <f>HYPERLINK("http://141.218.60.56/~jnz1568/getInfo.php?workbook=16_15.xlsx&amp;sheet=A0&amp;row=1289&amp;col=20&amp;number=&amp;sourceID=57","")</f>
        <v/>
      </c>
      <c r="U1289" s="4" t="str">
        <f>HYPERLINK("http://141.218.60.56/~jnz1568/getInfo.php?workbook=16_15.xlsx&amp;sheet=A0&amp;row=1289&amp;col=21&amp;number=&amp;sourceID=47","")</f>
        <v/>
      </c>
      <c r="V1289" s="4" t="str">
        <f>HYPERLINK("http://141.218.60.56/~jnz1568/getInfo.php?workbook=16_15.xlsx&amp;sheet=A0&amp;row=1289&amp;col=22&amp;number=&amp;sourceID=47","")</f>
        <v/>
      </c>
    </row>
    <row r="1290" spans="1:22">
      <c r="A1290" s="3">
        <v>16</v>
      </c>
      <c r="B1290" s="3">
        <v>15</v>
      </c>
      <c r="C1290" s="3">
        <v>58</v>
      </c>
      <c r="D1290" s="3">
        <v>29</v>
      </c>
      <c r="E1290" s="3">
        <f>((1/(INDEX(E0!J$4:J$73,C1290,1)-INDEX(E0!J$4:J$73,D1290,1))))*100000000</f>
        <v>0</v>
      </c>
      <c r="F1290" s="4" t="str">
        <f>HYPERLINK("http://141.218.60.56/~jnz1568/getInfo.php?workbook=16_15.xlsx&amp;sheet=A0&amp;row=1290&amp;col=6&amp;number=1423200&amp;sourceID=54","1423200")</f>
        <v>1423200</v>
      </c>
      <c r="G1290" s="4" t="str">
        <f>HYPERLINK("http://141.218.60.56/~jnz1568/getInfo.php?workbook=16_15.xlsx&amp;sheet=A0&amp;row=1290&amp;col=7&amp;number=&amp;sourceID=54","")</f>
        <v/>
      </c>
      <c r="H1290" s="4" t="str">
        <f>HYPERLINK("http://141.218.60.56/~jnz1568/getInfo.php?workbook=16_15.xlsx&amp;sheet=A0&amp;row=1290&amp;col=8&amp;number=&amp;sourceID=54","")</f>
        <v/>
      </c>
      <c r="I1290" s="4" t="str">
        <f>HYPERLINK("http://141.218.60.56/~jnz1568/getInfo.php?workbook=16_15.xlsx&amp;sheet=A0&amp;row=1290&amp;col=9&amp;number=1464700&amp;sourceID=54","1464700")</f>
        <v>1464700</v>
      </c>
      <c r="J1290" s="4" t="str">
        <f>HYPERLINK("http://141.218.60.56/~jnz1568/getInfo.php?workbook=16_15.xlsx&amp;sheet=A0&amp;row=1290&amp;col=10&amp;number=&amp;sourceID=54","")</f>
        <v/>
      </c>
      <c r="K1290" s="4" t="str">
        <f>HYPERLINK("http://141.218.60.56/~jnz1568/getInfo.php?workbook=16_15.xlsx&amp;sheet=A0&amp;row=1290&amp;col=11&amp;number=&amp;sourceID=54","")</f>
        <v/>
      </c>
      <c r="L1290" s="4" t="str">
        <f>HYPERLINK("http://141.218.60.56/~jnz1568/getInfo.php?workbook=16_15.xlsx&amp;sheet=A0&amp;row=1290&amp;col=12&amp;number=1229482.77933&amp;sourceID=53","1229482.77933")</f>
        <v>1229482.77933</v>
      </c>
      <c r="M1290" s="4" t="str">
        <f>HYPERLINK("http://141.218.60.56/~jnz1568/getInfo.php?workbook=16_15.xlsx&amp;sheet=A0&amp;row=1290&amp;col=13&amp;number=&amp;sourceID=53","")</f>
        <v/>
      </c>
      <c r="N1290" s="4" t="str">
        <f>HYPERLINK("http://141.218.60.56/~jnz1568/getInfo.php?workbook=16_15.xlsx&amp;sheet=A0&amp;row=1290&amp;col=14&amp;number=&amp;sourceID=53","")</f>
        <v/>
      </c>
      <c r="O1290" s="4" t="str">
        <f>HYPERLINK("http://141.218.60.56/~jnz1568/getInfo.php?workbook=16_15.xlsx&amp;sheet=A0&amp;row=1290&amp;col=15&amp;number=&amp;sourceID=55","")</f>
        <v/>
      </c>
      <c r="P1290" s="4" t="str">
        <f>HYPERLINK("http://141.218.60.56/~jnz1568/getInfo.php?workbook=16_15.xlsx&amp;sheet=A0&amp;row=1290&amp;col=16&amp;number=&amp;sourceID=55","")</f>
        <v/>
      </c>
      <c r="Q1290" s="4" t="str">
        <f>HYPERLINK("http://141.218.60.56/~jnz1568/getInfo.php?workbook=16_15.xlsx&amp;sheet=A0&amp;row=1290&amp;col=17&amp;number=&amp;sourceID=56","")</f>
        <v/>
      </c>
      <c r="R1290" s="4" t="str">
        <f>HYPERLINK("http://141.218.60.56/~jnz1568/getInfo.php?workbook=16_15.xlsx&amp;sheet=A0&amp;row=1290&amp;col=18&amp;number=&amp;sourceID=56","")</f>
        <v/>
      </c>
      <c r="S1290" s="4" t="str">
        <f>HYPERLINK("http://141.218.60.56/~jnz1568/getInfo.php?workbook=16_15.xlsx&amp;sheet=A0&amp;row=1290&amp;col=19&amp;number=&amp;sourceID=57","")</f>
        <v/>
      </c>
      <c r="T1290" s="4" t="str">
        <f>HYPERLINK("http://141.218.60.56/~jnz1568/getInfo.php?workbook=16_15.xlsx&amp;sheet=A0&amp;row=1290&amp;col=20&amp;number=&amp;sourceID=57","")</f>
        <v/>
      </c>
      <c r="U1290" s="4" t="str">
        <f>HYPERLINK("http://141.218.60.56/~jnz1568/getInfo.php?workbook=16_15.xlsx&amp;sheet=A0&amp;row=1290&amp;col=21&amp;number=&amp;sourceID=47","")</f>
        <v/>
      </c>
      <c r="V1290" s="4" t="str">
        <f>HYPERLINK("http://141.218.60.56/~jnz1568/getInfo.php?workbook=16_15.xlsx&amp;sheet=A0&amp;row=1290&amp;col=22&amp;number=&amp;sourceID=47","")</f>
        <v/>
      </c>
    </row>
    <row r="1291" spans="1:22">
      <c r="A1291" s="3">
        <v>16</v>
      </c>
      <c r="B1291" s="3">
        <v>15</v>
      </c>
      <c r="C1291" s="3">
        <v>58</v>
      </c>
      <c r="D1291" s="3">
        <v>30</v>
      </c>
      <c r="E1291" s="3">
        <f>((1/(INDEX(E0!J$4:J$73,C1291,1)-INDEX(E0!J$4:J$73,D1291,1))))*100000000</f>
        <v>0</v>
      </c>
      <c r="F1291" s="4" t="str">
        <f>HYPERLINK("http://141.218.60.56/~jnz1568/getInfo.php?workbook=16_15.xlsx&amp;sheet=A0&amp;row=1291&amp;col=6&amp;number=89231000&amp;sourceID=54","89231000")</f>
        <v>89231000</v>
      </c>
      <c r="G1291" s="4" t="str">
        <f>HYPERLINK("http://141.218.60.56/~jnz1568/getInfo.php?workbook=16_15.xlsx&amp;sheet=A0&amp;row=1291&amp;col=7&amp;number=&amp;sourceID=54","")</f>
        <v/>
      </c>
      <c r="H1291" s="4" t="str">
        <f>HYPERLINK("http://141.218.60.56/~jnz1568/getInfo.php?workbook=16_15.xlsx&amp;sheet=A0&amp;row=1291&amp;col=8&amp;number=&amp;sourceID=54","")</f>
        <v/>
      </c>
      <c r="I1291" s="4" t="str">
        <f>HYPERLINK("http://141.218.60.56/~jnz1568/getInfo.php?workbook=16_15.xlsx&amp;sheet=A0&amp;row=1291&amp;col=9&amp;number=84704000&amp;sourceID=54","84704000")</f>
        <v>84704000</v>
      </c>
      <c r="J1291" s="4" t="str">
        <f>HYPERLINK("http://141.218.60.56/~jnz1568/getInfo.php?workbook=16_15.xlsx&amp;sheet=A0&amp;row=1291&amp;col=10&amp;number=&amp;sourceID=54","")</f>
        <v/>
      </c>
      <c r="K1291" s="4" t="str">
        <f>HYPERLINK("http://141.218.60.56/~jnz1568/getInfo.php?workbook=16_15.xlsx&amp;sheet=A0&amp;row=1291&amp;col=11&amp;number=&amp;sourceID=54","")</f>
        <v/>
      </c>
      <c r="L1291" s="4" t="str">
        <f>HYPERLINK("http://141.218.60.56/~jnz1568/getInfo.php?workbook=16_15.xlsx&amp;sheet=A0&amp;row=1291&amp;col=12&amp;number=85522204.4531&amp;sourceID=53","85522204.4531")</f>
        <v>85522204.4531</v>
      </c>
      <c r="M1291" s="4" t="str">
        <f>HYPERLINK("http://141.218.60.56/~jnz1568/getInfo.php?workbook=16_15.xlsx&amp;sheet=A0&amp;row=1291&amp;col=13&amp;number=&amp;sourceID=53","")</f>
        <v/>
      </c>
      <c r="N1291" s="4" t="str">
        <f>HYPERLINK("http://141.218.60.56/~jnz1568/getInfo.php?workbook=16_15.xlsx&amp;sheet=A0&amp;row=1291&amp;col=14&amp;number=&amp;sourceID=53","")</f>
        <v/>
      </c>
      <c r="O1291" s="4" t="str">
        <f>HYPERLINK("http://141.218.60.56/~jnz1568/getInfo.php?workbook=16_15.xlsx&amp;sheet=A0&amp;row=1291&amp;col=15&amp;number=&amp;sourceID=55","")</f>
        <v/>
      </c>
      <c r="P1291" s="4" t="str">
        <f>HYPERLINK("http://141.218.60.56/~jnz1568/getInfo.php?workbook=16_15.xlsx&amp;sheet=A0&amp;row=1291&amp;col=16&amp;number=&amp;sourceID=55","")</f>
        <v/>
      </c>
      <c r="Q1291" s="4" t="str">
        <f>HYPERLINK("http://141.218.60.56/~jnz1568/getInfo.php?workbook=16_15.xlsx&amp;sheet=A0&amp;row=1291&amp;col=17&amp;number=&amp;sourceID=56","")</f>
        <v/>
      </c>
      <c r="R1291" s="4" t="str">
        <f>HYPERLINK("http://141.218.60.56/~jnz1568/getInfo.php?workbook=16_15.xlsx&amp;sheet=A0&amp;row=1291&amp;col=18&amp;number=&amp;sourceID=56","")</f>
        <v/>
      </c>
      <c r="S1291" s="4" t="str">
        <f>HYPERLINK("http://141.218.60.56/~jnz1568/getInfo.php?workbook=16_15.xlsx&amp;sheet=A0&amp;row=1291&amp;col=19&amp;number=&amp;sourceID=57","")</f>
        <v/>
      </c>
      <c r="T1291" s="4" t="str">
        <f>HYPERLINK("http://141.218.60.56/~jnz1568/getInfo.php?workbook=16_15.xlsx&amp;sheet=A0&amp;row=1291&amp;col=20&amp;number=&amp;sourceID=57","")</f>
        <v/>
      </c>
      <c r="U1291" s="4" t="str">
        <f>HYPERLINK("http://141.218.60.56/~jnz1568/getInfo.php?workbook=16_15.xlsx&amp;sheet=A0&amp;row=1291&amp;col=21&amp;number=&amp;sourceID=47","")</f>
        <v/>
      </c>
      <c r="V1291" s="4" t="str">
        <f>HYPERLINK("http://141.218.60.56/~jnz1568/getInfo.php?workbook=16_15.xlsx&amp;sheet=A0&amp;row=1291&amp;col=22&amp;number=&amp;sourceID=47","")</f>
        <v/>
      </c>
    </row>
    <row r="1292" spans="1:22">
      <c r="A1292" s="3">
        <v>16</v>
      </c>
      <c r="B1292" s="3">
        <v>15</v>
      </c>
      <c r="C1292" s="3">
        <v>58</v>
      </c>
      <c r="D1292" s="3">
        <v>31</v>
      </c>
      <c r="E1292" s="3">
        <f>((1/(INDEX(E0!J$4:J$73,C1292,1)-INDEX(E0!J$4:J$73,D1292,1))))*100000000</f>
        <v>0</v>
      </c>
      <c r="F1292" s="4" t="str">
        <f>HYPERLINK("http://141.218.60.56/~jnz1568/getInfo.php?workbook=16_15.xlsx&amp;sheet=A0&amp;row=1292&amp;col=6&amp;number=&amp;sourceID=54","")</f>
        <v/>
      </c>
      <c r="G1292" s="4" t="str">
        <f>HYPERLINK("http://141.218.60.56/~jnz1568/getInfo.php?workbook=16_15.xlsx&amp;sheet=A0&amp;row=1292&amp;col=7&amp;number=0.7959&amp;sourceID=54","0.7959")</f>
        <v>0.7959</v>
      </c>
      <c r="H1292" s="4" t="str">
        <f>HYPERLINK("http://141.218.60.56/~jnz1568/getInfo.php?workbook=16_15.xlsx&amp;sheet=A0&amp;row=1292&amp;col=8&amp;number=&amp;sourceID=54","")</f>
        <v/>
      </c>
      <c r="I1292" s="4" t="str">
        <f>HYPERLINK("http://141.218.60.56/~jnz1568/getInfo.php?workbook=16_15.xlsx&amp;sheet=A0&amp;row=1292&amp;col=9&amp;number=&amp;sourceID=54","")</f>
        <v/>
      </c>
      <c r="J1292" s="4" t="str">
        <f>HYPERLINK("http://141.218.60.56/~jnz1568/getInfo.php?workbook=16_15.xlsx&amp;sheet=A0&amp;row=1292&amp;col=10&amp;number=0.67149&amp;sourceID=54","0.67149")</f>
        <v>0.67149</v>
      </c>
      <c r="K1292" s="4" t="str">
        <f>HYPERLINK("http://141.218.60.56/~jnz1568/getInfo.php?workbook=16_15.xlsx&amp;sheet=A0&amp;row=1292&amp;col=11&amp;number=&amp;sourceID=54","")</f>
        <v/>
      </c>
      <c r="L1292" s="4" t="str">
        <f>HYPERLINK("http://141.218.60.56/~jnz1568/getInfo.php?workbook=16_15.xlsx&amp;sheet=A0&amp;row=1292&amp;col=12&amp;number=&amp;sourceID=53","")</f>
        <v/>
      </c>
      <c r="M1292" s="4" t="str">
        <f>HYPERLINK("http://141.218.60.56/~jnz1568/getInfo.php?workbook=16_15.xlsx&amp;sheet=A0&amp;row=1292&amp;col=13&amp;number=&amp;sourceID=53","")</f>
        <v/>
      </c>
      <c r="N1292" s="4" t="str">
        <f>HYPERLINK("http://141.218.60.56/~jnz1568/getInfo.php?workbook=16_15.xlsx&amp;sheet=A0&amp;row=1292&amp;col=14&amp;number=&amp;sourceID=53","")</f>
        <v/>
      </c>
      <c r="O1292" s="4" t="str">
        <f>HYPERLINK("http://141.218.60.56/~jnz1568/getInfo.php?workbook=16_15.xlsx&amp;sheet=A0&amp;row=1292&amp;col=15&amp;number=&amp;sourceID=55","")</f>
        <v/>
      </c>
      <c r="P1292" s="4" t="str">
        <f>HYPERLINK("http://141.218.60.56/~jnz1568/getInfo.php?workbook=16_15.xlsx&amp;sheet=A0&amp;row=1292&amp;col=16&amp;number=&amp;sourceID=55","")</f>
        <v/>
      </c>
      <c r="Q1292" s="4" t="str">
        <f>HYPERLINK("http://141.218.60.56/~jnz1568/getInfo.php?workbook=16_15.xlsx&amp;sheet=A0&amp;row=1292&amp;col=17&amp;number=&amp;sourceID=56","")</f>
        <v/>
      </c>
      <c r="R1292" s="4" t="str">
        <f>HYPERLINK("http://141.218.60.56/~jnz1568/getInfo.php?workbook=16_15.xlsx&amp;sheet=A0&amp;row=1292&amp;col=18&amp;number=&amp;sourceID=56","")</f>
        <v/>
      </c>
      <c r="S1292" s="4" t="str">
        <f>HYPERLINK("http://141.218.60.56/~jnz1568/getInfo.php?workbook=16_15.xlsx&amp;sheet=A0&amp;row=1292&amp;col=19&amp;number=&amp;sourceID=57","")</f>
        <v/>
      </c>
      <c r="T1292" s="4" t="str">
        <f>HYPERLINK("http://141.218.60.56/~jnz1568/getInfo.php?workbook=16_15.xlsx&amp;sheet=A0&amp;row=1292&amp;col=20&amp;number=&amp;sourceID=57","")</f>
        <v/>
      </c>
      <c r="U1292" s="4" t="str">
        <f>HYPERLINK("http://141.218.60.56/~jnz1568/getInfo.php?workbook=16_15.xlsx&amp;sheet=A0&amp;row=1292&amp;col=21&amp;number=&amp;sourceID=47","")</f>
        <v/>
      </c>
      <c r="V1292" s="4" t="str">
        <f>HYPERLINK("http://141.218.60.56/~jnz1568/getInfo.php?workbook=16_15.xlsx&amp;sheet=A0&amp;row=1292&amp;col=22&amp;number=&amp;sourceID=47","")</f>
        <v/>
      </c>
    </row>
    <row r="1293" spans="1:22">
      <c r="A1293" s="3">
        <v>16</v>
      </c>
      <c r="B1293" s="3">
        <v>15</v>
      </c>
      <c r="C1293" s="3">
        <v>58</v>
      </c>
      <c r="D1293" s="3">
        <v>32</v>
      </c>
      <c r="E1293" s="3">
        <f>((1/(INDEX(E0!J$4:J$73,C1293,1)-INDEX(E0!J$4:J$73,D1293,1))))*100000000</f>
        <v>0</v>
      </c>
      <c r="F1293" s="4" t="str">
        <f>HYPERLINK("http://141.218.60.56/~jnz1568/getInfo.php?workbook=16_15.xlsx&amp;sheet=A0&amp;row=1293&amp;col=6&amp;number=198180&amp;sourceID=54","198180")</f>
        <v>198180</v>
      </c>
      <c r="G1293" s="4" t="str">
        <f>HYPERLINK("http://141.218.60.56/~jnz1568/getInfo.php?workbook=16_15.xlsx&amp;sheet=A0&amp;row=1293&amp;col=7&amp;number=&amp;sourceID=54","")</f>
        <v/>
      </c>
      <c r="H1293" s="4" t="str">
        <f>HYPERLINK("http://141.218.60.56/~jnz1568/getInfo.php?workbook=16_15.xlsx&amp;sheet=A0&amp;row=1293&amp;col=8&amp;number=&amp;sourceID=54","")</f>
        <v/>
      </c>
      <c r="I1293" s="4" t="str">
        <f>HYPERLINK("http://141.218.60.56/~jnz1568/getInfo.php?workbook=16_15.xlsx&amp;sheet=A0&amp;row=1293&amp;col=9&amp;number=205220&amp;sourceID=54","205220")</f>
        <v>205220</v>
      </c>
      <c r="J1293" s="4" t="str">
        <f>HYPERLINK("http://141.218.60.56/~jnz1568/getInfo.php?workbook=16_15.xlsx&amp;sheet=A0&amp;row=1293&amp;col=10&amp;number=&amp;sourceID=54","")</f>
        <v/>
      </c>
      <c r="K1293" s="4" t="str">
        <f>HYPERLINK("http://141.218.60.56/~jnz1568/getInfo.php?workbook=16_15.xlsx&amp;sheet=A0&amp;row=1293&amp;col=11&amp;number=&amp;sourceID=54","")</f>
        <v/>
      </c>
      <c r="L1293" s="4" t="str">
        <f>HYPERLINK("http://141.218.60.56/~jnz1568/getInfo.php?workbook=16_15.xlsx&amp;sheet=A0&amp;row=1293&amp;col=12&amp;number=259731.606142&amp;sourceID=53","259731.606142")</f>
        <v>259731.606142</v>
      </c>
      <c r="M1293" s="4" t="str">
        <f>HYPERLINK("http://141.218.60.56/~jnz1568/getInfo.php?workbook=16_15.xlsx&amp;sheet=A0&amp;row=1293&amp;col=13&amp;number=&amp;sourceID=53","")</f>
        <v/>
      </c>
      <c r="N1293" s="4" t="str">
        <f>HYPERLINK("http://141.218.60.56/~jnz1568/getInfo.php?workbook=16_15.xlsx&amp;sheet=A0&amp;row=1293&amp;col=14&amp;number=&amp;sourceID=53","")</f>
        <v/>
      </c>
      <c r="O1293" s="4" t="str">
        <f>HYPERLINK("http://141.218.60.56/~jnz1568/getInfo.php?workbook=16_15.xlsx&amp;sheet=A0&amp;row=1293&amp;col=15&amp;number=&amp;sourceID=55","")</f>
        <v/>
      </c>
      <c r="P1293" s="4" t="str">
        <f>HYPERLINK("http://141.218.60.56/~jnz1568/getInfo.php?workbook=16_15.xlsx&amp;sheet=A0&amp;row=1293&amp;col=16&amp;number=&amp;sourceID=55","")</f>
        <v/>
      </c>
      <c r="Q1293" s="4" t="str">
        <f>HYPERLINK("http://141.218.60.56/~jnz1568/getInfo.php?workbook=16_15.xlsx&amp;sheet=A0&amp;row=1293&amp;col=17&amp;number=&amp;sourceID=56","")</f>
        <v/>
      </c>
      <c r="R1293" s="4" t="str">
        <f>HYPERLINK("http://141.218.60.56/~jnz1568/getInfo.php?workbook=16_15.xlsx&amp;sheet=A0&amp;row=1293&amp;col=18&amp;number=&amp;sourceID=56","")</f>
        <v/>
      </c>
      <c r="S1293" s="4" t="str">
        <f>HYPERLINK("http://141.218.60.56/~jnz1568/getInfo.php?workbook=16_15.xlsx&amp;sheet=A0&amp;row=1293&amp;col=19&amp;number=&amp;sourceID=57","")</f>
        <v/>
      </c>
      <c r="T1293" s="4" t="str">
        <f>HYPERLINK("http://141.218.60.56/~jnz1568/getInfo.php?workbook=16_15.xlsx&amp;sheet=A0&amp;row=1293&amp;col=20&amp;number=&amp;sourceID=57","")</f>
        <v/>
      </c>
      <c r="U1293" s="4" t="str">
        <f>HYPERLINK("http://141.218.60.56/~jnz1568/getInfo.php?workbook=16_15.xlsx&amp;sheet=A0&amp;row=1293&amp;col=21&amp;number=&amp;sourceID=47","")</f>
        <v/>
      </c>
      <c r="V1293" s="4" t="str">
        <f>HYPERLINK("http://141.218.60.56/~jnz1568/getInfo.php?workbook=16_15.xlsx&amp;sheet=A0&amp;row=1293&amp;col=22&amp;number=&amp;sourceID=47","")</f>
        <v/>
      </c>
    </row>
    <row r="1294" spans="1:22">
      <c r="A1294" s="3">
        <v>16</v>
      </c>
      <c r="B1294" s="3">
        <v>15</v>
      </c>
      <c r="C1294" s="3">
        <v>58</v>
      </c>
      <c r="D1294" s="3">
        <v>34</v>
      </c>
      <c r="E1294" s="3">
        <f>((1/(INDEX(E0!J$4:J$73,C1294,1)-INDEX(E0!J$4:J$73,D1294,1))))*100000000</f>
        <v>0</v>
      </c>
      <c r="F1294" s="4" t="str">
        <f>HYPERLINK("http://141.218.60.56/~jnz1568/getInfo.php?workbook=16_15.xlsx&amp;sheet=A0&amp;row=1294&amp;col=6&amp;number=&amp;sourceID=54","")</f>
        <v/>
      </c>
      <c r="G1294" s="4" t="str">
        <f>HYPERLINK("http://141.218.60.56/~jnz1568/getInfo.php?workbook=16_15.xlsx&amp;sheet=A0&amp;row=1294&amp;col=7&amp;number=0.00032297&amp;sourceID=54","0.00032297")</f>
        <v>0.00032297</v>
      </c>
      <c r="H1294" s="4" t="str">
        <f>HYPERLINK("http://141.218.60.56/~jnz1568/getInfo.php?workbook=16_15.xlsx&amp;sheet=A0&amp;row=1294&amp;col=8&amp;number=&amp;sourceID=54","")</f>
        <v/>
      </c>
      <c r="I1294" s="4" t="str">
        <f>HYPERLINK("http://141.218.60.56/~jnz1568/getInfo.php?workbook=16_15.xlsx&amp;sheet=A0&amp;row=1294&amp;col=9&amp;number=&amp;sourceID=54","")</f>
        <v/>
      </c>
      <c r="J1294" s="4" t="str">
        <f>HYPERLINK("http://141.218.60.56/~jnz1568/getInfo.php?workbook=16_15.xlsx&amp;sheet=A0&amp;row=1294&amp;col=10&amp;number=0.00028249&amp;sourceID=54","0.00028249")</f>
        <v>0.00028249</v>
      </c>
      <c r="K1294" s="4" t="str">
        <f>HYPERLINK("http://141.218.60.56/~jnz1568/getInfo.php?workbook=16_15.xlsx&amp;sheet=A0&amp;row=1294&amp;col=11&amp;number=&amp;sourceID=54","")</f>
        <v/>
      </c>
      <c r="L1294" s="4" t="str">
        <f>HYPERLINK("http://141.218.60.56/~jnz1568/getInfo.php?workbook=16_15.xlsx&amp;sheet=A0&amp;row=1294&amp;col=12&amp;number=&amp;sourceID=53","")</f>
        <v/>
      </c>
      <c r="M1294" s="4" t="str">
        <f>HYPERLINK("http://141.218.60.56/~jnz1568/getInfo.php?workbook=16_15.xlsx&amp;sheet=A0&amp;row=1294&amp;col=13&amp;number=&amp;sourceID=53","")</f>
        <v/>
      </c>
      <c r="N1294" s="4" t="str">
        <f>HYPERLINK("http://141.218.60.56/~jnz1568/getInfo.php?workbook=16_15.xlsx&amp;sheet=A0&amp;row=1294&amp;col=14&amp;number=&amp;sourceID=53","")</f>
        <v/>
      </c>
      <c r="O1294" s="4" t="str">
        <f>HYPERLINK("http://141.218.60.56/~jnz1568/getInfo.php?workbook=16_15.xlsx&amp;sheet=A0&amp;row=1294&amp;col=15&amp;number=&amp;sourceID=55","")</f>
        <v/>
      </c>
      <c r="P1294" s="4" t="str">
        <f>HYPERLINK("http://141.218.60.56/~jnz1568/getInfo.php?workbook=16_15.xlsx&amp;sheet=A0&amp;row=1294&amp;col=16&amp;number=&amp;sourceID=55","")</f>
        <v/>
      </c>
      <c r="Q1294" s="4" t="str">
        <f>HYPERLINK("http://141.218.60.56/~jnz1568/getInfo.php?workbook=16_15.xlsx&amp;sheet=A0&amp;row=1294&amp;col=17&amp;number=&amp;sourceID=56","")</f>
        <v/>
      </c>
      <c r="R1294" s="4" t="str">
        <f>HYPERLINK("http://141.218.60.56/~jnz1568/getInfo.php?workbook=16_15.xlsx&amp;sheet=A0&amp;row=1294&amp;col=18&amp;number=&amp;sourceID=56","")</f>
        <v/>
      </c>
      <c r="S1294" s="4" t="str">
        <f>HYPERLINK("http://141.218.60.56/~jnz1568/getInfo.php?workbook=16_15.xlsx&amp;sheet=A0&amp;row=1294&amp;col=19&amp;number=&amp;sourceID=57","")</f>
        <v/>
      </c>
      <c r="T1294" s="4" t="str">
        <f>HYPERLINK("http://141.218.60.56/~jnz1568/getInfo.php?workbook=16_15.xlsx&amp;sheet=A0&amp;row=1294&amp;col=20&amp;number=&amp;sourceID=57","")</f>
        <v/>
      </c>
      <c r="U1294" s="4" t="str">
        <f>HYPERLINK("http://141.218.60.56/~jnz1568/getInfo.php?workbook=16_15.xlsx&amp;sheet=A0&amp;row=1294&amp;col=21&amp;number=&amp;sourceID=47","")</f>
        <v/>
      </c>
      <c r="V1294" s="4" t="str">
        <f>HYPERLINK("http://141.218.60.56/~jnz1568/getInfo.php?workbook=16_15.xlsx&amp;sheet=A0&amp;row=1294&amp;col=22&amp;number=&amp;sourceID=47","")</f>
        <v/>
      </c>
    </row>
    <row r="1295" spans="1:22">
      <c r="A1295" s="3">
        <v>16</v>
      </c>
      <c r="B1295" s="3">
        <v>15</v>
      </c>
      <c r="C1295" s="3">
        <v>58</v>
      </c>
      <c r="D1295" s="3">
        <v>35</v>
      </c>
      <c r="E1295" s="3">
        <f>((1/(INDEX(E0!J$4:J$73,C1295,1)-INDEX(E0!J$4:J$73,D1295,1))))*100000000</f>
        <v>0</v>
      </c>
      <c r="F1295" s="4" t="str">
        <f>HYPERLINK("http://141.218.60.56/~jnz1568/getInfo.php?workbook=16_15.xlsx&amp;sheet=A0&amp;row=1295&amp;col=6&amp;number=&amp;sourceID=54","")</f>
        <v/>
      </c>
      <c r="G1295" s="4" t="str">
        <f>HYPERLINK("http://141.218.60.56/~jnz1568/getInfo.php?workbook=16_15.xlsx&amp;sheet=A0&amp;row=1295&amp;col=7&amp;number=0.00056368&amp;sourceID=54","0.00056368")</f>
        <v>0.00056368</v>
      </c>
      <c r="H1295" s="4" t="str">
        <f>HYPERLINK("http://141.218.60.56/~jnz1568/getInfo.php?workbook=16_15.xlsx&amp;sheet=A0&amp;row=1295&amp;col=8&amp;number=0.00718&amp;sourceID=54","0.00718")</f>
        <v>0.00718</v>
      </c>
      <c r="I1295" s="4" t="str">
        <f>HYPERLINK("http://141.218.60.56/~jnz1568/getInfo.php?workbook=16_15.xlsx&amp;sheet=A0&amp;row=1295&amp;col=9&amp;number=&amp;sourceID=54","")</f>
        <v/>
      </c>
      <c r="J1295" s="4" t="str">
        <f>HYPERLINK("http://141.218.60.56/~jnz1568/getInfo.php?workbook=16_15.xlsx&amp;sheet=A0&amp;row=1295&amp;col=10&amp;number=0.0005158&amp;sourceID=54","0.0005158")</f>
        <v>0.0005158</v>
      </c>
      <c r="K1295" s="4" t="str">
        <f>HYPERLINK("http://141.218.60.56/~jnz1568/getInfo.php?workbook=16_15.xlsx&amp;sheet=A0&amp;row=1295&amp;col=11&amp;number=0.0071454&amp;sourceID=54","0.0071454")</f>
        <v>0.0071454</v>
      </c>
      <c r="L1295" s="4" t="str">
        <f>HYPERLINK("http://141.218.60.56/~jnz1568/getInfo.php?workbook=16_15.xlsx&amp;sheet=A0&amp;row=1295&amp;col=12&amp;number=&amp;sourceID=53","")</f>
        <v/>
      </c>
      <c r="M1295" s="4" t="str">
        <f>HYPERLINK("http://141.218.60.56/~jnz1568/getInfo.php?workbook=16_15.xlsx&amp;sheet=A0&amp;row=1295&amp;col=13&amp;number=&amp;sourceID=53","")</f>
        <v/>
      </c>
      <c r="N1295" s="4" t="str">
        <f>HYPERLINK("http://141.218.60.56/~jnz1568/getInfo.php?workbook=16_15.xlsx&amp;sheet=A0&amp;row=1295&amp;col=14&amp;number=&amp;sourceID=53","")</f>
        <v/>
      </c>
      <c r="O1295" s="4" t="str">
        <f>HYPERLINK("http://141.218.60.56/~jnz1568/getInfo.php?workbook=16_15.xlsx&amp;sheet=A0&amp;row=1295&amp;col=15&amp;number=&amp;sourceID=55","")</f>
        <v/>
      </c>
      <c r="P1295" s="4" t="str">
        <f>HYPERLINK("http://141.218.60.56/~jnz1568/getInfo.php?workbook=16_15.xlsx&amp;sheet=A0&amp;row=1295&amp;col=16&amp;number=&amp;sourceID=55","")</f>
        <v/>
      </c>
      <c r="Q1295" s="4" t="str">
        <f>HYPERLINK("http://141.218.60.56/~jnz1568/getInfo.php?workbook=16_15.xlsx&amp;sheet=A0&amp;row=1295&amp;col=17&amp;number=&amp;sourceID=56","")</f>
        <v/>
      </c>
      <c r="R1295" s="4" t="str">
        <f>HYPERLINK("http://141.218.60.56/~jnz1568/getInfo.php?workbook=16_15.xlsx&amp;sheet=A0&amp;row=1295&amp;col=18&amp;number=&amp;sourceID=56","")</f>
        <v/>
      </c>
      <c r="S1295" s="4" t="str">
        <f>HYPERLINK("http://141.218.60.56/~jnz1568/getInfo.php?workbook=16_15.xlsx&amp;sheet=A0&amp;row=1295&amp;col=19&amp;number=&amp;sourceID=57","")</f>
        <v/>
      </c>
      <c r="T1295" s="4" t="str">
        <f>HYPERLINK("http://141.218.60.56/~jnz1568/getInfo.php?workbook=16_15.xlsx&amp;sheet=A0&amp;row=1295&amp;col=20&amp;number=&amp;sourceID=57","")</f>
        <v/>
      </c>
      <c r="U1295" s="4" t="str">
        <f>HYPERLINK("http://141.218.60.56/~jnz1568/getInfo.php?workbook=16_15.xlsx&amp;sheet=A0&amp;row=1295&amp;col=21&amp;number=&amp;sourceID=47","")</f>
        <v/>
      </c>
      <c r="V1295" s="4" t="str">
        <f>HYPERLINK("http://141.218.60.56/~jnz1568/getInfo.php?workbook=16_15.xlsx&amp;sheet=A0&amp;row=1295&amp;col=22&amp;number=&amp;sourceID=47","")</f>
        <v/>
      </c>
    </row>
    <row r="1296" spans="1:22">
      <c r="A1296" s="3">
        <v>16</v>
      </c>
      <c r="B1296" s="3">
        <v>15</v>
      </c>
      <c r="C1296" s="3">
        <v>58</v>
      </c>
      <c r="D1296" s="3">
        <v>36</v>
      </c>
      <c r="E1296" s="3">
        <f>((1/(INDEX(E0!J$4:J$73,C1296,1)-INDEX(E0!J$4:J$73,D1296,1))))*100000000</f>
        <v>0</v>
      </c>
      <c r="F1296" s="4" t="str">
        <f>HYPERLINK("http://141.218.60.56/~jnz1568/getInfo.php?workbook=16_15.xlsx&amp;sheet=A0&amp;row=1296&amp;col=6&amp;number=&amp;sourceID=54","")</f>
        <v/>
      </c>
      <c r="G1296" s="4" t="str">
        <f>HYPERLINK("http://141.218.60.56/~jnz1568/getInfo.php?workbook=16_15.xlsx&amp;sheet=A0&amp;row=1296&amp;col=7&amp;number=0.0013764&amp;sourceID=54","0.0013764")</f>
        <v>0.0013764</v>
      </c>
      <c r="H1296" s="4" t="str">
        <f>HYPERLINK("http://141.218.60.56/~jnz1568/getInfo.php?workbook=16_15.xlsx&amp;sheet=A0&amp;row=1296&amp;col=8&amp;number=0.0029381&amp;sourceID=54","0.0029381")</f>
        <v>0.0029381</v>
      </c>
      <c r="I1296" s="4" t="str">
        <f>HYPERLINK("http://141.218.60.56/~jnz1568/getInfo.php?workbook=16_15.xlsx&amp;sheet=A0&amp;row=1296&amp;col=9&amp;number=&amp;sourceID=54","")</f>
        <v/>
      </c>
      <c r="J1296" s="4" t="str">
        <f>HYPERLINK("http://141.218.60.56/~jnz1568/getInfo.php?workbook=16_15.xlsx&amp;sheet=A0&amp;row=1296&amp;col=10&amp;number=0.0012468&amp;sourceID=54","0.0012468")</f>
        <v>0.0012468</v>
      </c>
      <c r="K1296" s="4" t="str">
        <f>HYPERLINK("http://141.218.60.56/~jnz1568/getInfo.php?workbook=16_15.xlsx&amp;sheet=A0&amp;row=1296&amp;col=11&amp;number=0.0040485&amp;sourceID=54","0.0040485")</f>
        <v>0.0040485</v>
      </c>
      <c r="L1296" s="4" t="str">
        <f>HYPERLINK("http://141.218.60.56/~jnz1568/getInfo.php?workbook=16_15.xlsx&amp;sheet=A0&amp;row=1296&amp;col=12&amp;number=&amp;sourceID=53","")</f>
        <v/>
      </c>
      <c r="M1296" s="4" t="str">
        <f>HYPERLINK("http://141.218.60.56/~jnz1568/getInfo.php?workbook=16_15.xlsx&amp;sheet=A0&amp;row=1296&amp;col=13&amp;number=&amp;sourceID=53","")</f>
        <v/>
      </c>
      <c r="N1296" s="4" t="str">
        <f>HYPERLINK("http://141.218.60.56/~jnz1568/getInfo.php?workbook=16_15.xlsx&amp;sheet=A0&amp;row=1296&amp;col=14&amp;number=&amp;sourceID=53","")</f>
        <v/>
      </c>
      <c r="O1296" s="4" t="str">
        <f>HYPERLINK("http://141.218.60.56/~jnz1568/getInfo.php?workbook=16_15.xlsx&amp;sheet=A0&amp;row=1296&amp;col=15&amp;number=&amp;sourceID=55","")</f>
        <v/>
      </c>
      <c r="P1296" s="4" t="str">
        <f>HYPERLINK("http://141.218.60.56/~jnz1568/getInfo.php?workbook=16_15.xlsx&amp;sheet=A0&amp;row=1296&amp;col=16&amp;number=&amp;sourceID=55","")</f>
        <v/>
      </c>
      <c r="Q1296" s="4" t="str">
        <f>HYPERLINK("http://141.218.60.56/~jnz1568/getInfo.php?workbook=16_15.xlsx&amp;sheet=A0&amp;row=1296&amp;col=17&amp;number=&amp;sourceID=56","")</f>
        <v/>
      </c>
      <c r="R1296" s="4" t="str">
        <f>HYPERLINK("http://141.218.60.56/~jnz1568/getInfo.php?workbook=16_15.xlsx&amp;sheet=A0&amp;row=1296&amp;col=18&amp;number=&amp;sourceID=56","")</f>
        <v/>
      </c>
      <c r="S1296" s="4" t="str">
        <f>HYPERLINK("http://141.218.60.56/~jnz1568/getInfo.php?workbook=16_15.xlsx&amp;sheet=A0&amp;row=1296&amp;col=19&amp;number=&amp;sourceID=57","")</f>
        <v/>
      </c>
      <c r="T1296" s="4" t="str">
        <f>HYPERLINK("http://141.218.60.56/~jnz1568/getInfo.php?workbook=16_15.xlsx&amp;sheet=A0&amp;row=1296&amp;col=20&amp;number=&amp;sourceID=57","")</f>
        <v/>
      </c>
      <c r="U1296" s="4" t="str">
        <f>HYPERLINK("http://141.218.60.56/~jnz1568/getInfo.php?workbook=16_15.xlsx&amp;sheet=A0&amp;row=1296&amp;col=21&amp;number=&amp;sourceID=47","")</f>
        <v/>
      </c>
      <c r="V1296" s="4" t="str">
        <f>HYPERLINK("http://141.218.60.56/~jnz1568/getInfo.php?workbook=16_15.xlsx&amp;sheet=A0&amp;row=1296&amp;col=22&amp;number=&amp;sourceID=47","")</f>
        <v/>
      </c>
    </row>
    <row r="1297" spans="1:22">
      <c r="A1297" s="3">
        <v>16</v>
      </c>
      <c r="B1297" s="3">
        <v>15</v>
      </c>
      <c r="C1297" s="3">
        <v>58</v>
      </c>
      <c r="D1297" s="3">
        <v>37</v>
      </c>
      <c r="E1297" s="3">
        <f>((1/(INDEX(E0!J$4:J$73,C1297,1)-INDEX(E0!J$4:J$73,D1297,1))))*100000000</f>
        <v>0</v>
      </c>
      <c r="F1297" s="4" t="str">
        <f>HYPERLINK("http://141.218.60.56/~jnz1568/getInfo.php?workbook=16_15.xlsx&amp;sheet=A0&amp;row=1297&amp;col=6&amp;number=&amp;sourceID=54","")</f>
        <v/>
      </c>
      <c r="G1297" s="4" t="str">
        <f>HYPERLINK("http://141.218.60.56/~jnz1568/getInfo.php?workbook=16_15.xlsx&amp;sheet=A0&amp;row=1297&amp;col=7&amp;number=8.0485e-05&amp;sourceID=54","8.0485e-05")</f>
        <v>8.0485e-05</v>
      </c>
      <c r="H1297" s="4" t="str">
        <f>HYPERLINK("http://141.218.60.56/~jnz1568/getInfo.php?workbook=16_15.xlsx&amp;sheet=A0&amp;row=1297&amp;col=8&amp;number=0.010506&amp;sourceID=54","0.010506")</f>
        <v>0.010506</v>
      </c>
      <c r="I1297" s="4" t="str">
        <f>HYPERLINK("http://141.218.60.56/~jnz1568/getInfo.php?workbook=16_15.xlsx&amp;sheet=A0&amp;row=1297&amp;col=9&amp;number=&amp;sourceID=54","")</f>
        <v/>
      </c>
      <c r="J1297" s="4" t="str">
        <f>HYPERLINK("http://141.218.60.56/~jnz1568/getInfo.php?workbook=16_15.xlsx&amp;sheet=A0&amp;row=1297&amp;col=10&amp;number=7.7708e-05&amp;sourceID=54","7.7708e-05")</f>
        <v>7.7708e-05</v>
      </c>
      <c r="K1297" s="4" t="str">
        <f>HYPERLINK("http://141.218.60.56/~jnz1568/getInfo.php?workbook=16_15.xlsx&amp;sheet=A0&amp;row=1297&amp;col=11&amp;number=0.010151&amp;sourceID=54","0.010151")</f>
        <v>0.010151</v>
      </c>
      <c r="L1297" s="4" t="str">
        <f>HYPERLINK("http://141.218.60.56/~jnz1568/getInfo.php?workbook=16_15.xlsx&amp;sheet=A0&amp;row=1297&amp;col=12&amp;number=&amp;sourceID=53","")</f>
        <v/>
      </c>
      <c r="M1297" s="4" t="str">
        <f>HYPERLINK("http://141.218.60.56/~jnz1568/getInfo.php?workbook=16_15.xlsx&amp;sheet=A0&amp;row=1297&amp;col=13&amp;number=&amp;sourceID=53","")</f>
        <v/>
      </c>
      <c r="N1297" s="4" t="str">
        <f>HYPERLINK("http://141.218.60.56/~jnz1568/getInfo.php?workbook=16_15.xlsx&amp;sheet=A0&amp;row=1297&amp;col=14&amp;number=&amp;sourceID=53","")</f>
        <v/>
      </c>
      <c r="O1297" s="4" t="str">
        <f>HYPERLINK("http://141.218.60.56/~jnz1568/getInfo.php?workbook=16_15.xlsx&amp;sheet=A0&amp;row=1297&amp;col=15&amp;number=&amp;sourceID=55","")</f>
        <v/>
      </c>
      <c r="P1297" s="4" t="str">
        <f>HYPERLINK("http://141.218.60.56/~jnz1568/getInfo.php?workbook=16_15.xlsx&amp;sheet=A0&amp;row=1297&amp;col=16&amp;number=&amp;sourceID=55","")</f>
        <v/>
      </c>
      <c r="Q1297" s="4" t="str">
        <f>HYPERLINK("http://141.218.60.56/~jnz1568/getInfo.php?workbook=16_15.xlsx&amp;sheet=A0&amp;row=1297&amp;col=17&amp;number=&amp;sourceID=56","")</f>
        <v/>
      </c>
      <c r="R1297" s="4" t="str">
        <f>HYPERLINK("http://141.218.60.56/~jnz1568/getInfo.php?workbook=16_15.xlsx&amp;sheet=A0&amp;row=1297&amp;col=18&amp;number=&amp;sourceID=56","")</f>
        <v/>
      </c>
      <c r="S1297" s="4" t="str">
        <f>HYPERLINK("http://141.218.60.56/~jnz1568/getInfo.php?workbook=16_15.xlsx&amp;sheet=A0&amp;row=1297&amp;col=19&amp;number=&amp;sourceID=57","")</f>
        <v/>
      </c>
      <c r="T1297" s="4" t="str">
        <f>HYPERLINK("http://141.218.60.56/~jnz1568/getInfo.php?workbook=16_15.xlsx&amp;sheet=A0&amp;row=1297&amp;col=20&amp;number=&amp;sourceID=57","")</f>
        <v/>
      </c>
      <c r="U1297" s="4" t="str">
        <f>HYPERLINK("http://141.218.60.56/~jnz1568/getInfo.php?workbook=16_15.xlsx&amp;sheet=A0&amp;row=1297&amp;col=21&amp;number=&amp;sourceID=47","")</f>
        <v/>
      </c>
      <c r="V1297" s="4" t="str">
        <f>HYPERLINK("http://141.218.60.56/~jnz1568/getInfo.php?workbook=16_15.xlsx&amp;sheet=A0&amp;row=1297&amp;col=22&amp;number=&amp;sourceID=47","")</f>
        <v/>
      </c>
    </row>
    <row r="1298" spans="1:22">
      <c r="A1298" s="3">
        <v>16</v>
      </c>
      <c r="B1298" s="3">
        <v>15</v>
      </c>
      <c r="C1298" s="3">
        <v>58</v>
      </c>
      <c r="D1298" s="3">
        <v>38</v>
      </c>
      <c r="E1298" s="3">
        <f>((1/(INDEX(E0!J$4:J$73,C1298,1)-INDEX(E0!J$4:J$73,D1298,1))))*100000000</f>
        <v>0</v>
      </c>
      <c r="F1298" s="4" t="str">
        <f>HYPERLINK("http://141.218.60.56/~jnz1568/getInfo.php?workbook=16_15.xlsx&amp;sheet=A0&amp;row=1298&amp;col=6&amp;number=&amp;sourceID=54","")</f>
        <v/>
      </c>
      <c r="G1298" s="4" t="str">
        <f>HYPERLINK("http://141.218.60.56/~jnz1568/getInfo.php?workbook=16_15.xlsx&amp;sheet=A0&amp;row=1298&amp;col=7&amp;number=0.00036065&amp;sourceID=54","0.00036065")</f>
        <v>0.00036065</v>
      </c>
      <c r="H1298" s="4" t="str">
        <f>HYPERLINK("http://141.218.60.56/~jnz1568/getInfo.php?workbook=16_15.xlsx&amp;sheet=A0&amp;row=1298&amp;col=8&amp;number=&amp;sourceID=54","")</f>
        <v/>
      </c>
      <c r="I1298" s="4" t="str">
        <f>HYPERLINK("http://141.218.60.56/~jnz1568/getInfo.php?workbook=16_15.xlsx&amp;sheet=A0&amp;row=1298&amp;col=9&amp;number=&amp;sourceID=54","")</f>
        <v/>
      </c>
      <c r="J1298" s="4" t="str">
        <f>HYPERLINK("http://141.218.60.56/~jnz1568/getInfo.php?workbook=16_15.xlsx&amp;sheet=A0&amp;row=1298&amp;col=10&amp;number=0.00027893&amp;sourceID=54","0.00027893")</f>
        <v>0.00027893</v>
      </c>
      <c r="K1298" s="4" t="str">
        <f>HYPERLINK("http://141.218.60.56/~jnz1568/getInfo.php?workbook=16_15.xlsx&amp;sheet=A0&amp;row=1298&amp;col=11&amp;number=&amp;sourceID=54","")</f>
        <v/>
      </c>
      <c r="L1298" s="4" t="str">
        <f>HYPERLINK("http://141.218.60.56/~jnz1568/getInfo.php?workbook=16_15.xlsx&amp;sheet=A0&amp;row=1298&amp;col=12&amp;number=&amp;sourceID=53","")</f>
        <v/>
      </c>
      <c r="M1298" s="4" t="str">
        <f>HYPERLINK("http://141.218.60.56/~jnz1568/getInfo.php?workbook=16_15.xlsx&amp;sheet=A0&amp;row=1298&amp;col=13&amp;number=&amp;sourceID=53","")</f>
        <v/>
      </c>
      <c r="N1298" s="4" t="str">
        <f>HYPERLINK("http://141.218.60.56/~jnz1568/getInfo.php?workbook=16_15.xlsx&amp;sheet=A0&amp;row=1298&amp;col=14&amp;number=&amp;sourceID=53","")</f>
        <v/>
      </c>
      <c r="O1298" s="4" t="str">
        <f>HYPERLINK("http://141.218.60.56/~jnz1568/getInfo.php?workbook=16_15.xlsx&amp;sheet=A0&amp;row=1298&amp;col=15&amp;number=&amp;sourceID=55","")</f>
        <v/>
      </c>
      <c r="P1298" s="4" t="str">
        <f>HYPERLINK("http://141.218.60.56/~jnz1568/getInfo.php?workbook=16_15.xlsx&amp;sheet=A0&amp;row=1298&amp;col=16&amp;number=&amp;sourceID=55","")</f>
        <v/>
      </c>
      <c r="Q1298" s="4" t="str">
        <f>HYPERLINK("http://141.218.60.56/~jnz1568/getInfo.php?workbook=16_15.xlsx&amp;sheet=A0&amp;row=1298&amp;col=17&amp;number=&amp;sourceID=56","")</f>
        <v/>
      </c>
      <c r="R1298" s="4" t="str">
        <f>HYPERLINK("http://141.218.60.56/~jnz1568/getInfo.php?workbook=16_15.xlsx&amp;sheet=A0&amp;row=1298&amp;col=18&amp;number=&amp;sourceID=56","")</f>
        <v/>
      </c>
      <c r="S1298" s="4" t="str">
        <f>HYPERLINK("http://141.218.60.56/~jnz1568/getInfo.php?workbook=16_15.xlsx&amp;sheet=A0&amp;row=1298&amp;col=19&amp;number=&amp;sourceID=57","")</f>
        <v/>
      </c>
      <c r="T1298" s="4" t="str">
        <f>HYPERLINK("http://141.218.60.56/~jnz1568/getInfo.php?workbook=16_15.xlsx&amp;sheet=A0&amp;row=1298&amp;col=20&amp;number=&amp;sourceID=57","")</f>
        <v/>
      </c>
      <c r="U1298" s="4" t="str">
        <f>HYPERLINK("http://141.218.60.56/~jnz1568/getInfo.php?workbook=16_15.xlsx&amp;sheet=A0&amp;row=1298&amp;col=21&amp;number=&amp;sourceID=47","")</f>
        <v/>
      </c>
      <c r="V1298" s="4" t="str">
        <f>HYPERLINK("http://141.218.60.56/~jnz1568/getInfo.php?workbook=16_15.xlsx&amp;sheet=A0&amp;row=1298&amp;col=22&amp;number=&amp;sourceID=47","")</f>
        <v/>
      </c>
    </row>
    <row r="1299" spans="1:22">
      <c r="A1299" s="3">
        <v>16</v>
      </c>
      <c r="B1299" s="3">
        <v>15</v>
      </c>
      <c r="C1299" s="3">
        <v>58</v>
      </c>
      <c r="D1299" s="3">
        <v>39</v>
      </c>
      <c r="E1299" s="3">
        <f>((1/(INDEX(E0!J$4:J$73,C1299,1)-INDEX(E0!J$4:J$73,D1299,1))))*100000000</f>
        <v>0</v>
      </c>
      <c r="F1299" s="4" t="str">
        <f>HYPERLINK("http://141.218.60.56/~jnz1568/getInfo.php?workbook=16_15.xlsx&amp;sheet=A0&amp;row=1299&amp;col=6&amp;number=&amp;sourceID=54","")</f>
        <v/>
      </c>
      <c r="G1299" s="4" t="str">
        <f>HYPERLINK("http://141.218.60.56/~jnz1568/getInfo.php?workbook=16_15.xlsx&amp;sheet=A0&amp;row=1299&amp;col=7&amp;number=0.0004103&amp;sourceID=54","0.0004103")</f>
        <v>0.0004103</v>
      </c>
      <c r="H1299" s="4" t="str">
        <f>HYPERLINK("http://141.218.60.56/~jnz1568/getInfo.php?workbook=16_15.xlsx&amp;sheet=A0&amp;row=1299&amp;col=8&amp;number=0.0061432&amp;sourceID=54","0.0061432")</f>
        <v>0.0061432</v>
      </c>
      <c r="I1299" s="4" t="str">
        <f>HYPERLINK("http://141.218.60.56/~jnz1568/getInfo.php?workbook=16_15.xlsx&amp;sheet=A0&amp;row=1299&amp;col=9&amp;number=&amp;sourceID=54","")</f>
        <v/>
      </c>
      <c r="J1299" s="4" t="str">
        <f>HYPERLINK("http://141.218.60.56/~jnz1568/getInfo.php?workbook=16_15.xlsx&amp;sheet=A0&amp;row=1299&amp;col=10&amp;number=0.00044564&amp;sourceID=54","0.00044564")</f>
        <v>0.00044564</v>
      </c>
      <c r="K1299" s="4" t="str">
        <f>HYPERLINK("http://141.218.60.56/~jnz1568/getInfo.php?workbook=16_15.xlsx&amp;sheet=A0&amp;row=1299&amp;col=11&amp;number=0.0060578&amp;sourceID=54","0.0060578")</f>
        <v>0.0060578</v>
      </c>
      <c r="L1299" s="4" t="str">
        <f>HYPERLINK("http://141.218.60.56/~jnz1568/getInfo.php?workbook=16_15.xlsx&amp;sheet=A0&amp;row=1299&amp;col=12&amp;number=&amp;sourceID=53","")</f>
        <v/>
      </c>
      <c r="M1299" s="4" t="str">
        <f>HYPERLINK("http://141.218.60.56/~jnz1568/getInfo.php?workbook=16_15.xlsx&amp;sheet=A0&amp;row=1299&amp;col=13&amp;number=&amp;sourceID=53","")</f>
        <v/>
      </c>
      <c r="N1299" s="4" t="str">
        <f>HYPERLINK("http://141.218.60.56/~jnz1568/getInfo.php?workbook=16_15.xlsx&amp;sheet=A0&amp;row=1299&amp;col=14&amp;number=&amp;sourceID=53","")</f>
        <v/>
      </c>
      <c r="O1299" s="4" t="str">
        <f>HYPERLINK("http://141.218.60.56/~jnz1568/getInfo.php?workbook=16_15.xlsx&amp;sheet=A0&amp;row=1299&amp;col=15&amp;number=&amp;sourceID=55","")</f>
        <v/>
      </c>
      <c r="P1299" s="4" t="str">
        <f>HYPERLINK("http://141.218.60.56/~jnz1568/getInfo.php?workbook=16_15.xlsx&amp;sheet=A0&amp;row=1299&amp;col=16&amp;number=&amp;sourceID=55","")</f>
        <v/>
      </c>
      <c r="Q1299" s="4" t="str">
        <f>HYPERLINK("http://141.218.60.56/~jnz1568/getInfo.php?workbook=16_15.xlsx&amp;sheet=A0&amp;row=1299&amp;col=17&amp;number=&amp;sourceID=56","")</f>
        <v/>
      </c>
      <c r="R1299" s="4" t="str">
        <f>HYPERLINK("http://141.218.60.56/~jnz1568/getInfo.php?workbook=16_15.xlsx&amp;sheet=A0&amp;row=1299&amp;col=18&amp;number=&amp;sourceID=56","")</f>
        <v/>
      </c>
      <c r="S1299" s="4" t="str">
        <f>HYPERLINK("http://141.218.60.56/~jnz1568/getInfo.php?workbook=16_15.xlsx&amp;sheet=A0&amp;row=1299&amp;col=19&amp;number=&amp;sourceID=57","")</f>
        <v/>
      </c>
      <c r="T1299" s="4" t="str">
        <f>HYPERLINK("http://141.218.60.56/~jnz1568/getInfo.php?workbook=16_15.xlsx&amp;sheet=A0&amp;row=1299&amp;col=20&amp;number=&amp;sourceID=57","")</f>
        <v/>
      </c>
      <c r="U1299" s="4" t="str">
        <f>HYPERLINK("http://141.218.60.56/~jnz1568/getInfo.php?workbook=16_15.xlsx&amp;sheet=A0&amp;row=1299&amp;col=21&amp;number=&amp;sourceID=47","")</f>
        <v/>
      </c>
      <c r="V1299" s="4" t="str">
        <f>HYPERLINK("http://141.218.60.56/~jnz1568/getInfo.php?workbook=16_15.xlsx&amp;sheet=A0&amp;row=1299&amp;col=22&amp;number=&amp;sourceID=47","")</f>
        <v/>
      </c>
    </row>
    <row r="1300" spans="1:22">
      <c r="A1300" s="3">
        <v>16</v>
      </c>
      <c r="B1300" s="3">
        <v>15</v>
      </c>
      <c r="C1300" s="3">
        <v>58</v>
      </c>
      <c r="D1300" s="3">
        <v>40</v>
      </c>
      <c r="E1300" s="3">
        <f>((1/(INDEX(E0!J$4:J$73,C1300,1)-INDEX(E0!J$4:J$73,D1300,1))))*100000000</f>
        <v>0</v>
      </c>
      <c r="F1300" s="4" t="str">
        <f>HYPERLINK("http://141.218.60.56/~jnz1568/getInfo.php?workbook=16_15.xlsx&amp;sheet=A0&amp;row=1300&amp;col=6&amp;number=&amp;sourceID=54","")</f>
        <v/>
      </c>
      <c r="G1300" s="4" t="str">
        <f>HYPERLINK("http://141.218.60.56/~jnz1568/getInfo.php?workbook=16_15.xlsx&amp;sheet=A0&amp;row=1300&amp;col=7&amp;number=0.019887&amp;sourceID=54","0.019887")</f>
        <v>0.019887</v>
      </c>
      <c r="H1300" s="4" t="str">
        <f>HYPERLINK("http://141.218.60.56/~jnz1568/getInfo.php?workbook=16_15.xlsx&amp;sheet=A0&amp;row=1300&amp;col=8&amp;number=0.027016&amp;sourceID=54","0.027016")</f>
        <v>0.027016</v>
      </c>
      <c r="I1300" s="4" t="str">
        <f>HYPERLINK("http://141.218.60.56/~jnz1568/getInfo.php?workbook=16_15.xlsx&amp;sheet=A0&amp;row=1300&amp;col=9&amp;number=&amp;sourceID=54","")</f>
        <v/>
      </c>
      <c r="J1300" s="4" t="str">
        <f>HYPERLINK("http://141.218.60.56/~jnz1568/getInfo.php?workbook=16_15.xlsx&amp;sheet=A0&amp;row=1300&amp;col=10&amp;number=0.018378&amp;sourceID=54","0.018378")</f>
        <v>0.018378</v>
      </c>
      <c r="K1300" s="4" t="str">
        <f>HYPERLINK("http://141.218.60.56/~jnz1568/getInfo.php?workbook=16_15.xlsx&amp;sheet=A0&amp;row=1300&amp;col=11&amp;number=0.03185&amp;sourceID=54","0.03185")</f>
        <v>0.03185</v>
      </c>
      <c r="L1300" s="4" t="str">
        <f>HYPERLINK("http://141.218.60.56/~jnz1568/getInfo.php?workbook=16_15.xlsx&amp;sheet=A0&amp;row=1300&amp;col=12&amp;number=&amp;sourceID=53","")</f>
        <v/>
      </c>
      <c r="M1300" s="4" t="str">
        <f>HYPERLINK("http://141.218.60.56/~jnz1568/getInfo.php?workbook=16_15.xlsx&amp;sheet=A0&amp;row=1300&amp;col=13&amp;number=&amp;sourceID=53","")</f>
        <v/>
      </c>
      <c r="N1300" s="4" t="str">
        <f>HYPERLINK("http://141.218.60.56/~jnz1568/getInfo.php?workbook=16_15.xlsx&amp;sheet=A0&amp;row=1300&amp;col=14&amp;number=&amp;sourceID=53","")</f>
        <v/>
      </c>
      <c r="O1300" s="4" t="str">
        <f>HYPERLINK("http://141.218.60.56/~jnz1568/getInfo.php?workbook=16_15.xlsx&amp;sheet=A0&amp;row=1300&amp;col=15&amp;number=&amp;sourceID=55","")</f>
        <v/>
      </c>
      <c r="P1300" s="4" t="str">
        <f>HYPERLINK("http://141.218.60.56/~jnz1568/getInfo.php?workbook=16_15.xlsx&amp;sheet=A0&amp;row=1300&amp;col=16&amp;number=&amp;sourceID=55","")</f>
        <v/>
      </c>
      <c r="Q1300" s="4" t="str">
        <f>HYPERLINK("http://141.218.60.56/~jnz1568/getInfo.php?workbook=16_15.xlsx&amp;sheet=A0&amp;row=1300&amp;col=17&amp;number=&amp;sourceID=56","")</f>
        <v/>
      </c>
      <c r="R1300" s="4" t="str">
        <f>HYPERLINK("http://141.218.60.56/~jnz1568/getInfo.php?workbook=16_15.xlsx&amp;sheet=A0&amp;row=1300&amp;col=18&amp;number=&amp;sourceID=56","")</f>
        <v/>
      </c>
      <c r="S1300" s="4" t="str">
        <f>HYPERLINK("http://141.218.60.56/~jnz1568/getInfo.php?workbook=16_15.xlsx&amp;sheet=A0&amp;row=1300&amp;col=19&amp;number=&amp;sourceID=57","")</f>
        <v/>
      </c>
      <c r="T1300" s="4" t="str">
        <f>HYPERLINK("http://141.218.60.56/~jnz1568/getInfo.php?workbook=16_15.xlsx&amp;sheet=A0&amp;row=1300&amp;col=20&amp;number=&amp;sourceID=57","")</f>
        <v/>
      </c>
      <c r="U1300" s="4" t="str">
        <f>HYPERLINK("http://141.218.60.56/~jnz1568/getInfo.php?workbook=16_15.xlsx&amp;sheet=A0&amp;row=1300&amp;col=21&amp;number=&amp;sourceID=47","")</f>
        <v/>
      </c>
      <c r="V1300" s="4" t="str">
        <f>HYPERLINK("http://141.218.60.56/~jnz1568/getInfo.php?workbook=16_15.xlsx&amp;sheet=A0&amp;row=1300&amp;col=22&amp;number=&amp;sourceID=47","")</f>
        <v/>
      </c>
    </row>
    <row r="1301" spans="1:22">
      <c r="A1301" s="3">
        <v>16</v>
      </c>
      <c r="B1301" s="3">
        <v>15</v>
      </c>
      <c r="C1301" s="3">
        <v>58</v>
      </c>
      <c r="D1301" s="3">
        <v>41</v>
      </c>
      <c r="E1301" s="3">
        <f>((1/(INDEX(E0!J$4:J$73,C1301,1)-INDEX(E0!J$4:J$73,D1301,1))))*100000000</f>
        <v>0</v>
      </c>
      <c r="F1301" s="4" t="str">
        <f>HYPERLINK("http://141.218.60.56/~jnz1568/getInfo.php?workbook=16_15.xlsx&amp;sheet=A0&amp;row=1301&amp;col=6&amp;number=1672.6&amp;sourceID=54","1672.6")</f>
        <v>1672.6</v>
      </c>
      <c r="G1301" s="4" t="str">
        <f>HYPERLINK("http://141.218.60.56/~jnz1568/getInfo.php?workbook=16_15.xlsx&amp;sheet=A0&amp;row=1301&amp;col=7&amp;number=&amp;sourceID=54","")</f>
        <v/>
      </c>
      <c r="H1301" s="4" t="str">
        <f>HYPERLINK("http://141.218.60.56/~jnz1568/getInfo.php?workbook=16_15.xlsx&amp;sheet=A0&amp;row=1301&amp;col=8&amp;number=&amp;sourceID=54","")</f>
        <v/>
      </c>
      <c r="I1301" s="4" t="str">
        <f>HYPERLINK("http://141.218.60.56/~jnz1568/getInfo.php?workbook=16_15.xlsx&amp;sheet=A0&amp;row=1301&amp;col=9&amp;number=2072.7&amp;sourceID=54","2072.7")</f>
        <v>2072.7</v>
      </c>
      <c r="J1301" s="4" t="str">
        <f>HYPERLINK("http://141.218.60.56/~jnz1568/getInfo.php?workbook=16_15.xlsx&amp;sheet=A0&amp;row=1301&amp;col=10&amp;number=&amp;sourceID=54","")</f>
        <v/>
      </c>
      <c r="K1301" s="4" t="str">
        <f>HYPERLINK("http://141.218.60.56/~jnz1568/getInfo.php?workbook=16_15.xlsx&amp;sheet=A0&amp;row=1301&amp;col=11&amp;number=&amp;sourceID=54","")</f>
        <v/>
      </c>
      <c r="L1301" s="4" t="str">
        <f>HYPERLINK("http://141.218.60.56/~jnz1568/getInfo.php?workbook=16_15.xlsx&amp;sheet=A0&amp;row=1301&amp;col=12&amp;number=3158.41457696&amp;sourceID=53","3158.41457696")</f>
        <v>3158.41457696</v>
      </c>
      <c r="M1301" s="4" t="str">
        <f>HYPERLINK("http://141.218.60.56/~jnz1568/getInfo.php?workbook=16_15.xlsx&amp;sheet=A0&amp;row=1301&amp;col=13&amp;number=&amp;sourceID=53","")</f>
        <v/>
      </c>
      <c r="N1301" s="4" t="str">
        <f>HYPERLINK("http://141.218.60.56/~jnz1568/getInfo.php?workbook=16_15.xlsx&amp;sheet=A0&amp;row=1301&amp;col=14&amp;number=&amp;sourceID=53","")</f>
        <v/>
      </c>
      <c r="O1301" s="4" t="str">
        <f>HYPERLINK("http://141.218.60.56/~jnz1568/getInfo.php?workbook=16_15.xlsx&amp;sheet=A0&amp;row=1301&amp;col=15&amp;number=&amp;sourceID=55","")</f>
        <v/>
      </c>
      <c r="P1301" s="4" t="str">
        <f>HYPERLINK("http://141.218.60.56/~jnz1568/getInfo.php?workbook=16_15.xlsx&amp;sheet=A0&amp;row=1301&amp;col=16&amp;number=&amp;sourceID=55","")</f>
        <v/>
      </c>
      <c r="Q1301" s="4" t="str">
        <f>HYPERLINK("http://141.218.60.56/~jnz1568/getInfo.php?workbook=16_15.xlsx&amp;sheet=A0&amp;row=1301&amp;col=17&amp;number=&amp;sourceID=56","")</f>
        <v/>
      </c>
      <c r="R1301" s="4" t="str">
        <f>HYPERLINK("http://141.218.60.56/~jnz1568/getInfo.php?workbook=16_15.xlsx&amp;sheet=A0&amp;row=1301&amp;col=18&amp;number=&amp;sourceID=56","")</f>
        <v/>
      </c>
      <c r="S1301" s="4" t="str">
        <f>HYPERLINK("http://141.218.60.56/~jnz1568/getInfo.php?workbook=16_15.xlsx&amp;sheet=A0&amp;row=1301&amp;col=19&amp;number=&amp;sourceID=57","")</f>
        <v/>
      </c>
      <c r="T1301" s="4" t="str">
        <f>HYPERLINK("http://141.218.60.56/~jnz1568/getInfo.php?workbook=16_15.xlsx&amp;sheet=A0&amp;row=1301&amp;col=20&amp;number=&amp;sourceID=57","")</f>
        <v/>
      </c>
      <c r="U1301" s="4" t="str">
        <f>HYPERLINK("http://141.218.60.56/~jnz1568/getInfo.php?workbook=16_15.xlsx&amp;sheet=A0&amp;row=1301&amp;col=21&amp;number=&amp;sourceID=47","")</f>
        <v/>
      </c>
      <c r="V1301" s="4" t="str">
        <f>HYPERLINK("http://141.218.60.56/~jnz1568/getInfo.php?workbook=16_15.xlsx&amp;sheet=A0&amp;row=1301&amp;col=22&amp;number=&amp;sourceID=47","")</f>
        <v/>
      </c>
    </row>
    <row r="1302" spans="1:22">
      <c r="A1302" s="3">
        <v>16</v>
      </c>
      <c r="B1302" s="3">
        <v>15</v>
      </c>
      <c r="C1302" s="3">
        <v>58</v>
      </c>
      <c r="D1302" s="3">
        <v>42</v>
      </c>
      <c r="E1302" s="3">
        <f>((1/(INDEX(E0!J$4:J$73,C1302,1)-INDEX(E0!J$4:J$73,D1302,1))))*100000000</f>
        <v>0</v>
      </c>
      <c r="F1302" s="4" t="str">
        <f>HYPERLINK("http://141.218.60.56/~jnz1568/getInfo.php?workbook=16_15.xlsx&amp;sheet=A0&amp;row=1302&amp;col=6&amp;number=&amp;sourceID=54","")</f>
        <v/>
      </c>
      <c r="G1302" s="4" t="str">
        <f>HYPERLINK("http://141.218.60.56/~jnz1568/getInfo.php?workbook=16_15.xlsx&amp;sheet=A0&amp;row=1302&amp;col=7&amp;number=0.087395&amp;sourceID=54","0.087395")</f>
        <v>0.087395</v>
      </c>
      <c r="H1302" s="4" t="str">
        <f>HYPERLINK("http://141.218.60.56/~jnz1568/getInfo.php?workbook=16_15.xlsx&amp;sheet=A0&amp;row=1302&amp;col=8&amp;number=0.00010505&amp;sourceID=54","0.00010505")</f>
        <v>0.00010505</v>
      </c>
      <c r="I1302" s="4" t="str">
        <f>HYPERLINK("http://141.218.60.56/~jnz1568/getInfo.php?workbook=16_15.xlsx&amp;sheet=A0&amp;row=1302&amp;col=9&amp;number=&amp;sourceID=54","")</f>
        <v/>
      </c>
      <c r="J1302" s="4" t="str">
        <f>HYPERLINK("http://141.218.60.56/~jnz1568/getInfo.php?workbook=16_15.xlsx&amp;sheet=A0&amp;row=1302&amp;col=10&amp;number=0.071394&amp;sourceID=54","0.071394")</f>
        <v>0.071394</v>
      </c>
      <c r="K1302" s="4" t="str">
        <f>HYPERLINK("http://141.218.60.56/~jnz1568/getInfo.php?workbook=16_15.xlsx&amp;sheet=A0&amp;row=1302&amp;col=11&amp;number=0.0001374&amp;sourceID=54","0.0001374")</f>
        <v>0.0001374</v>
      </c>
      <c r="L1302" s="4" t="str">
        <f>HYPERLINK("http://141.218.60.56/~jnz1568/getInfo.php?workbook=16_15.xlsx&amp;sheet=A0&amp;row=1302&amp;col=12&amp;number=&amp;sourceID=53","")</f>
        <v/>
      </c>
      <c r="M1302" s="4" t="str">
        <f>HYPERLINK("http://141.218.60.56/~jnz1568/getInfo.php?workbook=16_15.xlsx&amp;sheet=A0&amp;row=1302&amp;col=13&amp;number=&amp;sourceID=53","")</f>
        <v/>
      </c>
      <c r="N1302" s="4" t="str">
        <f>HYPERLINK("http://141.218.60.56/~jnz1568/getInfo.php?workbook=16_15.xlsx&amp;sheet=A0&amp;row=1302&amp;col=14&amp;number=&amp;sourceID=53","")</f>
        <v/>
      </c>
      <c r="O1302" s="4" t="str">
        <f>HYPERLINK("http://141.218.60.56/~jnz1568/getInfo.php?workbook=16_15.xlsx&amp;sheet=A0&amp;row=1302&amp;col=15&amp;number=&amp;sourceID=55","")</f>
        <v/>
      </c>
      <c r="P1302" s="4" t="str">
        <f>HYPERLINK("http://141.218.60.56/~jnz1568/getInfo.php?workbook=16_15.xlsx&amp;sheet=A0&amp;row=1302&amp;col=16&amp;number=&amp;sourceID=55","")</f>
        <v/>
      </c>
      <c r="Q1302" s="4" t="str">
        <f>HYPERLINK("http://141.218.60.56/~jnz1568/getInfo.php?workbook=16_15.xlsx&amp;sheet=A0&amp;row=1302&amp;col=17&amp;number=&amp;sourceID=56","")</f>
        <v/>
      </c>
      <c r="R1302" s="4" t="str">
        <f>HYPERLINK("http://141.218.60.56/~jnz1568/getInfo.php?workbook=16_15.xlsx&amp;sheet=A0&amp;row=1302&amp;col=18&amp;number=&amp;sourceID=56","")</f>
        <v/>
      </c>
      <c r="S1302" s="4" t="str">
        <f>HYPERLINK("http://141.218.60.56/~jnz1568/getInfo.php?workbook=16_15.xlsx&amp;sheet=A0&amp;row=1302&amp;col=19&amp;number=&amp;sourceID=57","")</f>
        <v/>
      </c>
      <c r="T1302" s="4" t="str">
        <f>HYPERLINK("http://141.218.60.56/~jnz1568/getInfo.php?workbook=16_15.xlsx&amp;sheet=A0&amp;row=1302&amp;col=20&amp;number=&amp;sourceID=57","")</f>
        <v/>
      </c>
      <c r="U1302" s="4" t="str">
        <f>HYPERLINK("http://141.218.60.56/~jnz1568/getInfo.php?workbook=16_15.xlsx&amp;sheet=A0&amp;row=1302&amp;col=21&amp;number=&amp;sourceID=47","")</f>
        <v/>
      </c>
      <c r="V1302" s="4" t="str">
        <f>HYPERLINK("http://141.218.60.56/~jnz1568/getInfo.php?workbook=16_15.xlsx&amp;sheet=A0&amp;row=1302&amp;col=22&amp;number=&amp;sourceID=47","")</f>
        <v/>
      </c>
    </row>
    <row r="1303" spans="1:22">
      <c r="A1303" s="3">
        <v>16</v>
      </c>
      <c r="B1303" s="3">
        <v>15</v>
      </c>
      <c r="C1303" s="3">
        <v>58</v>
      </c>
      <c r="D1303" s="3">
        <v>43</v>
      </c>
      <c r="E1303" s="3">
        <f>((1/(INDEX(E0!J$4:J$73,C1303,1)-INDEX(E0!J$4:J$73,D1303,1))))*100000000</f>
        <v>0</v>
      </c>
      <c r="F1303" s="4" t="str">
        <f>HYPERLINK("http://141.218.60.56/~jnz1568/getInfo.php?workbook=16_15.xlsx&amp;sheet=A0&amp;row=1303&amp;col=6&amp;number=2.2595&amp;sourceID=54","2.2595")</f>
        <v>2.2595</v>
      </c>
      <c r="G1303" s="4" t="str">
        <f>HYPERLINK("http://141.218.60.56/~jnz1568/getInfo.php?workbook=16_15.xlsx&amp;sheet=A0&amp;row=1303&amp;col=7&amp;number=&amp;sourceID=54","")</f>
        <v/>
      </c>
      <c r="H1303" s="4" t="str">
        <f>HYPERLINK("http://141.218.60.56/~jnz1568/getInfo.php?workbook=16_15.xlsx&amp;sheet=A0&amp;row=1303&amp;col=8&amp;number=&amp;sourceID=54","")</f>
        <v/>
      </c>
      <c r="I1303" s="4" t="str">
        <f>HYPERLINK("http://141.218.60.56/~jnz1568/getInfo.php?workbook=16_15.xlsx&amp;sheet=A0&amp;row=1303&amp;col=9&amp;number=31.718&amp;sourceID=54","31.718")</f>
        <v>31.718</v>
      </c>
      <c r="J1303" s="4" t="str">
        <f>HYPERLINK("http://141.218.60.56/~jnz1568/getInfo.php?workbook=16_15.xlsx&amp;sheet=A0&amp;row=1303&amp;col=10&amp;number=&amp;sourceID=54","")</f>
        <v/>
      </c>
      <c r="K1303" s="4" t="str">
        <f>HYPERLINK("http://141.218.60.56/~jnz1568/getInfo.php?workbook=16_15.xlsx&amp;sheet=A0&amp;row=1303&amp;col=11&amp;number=&amp;sourceID=54","")</f>
        <v/>
      </c>
      <c r="L1303" s="4" t="str">
        <f>HYPERLINK("http://141.218.60.56/~jnz1568/getInfo.php?workbook=16_15.xlsx&amp;sheet=A0&amp;row=1303&amp;col=12&amp;number=140.794862037&amp;sourceID=53","140.794862037")</f>
        <v>140.794862037</v>
      </c>
      <c r="M1303" s="4" t="str">
        <f>HYPERLINK("http://141.218.60.56/~jnz1568/getInfo.php?workbook=16_15.xlsx&amp;sheet=A0&amp;row=1303&amp;col=13&amp;number=&amp;sourceID=53","")</f>
        <v/>
      </c>
      <c r="N1303" s="4" t="str">
        <f>HYPERLINK("http://141.218.60.56/~jnz1568/getInfo.php?workbook=16_15.xlsx&amp;sheet=A0&amp;row=1303&amp;col=14&amp;number=&amp;sourceID=53","")</f>
        <v/>
      </c>
      <c r="O1303" s="4" t="str">
        <f>HYPERLINK("http://141.218.60.56/~jnz1568/getInfo.php?workbook=16_15.xlsx&amp;sheet=A0&amp;row=1303&amp;col=15&amp;number=&amp;sourceID=55","")</f>
        <v/>
      </c>
      <c r="P1303" s="4" t="str">
        <f>HYPERLINK("http://141.218.60.56/~jnz1568/getInfo.php?workbook=16_15.xlsx&amp;sheet=A0&amp;row=1303&amp;col=16&amp;number=&amp;sourceID=55","")</f>
        <v/>
      </c>
      <c r="Q1303" s="4" t="str">
        <f>HYPERLINK("http://141.218.60.56/~jnz1568/getInfo.php?workbook=16_15.xlsx&amp;sheet=A0&amp;row=1303&amp;col=17&amp;number=&amp;sourceID=56","")</f>
        <v/>
      </c>
      <c r="R1303" s="4" t="str">
        <f>HYPERLINK("http://141.218.60.56/~jnz1568/getInfo.php?workbook=16_15.xlsx&amp;sheet=A0&amp;row=1303&amp;col=18&amp;number=&amp;sourceID=56","")</f>
        <v/>
      </c>
      <c r="S1303" s="4" t="str">
        <f>HYPERLINK("http://141.218.60.56/~jnz1568/getInfo.php?workbook=16_15.xlsx&amp;sheet=A0&amp;row=1303&amp;col=19&amp;number=&amp;sourceID=57","")</f>
        <v/>
      </c>
      <c r="T1303" s="4" t="str">
        <f>HYPERLINK("http://141.218.60.56/~jnz1568/getInfo.php?workbook=16_15.xlsx&amp;sheet=A0&amp;row=1303&amp;col=20&amp;number=&amp;sourceID=57","")</f>
        <v/>
      </c>
      <c r="U1303" s="4" t="str">
        <f>HYPERLINK("http://141.218.60.56/~jnz1568/getInfo.php?workbook=16_15.xlsx&amp;sheet=A0&amp;row=1303&amp;col=21&amp;number=&amp;sourceID=47","")</f>
        <v/>
      </c>
      <c r="V1303" s="4" t="str">
        <f>HYPERLINK("http://141.218.60.56/~jnz1568/getInfo.php?workbook=16_15.xlsx&amp;sheet=A0&amp;row=1303&amp;col=22&amp;number=&amp;sourceID=47","")</f>
        <v/>
      </c>
    </row>
    <row r="1304" spans="1:22">
      <c r="A1304" s="3">
        <v>16</v>
      </c>
      <c r="B1304" s="3">
        <v>15</v>
      </c>
      <c r="C1304" s="3">
        <v>58</v>
      </c>
      <c r="D1304" s="3">
        <v>45</v>
      </c>
      <c r="E1304" s="3">
        <f>((1/(INDEX(E0!J$4:J$73,C1304,1)-INDEX(E0!J$4:J$73,D1304,1))))*100000000</f>
        <v>0</v>
      </c>
      <c r="F1304" s="4" t="str">
        <f>HYPERLINK("http://141.218.60.56/~jnz1568/getInfo.php?workbook=16_15.xlsx&amp;sheet=A0&amp;row=1304&amp;col=6&amp;number=&amp;sourceID=54","")</f>
        <v/>
      </c>
      <c r="G1304" s="4" t="str">
        <f>HYPERLINK("http://141.218.60.56/~jnz1568/getInfo.php?workbook=16_15.xlsx&amp;sheet=A0&amp;row=1304&amp;col=7&amp;number=0.0001219&amp;sourceID=54","0.0001219")</f>
        <v>0.0001219</v>
      </c>
      <c r="H1304" s="4" t="str">
        <f>HYPERLINK("http://141.218.60.56/~jnz1568/getInfo.php?workbook=16_15.xlsx&amp;sheet=A0&amp;row=1304&amp;col=8&amp;number=0.00013239&amp;sourceID=54","0.00013239")</f>
        <v>0.00013239</v>
      </c>
      <c r="I1304" s="4" t="str">
        <f>HYPERLINK("http://141.218.60.56/~jnz1568/getInfo.php?workbook=16_15.xlsx&amp;sheet=A0&amp;row=1304&amp;col=9&amp;number=&amp;sourceID=54","")</f>
        <v/>
      </c>
      <c r="J1304" s="4" t="str">
        <f>HYPERLINK("http://141.218.60.56/~jnz1568/getInfo.php?workbook=16_15.xlsx&amp;sheet=A0&amp;row=1304&amp;col=10&amp;number=3.4865e-08&amp;sourceID=54","3.4865e-08")</f>
        <v>3.4865e-08</v>
      </c>
      <c r="K1304" s="4" t="str">
        <f>HYPERLINK("http://141.218.60.56/~jnz1568/getInfo.php?workbook=16_15.xlsx&amp;sheet=A0&amp;row=1304&amp;col=11&amp;number=0.00010524&amp;sourceID=54","0.00010524")</f>
        <v>0.00010524</v>
      </c>
      <c r="L1304" s="4" t="str">
        <f>HYPERLINK("http://141.218.60.56/~jnz1568/getInfo.php?workbook=16_15.xlsx&amp;sheet=A0&amp;row=1304&amp;col=12&amp;number=&amp;sourceID=53","")</f>
        <v/>
      </c>
      <c r="M1304" s="4" t="str">
        <f>HYPERLINK("http://141.218.60.56/~jnz1568/getInfo.php?workbook=16_15.xlsx&amp;sheet=A0&amp;row=1304&amp;col=13&amp;number=&amp;sourceID=53","")</f>
        <v/>
      </c>
      <c r="N1304" s="4" t="str">
        <f>HYPERLINK("http://141.218.60.56/~jnz1568/getInfo.php?workbook=16_15.xlsx&amp;sheet=A0&amp;row=1304&amp;col=14&amp;number=&amp;sourceID=53","")</f>
        <v/>
      </c>
      <c r="O1304" s="4" t="str">
        <f>HYPERLINK("http://141.218.60.56/~jnz1568/getInfo.php?workbook=16_15.xlsx&amp;sheet=A0&amp;row=1304&amp;col=15&amp;number=&amp;sourceID=55","")</f>
        <v/>
      </c>
      <c r="P1304" s="4" t="str">
        <f>HYPERLINK("http://141.218.60.56/~jnz1568/getInfo.php?workbook=16_15.xlsx&amp;sheet=A0&amp;row=1304&amp;col=16&amp;number=&amp;sourceID=55","")</f>
        <v/>
      </c>
      <c r="Q1304" s="4" t="str">
        <f>HYPERLINK("http://141.218.60.56/~jnz1568/getInfo.php?workbook=16_15.xlsx&amp;sheet=A0&amp;row=1304&amp;col=17&amp;number=&amp;sourceID=56","")</f>
        <v/>
      </c>
      <c r="R1304" s="4" t="str">
        <f>HYPERLINK("http://141.218.60.56/~jnz1568/getInfo.php?workbook=16_15.xlsx&amp;sheet=A0&amp;row=1304&amp;col=18&amp;number=&amp;sourceID=56","")</f>
        <v/>
      </c>
      <c r="S1304" s="4" t="str">
        <f>HYPERLINK("http://141.218.60.56/~jnz1568/getInfo.php?workbook=16_15.xlsx&amp;sheet=A0&amp;row=1304&amp;col=19&amp;number=&amp;sourceID=57","")</f>
        <v/>
      </c>
      <c r="T1304" s="4" t="str">
        <f>HYPERLINK("http://141.218.60.56/~jnz1568/getInfo.php?workbook=16_15.xlsx&amp;sheet=A0&amp;row=1304&amp;col=20&amp;number=&amp;sourceID=57","")</f>
        <v/>
      </c>
      <c r="U1304" s="4" t="str">
        <f>HYPERLINK("http://141.218.60.56/~jnz1568/getInfo.php?workbook=16_15.xlsx&amp;sheet=A0&amp;row=1304&amp;col=21&amp;number=&amp;sourceID=47","")</f>
        <v/>
      </c>
      <c r="V1304" s="4" t="str">
        <f>HYPERLINK("http://141.218.60.56/~jnz1568/getInfo.php?workbook=16_15.xlsx&amp;sheet=A0&amp;row=1304&amp;col=22&amp;number=&amp;sourceID=47","")</f>
        <v/>
      </c>
    </row>
    <row r="1305" spans="1:22">
      <c r="A1305" s="3">
        <v>16</v>
      </c>
      <c r="B1305" s="3">
        <v>15</v>
      </c>
      <c r="C1305" s="3">
        <v>58</v>
      </c>
      <c r="D1305" s="3">
        <v>46</v>
      </c>
      <c r="E1305" s="3">
        <f>((1/(INDEX(E0!J$4:J$73,C1305,1)-INDEX(E0!J$4:J$73,D1305,1))))*100000000</f>
        <v>0</v>
      </c>
      <c r="F1305" s="4" t="str">
        <f>HYPERLINK("http://141.218.60.56/~jnz1568/getInfo.php?workbook=16_15.xlsx&amp;sheet=A0&amp;row=1305&amp;col=6&amp;number=&amp;sourceID=54","")</f>
        <v/>
      </c>
      <c r="G1305" s="4" t="str">
        <f>HYPERLINK("http://141.218.60.56/~jnz1568/getInfo.php?workbook=16_15.xlsx&amp;sheet=A0&amp;row=1305&amp;col=7&amp;number=0.41597&amp;sourceID=54","0.41597")</f>
        <v>0.41597</v>
      </c>
      <c r="H1305" s="4" t="str">
        <f>HYPERLINK("http://141.218.60.56/~jnz1568/getInfo.php?workbook=16_15.xlsx&amp;sheet=A0&amp;row=1305&amp;col=8&amp;number=1.5611e-05&amp;sourceID=54","1.5611e-05")</f>
        <v>1.5611e-05</v>
      </c>
      <c r="I1305" s="4" t="str">
        <f>HYPERLINK("http://141.218.60.56/~jnz1568/getInfo.php?workbook=16_15.xlsx&amp;sheet=A0&amp;row=1305&amp;col=9&amp;number=&amp;sourceID=54","")</f>
        <v/>
      </c>
      <c r="J1305" s="4" t="str">
        <f>HYPERLINK("http://141.218.60.56/~jnz1568/getInfo.php?workbook=16_15.xlsx&amp;sheet=A0&amp;row=1305&amp;col=10&amp;number=0.33041&amp;sourceID=54","0.33041")</f>
        <v>0.33041</v>
      </c>
      <c r="K1305" s="4" t="str">
        <f>HYPERLINK("http://141.218.60.56/~jnz1568/getInfo.php?workbook=16_15.xlsx&amp;sheet=A0&amp;row=1305&amp;col=11&amp;number=0.00017194&amp;sourceID=54","0.00017194")</f>
        <v>0.00017194</v>
      </c>
      <c r="L1305" s="4" t="str">
        <f>HYPERLINK("http://141.218.60.56/~jnz1568/getInfo.php?workbook=16_15.xlsx&amp;sheet=A0&amp;row=1305&amp;col=12&amp;number=&amp;sourceID=53","")</f>
        <v/>
      </c>
      <c r="M1305" s="4" t="str">
        <f>HYPERLINK("http://141.218.60.56/~jnz1568/getInfo.php?workbook=16_15.xlsx&amp;sheet=A0&amp;row=1305&amp;col=13&amp;number=&amp;sourceID=53","")</f>
        <v/>
      </c>
      <c r="N1305" s="4" t="str">
        <f>HYPERLINK("http://141.218.60.56/~jnz1568/getInfo.php?workbook=16_15.xlsx&amp;sheet=A0&amp;row=1305&amp;col=14&amp;number=&amp;sourceID=53","")</f>
        <v/>
      </c>
      <c r="O1305" s="4" t="str">
        <f>HYPERLINK("http://141.218.60.56/~jnz1568/getInfo.php?workbook=16_15.xlsx&amp;sheet=A0&amp;row=1305&amp;col=15&amp;number=&amp;sourceID=55","")</f>
        <v/>
      </c>
      <c r="P1305" s="4" t="str">
        <f>HYPERLINK("http://141.218.60.56/~jnz1568/getInfo.php?workbook=16_15.xlsx&amp;sheet=A0&amp;row=1305&amp;col=16&amp;number=&amp;sourceID=55","")</f>
        <v/>
      </c>
      <c r="Q1305" s="4" t="str">
        <f>HYPERLINK("http://141.218.60.56/~jnz1568/getInfo.php?workbook=16_15.xlsx&amp;sheet=A0&amp;row=1305&amp;col=17&amp;number=&amp;sourceID=56","")</f>
        <v/>
      </c>
      <c r="R1305" s="4" t="str">
        <f>HYPERLINK("http://141.218.60.56/~jnz1568/getInfo.php?workbook=16_15.xlsx&amp;sheet=A0&amp;row=1305&amp;col=18&amp;number=&amp;sourceID=56","")</f>
        <v/>
      </c>
      <c r="S1305" s="4" t="str">
        <f>HYPERLINK("http://141.218.60.56/~jnz1568/getInfo.php?workbook=16_15.xlsx&amp;sheet=A0&amp;row=1305&amp;col=19&amp;number=&amp;sourceID=57","")</f>
        <v/>
      </c>
      <c r="T1305" s="4" t="str">
        <f>HYPERLINK("http://141.218.60.56/~jnz1568/getInfo.php?workbook=16_15.xlsx&amp;sheet=A0&amp;row=1305&amp;col=20&amp;number=&amp;sourceID=57","")</f>
        <v/>
      </c>
      <c r="U1305" s="4" t="str">
        <f>HYPERLINK("http://141.218.60.56/~jnz1568/getInfo.php?workbook=16_15.xlsx&amp;sheet=A0&amp;row=1305&amp;col=21&amp;number=&amp;sourceID=47","")</f>
        <v/>
      </c>
      <c r="V1305" s="4" t="str">
        <f>HYPERLINK("http://141.218.60.56/~jnz1568/getInfo.php?workbook=16_15.xlsx&amp;sheet=A0&amp;row=1305&amp;col=22&amp;number=&amp;sourceID=47","")</f>
        <v/>
      </c>
    </row>
    <row r="1306" spans="1:22">
      <c r="A1306" s="3">
        <v>16</v>
      </c>
      <c r="B1306" s="3">
        <v>15</v>
      </c>
      <c r="C1306" s="3">
        <v>58</v>
      </c>
      <c r="D1306" s="3">
        <v>47</v>
      </c>
      <c r="E1306" s="3">
        <f>((1/(INDEX(E0!J$4:J$73,C1306,1)-INDEX(E0!J$4:J$73,D1306,1))))*100000000</f>
        <v>0</v>
      </c>
      <c r="F1306" s="4" t="str">
        <f>HYPERLINK("http://141.218.60.56/~jnz1568/getInfo.php?workbook=16_15.xlsx&amp;sheet=A0&amp;row=1306&amp;col=6&amp;number=&amp;sourceID=54","")</f>
        <v/>
      </c>
      <c r="G1306" s="4" t="str">
        <f>HYPERLINK("http://141.218.60.56/~jnz1568/getInfo.php?workbook=16_15.xlsx&amp;sheet=A0&amp;row=1306&amp;col=7&amp;number=0.012624&amp;sourceID=54","0.012624")</f>
        <v>0.012624</v>
      </c>
      <c r="H1306" s="4" t="str">
        <f>HYPERLINK("http://141.218.60.56/~jnz1568/getInfo.php?workbook=16_15.xlsx&amp;sheet=A0&amp;row=1306&amp;col=8&amp;number=&amp;sourceID=54","")</f>
        <v/>
      </c>
      <c r="I1306" s="4" t="str">
        <f>HYPERLINK("http://141.218.60.56/~jnz1568/getInfo.php?workbook=16_15.xlsx&amp;sheet=A0&amp;row=1306&amp;col=9&amp;number=&amp;sourceID=54","")</f>
        <v/>
      </c>
      <c r="J1306" s="4" t="str">
        <f>HYPERLINK("http://141.218.60.56/~jnz1568/getInfo.php?workbook=16_15.xlsx&amp;sheet=A0&amp;row=1306&amp;col=10&amp;number=0.009648&amp;sourceID=54","0.009648")</f>
        <v>0.009648</v>
      </c>
      <c r="K1306" s="4" t="str">
        <f>HYPERLINK("http://141.218.60.56/~jnz1568/getInfo.php?workbook=16_15.xlsx&amp;sheet=A0&amp;row=1306&amp;col=11&amp;number=&amp;sourceID=54","")</f>
        <v/>
      </c>
      <c r="L1306" s="4" t="str">
        <f>HYPERLINK("http://141.218.60.56/~jnz1568/getInfo.php?workbook=16_15.xlsx&amp;sheet=A0&amp;row=1306&amp;col=12&amp;number=&amp;sourceID=53","")</f>
        <v/>
      </c>
      <c r="M1306" s="4" t="str">
        <f>HYPERLINK("http://141.218.60.56/~jnz1568/getInfo.php?workbook=16_15.xlsx&amp;sheet=A0&amp;row=1306&amp;col=13&amp;number=&amp;sourceID=53","")</f>
        <v/>
      </c>
      <c r="N1306" s="4" t="str">
        <f>HYPERLINK("http://141.218.60.56/~jnz1568/getInfo.php?workbook=16_15.xlsx&amp;sheet=A0&amp;row=1306&amp;col=14&amp;number=&amp;sourceID=53","")</f>
        <v/>
      </c>
      <c r="O1306" s="4" t="str">
        <f>HYPERLINK("http://141.218.60.56/~jnz1568/getInfo.php?workbook=16_15.xlsx&amp;sheet=A0&amp;row=1306&amp;col=15&amp;number=&amp;sourceID=55","")</f>
        <v/>
      </c>
      <c r="P1306" s="4" t="str">
        <f>HYPERLINK("http://141.218.60.56/~jnz1568/getInfo.php?workbook=16_15.xlsx&amp;sheet=A0&amp;row=1306&amp;col=16&amp;number=&amp;sourceID=55","")</f>
        <v/>
      </c>
      <c r="Q1306" s="4" t="str">
        <f>HYPERLINK("http://141.218.60.56/~jnz1568/getInfo.php?workbook=16_15.xlsx&amp;sheet=A0&amp;row=1306&amp;col=17&amp;number=&amp;sourceID=56","")</f>
        <v/>
      </c>
      <c r="R1306" s="4" t="str">
        <f>HYPERLINK("http://141.218.60.56/~jnz1568/getInfo.php?workbook=16_15.xlsx&amp;sheet=A0&amp;row=1306&amp;col=18&amp;number=&amp;sourceID=56","")</f>
        <v/>
      </c>
      <c r="S1306" s="4" t="str">
        <f>HYPERLINK("http://141.218.60.56/~jnz1568/getInfo.php?workbook=16_15.xlsx&amp;sheet=A0&amp;row=1306&amp;col=19&amp;number=&amp;sourceID=57","")</f>
        <v/>
      </c>
      <c r="T1306" s="4" t="str">
        <f>HYPERLINK("http://141.218.60.56/~jnz1568/getInfo.php?workbook=16_15.xlsx&amp;sheet=A0&amp;row=1306&amp;col=20&amp;number=&amp;sourceID=57","")</f>
        <v/>
      </c>
      <c r="U1306" s="4" t="str">
        <f>HYPERLINK("http://141.218.60.56/~jnz1568/getInfo.php?workbook=16_15.xlsx&amp;sheet=A0&amp;row=1306&amp;col=21&amp;number=&amp;sourceID=47","")</f>
        <v/>
      </c>
      <c r="V1306" s="4" t="str">
        <f>HYPERLINK("http://141.218.60.56/~jnz1568/getInfo.php?workbook=16_15.xlsx&amp;sheet=A0&amp;row=1306&amp;col=22&amp;number=&amp;sourceID=47","")</f>
        <v/>
      </c>
    </row>
    <row r="1307" spans="1:22">
      <c r="A1307" s="3">
        <v>16</v>
      </c>
      <c r="B1307" s="3">
        <v>15</v>
      </c>
      <c r="C1307" s="3">
        <v>58</v>
      </c>
      <c r="D1307" s="3">
        <v>48</v>
      </c>
      <c r="E1307" s="3">
        <f>((1/(INDEX(E0!J$4:J$73,C1307,1)-INDEX(E0!J$4:J$73,D1307,1))))*100000000</f>
        <v>0</v>
      </c>
      <c r="F1307" s="4" t="str">
        <f>HYPERLINK("http://141.218.60.56/~jnz1568/getInfo.php?workbook=16_15.xlsx&amp;sheet=A0&amp;row=1307&amp;col=6&amp;number=5127.1&amp;sourceID=54","5127.1")</f>
        <v>5127.1</v>
      </c>
      <c r="G1307" s="4" t="str">
        <f>HYPERLINK("http://141.218.60.56/~jnz1568/getInfo.php?workbook=16_15.xlsx&amp;sheet=A0&amp;row=1307&amp;col=7&amp;number=&amp;sourceID=54","")</f>
        <v/>
      </c>
      <c r="H1307" s="4" t="str">
        <f>HYPERLINK("http://141.218.60.56/~jnz1568/getInfo.php?workbook=16_15.xlsx&amp;sheet=A0&amp;row=1307&amp;col=8&amp;number=&amp;sourceID=54","")</f>
        <v/>
      </c>
      <c r="I1307" s="4" t="str">
        <f>HYPERLINK("http://141.218.60.56/~jnz1568/getInfo.php?workbook=16_15.xlsx&amp;sheet=A0&amp;row=1307&amp;col=9&amp;number=5964.6&amp;sourceID=54","5964.6")</f>
        <v>5964.6</v>
      </c>
      <c r="J1307" s="4" t="str">
        <f>HYPERLINK("http://141.218.60.56/~jnz1568/getInfo.php?workbook=16_15.xlsx&amp;sheet=A0&amp;row=1307&amp;col=10&amp;number=&amp;sourceID=54","")</f>
        <v/>
      </c>
      <c r="K1307" s="4" t="str">
        <f>HYPERLINK("http://141.218.60.56/~jnz1568/getInfo.php?workbook=16_15.xlsx&amp;sheet=A0&amp;row=1307&amp;col=11&amp;number=&amp;sourceID=54","")</f>
        <v/>
      </c>
      <c r="L1307" s="4" t="str">
        <f>HYPERLINK("http://141.218.60.56/~jnz1568/getInfo.php?workbook=16_15.xlsx&amp;sheet=A0&amp;row=1307&amp;col=12&amp;number=3496.78283571&amp;sourceID=53","3496.78283571")</f>
        <v>3496.78283571</v>
      </c>
      <c r="M1307" s="4" t="str">
        <f>HYPERLINK("http://141.218.60.56/~jnz1568/getInfo.php?workbook=16_15.xlsx&amp;sheet=A0&amp;row=1307&amp;col=13&amp;number=&amp;sourceID=53","")</f>
        <v/>
      </c>
      <c r="N1307" s="4" t="str">
        <f>HYPERLINK("http://141.218.60.56/~jnz1568/getInfo.php?workbook=16_15.xlsx&amp;sheet=A0&amp;row=1307&amp;col=14&amp;number=&amp;sourceID=53","")</f>
        <v/>
      </c>
      <c r="O1307" s="4" t="str">
        <f>HYPERLINK("http://141.218.60.56/~jnz1568/getInfo.php?workbook=16_15.xlsx&amp;sheet=A0&amp;row=1307&amp;col=15&amp;number=&amp;sourceID=55","")</f>
        <v/>
      </c>
      <c r="P1307" s="4" t="str">
        <f>HYPERLINK("http://141.218.60.56/~jnz1568/getInfo.php?workbook=16_15.xlsx&amp;sheet=A0&amp;row=1307&amp;col=16&amp;number=&amp;sourceID=55","")</f>
        <v/>
      </c>
      <c r="Q1307" s="4" t="str">
        <f>HYPERLINK("http://141.218.60.56/~jnz1568/getInfo.php?workbook=16_15.xlsx&amp;sheet=A0&amp;row=1307&amp;col=17&amp;number=&amp;sourceID=56","")</f>
        <v/>
      </c>
      <c r="R1307" s="4" t="str">
        <f>HYPERLINK("http://141.218.60.56/~jnz1568/getInfo.php?workbook=16_15.xlsx&amp;sheet=A0&amp;row=1307&amp;col=18&amp;number=&amp;sourceID=56","")</f>
        <v/>
      </c>
      <c r="S1307" s="4" t="str">
        <f>HYPERLINK("http://141.218.60.56/~jnz1568/getInfo.php?workbook=16_15.xlsx&amp;sheet=A0&amp;row=1307&amp;col=19&amp;number=&amp;sourceID=57","")</f>
        <v/>
      </c>
      <c r="T1307" s="4" t="str">
        <f>HYPERLINK("http://141.218.60.56/~jnz1568/getInfo.php?workbook=16_15.xlsx&amp;sheet=A0&amp;row=1307&amp;col=20&amp;number=&amp;sourceID=57","")</f>
        <v/>
      </c>
      <c r="U1307" s="4" t="str">
        <f>HYPERLINK("http://141.218.60.56/~jnz1568/getInfo.php?workbook=16_15.xlsx&amp;sheet=A0&amp;row=1307&amp;col=21&amp;number=&amp;sourceID=47","")</f>
        <v/>
      </c>
      <c r="V1307" s="4" t="str">
        <f>HYPERLINK("http://141.218.60.56/~jnz1568/getInfo.php?workbook=16_15.xlsx&amp;sheet=A0&amp;row=1307&amp;col=22&amp;number=&amp;sourceID=47","")</f>
        <v/>
      </c>
    </row>
    <row r="1308" spans="1:22">
      <c r="A1308" s="3">
        <v>16</v>
      </c>
      <c r="B1308" s="3">
        <v>15</v>
      </c>
      <c r="C1308" s="3">
        <v>58</v>
      </c>
      <c r="D1308" s="3">
        <v>49</v>
      </c>
      <c r="E1308" s="3">
        <f>((1/(INDEX(E0!J$4:J$73,C1308,1)-INDEX(E0!J$4:J$73,D1308,1))))*100000000</f>
        <v>0</v>
      </c>
      <c r="F1308" s="4" t="str">
        <f>HYPERLINK("http://141.218.60.56/~jnz1568/getInfo.php?workbook=16_15.xlsx&amp;sheet=A0&amp;row=1308&amp;col=6&amp;number=&amp;sourceID=54","")</f>
        <v/>
      </c>
      <c r="G1308" s="4" t="str">
        <f>HYPERLINK("http://141.218.60.56/~jnz1568/getInfo.php?workbook=16_15.xlsx&amp;sheet=A0&amp;row=1308&amp;col=7&amp;number=0.021272&amp;sourceID=54","0.021272")</f>
        <v>0.021272</v>
      </c>
      <c r="H1308" s="4" t="str">
        <f>HYPERLINK("http://141.218.60.56/~jnz1568/getInfo.php?workbook=16_15.xlsx&amp;sheet=A0&amp;row=1308&amp;col=8&amp;number=0.0059059&amp;sourceID=54","0.0059059")</f>
        <v>0.0059059</v>
      </c>
      <c r="I1308" s="4" t="str">
        <f>HYPERLINK("http://141.218.60.56/~jnz1568/getInfo.php?workbook=16_15.xlsx&amp;sheet=A0&amp;row=1308&amp;col=9&amp;number=&amp;sourceID=54","")</f>
        <v/>
      </c>
      <c r="J1308" s="4" t="str">
        <f>HYPERLINK("http://141.218.60.56/~jnz1568/getInfo.php?workbook=16_15.xlsx&amp;sheet=A0&amp;row=1308&amp;col=10&amp;number=0.016493&amp;sourceID=54","0.016493")</f>
        <v>0.016493</v>
      </c>
      <c r="K1308" s="4" t="str">
        <f>HYPERLINK("http://141.218.60.56/~jnz1568/getInfo.php?workbook=16_15.xlsx&amp;sheet=A0&amp;row=1308&amp;col=11&amp;number=0.0049708&amp;sourceID=54","0.0049708")</f>
        <v>0.0049708</v>
      </c>
      <c r="L1308" s="4" t="str">
        <f>HYPERLINK("http://141.218.60.56/~jnz1568/getInfo.php?workbook=16_15.xlsx&amp;sheet=A0&amp;row=1308&amp;col=12&amp;number=&amp;sourceID=53","")</f>
        <v/>
      </c>
      <c r="M1308" s="4" t="str">
        <f>HYPERLINK("http://141.218.60.56/~jnz1568/getInfo.php?workbook=16_15.xlsx&amp;sheet=A0&amp;row=1308&amp;col=13&amp;number=&amp;sourceID=53","")</f>
        <v/>
      </c>
      <c r="N1308" s="4" t="str">
        <f>HYPERLINK("http://141.218.60.56/~jnz1568/getInfo.php?workbook=16_15.xlsx&amp;sheet=A0&amp;row=1308&amp;col=14&amp;number=&amp;sourceID=53","")</f>
        <v/>
      </c>
      <c r="O1308" s="4" t="str">
        <f>HYPERLINK("http://141.218.60.56/~jnz1568/getInfo.php?workbook=16_15.xlsx&amp;sheet=A0&amp;row=1308&amp;col=15&amp;number=&amp;sourceID=55","")</f>
        <v/>
      </c>
      <c r="P1308" s="4" t="str">
        <f>HYPERLINK("http://141.218.60.56/~jnz1568/getInfo.php?workbook=16_15.xlsx&amp;sheet=A0&amp;row=1308&amp;col=16&amp;number=&amp;sourceID=55","")</f>
        <v/>
      </c>
      <c r="Q1308" s="4" t="str">
        <f>HYPERLINK("http://141.218.60.56/~jnz1568/getInfo.php?workbook=16_15.xlsx&amp;sheet=A0&amp;row=1308&amp;col=17&amp;number=&amp;sourceID=56","")</f>
        <v/>
      </c>
      <c r="R1308" s="4" t="str">
        <f>HYPERLINK("http://141.218.60.56/~jnz1568/getInfo.php?workbook=16_15.xlsx&amp;sheet=A0&amp;row=1308&amp;col=18&amp;number=&amp;sourceID=56","")</f>
        <v/>
      </c>
      <c r="S1308" s="4" t="str">
        <f>HYPERLINK("http://141.218.60.56/~jnz1568/getInfo.php?workbook=16_15.xlsx&amp;sheet=A0&amp;row=1308&amp;col=19&amp;number=&amp;sourceID=57","")</f>
        <v/>
      </c>
      <c r="T1308" s="4" t="str">
        <f>HYPERLINK("http://141.218.60.56/~jnz1568/getInfo.php?workbook=16_15.xlsx&amp;sheet=A0&amp;row=1308&amp;col=20&amp;number=&amp;sourceID=57","")</f>
        <v/>
      </c>
      <c r="U1308" s="4" t="str">
        <f>HYPERLINK("http://141.218.60.56/~jnz1568/getInfo.php?workbook=16_15.xlsx&amp;sheet=A0&amp;row=1308&amp;col=21&amp;number=&amp;sourceID=47","")</f>
        <v/>
      </c>
      <c r="V1308" s="4" t="str">
        <f>HYPERLINK("http://141.218.60.56/~jnz1568/getInfo.php?workbook=16_15.xlsx&amp;sheet=A0&amp;row=1308&amp;col=22&amp;number=&amp;sourceID=47","")</f>
        <v/>
      </c>
    </row>
    <row r="1309" spans="1:22">
      <c r="A1309" s="3">
        <v>16</v>
      </c>
      <c r="B1309" s="3">
        <v>15</v>
      </c>
      <c r="C1309" s="3">
        <v>58</v>
      </c>
      <c r="D1309" s="3">
        <v>50</v>
      </c>
      <c r="E1309" s="3">
        <f>((1/(INDEX(E0!J$4:J$73,C1309,1)-INDEX(E0!J$4:J$73,D1309,1))))*100000000</f>
        <v>0</v>
      </c>
      <c r="F1309" s="4" t="str">
        <f>HYPERLINK("http://141.218.60.56/~jnz1568/getInfo.php?workbook=16_15.xlsx&amp;sheet=A0&amp;row=1309&amp;col=6&amp;number=68058&amp;sourceID=54","68058")</f>
        <v>68058</v>
      </c>
      <c r="G1309" s="4" t="str">
        <f>HYPERLINK("http://141.218.60.56/~jnz1568/getInfo.php?workbook=16_15.xlsx&amp;sheet=A0&amp;row=1309&amp;col=7&amp;number=&amp;sourceID=54","")</f>
        <v/>
      </c>
      <c r="H1309" s="4" t="str">
        <f>HYPERLINK("http://141.218.60.56/~jnz1568/getInfo.php?workbook=16_15.xlsx&amp;sheet=A0&amp;row=1309&amp;col=8&amp;number=&amp;sourceID=54","")</f>
        <v/>
      </c>
      <c r="I1309" s="4" t="str">
        <f>HYPERLINK("http://141.218.60.56/~jnz1568/getInfo.php?workbook=16_15.xlsx&amp;sheet=A0&amp;row=1309&amp;col=9&amp;number=80846&amp;sourceID=54","80846")</f>
        <v>80846</v>
      </c>
      <c r="J1309" s="4" t="str">
        <f>HYPERLINK("http://141.218.60.56/~jnz1568/getInfo.php?workbook=16_15.xlsx&amp;sheet=A0&amp;row=1309&amp;col=10&amp;number=&amp;sourceID=54","")</f>
        <v/>
      </c>
      <c r="K1309" s="4" t="str">
        <f>HYPERLINK("http://141.218.60.56/~jnz1568/getInfo.php?workbook=16_15.xlsx&amp;sheet=A0&amp;row=1309&amp;col=11&amp;number=&amp;sourceID=54","")</f>
        <v/>
      </c>
      <c r="L1309" s="4" t="str">
        <f>HYPERLINK("http://141.218.60.56/~jnz1568/getInfo.php?workbook=16_15.xlsx&amp;sheet=A0&amp;row=1309&amp;col=12&amp;number=79112.4292923&amp;sourceID=53","79112.4292923")</f>
        <v>79112.4292923</v>
      </c>
      <c r="M1309" s="4" t="str">
        <f>HYPERLINK("http://141.218.60.56/~jnz1568/getInfo.php?workbook=16_15.xlsx&amp;sheet=A0&amp;row=1309&amp;col=13&amp;number=&amp;sourceID=53","")</f>
        <v/>
      </c>
      <c r="N1309" s="4" t="str">
        <f>HYPERLINK("http://141.218.60.56/~jnz1568/getInfo.php?workbook=16_15.xlsx&amp;sheet=A0&amp;row=1309&amp;col=14&amp;number=&amp;sourceID=53","")</f>
        <v/>
      </c>
      <c r="O1309" s="4" t="str">
        <f>HYPERLINK("http://141.218.60.56/~jnz1568/getInfo.php?workbook=16_15.xlsx&amp;sheet=A0&amp;row=1309&amp;col=15&amp;number=&amp;sourceID=55","")</f>
        <v/>
      </c>
      <c r="P1309" s="4" t="str">
        <f>HYPERLINK("http://141.218.60.56/~jnz1568/getInfo.php?workbook=16_15.xlsx&amp;sheet=A0&amp;row=1309&amp;col=16&amp;number=&amp;sourceID=55","")</f>
        <v/>
      </c>
      <c r="Q1309" s="4" t="str">
        <f>HYPERLINK("http://141.218.60.56/~jnz1568/getInfo.php?workbook=16_15.xlsx&amp;sheet=A0&amp;row=1309&amp;col=17&amp;number=&amp;sourceID=56","")</f>
        <v/>
      </c>
      <c r="R1309" s="4" t="str">
        <f>HYPERLINK("http://141.218.60.56/~jnz1568/getInfo.php?workbook=16_15.xlsx&amp;sheet=A0&amp;row=1309&amp;col=18&amp;number=&amp;sourceID=56","")</f>
        <v/>
      </c>
      <c r="S1309" s="4" t="str">
        <f>HYPERLINK("http://141.218.60.56/~jnz1568/getInfo.php?workbook=16_15.xlsx&amp;sheet=A0&amp;row=1309&amp;col=19&amp;number=&amp;sourceID=57","")</f>
        <v/>
      </c>
      <c r="T1309" s="4" t="str">
        <f>HYPERLINK("http://141.218.60.56/~jnz1568/getInfo.php?workbook=16_15.xlsx&amp;sheet=A0&amp;row=1309&amp;col=20&amp;number=&amp;sourceID=57","")</f>
        <v/>
      </c>
      <c r="U1309" s="4" t="str">
        <f>HYPERLINK("http://141.218.60.56/~jnz1568/getInfo.php?workbook=16_15.xlsx&amp;sheet=A0&amp;row=1309&amp;col=21&amp;number=&amp;sourceID=47","")</f>
        <v/>
      </c>
      <c r="V1309" s="4" t="str">
        <f>HYPERLINK("http://141.218.60.56/~jnz1568/getInfo.php?workbook=16_15.xlsx&amp;sheet=A0&amp;row=1309&amp;col=22&amp;number=&amp;sourceID=47","")</f>
        <v/>
      </c>
    </row>
    <row r="1310" spans="1:22">
      <c r="A1310" s="3">
        <v>16</v>
      </c>
      <c r="B1310" s="3">
        <v>15</v>
      </c>
      <c r="C1310" s="3">
        <v>58</v>
      </c>
      <c r="D1310" s="3">
        <v>52</v>
      </c>
      <c r="E1310" s="3">
        <f>((1/(INDEX(E0!J$4:J$73,C1310,1)-INDEX(E0!J$4:J$73,D1310,1))))*100000000</f>
        <v>0</v>
      </c>
      <c r="F1310" s="4" t="str">
        <f>HYPERLINK("http://141.218.60.56/~jnz1568/getInfo.php?workbook=16_15.xlsx&amp;sheet=A0&amp;row=1310&amp;col=6&amp;number=377.8&amp;sourceID=54","377.8")</f>
        <v>377.8</v>
      </c>
      <c r="G1310" s="4" t="str">
        <f>HYPERLINK("http://141.218.60.56/~jnz1568/getInfo.php?workbook=16_15.xlsx&amp;sheet=A0&amp;row=1310&amp;col=7&amp;number=&amp;sourceID=54","")</f>
        <v/>
      </c>
      <c r="H1310" s="4" t="str">
        <f>HYPERLINK("http://141.218.60.56/~jnz1568/getInfo.php?workbook=16_15.xlsx&amp;sheet=A0&amp;row=1310&amp;col=8&amp;number=&amp;sourceID=54","")</f>
        <v/>
      </c>
      <c r="I1310" s="4" t="str">
        <f>HYPERLINK("http://141.218.60.56/~jnz1568/getInfo.php?workbook=16_15.xlsx&amp;sheet=A0&amp;row=1310&amp;col=9&amp;number=6319.9&amp;sourceID=54","6319.9")</f>
        <v>6319.9</v>
      </c>
      <c r="J1310" s="4" t="str">
        <f>HYPERLINK("http://141.218.60.56/~jnz1568/getInfo.php?workbook=16_15.xlsx&amp;sheet=A0&amp;row=1310&amp;col=10&amp;number=&amp;sourceID=54","")</f>
        <v/>
      </c>
      <c r="K1310" s="4" t="str">
        <f>HYPERLINK("http://141.218.60.56/~jnz1568/getInfo.php?workbook=16_15.xlsx&amp;sheet=A0&amp;row=1310&amp;col=11&amp;number=&amp;sourceID=54","")</f>
        <v/>
      </c>
      <c r="L1310" s="4" t="str">
        <f>HYPERLINK("http://141.218.60.56/~jnz1568/getInfo.php?workbook=16_15.xlsx&amp;sheet=A0&amp;row=1310&amp;col=12&amp;number=4421.0223859&amp;sourceID=53","4421.0223859")</f>
        <v>4421.0223859</v>
      </c>
      <c r="M1310" s="4" t="str">
        <f>HYPERLINK("http://141.218.60.56/~jnz1568/getInfo.php?workbook=16_15.xlsx&amp;sheet=A0&amp;row=1310&amp;col=13&amp;number=&amp;sourceID=53","")</f>
        <v/>
      </c>
      <c r="N1310" s="4" t="str">
        <f>HYPERLINK("http://141.218.60.56/~jnz1568/getInfo.php?workbook=16_15.xlsx&amp;sheet=A0&amp;row=1310&amp;col=14&amp;number=&amp;sourceID=53","")</f>
        <v/>
      </c>
      <c r="O1310" s="4" t="str">
        <f>HYPERLINK("http://141.218.60.56/~jnz1568/getInfo.php?workbook=16_15.xlsx&amp;sheet=A0&amp;row=1310&amp;col=15&amp;number=&amp;sourceID=55","")</f>
        <v/>
      </c>
      <c r="P1310" s="4" t="str">
        <f>HYPERLINK("http://141.218.60.56/~jnz1568/getInfo.php?workbook=16_15.xlsx&amp;sheet=A0&amp;row=1310&amp;col=16&amp;number=&amp;sourceID=55","")</f>
        <v/>
      </c>
      <c r="Q1310" s="4" t="str">
        <f>HYPERLINK("http://141.218.60.56/~jnz1568/getInfo.php?workbook=16_15.xlsx&amp;sheet=A0&amp;row=1310&amp;col=17&amp;number=&amp;sourceID=56","")</f>
        <v/>
      </c>
      <c r="R1310" s="4" t="str">
        <f>HYPERLINK("http://141.218.60.56/~jnz1568/getInfo.php?workbook=16_15.xlsx&amp;sheet=A0&amp;row=1310&amp;col=18&amp;number=&amp;sourceID=56","")</f>
        <v/>
      </c>
      <c r="S1310" s="4" t="str">
        <f>HYPERLINK("http://141.218.60.56/~jnz1568/getInfo.php?workbook=16_15.xlsx&amp;sheet=A0&amp;row=1310&amp;col=19&amp;number=&amp;sourceID=57","")</f>
        <v/>
      </c>
      <c r="T1310" s="4" t="str">
        <f>HYPERLINK("http://141.218.60.56/~jnz1568/getInfo.php?workbook=16_15.xlsx&amp;sheet=A0&amp;row=1310&amp;col=20&amp;number=&amp;sourceID=57","")</f>
        <v/>
      </c>
      <c r="U1310" s="4" t="str">
        <f>HYPERLINK("http://141.218.60.56/~jnz1568/getInfo.php?workbook=16_15.xlsx&amp;sheet=A0&amp;row=1310&amp;col=21&amp;number=&amp;sourceID=47","")</f>
        <v/>
      </c>
      <c r="V1310" s="4" t="str">
        <f>HYPERLINK("http://141.218.60.56/~jnz1568/getInfo.php?workbook=16_15.xlsx&amp;sheet=A0&amp;row=1310&amp;col=22&amp;number=&amp;sourceID=47","")</f>
        <v/>
      </c>
    </row>
    <row r="1311" spans="1:22">
      <c r="A1311" s="3">
        <v>16</v>
      </c>
      <c r="B1311" s="3">
        <v>15</v>
      </c>
      <c r="C1311" s="3">
        <v>58</v>
      </c>
      <c r="D1311" s="3">
        <v>53</v>
      </c>
      <c r="E1311" s="3">
        <f>((1/(INDEX(E0!J$4:J$73,C1311,1)-INDEX(E0!J$4:J$73,D1311,1))))*100000000</f>
        <v>0</v>
      </c>
      <c r="F1311" s="4" t="str">
        <f>HYPERLINK("http://141.218.60.56/~jnz1568/getInfo.php?workbook=16_15.xlsx&amp;sheet=A0&amp;row=1311&amp;col=6&amp;number=4792.5&amp;sourceID=54","4792.5")</f>
        <v>4792.5</v>
      </c>
      <c r="G1311" s="4" t="str">
        <f>HYPERLINK("http://141.218.60.56/~jnz1568/getInfo.php?workbook=16_15.xlsx&amp;sheet=A0&amp;row=1311&amp;col=7&amp;number=&amp;sourceID=54","")</f>
        <v/>
      </c>
      <c r="H1311" s="4" t="str">
        <f>HYPERLINK("http://141.218.60.56/~jnz1568/getInfo.php?workbook=16_15.xlsx&amp;sheet=A0&amp;row=1311&amp;col=8&amp;number=&amp;sourceID=54","")</f>
        <v/>
      </c>
      <c r="I1311" s="4" t="str">
        <f>HYPERLINK("http://141.218.60.56/~jnz1568/getInfo.php?workbook=16_15.xlsx&amp;sheet=A0&amp;row=1311&amp;col=9&amp;number=81092&amp;sourceID=54","81092")</f>
        <v>81092</v>
      </c>
      <c r="J1311" s="4" t="str">
        <f>HYPERLINK("http://141.218.60.56/~jnz1568/getInfo.php?workbook=16_15.xlsx&amp;sheet=A0&amp;row=1311&amp;col=10&amp;number=&amp;sourceID=54","")</f>
        <v/>
      </c>
      <c r="K1311" s="4" t="str">
        <f>HYPERLINK("http://141.218.60.56/~jnz1568/getInfo.php?workbook=16_15.xlsx&amp;sheet=A0&amp;row=1311&amp;col=11&amp;number=&amp;sourceID=54","")</f>
        <v/>
      </c>
      <c r="L1311" s="4" t="str">
        <f>HYPERLINK("http://141.218.60.56/~jnz1568/getInfo.php?workbook=16_15.xlsx&amp;sheet=A0&amp;row=1311&amp;col=12&amp;number=67606.1076597&amp;sourceID=53","67606.1076597")</f>
        <v>67606.1076597</v>
      </c>
      <c r="M1311" s="4" t="str">
        <f>HYPERLINK("http://141.218.60.56/~jnz1568/getInfo.php?workbook=16_15.xlsx&amp;sheet=A0&amp;row=1311&amp;col=13&amp;number=&amp;sourceID=53","")</f>
        <v/>
      </c>
      <c r="N1311" s="4" t="str">
        <f>HYPERLINK("http://141.218.60.56/~jnz1568/getInfo.php?workbook=16_15.xlsx&amp;sheet=A0&amp;row=1311&amp;col=14&amp;number=&amp;sourceID=53","")</f>
        <v/>
      </c>
      <c r="O1311" s="4" t="str">
        <f>HYPERLINK("http://141.218.60.56/~jnz1568/getInfo.php?workbook=16_15.xlsx&amp;sheet=A0&amp;row=1311&amp;col=15&amp;number=&amp;sourceID=55","")</f>
        <v/>
      </c>
      <c r="P1311" s="4" t="str">
        <f>HYPERLINK("http://141.218.60.56/~jnz1568/getInfo.php?workbook=16_15.xlsx&amp;sheet=A0&amp;row=1311&amp;col=16&amp;number=&amp;sourceID=55","")</f>
        <v/>
      </c>
      <c r="Q1311" s="4" t="str">
        <f>HYPERLINK("http://141.218.60.56/~jnz1568/getInfo.php?workbook=16_15.xlsx&amp;sheet=A0&amp;row=1311&amp;col=17&amp;number=&amp;sourceID=56","")</f>
        <v/>
      </c>
      <c r="R1311" s="4" t="str">
        <f>HYPERLINK("http://141.218.60.56/~jnz1568/getInfo.php?workbook=16_15.xlsx&amp;sheet=A0&amp;row=1311&amp;col=18&amp;number=&amp;sourceID=56","")</f>
        <v/>
      </c>
      <c r="S1311" s="4" t="str">
        <f>HYPERLINK("http://141.218.60.56/~jnz1568/getInfo.php?workbook=16_15.xlsx&amp;sheet=A0&amp;row=1311&amp;col=19&amp;number=&amp;sourceID=57","")</f>
        <v/>
      </c>
      <c r="T1311" s="4" t="str">
        <f>HYPERLINK("http://141.218.60.56/~jnz1568/getInfo.php?workbook=16_15.xlsx&amp;sheet=A0&amp;row=1311&amp;col=20&amp;number=&amp;sourceID=57","")</f>
        <v/>
      </c>
      <c r="U1311" s="4" t="str">
        <f>HYPERLINK("http://141.218.60.56/~jnz1568/getInfo.php?workbook=16_15.xlsx&amp;sheet=A0&amp;row=1311&amp;col=21&amp;number=&amp;sourceID=47","")</f>
        <v/>
      </c>
      <c r="V1311" s="4" t="str">
        <f>HYPERLINK("http://141.218.60.56/~jnz1568/getInfo.php?workbook=16_15.xlsx&amp;sheet=A0&amp;row=1311&amp;col=22&amp;number=&amp;sourceID=47","")</f>
        <v/>
      </c>
    </row>
    <row r="1312" spans="1:22">
      <c r="A1312" s="3">
        <v>16</v>
      </c>
      <c r="B1312" s="3">
        <v>15</v>
      </c>
      <c r="C1312" s="3">
        <v>58</v>
      </c>
      <c r="D1312" s="3">
        <v>55</v>
      </c>
      <c r="E1312" s="3">
        <f>((1/(INDEX(E0!J$4:J$73,C1312,1)-INDEX(E0!J$4:J$73,D1312,1))))*100000000</f>
        <v>0</v>
      </c>
      <c r="F1312" s="4" t="str">
        <f>HYPERLINK("http://141.218.60.56/~jnz1568/getInfo.php?workbook=16_15.xlsx&amp;sheet=A0&amp;row=1312&amp;col=6&amp;number=2.6864&amp;sourceID=54","2.6864")</f>
        <v>2.6864</v>
      </c>
      <c r="G1312" s="4" t="str">
        <f>HYPERLINK("http://141.218.60.56/~jnz1568/getInfo.php?workbook=16_15.xlsx&amp;sheet=A0&amp;row=1312&amp;col=7&amp;number=&amp;sourceID=54","")</f>
        <v/>
      </c>
      <c r="H1312" s="4" t="str">
        <f>HYPERLINK("http://141.218.60.56/~jnz1568/getInfo.php?workbook=16_15.xlsx&amp;sheet=A0&amp;row=1312&amp;col=8&amp;number=&amp;sourceID=54","")</f>
        <v/>
      </c>
      <c r="I1312" s="4" t="str">
        <f>HYPERLINK("http://141.218.60.56/~jnz1568/getInfo.php?workbook=16_15.xlsx&amp;sheet=A0&amp;row=1312&amp;col=9&amp;number=336.18&amp;sourceID=54","336.18")</f>
        <v>336.18</v>
      </c>
      <c r="J1312" s="4" t="str">
        <f>HYPERLINK("http://141.218.60.56/~jnz1568/getInfo.php?workbook=16_15.xlsx&amp;sheet=A0&amp;row=1312&amp;col=10&amp;number=&amp;sourceID=54","")</f>
        <v/>
      </c>
      <c r="K1312" s="4" t="str">
        <f>HYPERLINK("http://141.218.60.56/~jnz1568/getInfo.php?workbook=16_15.xlsx&amp;sheet=A0&amp;row=1312&amp;col=11&amp;number=&amp;sourceID=54","")</f>
        <v/>
      </c>
      <c r="L1312" s="4" t="str">
        <f>HYPERLINK("http://141.218.60.56/~jnz1568/getInfo.php?workbook=16_15.xlsx&amp;sheet=A0&amp;row=1312&amp;col=12&amp;number=1130.7874068&amp;sourceID=53","1130.7874068")</f>
        <v>1130.7874068</v>
      </c>
      <c r="M1312" s="4" t="str">
        <f>HYPERLINK("http://141.218.60.56/~jnz1568/getInfo.php?workbook=16_15.xlsx&amp;sheet=A0&amp;row=1312&amp;col=13&amp;number=&amp;sourceID=53","")</f>
        <v/>
      </c>
      <c r="N1312" s="4" t="str">
        <f>HYPERLINK("http://141.218.60.56/~jnz1568/getInfo.php?workbook=16_15.xlsx&amp;sheet=A0&amp;row=1312&amp;col=14&amp;number=&amp;sourceID=53","")</f>
        <v/>
      </c>
      <c r="O1312" s="4" t="str">
        <f>HYPERLINK("http://141.218.60.56/~jnz1568/getInfo.php?workbook=16_15.xlsx&amp;sheet=A0&amp;row=1312&amp;col=15&amp;number=&amp;sourceID=55","")</f>
        <v/>
      </c>
      <c r="P1312" s="4" t="str">
        <f>HYPERLINK("http://141.218.60.56/~jnz1568/getInfo.php?workbook=16_15.xlsx&amp;sheet=A0&amp;row=1312&amp;col=16&amp;number=&amp;sourceID=55","")</f>
        <v/>
      </c>
      <c r="Q1312" s="4" t="str">
        <f>HYPERLINK("http://141.218.60.56/~jnz1568/getInfo.php?workbook=16_15.xlsx&amp;sheet=A0&amp;row=1312&amp;col=17&amp;number=&amp;sourceID=56","")</f>
        <v/>
      </c>
      <c r="R1312" s="4" t="str">
        <f>HYPERLINK("http://141.218.60.56/~jnz1568/getInfo.php?workbook=16_15.xlsx&amp;sheet=A0&amp;row=1312&amp;col=18&amp;number=&amp;sourceID=56","")</f>
        <v/>
      </c>
      <c r="S1312" s="4" t="str">
        <f>HYPERLINK("http://141.218.60.56/~jnz1568/getInfo.php?workbook=16_15.xlsx&amp;sheet=A0&amp;row=1312&amp;col=19&amp;number=&amp;sourceID=57","")</f>
        <v/>
      </c>
      <c r="T1312" s="4" t="str">
        <f>HYPERLINK("http://141.218.60.56/~jnz1568/getInfo.php?workbook=16_15.xlsx&amp;sheet=A0&amp;row=1312&amp;col=20&amp;number=&amp;sourceID=57","")</f>
        <v/>
      </c>
      <c r="U1312" s="4" t="str">
        <f>HYPERLINK("http://141.218.60.56/~jnz1568/getInfo.php?workbook=16_15.xlsx&amp;sheet=A0&amp;row=1312&amp;col=21&amp;number=&amp;sourceID=47","")</f>
        <v/>
      </c>
      <c r="V1312" s="4" t="str">
        <f>HYPERLINK("http://141.218.60.56/~jnz1568/getInfo.php?workbook=16_15.xlsx&amp;sheet=A0&amp;row=1312&amp;col=22&amp;number=&amp;sourceID=47","")</f>
        <v/>
      </c>
    </row>
    <row r="1313" spans="1:22">
      <c r="A1313" s="3">
        <v>16</v>
      </c>
      <c r="B1313" s="3">
        <v>15</v>
      </c>
      <c r="C1313" s="3">
        <v>58</v>
      </c>
      <c r="D1313" s="3">
        <v>56</v>
      </c>
      <c r="E1313" s="3">
        <f>((1/(INDEX(E0!J$4:J$73,C1313,1)-INDEX(E0!J$4:J$73,D1313,1))))*100000000</f>
        <v>0</v>
      </c>
      <c r="F1313" s="4" t="str">
        <f>HYPERLINK("http://141.218.60.56/~jnz1568/getInfo.php?workbook=16_15.xlsx&amp;sheet=A0&amp;row=1313&amp;col=6&amp;number=&amp;sourceID=54","")</f>
        <v/>
      </c>
      <c r="G1313" s="4" t="str">
        <f>HYPERLINK("http://141.218.60.56/~jnz1568/getInfo.php?workbook=16_15.xlsx&amp;sheet=A0&amp;row=1313&amp;col=7&amp;number=1.0771e-08&amp;sourceID=54","1.0771e-08")</f>
        <v>1.0771e-08</v>
      </c>
      <c r="H1313" s="4" t="str">
        <f>HYPERLINK("http://141.218.60.56/~jnz1568/getInfo.php?workbook=16_15.xlsx&amp;sheet=A0&amp;row=1313&amp;col=8&amp;number=3.8427e-05&amp;sourceID=54","3.8427e-05")</f>
        <v>3.8427e-05</v>
      </c>
      <c r="I1313" s="4" t="str">
        <f>HYPERLINK("http://141.218.60.56/~jnz1568/getInfo.php?workbook=16_15.xlsx&amp;sheet=A0&amp;row=1313&amp;col=9&amp;number=&amp;sourceID=54","")</f>
        <v/>
      </c>
      <c r="J1313" s="4" t="str">
        <f>HYPERLINK("http://141.218.60.56/~jnz1568/getInfo.php?workbook=16_15.xlsx&amp;sheet=A0&amp;row=1313&amp;col=10&amp;number=2.0284e-08&amp;sourceID=54","2.0284e-08")</f>
        <v>2.0284e-08</v>
      </c>
      <c r="K1313" s="4" t="str">
        <f>HYPERLINK("http://141.218.60.56/~jnz1568/getInfo.php?workbook=16_15.xlsx&amp;sheet=A0&amp;row=1313&amp;col=11&amp;number=1.9618e-05&amp;sourceID=54","1.9618e-05")</f>
        <v>1.9618e-05</v>
      </c>
      <c r="L1313" s="4" t="str">
        <f>HYPERLINK("http://141.218.60.56/~jnz1568/getInfo.php?workbook=16_15.xlsx&amp;sheet=A0&amp;row=1313&amp;col=12&amp;number=&amp;sourceID=53","")</f>
        <v/>
      </c>
      <c r="M1313" s="4" t="str">
        <f>HYPERLINK("http://141.218.60.56/~jnz1568/getInfo.php?workbook=16_15.xlsx&amp;sheet=A0&amp;row=1313&amp;col=13&amp;number=&amp;sourceID=53","")</f>
        <v/>
      </c>
      <c r="N1313" s="4" t="str">
        <f>HYPERLINK("http://141.218.60.56/~jnz1568/getInfo.php?workbook=16_15.xlsx&amp;sheet=A0&amp;row=1313&amp;col=14&amp;number=&amp;sourceID=53","")</f>
        <v/>
      </c>
      <c r="O1313" s="4" t="str">
        <f>HYPERLINK("http://141.218.60.56/~jnz1568/getInfo.php?workbook=16_15.xlsx&amp;sheet=A0&amp;row=1313&amp;col=15&amp;number=&amp;sourceID=55","")</f>
        <v/>
      </c>
      <c r="P1313" s="4" t="str">
        <f>HYPERLINK("http://141.218.60.56/~jnz1568/getInfo.php?workbook=16_15.xlsx&amp;sheet=A0&amp;row=1313&amp;col=16&amp;number=&amp;sourceID=55","")</f>
        <v/>
      </c>
      <c r="Q1313" s="4" t="str">
        <f>HYPERLINK("http://141.218.60.56/~jnz1568/getInfo.php?workbook=16_15.xlsx&amp;sheet=A0&amp;row=1313&amp;col=17&amp;number=&amp;sourceID=56","")</f>
        <v/>
      </c>
      <c r="R1313" s="4" t="str">
        <f>HYPERLINK("http://141.218.60.56/~jnz1568/getInfo.php?workbook=16_15.xlsx&amp;sheet=A0&amp;row=1313&amp;col=18&amp;number=&amp;sourceID=56","")</f>
        <v/>
      </c>
      <c r="S1313" s="4" t="str">
        <f>HYPERLINK("http://141.218.60.56/~jnz1568/getInfo.php?workbook=16_15.xlsx&amp;sheet=A0&amp;row=1313&amp;col=19&amp;number=&amp;sourceID=57","")</f>
        <v/>
      </c>
      <c r="T1313" s="4" t="str">
        <f>HYPERLINK("http://141.218.60.56/~jnz1568/getInfo.php?workbook=16_15.xlsx&amp;sheet=A0&amp;row=1313&amp;col=20&amp;number=&amp;sourceID=57","")</f>
        <v/>
      </c>
      <c r="U1313" s="4" t="str">
        <f>HYPERLINK("http://141.218.60.56/~jnz1568/getInfo.php?workbook=16_15.xlsx&amp;sheet=A0&amp;row=1313&amp;col=21&amp;number=&amp;sourceID=47","")</f>
        <v/>
      </c>
      <c r="V1313" s="4" t="str">
        <f>HYPERLINK("http://141.218.60.56/~jnz1568/getInfo.php?workbook=16_15.xlsx&amp;sheet=A0&amp;row=1313&amp;col=22&amp;number=&amp;sourceID=47","")</f>
        <v/>
      </c>
    </row>
    <row r="1314" spans="1:22">
      <c r="A1314" s="3">
        <v>16</v>
      </c>
      <c r="B1314" s="3">
        <v>15</v>
      </c>
      <c r="C1314" s="3">
        <v>58</v>
      </c>
      <c r="D1314" s="3">
        <v>57</v>
      </c>
      <c r="E1314" s="3">
        <f>((1/(INDEX(E0!J$4:J$73,C1314,1)-INDEX(E0!J$4:J$73,D1314,1))))*100000000</f>
        <v>0</v>
      </c>
      <c r="F1314" s="4" t="str">
        <f>HYPERLINK("http://141.218.60.56/~jnz1568/getInfo.php?workbook=16_15.xlsx&amp;sheet=A0&amp;row=1314&amp;col=6&amp;number=&amp;sourceID=54","")</f>
        <v/>
      </c>
      <c r="G1314" s="4" t="str">
        <f>HYPERLINK("http://141.218.60.56/~jnz1568/getInfo.php?workbook=16_15.xlsx&amp;sheet=A0&amp;row=1314&amp;col=7&amp;number=1.2501e-07&amp;sourceID=54","1.2501e-07")</f>
        <v>1.2501e-07</v>
      </c>
      <c r="H1314" s="4" t="str">
        <f>HYPERLINK("http://141.218.60.56/~jnz1568/getInfo.php?workbook=16_15.xlsx&amp;sheet=A0&amp;row=1314&amp;col=8&amp;number=1.2361e-05&amp;sourceID=54","1.2361e-05")</f>
        <v>1.2361e-05</v>
      </c>
      <c r="I1314" s="4" t="str">
        <f>HYPERLINK("http://141.218.60.56/~jnz1568/getInfo.php?workbook=16_15.xlsx&amp;sheet=A0&amp;row=1314&amp;col=9&amp;number=&amp;sourceID=54","")</f>
        <v/>
      </c>
      <c r="J1314" s="4" t="str">
        <f>HYPERLINK("http://141.218.60.56/~jnz1568/getInfo.php?workbook=16_15.xlsx&amp;sheet=A0&amp;row=1314&amp;col=10&amp;number=1.6141e-07&amp;sourceID=54","1.6141e-07")</f>
        <v>1.6141e-07</v>
      </c>
      <c r="K1314" s="4" t="str">
        <f>HYPERLINK("http://141.218.60.56/~jnz1568/getInfo.php?workbook=16_15.xlsx&amp;sheet=A0&amp;row=1314&amp;col=11&amp;number=1.3307e-05&amp;sourceID=54","1.3307e-05")</f>
        <v>1.3307e-05</v>
      </c>
      <c r="L1314" s="4" t="str">
        <f>HYPERLINK("http://141.218.60.56/~jnz1568/getInfo.php?workbook=16_15.xlsx&amp;sheet=A0&amp;row=1314&amp;col=12&amp;number=&amp;sourceID=53","")</f>
        <v/>
      </c>
      <c r="M1314" s="4" t="str">
        <f>HYPERLINK("http://141.218.60.56/~jnz1568/getInfo.php?workbook=16_15.xlsx&amp;sheet=A0&amp;row=1314&amp;col=13&amp;number=&amp;sourceID=53","")</f>
        <v/>
      </c>
      <c r="N1314" s="4" t="str">
        <f>HYPERLINK("http://141.218.60.56/~jnz1568/getInfo.php?workbook=16_15.xlsx&amp;sheet=A0&amp;row=1314&amp;col=14&amp;number=&amp;sourceID=53","")</f>
        <v/>
      </c>
      <c r="O1314" s="4" t="str">
        <f>HYPERLINK("http://141.218.60.56/~jnz1568/getInfo.php?workbook=16_15.xlsx&amp;sheet=A0&amp;row=1314&amp;col=15&amp;number=&amp;sourceID=55","")</f>
        <v/>
      </c>
      <c r="P1314" s="4" t="str">
        <f>HYPERLINK("http://141.218.60.56/~jnz1568/getInfo.php?workbook=16_15.xlsx&amp;sheet=A0&amp;row=1314&amp;col=16&amp;number=&amp;sourceID=55","")</f>
        <v/>
      </c>
      <c r="Q1314" s="4" t="str">
        <f>HYPERLINK("http://141.218.60.56/~jnz1568/getInfo.php?workbook=16_15.xlsx&amp;sheet=A0&amp;row=1314&amp;col=17&amp;number=&amp;sourceID=56","")</f>
        <v/>
      </c>
      <c r="R1314" s="4" t="str">
        <f>HYPERLINK("http://141.218.60.56/~jnz1568/getInfo.php?workbook=16_15.xlsx&amp;sheet=A0&amp;row=1314&amp;col=18&amp;number=&amp;sourceID=56","")</f>
        <v/>
      </c>
      <c r="S1314" s="4" t="str">
        <f>HYPERLINK("http://141.218.60.56/~jnz1568/getInfo.php?workbook=16_15.xlsx&amp;sheet=A0&amp;row=1314&amp;col=19&amp;number=&amp;sourceID=57","")</f>
        <v/>
      </c>
      <c r="T1314" s="4" t="str">
        <f>HYPERLINK("http://141.218.60.56/~jnz1568/getInfo.php?workbook=16_15.xlsx&amp;sheet=A0&amp;row=1314&amp;col=20&amp;number=&amp;sourceID=57","")</f>
        <v/>
      </c>
      <c r="U1314" s="4" t="str">
        <f>HYPERLINK("http://141.218.60.56/~jnz1568/getInfo.php?workbook=16_15.xlsx&amp;sheet=A0&amp;row=1314&amp;col=21&amp;number=&amp;sourceID=47","")</f>
        <v/>
      </c>
      <c r="V1314" s="4" t="str">
        <f>HYPERLINK("http://141.218.60.56/~jnz1568/getInfo.php?workbook=16_15.xlsx&amp;sheet=A0&amp;row=1314&amp;col=22&amp;number=&amp;sourceID=47","")</f>
        <v/>
      </c>
    </row>
    <row r="1315" spans="1:22">
      <c r="A1315" s="3">
        <v>16</v>
      </c>
      <c r="B1315" s="3">
        <v>15</v>
      </c>
      <c r="C1315" s="3">
        <v>59</v>
      </c>
      <c r="D1315" s="3">
        <v>1</v>
      </c>
      <c r="E1315" s="3">
        <f>((1/(INDEX(E0!J$4:J$73,C1315,1)-INDEX(E0!J$4:J$73,D1315,1))))*100000000</f>
        <v>0</v>
      </c>
      <c r="F1315" s="4" t="str">
        <f>HYPERLINK("http://141.218.60.56/~jnz1568/getInfo.php?workbook=16_15.xlsx&amp;sheet=A0&amp;row=1315&amp;col=6&amp;number=&amp;sourceID=54","")</f>
        <v/>
      </c>
      <c r="G1315" s="4" t="str">
        <f>HYPERLINK("http://141.218.60.56/~jnz1568/getInfo.php?workbook=16_15.xlsx&amp;sheet=A0&amp;row=1315&amp;col=7&amp;number=0.42008&amp;sourceID=54","0.42008")</f>
        <v>0.42008</v>
      </c>
      <c r="H1315" s="4" t="str">
        <f>HYPERLINK("http://141.218.60.56/~jnz1568/getInfo.php?workbook=16_15.xlsx&amp;sheet=A0&amp;row=1315&amp;col=8&amp;number=0.00044517&amp;sourceID=54","0.00044517")</f>
        <v>0.00044517</v>
      </c>
      <c r="I1315" s="4" t="str">
        <f>HYPERLINK("http://141.218.60.56/~jnz1568/getInfo.php?workbook=16_15.xlsx&amp;sheet=A0&amp;row=1315&amp;col=9&amp;number=&amp;sourceID=54","")</f>
        <v/>
      </c>
      <c r="J1315" s="4" t="str">
        <f>HYPERLINK("http://141.218.60.56/~jnz1568/getInfo.php?workbook=16_15.xlsx&amp;sheet=A0&amp;row=1315&amp;col=10&amp;number=0.48078&amp;sourceID=54","0.48078")</f>
        <v>0.48078</v>
      </c>
      <c r="K1315" s="4" t="str">
        <f>HYPERLINK("http://141.218.60.56/~jnz1568/getInfo.php?workbook=16_15.xlsx&amp;sheet=A0&amp;row=1315&amp;col=11&amp;number=0.00047658&amp;sourceID=54","0.00047658")</f>
        <v>0.00047658</v>
      </c>
      <c r="L1315" s="4" t="str">
        <f>HYPERLINK("http://141.218.60.56/~jnz1568/getInfo.php?workbook=16_15.xlsx&amp;sheet=A0&amp;row=1315&amp;col=12&amp;number=&amp;sourceID=53","")</f>
        <v/>
      </c>
      <c r="M1315" s="4" t="str">
        <f>HYPERLINK("http://141.218.60.56/~jnz1568/getInfo.php?workbook=16_15.xlsx&amp;sheet=A0&amp;row=1315&amp;col=13&amp;number=&amp;sourceID=53","")</f>
        <v/>
      </c>
      <c r="N1315" s="4" t="str">
        <f>HYPERLINK("http://141.218.60.56/~jnz1568/getInfo.php?workbook=16_15.xlsx&amp;sheet=A0&amp;row=1315&amp;col=14&amp;number=&amp;sourceID=53","")</f>
        <v/>
      </c>
      <c r="O1315" s="4" t="str">
        <f>HYPERLINK("http://141.218.60.56/~jnz1568/getInfo.php?workbook=16_15.xlsx&amp;sheet=A0&amp;row=1315&amp;col=15&amp;number=&amp;sourceID=55","")</f>
        <v/>
      </c>
      <c r="P1315" s="4" t="str">
        <f>HYPERLINK("http://141.218.60.56/~jnz1568/getInfo.php?workbook=16_15.xlsx&amp;sheet=A0&amp;row=1315&amp;col=16&amp;number=&amp;sourceID=55","")</f>
        <v/>
      </c>
      <c r="Q1315" s="4" t="str">
        <f>HYPERLINK("http://141.218.60.56/~jnz1568/getInfo.php?workbook=16_15.xlsx&amp;sheet=A0&amp;row=1315&amp;col=17&amp;number=&amp;sourceID=56","")</f>
        <v/>
      </c>
      <c r="R1315" s="4" t="str">
        <f>HYPERLINK("http://141.218.60.56/~jnz1568/getInfo.php?workbook=16_15.xlsx&amp;sheet=A0&amp;row=1315&amp;col=18&amp;number=&amp;sourceID=56","")</f>
        <v/>
      </c>
      <c r="S1315" s="4" t="str">
        <f>HYPERLINK("http://141.218.60.56/~jnz1568/getInfo.php?workbook=16_15.xlsx&amp;sheet=A0&amp;row=1315&amp;col=19&amp;number=&amp;sourceID=57","")</f>
        <v/>
      </c>
      <c r="T1315" s="4" t="str">
        <f>HYPERLINK("http://141.218.60.56/~jnz1568/getInfo.php?workbook=16_15.xlsx&amp;sheet=A0&amp;row=1315&amp;col=20&amp;number=&amp;sourceID=57","")</f>
        <v/>
      </c>
      <c r="U1315" s="4" t="str">
        <f>HYPERLINK("http://141.218.60.56/~jnz1568/getInfo.php?workbook=16_15.xlsx&amp;sheet=A0&amp;row=1315&amp;col=21&amp;number=&amp;sourceID=47","")</f>
        <v/>
      </c>
      <c r="V1315" s="4" t="str">
        <f>HYPERLINK("http://141.218.60.56/~jnz1568/getInfo.php?workbook=16_15.xlsx&amp;sheet=A0&amp;row=1315&amp;col=22&amp;number=&amp;sourceID=47","")</f>
        <v/>
      </c>
    </row>
    <row r="1316" spans="1:22">
      <c r="A1316" s="3">
        <v>16</v>
      </c>
      <c r="B1316" s="3">
        <v>15</v>
      </c>
      <c r="C1316" s="3">
        <v>59</v>
      </c>
      <c r="D1316" s="3">
        <v>2</v>
      </c>
      <c r="E1316" s="3">
        <f>((1/(INDEX(E0!J$4:J$73,C1316,1)-INDEX(E0!J$4:J$73,D1316,1))))*100000000</f>
        <v>0</v>
      </c>
      <c r="F1316" s="4" t="str">
        <f>HYPERLINK("http://141.218.60.56/~jnz1568/getInfo.php?workbook=16_15.xlsx&amp;sheet=A0&amp;row=1316&amp;col=6&amp;number=&amp;sourceID=54","")</f>
        <v/>
      </c>
      <c r="G1316" s="4" t="str">
        <f>HYPERLINK("http://141.218.60.56/~jnz1568/getInfo.php?workbook=16_15.xlsx&amp;sheet=A0&amp;row=1316&amp;col=7&amp;number=2197.4&amp;sourceID=54","2197.4")</f>
        <v>2197.4</v>
      </c>
      <c r="H1316" s="4" t="str">
        <f>HYPERLINK("http://141.218.60.56/~jnz1568/getInfo.php?workbook=16_15.xlsx&amp;sheet=A0&amp;row=1316&amp;col=8&amp;number=0.014429&amp;sourceID=54","0.014429")</f>
        <v>0.014429</v>
      </c>
      <c r="I1316" s="4" t="str">
        <f>HYPERLINK("http://141.218.60.56/~jnz1568/getInfo.php?workbook=16_15.xlsx&amp;sheet=A0&amp;row=1316&amp;col=9&amp;number=&amp;sourceID=54","")</f>
        <v/>
      </c>
      <c r="J1316" s="4" t="str">
        <f>HYPERLINK("http://141.218.60.56/~jnz1568/getInfo.php?workbook=16_15.xlsx&amp;sheet=A0&amp;row=1316&amp;col=10&amp;number=2223.9&amp;sourceID=54","2223.9")</f>
        <v>2223.9</v>
      </c>
      <c r="K1316" s="4" t="str">
        <f>HYPERLINK("http://141.218.60.56/~jnz1568/getInfo.php?workbook=16_15.xlsx&amp;sheet=A0&amp;row=1316&amp;col=11&amp;number=0.014595&amp;sourceID=54","0.014595")</f>
        <v>0.014595</v>
      </c>
      <c r="L1316" s="4" t="str">
        <f>HYPERLINK("http://141.218.60.56/~jnz1568/getInfo.php?workbook=16_15.xlsx&amp;sheet=A0&amp;row=1316&amp;col=12&amp;number=&amp;sourceID=53","")</f>
        <v/>
      </c>
      <c r="M1316" s="4" t="str">
        <f>HYPERLINK("http://141.218.60.56/~jnz1568/getInfo.php?workbook=16_15.xlsx&amp;sheet=A0&amp;row=1316&amp;col=13&amp;number=&amp;sourceID=53","")</f>
        <v/>
      </c>
      <c r="N1316" s="4" t="str">
        <f>HYPERLINK("http://141.218.60.56/~jnz1568/getInfo.php?workbook=16_15.xlsx&amp;sheet=A0&amp;row=1316&amp;col=14&amp;number=&amp;sourceID=53","")</f>
        <v/>
      </c>
      <c r="O1316" s="4" t="str">
        <f>HYPERLINK("http://141.218.60.56/~jnz1568/getInfo.php?workbook=16_15.xlsx&amp;sheet=A0&amp;row=1316&amp;col=15&amp;number=&amp;sourceID=55","")</f>
        <v/>
      </c>
      <c r="P1316" s="4" t="str">
        <f>HYPERLINK("http://141.218.60.56/~jnz1568/getInfo.php?workbook=16_15.xlsx&amp;sheet=A0&amp;row=1316&amp;col=16&amp;number=&amp;sourceID=55","")</f>
        <v/>
      </c>
      <c r="Q1316" s="4" t="str">
        <f>HYPERLINK("http://141.218.60.56/~jnz1568/getInfo.php?workbook=16_15.xlsx&amp;sheet=A0&amp;row=1316&amp;col=17&amp;number=&amp;sourceID=56","")</f>
        <v/>
      </c>
      <c r="R1316" s="4" t="str">
        <f>HYPERLINK("http://141.218.60.56/~jnz1568/getInfo.php?workbook=16_15.xlsx&amp;sheet=A0&amp;row=1316&amp;col=18&amp;number=&amp;sourceID=56","")</f>
        <v/>
      </c>
      <c r="S1316" s="4" t="str">
        <f>HYPERLINK("http://141.218.60.56/~jnz1568/getInfo.php?workbook=16_15.xlsx&amp;sheet=A0&amp;row=1316&amp;col=19&amp;number=&amp;sourceID=57","")</f>
        <v/>
      </c>
      <c r="T1316" s="4" t="str">
        <f>HYPERLINK("http://141.218.60.56/~jnz1568/getInfo.php?workbook=16_15.xlsx&amp;sheet=A0&amp;row=1316&amp;col=20&amp;number=&amp;sourceID=57","")</f>
        <v/>
      </c>
      <c r="U1316" s="4" t="str">
        <f>HYPERLINK("http://141.218.60.56/~jnz1568/getInfo.php?workbook=16_15.xlsx&amp;sheet=A0&amp;row=1316&amp;col=21&amp;number=&amp;sourceID=47","")</f>
        <v/>
      </c>
      <c r="V1316" s="4" t="str">
        <f>HYPERLINK("http://141.218.60.56/~jnz1568/getInfo.php?workbook=16_15.xlsx&amp;sheet=A0&amp;row=1316&amp;col=22&amp;number=&amp;sourceID=47","")</f>
        <v/>
      </c>
    </row>
    <row r="1317" spans="1:22">
      <c r="A1317" s="3">
        <v>16</v>
      </c>
      <c r="B1317" s="3">
        <v>15</v>
      </c>
      <c r="C1317" s="3">
        <v>59</v>
      </c>
      <c r="D1317" s="3">
        <v>3</v>
      </c>
      <c r="E1317" s="3">
        <f>((1/(INDEX(E0!J$4:J$73,C1317,1)-INDEX(E0!J$4:J$73,D1317,1))))*100000000</f>
        <v>0</v>
      </c>
      <c r="F1317" s="4" t="str">
        <f>HYPERLINK("http://141.218.60.56/~jnz1568/getInfo.php?workbook=16_15.xlsx&amp;sheet=A0&amp;row=1317&amp;col=6&amp;number=&amp;sourceID=54","")</f>
        <v/>
      </c>
      <c r="G1317" s="4" t="str">
        <f>HYPERLINK("http://141.218.60.56/~jnz1568/getInfo.php?workbook=16_15.xlsx&amp;sheet=A0&amp;row=1317&amp;col=7&amp;number=1057.7&amp;sourceID=54","1057.7")</f>
        <v>1057.7</v>
      </c>
      <c r="H1317" s="4" t="str">
        <f>HYPERLINK("http://141.218.60.56/~jnz1568/getInfo.php?workbook=16_15.xlsx&amp;sheet=A0&amp;row=1317&amp;col=8&amp;number=0.00156&amp;sourceID=54","0.00156")</f>
        <v>0.00156</v>
      </c>
      <c r="I1317" s="4" t="str">
        <f>HYPERLINK("http://141.218.60.56/~jnz1568/getInfo.php?workbook=16_15.xlsx&amp;sheet=A0&amp;row=1317&amp;col=9&amp;number=&amp;sourceID=54","")</f>
        <v/>
      </c>
      <c r="J1317" s="4" t="str">
        <f>HYPERLINK("http://141.218.60.56/~jnz1568/getInfo.php?workbook=16_15.xlsx&amp;sheet=A0&amp;row=1317&amp;col=10&amp;number=1077.1&amp;sourceID=54","1077.1")</f>
        <v>1077.1</v>
      </c>
      <c r="K1317" s="4" t="str">
        <f>HYPERLINK("http://141.218.60.56/~jnz1568/getInfo.php?workbook=16_15.xlsx&amp;sheet=A0&amp;row=1317&amp;col=11&amp;number=0.0015973&amp;sourceID=54","0.0015973")</f>
        <v>0.0015973</v>
      </c>
      <c r="L1317" s="4" t="str">
        <f>HYPERLINK("http://141.218.60.56/~jnz1568/getInfo.php?workbook=16_15.xlsx&amp;sheet=A0&amp;row=1317&amp;col=12&amp;number=&amp;sourceID=53","")</f>
        <v/>
      </c>
      <c r="M1317" s="4" t="str">
        <f>HYPERLINK("http://141.218.60.56/~jnz1568/getInfo.php?workbook=16_15.xlsx&amp;sheet=A0&amp;row=1317&amp;col=13&amp;number=&amp;sourceID=53","")</f>
        <v/>
      </c>
      <c r="N1317" s="4" t="str">
        <f>HYPERLINK("http://141.218.60.56/~jnz1568/getInfo.php?workbook=16_15.xlsx&amp;sheet=A0&amp;row=1317&amp;col=14&amp;number=&amp;sourceID=53","")</f>
        <v/>
      </c>
      <c r="O1317" s="4" t="str">
        <f>HYPERLINK("http://141.218.60.56/~jnz1568/getInfo.php?workbook=16_15.xlsx&amp;sheet=A0&amp;row=1317&amp;col=15&amp;number=&amp;sourceID=55","")</f>
        <v/>
      </c>
      <c r="P1317" s="4" t="str">
        <f>HYPERLINK("http://141.218.60.56/~jnz1568/getInfo.php?workbook=16_15.xlsx&amp;sheet=A0&amp;row=1317&amp;col=16&amp;number=&amp;sourceID=55","")</f>
        <v/>
      </c>
      <c r="Q1317" s="4" t="str">
        <f>HYPERLINK("http://141.218.60.56/~jnz1568/getInfo.php?workbook=16_15.xlsx&amp;sheet=A0&amp;row=1317&amp;col=17&amp;number=&amp;sourceID=56","")</f>
        <v/>
      </c>
      <c r="R1317" s="4" t="str">
        <f>HYPERLINK("http://141.218.60.56/~jnz1568/getInfo.php?workbook=16_15.xlsx&amp;sheet=A0&amp;row=1317&amp;col=18&amp;number=&amp;sourceID=56","")</f>
        <v/>
      </c>
      <c r="S1317" s="4" t="str">
        <f>HYPERLINK("http://141.218.60.56/~jnz1568/getInfo.php?workbook=16_15.xlsx&amp;sheet=A0&amp;row=1317&amp;col=19&amp;number=&amp;sourceID=57","")</f>
        <v/>
      </c>
      <c r="T1317" s="4" t="str">
        <f>HYPERLINK("http://141.218.60.56/~jnz1568/getInfo.php?workbook=16_15.xlsx&amp;sheet=A0&amp;row=1317&amp;col=20&amp;number=&amp;sourceID=57","")</f>
        <v/>
      </c>
      <c r="U1317" s="4" t="str">
        <f>HYPERLINK("http://141.218.60.56/~jnz1568/getInfo.php?workbook=16_15.xlsx&amp;sheet=A0&amp;row=1317&amp;col=21&amp;number=&amp;sourceID=47","")</f>
        <v/>
      </c>
      <c r="V1317" s="4" t="str">
        <f>HYPERLINK("http://141.218.60.56/~jnz1568/getInfo.php?workbook=16_15.xlsx&amp;sheet=A0&amp;row=1317&amp;col=22&amp;number=&amp;sourceID=47","")</f>
        <v/>
      </c>
    </row>
    <row r="1318" spans="1:22">
      <c r="A1318" s="3">
        <v>16</v>
      </c>
      <c r="B1318" s="3">
        <v>15</v>
      </c>
      <c r="C1318" s="3">
        <v>59</v>
      </c>
      <c r="D1318" s="3">
        <v>4</v>
      </c>
      <c r="E1318" s="3">
        <f>((1/(INDEX(E0!J$4:J$73,C1318,1)-INDEX(E0!J$4:J$73,D1318,1))))*100000000</f>
        <v>0</v>
      </c>
      <c r="F1318" s="4" t="str">
        <f>HYPERLINK("http://141.218.60.56/~jnz1568/getInfo.php?workbook=16_15.xlsx&amp;sheet=A0&amp;row=1318&amp;col=6&amp;number=&amp;sourceID=54","")</f>
        <v/>
      </c>
      <c r="G1318" s="4" t="str">
        <f>HYPERLINK("http://141.218.60.56/~jnz1568/getInfo.php?workbook=16_15.xlsx&amp;sheet=A0&amp;row=1318&amp;col=7&amp;number=777.91&amp;sourceID=54","777.91")</f>
        <v>777.91</v>
      </c>
      <c r="H1318" s="4" t="str">
        <f>HYPERLINK("http://141.218.60.56/~jnz1568/getInfo.php?workbook=16_15.xlsx&amp;sheet=A0&amp;row=1318&amp;col=8&amp;number=0.0089219&amp;sourceID=54","0.0089219")</f>
        <v>0.0089219</v>
      </c>
      <c r="I1318" s="4" t="str">
        <f>HYPERLINK("http://141.218.60.56/~jnz1568/getInfo.php?workbook=16_15.xlsx&amp;sheet=A0&amp;row=1318&amp;col=9&amp;number=&amp;sourceID=54","")</f>
        <v/>
      </c>
      <c r="J1318" s="4" t="str">
        <f>HYPERLINK("http://141.218.60.56/~jnz1568/getInfo.php?workbook=16_15.xlsx&amp;sheet=A0&amp;row=1318&amp;col=10&amp;number=784.27&amp;sourceID=54","784.27")</f>
        <v>784.27</v>
      </c>
      <c r="K1318" s="4" t="str">
        <f>HYPERLINK("http://141.218.60.56/~jnz1568/getInfo.php?workbook=16_15.xlsx&amp;sheet=A0&amp;row=1318&amp;col=11&amp;number=0.008864&amp;sourceID=54","0.008864")</f>
        <v>0.008864</v>
      </c>
      <c r="L1318" s="4" t="str">
        <f>HYPERLINK("http://141.218.60.56/~jnz1568/getInfo.php?workbook=16_15.xlsx&amp;sheet=A0&amp;row=1318&amp;col=12&amp;number=&amp;sourceID=53","")</f>
        <v/>
      </c>
      <c r="M1318" s="4" t="str">
        <f>HYPERLINK("http://141.218.60.56/~jnz1568/getInfo.php?workbook=16_15.xlsx&amp;sheet=A0&amp;row=1318&amp;col=13&amp;number=&amp;sourceID=53","")</f>
        <v/>
      </c>
      <c r="N1318" s="4" t="str">
        <f>HYPERLINK("http://141.218.60.56/~jnz1568/getInfo.php?workbook=16_15.xlsx&amp;sheet=A0&amp;row=1318&amp;col=14&amp;number=&amp;sourceID=53","")</f>
        <v/>
      </c>
      <c r="O1318" s="4" t="str">
        <f>HYPERLINK("http://141.218.60.56/~jnz1568/getInfo.php?workbook=16_15.xlsx&amp;sheet=A0&amp;row=1318&amp;col=15&amp;number=&amp;sourceID=55","")</f>
        <v/>
      </c>
      <c r="P1318" s="4" t="str">
        <f>HYPERLINK("http://141.218.60.56/~jnz1568/getInfo.php?workbook=16_15.xlsx&amp;sheet=A0&amp;row=1318&amp;col=16&amp;number=&amp;sourceID=55","")</f>
        <v/>
      </c>
      <c r="Q1318" s="4" t="str">
        <f>HYPERLINK("http://141.218.60.56/~jnz1568/getInfo.php?workbook=16_15.xlsx&amp;sheet=A0&amp;row=1318&amp;col=17&amp;number=&amp;sourceID=56","")</f>
        <v/>
      </c>
      <c r="R1318" s="4" t="str">
        <f>HYPERLINK("http://141.218.60.56/~jnz1568/getInfo.php?workbook=16_15.xlsx&amp;sheet=A0&amp;row=1318&amp;col=18&amp;number=&amp;sourceID=56","")</f>
        <v/>
      </c>
      <c r="S1318" s="4" t="str">
        <f>HYPERLINK("http://141.218.60.56/~jnz1568/getInfo.php?workbook=16_15.xlsx&amp;sheet=A0&amp;row=1318&amp;col=19&amp;number=&amp;sourceID=57","")</f>
        <v/>
      </c>
      <c r="T1318" s="4" t="str">
        <f>HYPERLINK("http://141.218.60.56/~jnz1568/getInfo.php?workbook=16_15.xlsx&amp;sheet=A0&amp;row=1318&amp;col=20&amp;number=&amp;sourceID=57","")</f>
        <v/>
      </c>
      <c r="U1318" s="4" t="str">
        <f>HYPERLINK("http://141.218.60.56/~jnz1568/getInfo.php?workbook=16_15.xlsx&amp;sheet=A0&amp;row=1318&amp;col=21&amp;number=&amp;sourceID=47","")</f>
        <v/>
      </c>
      <c r="V1318" s="4" t="str">
        <f>HYPERLINK("http://141.218.60.56/~jnz1568/getInfo.php?workbook=16_15.xlsx&amp;sheet=A0&amp;row=1318&amp;col=22&amp;number=&amp;sourceID=47","")</f>
        <v/>
      </c>
    </row>
    <row r="1319" spans="1:22">
      <c r="A1319" s="3">
        <v>16</v>
      </c>
      <c r="B1319" s="3">
        <v>15</v>
      </c>
      <c r="C1319" s="3">
        <v>59</v>
      </c>
      <c r="D1319" s="3">
        <v>5</v>
      </c>
      <c r="E1319" s="3">
        <f>((1/(INDEX(E0!J$4:J$73,C1319,1)-INDEX(E0!J$4:J$73,D1319,1))))*100000000</f>
        <v>0</v>
      </c>
      <c r="F1319" s="4" t="str">
        <f>HYPERLINK("http://141.218.60.56/~jnz1568/getInfo.php?workbook=16_15.xlsx&amp;sheet=A0&amp;row=1319&amp;col=6&amp;number=&amp;sourceID=54","")</f>
        <v/>
      </c>
      <c r="G1319" s="4" t="str">
        <f>HYPERLINK("http://141.218.60.56/~jnz1568/getInfo.php?workbook=16_15.xlsx&amp;sheet=A0&amp;row=1319&amp;col=7&amp;number=1183.5&amp;sourceID=54","1183.5")</f>
        <v>1183.5</v>
      </c>
      <c r="H1319" s="4" t="str">
        <f>HYPERLINK("http://141.218.60.56/~jnz1568/getInfo.php?workbook=16_15.xlsx&amp;sheet=A0&amp;row=1319&amp;col=8&amp;number=0.048223&amp;sourceID=54","0.048223")</f>
        <v>0.048223</v>
      </c>
      <c r="I1319" s="4" t="str">
        <f>HYPERLINK("http://141.218.60.56/~jnz1568/getInfo.php?workbook=16_15.xlsx&amp;sheet=A0&amp;row=1319&amp;col=9&amp;number=&amp;sourceID=54","")</f>
        <v/>
      </c>
      <c r="J1319" s="4" t="str">
        <f>HYPERLINK("http://141.218.60.56/~jnz1568/getInfo.php?workbook=16_15.xlsx&amp;sheet=A0&amp;row=1319&amp;col=10&amp;number=1189.8&amp;sourceID=54","1189.8")</f>
        <v>1189.8</v>
      </c>
      <c r="K1319" s="4" t="str">
        <f>HYPERLINK("http://141.218.60.56/~jnz1568/getInfo.php?workbook=16_15.xlsx&amp;sheet=A0&amp;row=1319&amp;col=11&amp;number=0.047123&amp;sourceID=54","0.047123")</f>
        <v>0.047123</v>
      </c>
      <c r="L1319" s="4" t="str">
        <f>HYPERLINK("http://141.218.60.56/~jnz1568/getInfo.php?workbook=16_15.xlsx&amp;sheet=A0&amp;row=1319&amp;col=12&amp;number=&amp;sourceID=53","")</f>
        <v/>
      </c>
      <c r="M1319" s="4" t="str">
        <f>HYPERLINK("http://141.218.60.56/~jnz1568/getInfo.php?workbook=16_15.xlsx&amp;sheet=A0&amp;row=1319&amp;col=13&amp;number=&amp;sourceID=53","")</f>
        <v/>
      </c>
      <c r="N1319" s="4" t="str">
        <f>HYPERLINK("http://141.218.60.56/~jnz1568/getInfo.php?workbook=16_15.xlsx&amp;sheet=A0&amp;row=1319&amp;col=14&amp;number=&amp;sourceID=53","")</f>
        <v/>
      </c>
      <c r="O1319" s="4" t="str">
        <f>HYPERLINK("http://141.218.60.56/~jnz1568/getInfo.php?workbook=16_15.xlsx&amp;sheet=A0&amp;row=1319&amp;col=15&amp;number=&amp;sourceID=55","")</f>
        <v/>
      </c>
      <c r="P1319" s="4" t="str">
        <f>HYPERLINK("http://141.218.60.56/~jnz1568/getInfo.php?workbook=16_15.xlsx&amp;sheet=A0&amp;row=1319&amp;col=16&amp;number=&amp;sourceID=55","")</f>
        <v/>
      </c>
      <c r="Q1319" s="4" t="str">
        <f>HYPERLINK("http://141.218.60.56/~jnz1568/getInfo.php?workbook=16_15.xlsx&amp;sheet=A0&amp;row=1319&amp;col=17&amp;number=&amp;sourceID=56","")</f>
        <v/>
      </c>
      <c r="R1319" s="4" t="str">
        <f>HYPERLINK("http://141.218.60.56/~jnz1568/getInfo.php?workbook=16_15.xlsx&amp;sheet=A0&amp;row=1319&amp;col=18&amp;number=&amp;sourceID=56","")</f>
        <v/>
      </c>
      <c r="S1319" s="4" t="str">
        <f>HYPERLINK("http://141.218.60.56/~jnz1568/getInfo.php?workbook=16_15.xlsx&amp;sheet=A0&amp;row=1319&amp;col=19&amp;number=&amp;sourceID=57","")</f>
        <v/>
      </c>
      <c r="T1319" s="4" t="str">
        <f>HYPERLINK("http://141.218.60.56/~jnz1568/getInfo.php?workbook=16_15.xlsx&amp;sheet=A0&amp;row=1319&amp;col=20&amp;number=&amp;sourceID=57","")</f>
        <v/>
      </c>
      <c r="U1319" s="4" t="str">
        <f>HYPERLINK("http://141.218.60.56/~jnz1568/getInfo.php?workbook=16_15.xlsx&amp;sheet=A0&amp;row=1319&amp;col=21&amp;number=&amp;sourceID=47","")</f>
        <v/>
      </c>
      <c r="V1319" s="4" t="str">
        <f>HYPERLINK("http://141.218.60.56/~jnz1568/getInfo.php?workbook=16_15.xlsx&amp;sheet=A0&amp;row=1319&amp;col=22&amp;number=&amp;sourceID=47","")</f>
        <v/>
      </c>
    </row>
    <row r="1320" spans="1:22">
      <c r="A1320" s="3">
        <v>16</v>
      </c>
      <c r="B1320" s="3">
        <v>15</v>
      </c>
      <c r="C1320" s="3">
        <v>59</v>
      </c>
      <c r="D1320" s="3">
        <v>6</v>
      </c>
      <c r="E1320" s="3">
        <f>((1/(INDEX(E0!J$4:J$73,C1320,1)-INDEX(E0!J$4:J$73,D1320,1))))*100000000</f>
        <v>0</v>
      </c>
      <c r="F1320" s="4" t="str">
        <f>HYPERLINK("http://141.218.60.56/~jnz1568/getInfo.php?workbook=16_15.xlsx&amp;sheet=A0&amp;row=1320&amp;col=6&amp;number=72.879&amp;sourceID=54","72.879")</f>
        <v>72.879</v>
      </c>
      <c r="G1320" s="4" t="str">
        <f>HYPERLINK("http://141.218.60.56/~jnz1568/getInfo.php?workbook=16_15.xlsx&amp;sheet=A0&amp;row=1320&amp;col=7&amp;number=&amp;sourceID=54","")</f>
        <v/>
      </c>
      <c r="H1320" s="4" t="str">
        <f>HYPERLINK("http://141.218.60.56/~jnz1568/getInfo.php?workbook=16_15.xlsx&amp;sheet=A0&amp;row=1320&amp;col=8&amp;number=&amp;sourceID=54","")</f>
        <v/>
      </c>
      <c r="I1320" s="4" t="str">
        <f>HYPERLINK("http://141.218.60.56/~jnz1568/getInfo.php?workbook=16_15.xlsx&amp;sheet=A0&amp;row=1320&amp;col=9&amp;number=77.105&amp;sourceID=54","77.105")</f>
        <v>77.105</v>
      </c>
      <c r="J1320" s="4" t="str">
        <f>HYPERLINK("http://141.218.60.56/~jnz1568/getInfo.php?workbook=16_15.xlsx&amp;sheet=A0&amp;row=1320&amp;col=10&amp;number=&amp;sourceID=54","")</f>
        <v/>
      </c>
      <c r="K1320" s="4" t="str">
        <f>HYPERLINK("http://141.218.60.56/~jnz1568/getInfo.php?workbook=16_15.xlsx&amp;sheet=A0&amp;row=1320&amp;col=11&amp;number=&amp;sourceID=54","")</f>
        <v/>
      </c>
      <c r="L1320" s="4" t="str">
        <f>HYPERLINK("http://141.218.60.56/~jnz1568/getInfo.php?workbook=16_15.xlsx&amp;sheet=A0&amp;row=1320&amp;col=12&amp;number=438.719298313&amp;sourceID=53","438.719298313")</f>
        <v>438.719298313</v>
      </c>
      <c r="M1320" s="4" t="str">
        <f>HYPERLINK("http://141.218.60.56/~jnz1568/getInfo.php?workbook=16_15.xlsx&amp;sheet=A0&amp;row=1320&amp;col=13&amp;number=&amp;sourceID=53","")</f>
        <v/>
      </c>
      <c r="N1320" s="4" t="str">
        <f>HYPERLINK("http://141.218.60.56/~jnz1568/getInfo.php?workbook=16_15.xlsx&amp;sheet=A0&amp;row=1320&amp;col=14&amp;number=&amp;sourceID=53","")</f>
        <v/>
      </c>
      <c r="O1320" s="4" t="str">
        <f>HYPERLINK("http://141.218.60.56/~jnz1568/getInfo.php?workbook=16_15.xlsx&amp;sheet=A0&amp;row=1320&amp;col=15&amp;number=&amp;sourceID=55","")</f>
        <v/>
      </c>
      <c r="P1320" s="4" t="str">
        <f>HYPERLINK("http://141.218.60.56/~jnz1568/getInfo.php?workbook=16_15.xlsx&amp;sheet=A0&amp;row=1320&amp;col=16&amp;number=&amp;sourceID=55","")</f>
        <v/>
      </c>
      <c r="Q1320" s="4" t="str">
        <f>HYPERLINK("http://141.218.60.56/~jnz1568/getInfo.php?workbook=16_15.xlsx&amp;sheet=A0&amp;row=1320&amp;col=17&amp;number=&amp;sourceID=56","")</f>
        <v/>
      </c>
      <c r="R1320" s="4" t="str">
        <f>HYPERLINK("http://141.218.60.56/~jnz1568/getInfo.php?workbook=16_15.xlsx&amp;sheet=A0&amp;row=1320&amp;col=18&amp;number=&amp;sourceID=56","")</f>
        <v/>
      </c>
      <c r="S1320" s="4" t="str">
        <f>HYPERLINK("http://141.218.60.56/~jnz1568/getInfo.php?workbook=16_15.xlsx&amp;sheet=A0&amp;row=1320&amp;col=19&amp;number=&amp;sourceID=57","")</f>
        <v/>
      </c>
      <c r="T1320" s="4" t="str">
        <f>HYPERLINK("http://141.218.60.56/~jnz1568/getInfo.php?workbook=16_15.xlsx&amp;sheet=A0&amp;row=1320&amp;col=20&amp;number=&amp;sourceID=57","")</f>
        <v/>
      </c>
      <c r="U1320" s="4" t="str">
        <f>HYPERLINK("http://141.218.60.56/~jnz1568/getInfo.php?workbook=16_15.xlsx&amp;sheet=A0&amp;row=1320&amp;col=21&amp;number=&amp;sourceID=47","")</f>
        <v/>
      </c>
      <c r="V1320" s="4" t="str">
        <f>HYPERLINK("http://141.218.60.56/~jnz1568/getInfo.php?workbook=16_15.xlsx&amp;sheet=A0&amp;row=1320&amp;col=22&amp;number=&amp;sourceID=47","")</f>
        <v/>
      </c>
    </row>
    <row r="1321" spans="1:22">
      <c r="A1321" s="3">
        <v>16</v>
      </c>
      <c r="B1321" s="3">
        <v>15</v>
      </c>
      <c r="C1321" s="3">
        <v>59</v>
      </c>
      <c r="D1321" s="3">
        <v>7</v>
      </c>
      <c r="E1321" s="3">
        <f>((1/(INDEX(E0!J$4:J$73,C1321,1)-INDEX(E0!J$4:J$73,D1321,1))))*100000000</f>
        <v>0</v>
      </c>
      <c r="F1321" s="4" t="str">
        <f>HYPERLINK("http://141.218.60.56/~jnz1568/getInfo.php?workbook=16_15.xlsx&amp;sheet=A0&amp;row=1321&amp;col=6&amp;number=17.956&amp;sourceID=54","17.956")</f>
        <v>17.956</v>
      </c>
      <c r="G1321" s="4" t="str">
        <f>HYPERLINK("http://141.218.60.56/~jnz1568/getInfo.php?workbook=16_15.xlsx&amp;sheet=A0&amp;row=1321&amp;col=7&amp;number=&amp;sourceID=54","")</f>
        <v/>
      </c>
      <c r="H1321" s="4" t="str">
        <f>HYPERLINK("http://141.218.60.56/~jnz1568/getInfo.php?workbook=16_15.xlsx&amp;sheet=A0&amp;row=1321&amp;col=8&amp;number=&amp;sourceID=54","")</f>
        <v/>
      </c>
      <c r="I1321" s="4" t="str">
        <f>HYPERLINK("http://141.218.60.56/~jnz1568/getInfo.php?workbook=16_15.xlsx&amp;sheet=A0&amp;row=1321&amp;col=9&amp;number=11.165&amp;sourceID=54","11.165")</f>
        <v>11.165</v>
      </c>
      <c r="J1321" s="4" t="str">
        <f>HYPERLINK("http://141.218.60.56/~jnz1568/getInfo.php?workbook=16_15.xlsx&amp;sheet=A0&amp;row=1321&amp;col=10&amp;number=&amp;sourceID=54","")</f>
        <v/>
      </c>
      <c r="K1321" s="4" t="str">
        <f>HYPERLINK("http://141.218.60.56/~jnz1568/getInfo.php?workbook=16_15.xlsx&amp;sheet=A0&amp;row=1321&amp;col=11&amp;number=&amp;sourceID=54","")</f>
        <v/>
      </c>
      <c r="L1321" s="4" t="str">
        <f>HYPERLINK("http://141.218.60.56/~jnz1568/getInfo.php?workbook=16_15.xlsx&amp;sheet=A0&amp;row=1321&amp;col=12&amp;number=1.19533839601&amp;sourceID=53","1.19533839601")</f>
        <v>1.19533839601</v>
      </c>
      <c r="M1321" s="4" t="str">
        <f>HYPERLINK("http://141.218.60.56/~jnz1568/getInfo.php?workbook=16_15.xlsx&amp;sheet=A0&amp;row=1321&amp;col=13&amp;number=&amp;sourceID=53","")</f>
        <v/>
      </c>
      <c r="N1321" s="4" t="str">
        <f>HYPERLINK("http://141.218.60.56/~jnz1568/getInfo.php?workbook=16_15.xlsx&amp;sheet=A0&amp;row=1321&amp;col=14&amp;number=&amp;sourceID=53","")</f>
        <v/>
      </c>
      <c r="O1321" s="4" t="str">
        <f>HYPERLINK("http://141.218.60.56/~jnz1568/getInfo.php?workbook=16_15.xlsx&amp;sheet=A0&amp;row=1321&amp;col=15&amp;number=&amp;sourceID=55","")</f>
        <v/>
      </c>
      <c r="P1321" s="4" t="str">
        <f>HYPERLINK("http://141.218.60.56/~jnz1568/getInfo.php?workbook=16_15.xlsx&amp;sheet=A0&amp;row=1321&amp;col=16&amp;number=&amp;sourceID=55","")</f>
        <v/>
      </c>
      <c r="Q1321" s="4" t="str">
        <f>HYPERLINK("http://141.218.60.56/~jnz1568/getInfo.php?workbook=16_15.xlsx&amp;sheet=A0&amp;row=1321&amp;col=17&amp;number=&amp;sourceID=56","")</f>
        <v/>
      </c>
      <c r="R1321" s="4" t="str">
        <f>HYPERLINK("http://141.218.60.56/~jnz1568/getInfo.php?workbook=16_15.xlsx&amp;sheet=A0&amp;row=1321&amp;col=18&amp;number=&amp;sourceID=56","")</f>
        <v/>
      </c>
      <c r="S1321" s="4" t="str">
        <f>HYPERLINK("http://141.218.60.56/~jnz1568/getInfo.php?workbook=16_15.xlsx&amp;sheet=A0&amp;row=1321&amp;col=19&amp;number=&amp;sourceID=57","")</f>
        <v/>
      </c>
      <c r="T1321" s="4" t="str">
        <f>HYPERLINK("http://141.218.60.56/~jnz1568/getInfo.php?workbook=16_15.xlsx&amp;sheet=A0&amp;row=1321&amp;col=20&amp;number=&amp;sourceID=57","")</f>
        <v/>
      </c>
      <c r="U1321" s="4" t="str">
        <f>HYPERLINK("http://141.218.60.56/~jnz1568/getInfo.php?workbook=16_15.xlsx&amp;sheet=A0&amp;row=1321&amp;col=21&amp;number=&amp;sourceID=47","")</f>
        <v/>
      </c>
      <c r="V1321" s="4" t="str">
        <f>HYPERLINK("http://141.218.60.56/~jnz1568/getInfo.php?workbook=16_15.xlsx&amp;sheet=A0&amp;row=1321&amp;col=22&amp;number=&amp;sourceID=47","")</f>
        <v/>
      </c>
    </row>
    <row r="1322" spans="1:22">
      <c r="A1322" s="3">
        <v>16</v>
      </c>
      <c r="B1322" s="3">
        <v>15</v>
      </c>
      <c r="C1322" s="3">
        <v>59</v>
      </c>
      <c r="D1322" s="3">
        <v>8</v>
      </c>
      <c r="E1322" s="3">
        <f>((1/(INDEX(E0!J$4:J$73,C1322,1)-INDEX(E0!J$4:J$73,D1322,1))))*100000000</f>
        <v>0</v>
      </c>
      <c r="F1322" s="4" t="str">
        <f>HYPERLINK("http://141.218.60.56/~jnz1568/getInfo.php?workbook=16_15.xlsx&amp;sheet=A0&amp;row=1322&amp;col=6&amp;number=2021.6&amp;sourceID=54","2021.6")</f>
        <v>2021.6</v>
      </c>
      <c r="G1322" s="4" t="str">
        <f>HYPERLINK("http://141.218.60.56/~jnz1568/getInfo.php?workbook=16_15.xlsx&amp;sheet=A0&amp;row=1322&amp;col=7&amp;number=&amp;sourceID=54","")</f>
        <v/>
      </c>
      <c r="H1322" s="4" t="str">
        <f>HYPERLINK("http://141.218.60.56/~jnz1568/getInfo.php?workbook=16_15.xlsx&amp;sheet=A0&amp;row=1322&amp;col=8&amp;number=&amp;sourceID=54","")</f>
        <v/>
      </c>
      <c r="I1322" s="4" t="str">
        <f>HYPERLINK("http://141.218.60.56/~jnz1568/getInfo.php?workbook=16_15.xlsx&amp;sheet=A0&amp;row=1322&amp;col=9&amp;number=2157.7&amp;sourceID=54","2157.7")</f>
        <v>2157.7</v>
      </c>
      <c r="J1322" s="4" t="str">
        <f>HYPERLINK("http://141.218.60.56/~jnz1568/getInfo.php?workbook=16_15.xlsx&amp;sheet=A0&amp;row=1322&amp;col=10&amp;number=&amp;sourceID=54","")</f>
        <v/>
      </c>
      <c r="K1322" s="4" t="str">
        <f>HYPERLINK("http://141.218.60.56/~jnz1568/getInfo.php?workbook=16_15.xlsx&amp;sheet=A0&amp;row=1322&amp;col=11&amp;number=&amp;sourceID=54","")</f>
        <v/>
      </c>
      <c r="L1322" s="4" t="str">
        <f>HYPERLINK("http://141.218.60.56/~jnz1568/getInfo.php?workbook=16_15.xlsx&amp;sheet=A0&amp;row=1322&amp;col=12&amp;number=2047.98576526&amp;sourceID=53","2047.98576526")</f>
        <v>2047.98576526</v>
      </c>
      <c r="M1322" s="4" t="str">
        <f>HYPERLINK("http://141.218.60.56/~jnz1568/getInfo.php?workbook=16_15.xlsx&amp;sheet=A0&amp;row=1322&amp;col=13&amp;number=&amp;sourceID=53","")</f>
        <v/>
      </c>
      <c r="N1322" s="4" t="str">
        <f>HYPERLINK("http://141.218.60.56/~jnz1568/getInfo.php?workbook=16_15.xlsx&amp;sheet=A0&amp;row=1322&amp;col=14&amp;number=&amp;sourceID=53","")</f>
        <v/>
      </c>
      <c r="O1322" s="4" t="str">
        <f>HYPERLINK("http://141.218.60.56/~jnz1568/getInfo.php?workbook=16_15.xlsx&amp;sheet=A0&amp;row=1322&amp;col=15&amp;number=&amp;sourceID=55","")</f>
        <v/>
      </c>
      <c r="P1322" s="4" t="str">
        <f>HYPERLINK("http://141.218.60.56/~jnz1568/getInfo.php?workbook=16_15.xlsx&amp;sheet=A0&amp;row=1322&amp;col=16&amp;number=&amp;sourceID=55","")</f>
        <v/>
      </c>
      <c r="Q1322" s="4" t="str">
        <f>HYPERLINK("http://141.218.60.56/~jnz1568/getInfo.php?workbook=16_15.xlsx&amp;sheet=A0&amp;row=1322&amp;col=17&amp;number=&amp;sourceID=56","")</f>
        <v/>
      </c>
      <c r="R1322" s="4" t="str">
        <f>HYPERLINK("http://141.218.60.56/~jnz1568/getInfo.php?workbook=16_15.xlsx&amp;sheet=A0&amp;row=1322&amp;col=18&amp;number=&amp;sourceID=56","")</f>
        <v/>
      </c>
      <c r="S1322" s="4" t="str">
        <f>HYPERLINK("http://141.218.60.56/~jnz1568/getInfo.php?workbook=16_15.xlsx&amp;sheet=A0&amp;row=1322&amp;col=19&amp;number=&amp;sourceID=57","")</f>
        <v/>
      </c>
      <c r="T1322" s="4" t="str">
        <f>HYPERLINK("http://141.218.60.56/~jnz1568/getInfo.php?workbook=16_15.xlsx&amp;sheet=A0&amp;row=1322&amp;col=20&amp;number=&amp;sourceID=57","")</f>
        <v/>
      </c>
      <c r="U1322" s="4" t="str">
        <f>HYPERLINK("http://141.218.60.56/~jnz1568/getInfo.php?workbook=16_15.xlsx&amp;sheet=A0&amp;row=1322&amp;col=21&amp;number=&amp;sourceID=47","")</f>
        <v/>
      </c>
      <c r="V1322" s="4" t="str">
        <f>HYPERLINK("http://141.218.60.56/~jnz1568/getInfo.php?workbook=16_15.xlsx&amp;sheet=A0&amp;row=1322&amp;col=22&amp;number=&amp;sourceID=47","")</f>
        <v/>
      </c>
    </row>
    <row r="1323" spans="1:22">
      <c r="A1323" s="3">
        <v>16</v>
      </c>
      <c r="B1323" s="3">
        <v>15</v>
      </c>
      <c r="C1323" s="3">
        <v>59</v>
      </c>
      <c r="D1323" s="3">
        <v>9</v>
      </c>
      <c r="E1323" s="3">
        <f>((1/(INDEX(E0!J$4:J$73,C1323,1)-INDEX(E0!J$4:J$73,D1323,1))))*100000000</f>
        <v>0</v>
      </c>
      <c r="F1323" s="4" t="str">
        <f>HYPERLINK("http://141.218.60.56/~jnz1568/getInfo.php?workbook=16_15.xlsx&amp;sheet=A0&amp;row=1323&amp;col=6&amp;number=25038000&amp;sourceID=54","25038000")</f>
        <v>25038000</v>
      </c>
      <c r="G1323" s="4" t="str">
        <f>HYPERLINK("http://141.218.60.56/~jnz1568/getInfo.php?workbook=16_15.xlsx&amp;sheet=A0&amp;row=1323&amp;col=7&amp;number=&amp;sourceID=54","")</f>
        <v/>
      </c>
      <c r="H1323" s="4" t="str">
        <f>HYPERLINK("http://141.218.60.56/~jnz1568/getInfo.php?workbook=16_15.xlsx&amp;sheet=A0&amp;row=1323&amp;col=8&amp;number=&amp;sourceID=54","")</f>
        <v/>
      </c>
      <c r="I1323" s="4" t="str">
        <f>HYPERLINK("http://141.218.60.56/~jnz1568/getInfo.php?workbook=16_15.xlsx&amp;sheet=A0&amp;row=1323&amp;col=9&amp;number=24185000&amp;sourceID=54","24185000")</f>
        <v>24185000</v>
      </c>
      <c r="J1323" s="4" t="str">
        <f>HYPERLINK("http://141.218.60.56/~jnz1568/getInfo.php?workbook=16_15.xlsx&amp;sheet=A0&amp;row=1323&amp;col=10&amp;number=&amp;sourceID=54","")</f>
        <v/>
      </c>
      <c r="K1323" s="4" t="str">
        <f>HYPERLINK("http://141.218.60.56/~jnz1568/getInfo.php?workbook=16_15.xlsx&amp;sheet=A0&amp;row=1323&amp;col=11&amp;number=&amp;sourceID=54","")</f>
        <v/>
      </c>
      <c r="L1323" s="4" t="str">
        <f>HYPERLINK("http://141.218.60.56/~jnz1568/getInfo.php?workbook=16_15.xlsx&amp;sheet=A0&amp;row=1323&amp;col=12&amp;number=13838227.516&amp;sourceID=53","13838227.516")</f>
        <v>13838227.516</v>
      </c>
      <c r="M1323" s="4" t="str">
        <f>HYPERLINK("http://141.218.60.56/~jnz1568/getInfo.php?workbook=16_15.xlsx&amp;sheet=A0&amp;row=1323&amp;col=13&amp;number=&amp;sourceID=53","")</f>
        <v/>
      </c>
      <c r="N1323" s="4" t="str">
        <f>HYPERLINK("http://141.218.60.56/~jnz1568/getInfo.php?workbook=16_15.xlsx&amp;sheet=A0&amp;row=1323&amp;col=14&amp;number=&amp;sourceID=53","")</f>
        <v/>
      </c>
      <c r="O1323" s="4" t="str">
        <f>HYPERLINK("http://141.218.60.56/~jnz1568/getInfo.php?workbook=16_15.xlsx&amp;sheet=A0&amp;row=1323&amp;col=15&amp;number=&amp;sourceID=55","")</f>
        <v/>
      </c>
      <c r="P1323" s="4" t="str">
        <f>HYPERLINK("http://141.218.60.56/~jnz1568/getInfo.php?workbook=16_15.xlsx&amp;sheet=A0&amp;row=1323&amp;col=16&amp;number=&amp;sourceID=55","")</f>
        <v/>
      </c>
      <c r="Q1323" s="4" t="str">
        <f>HYPERLINK("http://141.218.60.56/~jnz1568/getInfo.php?workbook=16_15.xlsx&amp;sheet=A0&amp;row=1323&amp;col=17&amp;number=&amp;sourceID=56","")</f>
        <v/>
      </c>
      <c r="R1323" s="4" t="str">
        <f>HYPERLINK("http://141.218.60.56/~jnz1568/getInfo.php?workbook=16_15.xlsx&amp;sheet=A0&amp;row=1323&amp;col=18&amp;number=&amp;sourceID=56","")</f>
        <v/>
      </c>
      <c r="S1323" s="4" t="str">
        <f>HYPERLINK("http://141.218.60.56/~jnz1568/getInfo.php?workbook=16_15.xlsx&amp;sheet=A0&amp;row=1323&amp;col=19&amp;number=&amp;sourceID=57","")</f>
        <v/>
      </c>
      <c r="T1323" s="4" t="str">
        <f>HYPERLINK("http://141.218.60.56/~jnz1568/getInfo.php?workbook=16_15.xlsx&amp;sheet=A0&amp;row=1323&amp;col=20&amp;number=&amp;sourceID=57","")</f>
        <v/>
      </c>
      <c r="U1323" s="4" t="str">
        <f>HYPERLINK("http://141.218.60.56/~jnz1568/getInfo.php?workbook=16_15.xlsx&amp;sheet=A0&amp;row=1323&amp;col=21&amp;number=&amp;sourceID=47","")</f>
        <v/>
      </c>
      <c r="V1323" s="4" t="str">
        <f>HYPERLINK("http://141.218.60.56/~jnz1568/getInfo.php?workbook=16_15.xlsx&amp;sheet=A0&amp;row=1323&amp;col=22&amp;number=&amp;sourceID=47","")</f>
        <v/>
      </c>
    </row>
    <row r="1324" spans="1:22">
      <c r="A1324" s="3">
        <v>16</v>
      </c>
      <c r="B1324" s="3">
        <v>15</v>
      </c>
      <c r="C1324" s="3">
        <v>59</v>
      </c>
      <c r="D1324" s="3">
        <v>10</v>
      </c>
      <c r="E1324" s="3">
        <f>((1/(INDEX(E0!J$4:J$73,C1324,1)-INDEX(E0!J$4:J$73,D1324,1))))*100000000</f>
        <v>0</v>
      </c>
      <c r="F1324" s="4" t="str">
        <f>HYPERLINK("http://141.218.60.56/~jnz1568/getInfo.php?workbook=16_15.xlsx&amp;sheet=A0&amp;row=1324&amp;col=6&amp;number=1406600&amp;sourceID=54","1406600")</f>
        <v>1406600</v>
      </c>
      <c r="G1324" s="4" t="str">
        <f>HYPERLINK("http://141.218.60.56/~jnz1568/getInfo.php?workbook=16_15.xlsx&amp;sheet=A0&amp;row=1324&amp;col=7&amp;number=&amp;sourceID=54","")</f>
        <v/>
      </c>
      <c r="H1324" s="4" t="str">
        <f>HYPERLINK("http://141.218.60.56/~jnz1568/getInfo.php?workbook=16_15.xlsx&amp;sheet=A0&amp;row=1324&amp;col=8&amp;number=&amp;sourceID=54","")</f>
        <v/>
      </c>
      <c r="I1324" s="4" t="str">
        <f>HYPERLINK("http://141.218.60.56/~jnz1568/getInfo.php?workbook=16_15.xlsx&amp;sheet=A0&amp;row=1324&amp;col=9&amp;number=1345000&amp;sourceID=54","1345000")</f>
        <v>1345000</v>
      </c>
      <c r="J1324" s="4" t="str">
        <f>HYPERLINK("http://141.218.60.56/~jnz1568/getInfo.php?workbook=16_15.xlsx&amp;sheet=A0&amp;row=1324&amp;col=10&amp;number=&amp;sourceID=54","")</f>
        <v/>
      </c>
      <c r="K1324" s="4" t="str">
        <f>HYPERLINK("http://141.218.60.56/~jnz1568/getInfo.php?workbook=16_15.xlsx&amp;sheet=A0&amp;row=1324&amp;col=11&amp;number=&amp;sourceID=54","")</f>
        <v/>
      </c>
      <c r="L1324" s="4" t="str">
        <f>HYPERLINK("http://141.218.60.56/~jnz1568/getInfo.php?workbook=16_15.xlsx&amp;sheet=A0&amp;row=1324&amp;col=12&amp;number=581097.157194&amp;sourceID=53","581097.157194")</f>
        <v>581097.157194</v>
      </c>
      <c r="M1324" s="4" t="str">
        <f>HYPERLINK("http://141.218.60.56/~jnz1568/getInfo.php?workbook=16_15.xlsx&amp;sheet=A0&amp;row=1324&amp;col=13&amp;number=&amp;sourceID=53","")</f>
        <v/>
      </c>
      <c r="N1324" s="4" t="str">
        <f>HYPERLINK("http://141.218.60.56/~jnz1568/getInfo.php?workbook=16_15.xlsx&amp;sheet=A0&amp;row=1324&amp;col=14&amp;number=&amp;sourceID=53","")</f>
        <v/>
      </c>
      <c r="O1324" s="4" t="str">
        <f>HYPERLINK("http://141.218.60.56/~jnz1568/getInfo.php?workbook=16_15.xlsx&amp;sheet=A0&amp;row=1324&amp;col=15&amp;number=&amp;sourceID=55","")</f>
        <v/>
      </c>
      <c r="P1324" s="4" t="str">
        <f>HYPERLINK("http://141.218.60.56/~jnz1568/getInfo.php?workbook=16_15.xlsx&amp;sheet=A0&amp;row=1324&amp;col=16&amp;number=&amp;sourceID=55","")</f>
        <v/>
      </c>
      <c r="Q1324" s="4" t="str">
        <f>HYPERLINK("http://141.218.60.56/~jnz1568/getInfo.php?workbook=16_15.xlsx&amp;sheet=A0&amp;row=1324&amp;col=17&amp;number=&amp;sourceID=56","")</f>
        <v/>
      </c>
      <c r="R1324" s="4" t="str">
        <f>HYPERLINK("http://141.218.60.56/~jnz1568/getInfo.php?workbook=16_15.xlsx&amp;sheet=A0&amp;row=1324&amp;col=18&amp;number=&amp;sourceID=56","")</f>
        <v/>
      </c>
      <c r="S1324" s="4" t="str">
        <f>HYPERLINK("http://141.218.60.56/~jnz1568/getInfo.php?workbook=16_15.xlsx&amp;sheet=A0&amp;row=1324&amp;col=19&amp;number=&amp;sourceID=57","")</f>
        <v/>
      </c>
      <c r="T1324" s="4" t="str">
        <f>HYPERLINK("http://141.218.60.56/~jnz1568/getInfo.php?workbook=16_15.xlsx&amp;sheet=A0&amp;row=1324&amp;col=20&amp;number=&amp;sourceID=57","")</f>
        <v/>
      </c>
      <c r="U1324" s="4" t="str">
        <f>HYPERLINK("http://141.218.60.56/~jnz1568/getInfo.php?workbook=16_15.xlsx&amp;sheet=A0&amp;row=1324&amp;col=21&amp;number=&amp;sourceID=47","")</f>
        <v/>
      </c>
      <c r="V1324" s="4" t="str">
        <f>HYPERLINK("http://141.218.60.56/~jnz1568/getInfo.php?workbook=16_15.xlsx&amp;sheet=A0&amp;row=1324&amp;col=22&amp;number=&amp;sourceID=47","")</f>
        <v/>
      </c>
    </row>
    <row r="1325" spans="1:22">
      <c r="A1325" s="3">
        <v>16</v>
      </c>
      <c r="B1325" s="3">
        <v>15</v>
      </c>
      <c r="C1325" s="3">
        <v>59</v>
      </c>
      <c r="D1325" s="3">
        <v>11</v>
      </c>
      <c r="E1325" s="3">
        <f>((1/(INDEX(E0!J$4:J$73,C1325,1)-INDEX(E0!J$4:J$73,D1325,1))))*100000000</f>
        <v>0</v>
      </c>
      <c r="F1325" s="4" t="str">
        <f>HYPERLINK("http://141.218.60.56/~jnz1568/getInfo.php?workbook=16_15.xlsx&amp;sheet=A0&amp;row=1325&amp;col=6&amp;number=124170&amp;sourceID=54","124170")</f>
        <v>124170</v>
      </c>
      <c r="G1325" s="4" t="str">
        <f>HYPERLINK("http://141.218.60.56/~jnz1568/getInfo.php?workbook=16_15.xlsx&amp;sheet=A0&amp;row=1325&amp;col=7&amp;number=&amp;sourceID=54","")</f>
        <v/>
      </c>
      <c r="H1325" s="4" t="str">
        <f>HYPERLINK("http://141.218.60.56/~jnz1568/getInfo.php?workbook=16_15.xlsx&amp;sheet=A0&amp;row=1325&amp;col=8&amp;number=&amp;sourceID=54","")</f>
        <v/>
      </c>
      <c r="I1325" s="4" t="str">
        <f>HYPERLINK("http://141.218.60.56/~jnz1568/getInfo.php?workbook=16_15.xlsx&amp;sheet=A0&amp;row=1325&amp;col=9&amp;number=121420&amp;sourceID=54","121420")</f>
        <v>121420</v>
      </c>
      <c r="J1325" s="4" t="str">
        <f>HYPERLINK("http://141.218.60.56/~jnz1568/getInfo.php?workbook=16_15.xlsx&amp;sheet=A0&amp;row=1325&amp;col=10&amp;number=&amp;sourceID=54","")</f>
        <v/>
      </c>
      <c r="K1325" s="4" t="str">
        <f>HYPERLINK("http://141.218.60.56/~jnz1568/getInfo.php?workbook=16_15.xlsx&amp;sheet=A0&amp;row=1325&amp;col=11&amp;number=&amp;sourceID=54","")</f>
        <v/>
      </c>
      <c r="L1325" s="4" t="str">
        <f>HYPERLINK("http://141.218.60.56/~jnz1568/getInfo.php?workbook=16_15.xlsx&amp;sheet=A0&amp;row=1325&amp;col=12&amp;number=36740.626239&amp;sourceID=53","36740.626239")</f>
        <v>36740.626239</v>
      </c>
      <c r="M1325" s="4" t="str">
        <f>HYPERLINK("http://141.218.60.56/~jnz1568/getInfo.php?workbook=16_15.xlsx&amp;sheet=A0&amp;row=1325&amp;col=13&amp;number=&amp;sourceID=53","")</f>
        <v/>
      </c>
      <c r="N1325" s="4" t="str">
        <f>HYPERLINK("http://141.218.60.56/~jnz1568/getInfo.php?workbook=16_15.xlsx&amp;sheet=A0&amp;row=1325&amp;col=14&amp;number=&amp;sourceID=53","")</f>
        <v/>
      </c>
      <c r="O1325" s="4" t="str">
        <f>HYPERLINK("http://141.218.60.56/~jnz1568/getInfo.php?workbook=16_15.xlsx&amp;sheet=A0&amp;row=1325&amp;col=15&amp;number=&amp;sourceID=55","")</f>
        <v/>
      </c>
      <c r="P1325" s="4" t="str">
        <f>HYPERLINK("http://141.218.60.56/~jnz1568/getInfo.php?workbook=16_15.xlsx&amp;sheet=A0&amp;row=1325&amp;col=16&amp;number=&amp;sourceID=55","")</f>
        <v/>
      </c>
      <c r="Q1325" s="4" t="str">
        <f>HYPERLINK("http://141.218.60.56/~jnz1568/getInfo.php?workbook=16_15.xlsx&amp;sheet=A0&amp;row=1325&amp;col=17&amp;number=&amp;sourceID=56","")</f>
        <v/>
      </c>
      <c r="R1325" s="4" t="str">
        <f>HYPERLINK("http://141.218.60.56/~jnz1568/getInfo.php?workbook=16_15.xlsx&amp;sheet=A0&amp;row=1325&amp;col=18&amp;number=&amp;sourceID=56","")</f>
        <v/>
      </c>
      <c r="S1325" s="4" t="str">
        <f>HYPERLINK("http://141.218.60.56/~jnz1568/getInfo.php?workbook=16_15.xlsx&amp;sheet=A0&amp;row=1325&amp;col=19&amp;number=&amp;sourceID=57","")</f>
        <v/>
      </c>
      <c r="T1325" s="4" t="str">
        <f>HYPERLINK("http://141.218.60.56/~jnz1568/getInfo.php?workbook=16_15.xlsx&amp;sheet=A0&amp;row=1325&amp;col=20&amp;number=&amp;sourceID=57","")</f>
        <v/>
      </c>
      <c r="U1325" s="4" t="str">
        <f>HYPERLINK("http://141.218.60.56/~jnz1568/getInfo.php?workbook=16_15.xlsx&amp;sheet=A0&amp;row=1325&amp;col=21&amp;number=&amp;sourceID=47","")</f>
        <v/>
      </c>
      <c r="V1325" s="4" t="str">
        <f>HYPERLINK("http://141.218.60.56/~jnz1568/getInfo.php?workbook=16_15.xlsx&amp;sheet=A0&amp;row=1325&amp;col=22&amp;number=&amp;sourceID=47","")</f>
        <v/>
      </c>
    </row>
    <row r="1326" spans="1:22">
      <c r="A1326" s="3">
        <v>16</v>
      </c>
      <c r="B1326" s="3">
        <v>15</v>
      </c>
      <c r="C1326" s="3">
        <v>59</v>
      </c>
      <c r="D1326" s="3">
        <v>12</v>
      </c>
      <c r="E1326" s="3">
        <f>((1/(INDEX(E0!J$4:J$73,C1326,1)-INDEX(E0!J$4:J$73,D1326,1))))*100000000</f>
        <v>0</v>
      </c>
      <c r="F1326" s="4" t="str">
        <f>HYPERLINK("http://141.218.60.56/~jnz1568/getInfo.php?workbook=16_15.xlsx&amp;sheet=A0&amp;row=1326&amp;col=6&amp;number=3122600&amp;sourceID=54","3122600")</f>
        <v>3122600</v>
      </c>
      <c r="G1326" s="4" t="str">
        <f>HYPERLINK("http://141.218.60.56/~jnz1568/getInfo.php?workbook=16_15.xlsx&amp;sheet=A0&amp;row=1326&amp;col=7&amp;number=&amp;sourceID=54","")</f>
        <v/>
      </c>
      <c r="H1326" s="4" t="str">
        <f>HYPERLINK("http://141.218.60.56/~jnz1568/getInfo.php?workbook=16_15.xlsx&amp;sheet=A0&amp;row=1326&amp;col=8&amp;number=&amp;sourceID=54","")</f>
        <v/>
      </c>
      <c r="I1326" s="4" t="str">
        <f>HYPERLINK("http://141.218.60.56/~jnz1568/getInfo.php?workbook=16_15.xlsx&amp;sheet=A0&amp;row=1326&amp;col=9&amp;number=3053500&amp;sourceID=54","3053500")</f>
        <v>3053500</v>
      </c>
      <c r="J1326" s="4" t="str">
        <f>HYPERLINK("http://141.218.60.56/~jnz1568/getInfo.php?workbook=16_15.xlsx&amp;sheet=A0&amp;row=1326&amp;col=10&amp;number=&amp;sourceID=54","")</f>
        <v/>
      </c>
      <c r="K1326" s="4" t="str">
        <f>HYPERLINK("http://141.218.60.56/~jnz1568/getInfo.php?workbook=16_15.xlsx&amp;sheet=A0&amp;row=1326&amp;col=11&amp;number=&amp;sourceID=54","")</f>
        <v/>
      </c>
      <c r="L1326" s="4" t="str">
        <f>HYPERLINK("http://141.218.60.56/~jnz1568/getInfo.php?workbook=16_15.xlsx&amp;sheet=A0&amp;row=1326&amp;col=12&amp;number=1787172.77189&amp;sourceID=53","1787172.77189")</f>
        <v>1787172.77189</v>
      </c>
      <c r="M1326" s="4" t="str">
        <f>HYPERLINK("http://141.218.60.56/~jnz1568/getInfo.php?workbook=16_15.xlsx&amp;sheet=A0&amp;row=1326&amp;col=13&amp;number=&amp;sourceID=53","")</f>
        <v/>
      </c>
      <c r="N1326" s="4" t="str">
        <f>HYPERLINK("http://141.218.60.56/~jnz1568/getInfo.php?workbook=16_15.xlsx&amp;sheet=A0&amp;row=1326&amp;col=14&amp;number=&amp;sourceID=53","")</f>
        <v/>
      </c>
      <c r="O1326" s="4" t="str">
        <f>HYPERLINK("http://141.218.60.56/~jnz1568/getInfo.php?workbook=16_15.xlsx&amp;sheet=A0&amp;row=1326&amp;col=15&amp;number=&amp;sourceID=55","")</f>
        <v/>
      </c>
      <c r="P1326" s="4" t="str">
        <f>HYPERLINK("http://141.218.60.56/~jnz1568/getInfo.php?workbook=16_15.xlsx&amp;sheet=A0&amp;row=1326&amp;col=16&amp;number=&amp;sourceID=55","")</f>
        <v/>
      </c>
      <c r="Q1326" s="4" t="str">
        <f>HYPERLINK("http://141.218.60.56/~jnz1568/getInfo.php?workbook=16_15.xlsx&amp;sheet=A0&amp;row=1326&amp;col=17&amp;number=&amp;sourceID=56","")</f>
        <v/>
      </c>
      <c r="R1326" s="4" t="str">
        <f>HYPERLINK("http://141.218.60.56/~jnz1568/getInfo.php?workbook=16_15.xlsx&amp;sheet=A0&amp;row=1326&amp;col=18&amp;number=&amp;sourceID=56","")</f>
        <v/>
      </c>
      <c r="S1326" s="4" t="str">
        <f>HYPERLINK("http://141.218.60.56/~jnz1568/getInfo.php?workbook=16_15.xlsx&amp;sheet=A0&amp;row=1326&amp;col=19&amp;number=&amp;sourceID=57","")</f>
        <v/>
      </c>
      <c r="T1326" s="4" t="str">
        <f>HYPERLINK("http://141.218.60.56/~jnz1568/getInfo.php?workbook=16_15.xlsx&amp;sheet=A0&amp;row=1326&amp;col=20&amp;number=&amp;sourceID=57","")</f>
        <v/>
      </c>
      <c r="U1326" s="4" t="str">
        <f>HYPERLINK("http://141.218.60.56/~jnz1568/getInfo.php?workbook=16_15.xlsx&amp;sheet=A0&amp;row=1326&amp;col=21&amp;number=&amp;sourceID=47","")</f>
        <v/>
      </c>
      <c r="V1326" s="4" t="str">
        <f>HYPERLINK("http://141.218.60.56/~jnz1568/getInfo.php?workbook=16_15.xlsx&amp;sheet=A0&amp;row=1326&amp;col=22&amp;number=&amp;sourceID=47","")</f>
        <v/>
      </c>
    </row>
    <row r="1327" spans="1:22">
      <c r="A1327" s="3">
        <v>16</v>
      </c>
      <c r="B1327" s="3">
        <v>15</v>
      </c>
      <c r="C1327" s="3">
        <v>59</v>
      </c>
      <c r="D1327" s="3">
        <v>13</v>
      </c>
      <c r="E1327" s="3">
        <f>((1/(INDEX(E0!J$4:J$73,C1327,1)-INDEX(E0!J$4:J$73,D1327,1))))*100000000</f>
        <v>0</v>
      </c>
      <c r="F1327" s="4" t="str">
        <f>HYPERLINK("http://141.218.60.56/~jnz1568/getInfo.php?workbook=16_15.xlsx&amp;sheet=A0&amp;row=1327&amp;col=6&amp;number=21316&amp;sourceID=54","21316")</f>
        <v>21316</v>
      </c>
      <c r="G1327" s="4" t="str">
        <f>HYPERLINK("http://141.218.60.56/~jnz1568/getInfo.php?workbook=16_15.xlsx&amp;sheet=A0&amp;row=1327&amp;col=7&amp;number=&amp;sourceID=54","")</f>
        <v/>
      </c>
      <c r="H1327" s="4" t="str">
        <f>HYPERLINK("http://141.218.60.56/~jnz1568/getInfo.php?workbook=16_15.xlsx&amp;sheet=A0&amp;row=1327&amp;col=8&amp;number=&amp;sourceID=54","")</f>
        <v/>
      </c>
      <c r="I1327" s="4" t="str">
        <f>HYPERLINK("http://141.218.60.56/~jnz1568/getInfo.php?workbook=16_15.xlsx&amp;sheet=A0&amp;row=1327&amp;col=9&amp;number=29716&amp;sourceID=54","29716")</f>
        <v>29716</v>
      </c>
      <c r="J1327" s="4" t="str">
        <f>HYPERLINK("http://141.218.60.56/~jnz1568/getInfo.php?workbook=16_15.xlsx&amp;sheet=A0&amp;row=1327&amp;col=10&amp;number=&amp;sourceID=54","")</f>
        <v/>
      </c>
      <c r="K1327" s="4" t="str">
        <f>HYPERLINK("http://141.218.60.56/~jnz1568/getInfo.php?workbook=16_15.xlsx&amp;sheet=A0&amp;row=1327&amp;col=11&amp;number=&amp;sourceID=54","")</f>
        <v/>
      </c>
      <c r="L1327" s="4" t="str">
        <f>HYPERLINK("http://141.218.60.56/~jnz1568/getInfo.php?workbook=16_15.xlsx&amp;sheet=A0&amp;row=1327&amp;col=12&amp;number=1859.61707551&amp;sourceID=53","1859.61707551")</f>
        <v>1859.61707551</v>
      </c>
      <c r="M1327" s="4" t="str">
        <f>HYPERLINK("http://141.218.60.56/~jnz1568/getInfo.php?workbook=16_15.xlsx&amp;sheet=A0&amp;row=1327&amp;col=13&amp;number=&amp;sourceID=53","")</f>
        <v/>
      </c>
      <c r="N1327" s="4" t="str">
        <f>HYPERLINK("http://141.218.60.56/~jnz1568/getInfo.php?workbook=16_15.xlsx&amp;sheet=A0&amp;row=1327&amp;col=14&amp;number=&amp;sourceID=53","")</f>
        <v/>
      </c>
      <c r="O1327" s="4" t="str">
        <f>HYPERLINK("http://141.218.60.56/~jnz1568/getInfo.php?workbook=16_15.xlsx&amp;sheet=A0&amp;row=1327&amp;col=15&amp;number=&amp;sourceID=55","")</f>
        <v/>
      </c>
      <c r="P1327" s="4" t="str">
        <f>HYPERLINK("http://141.218.60.56/~jnz1568/getInfo.php?workbook=16_15.xlsx&amp;sheet=A0&amp;row=1327&amp;col=16&amp;number=&amp;sourceID=55","")</f>
        <v/>
      </c>
      <c r="Q1327" s="4" t="str">
        <f>HYPERLINK("http://141.218.60.56/~jnz1568/getInfo.php?workbook=16_15.xlsx&amp;sheet=A0&amp;row=1327&amp;col=17&amp;number=&amp;sourceID=56","")</f>
        <v/>
      </c>
      <c r="R1327" s="4" t="str">
        <f>HYPERLINK("http://141.218.60.56/~jnz1568/getInfo.php?workbook=16_15.xlsx&amp;sheet=A0&amp;row=1327&amp;col=18&amp;number=&amp;sourceID=56","")</f>
        <v/>
      </c>
      <c r="S1327" s="4" t="str">
        <f>HYPERLINK("http://141.218.60.56/~jnz1568/getInfo.php?workbook=16_15.xlsx&amp;sheet=A0&amp;row=1327&amp;col=19&amp;number=&amp;sourceID=57","")</f>
        <v/>
      </c>
      <c r="T1327" s="4" t="str">
        <f>HYPERLINK("http://141.218.60.56/~jnz1568/getInfo.php?workbook=16_15.xlsx&amp;sheet=A0&amp;row=1327&amp;col=20&amp;number=&amp;sourceID=57","")</f>
        <v/>
      </c>
      <c r="U1327" s="4" t="str">
        <f>HYPERLINK("http://141.218.60.56/~jnz1568/getInfo.php?workbook=16_15.xlsx&amp;sheet=A0&amp;row=1327&amp;col=21&amp;number=&amp;sourceID=47","")</f>
        <v/>
      </c>
      <c r="V1327" s="4" t="str">
        <f>HYPERLINK("http://141.218.60.56/~jnz1568/getInfo.php?workbook=16_15.xlsx&amp;sheet=A0&amp;row=1327&amp;col=22&amp;number=&amp;sourceID=47","")</f>
        <v/>
      </c>
    </row>
    <row r="1328" spans="1:22">
      <c r="A1328" s="3">
        <v>16</v>
      </c>
      <c r="B1328" s="3">
        <v>15</v>
      </c>
      <c r="C1328" s="3">
        <v>59</v>
      </c>
      <c r="D1328" s="3">
        <v>14</v>
      </c>
      <c r="E1328" s="3">
        <f>((1/(INDEX(E0!J$4:J$73,C1328,1)-INDEX(E0!J$4:J$73,D1328,1))))*100000000</f>
        <v>0</v>
      </c>
      <c r="F1328" s="4" t="str">
        <f>HYPERLINK("http://141.218.60.56/~jnz1568/getInfo.php?workbook=16_15.xlsx&amp;sheet=A0&amp;row=1328&amp;col=6&amp;number=9074.5&amp;sourceID=54","9074.5")</f>
        <v>9074.5</v>
      </c>
      <c r="G1328" s="4" t="str">
        <f>HYPERLINK("http://141.218.60.56/~jnz1568/getInfo.php?workbook=16_15.xlsx&amp;sheet=A0&amp;row=1328&amp;col=7&amp;number=&amp;sourceID=54","")</f>
        <v/>
      </c>
      <c r="H1328" s="4" t="str">
        <f>HYPERLINK("http://141.218.60.56/~jnz1568/getInfo.php?workbook=16_15.xlsx&amp;sheet=A0&amp;row=1328&amp;col=8&amp;number=&amp;sourceID=54","")</f>
        <v/>
      </c>
      <c r="I1328" s="4" t="str">
        <f>HYPERLINK("http://141.218.60.56/~jnz1568/getInfo.php?workbook=16_15.xlsx&amp;sheet=A0&amp;row=1328&amp;col=9&amp;number=11600&amp;sourceID=54","11600")</f>
        <v>11600</v>
      </c>
      <c r="J1328" s="4" t="str">
        <f>HYPERLINK("http://141.218.60.56/~jnz1568/getInfo.php?workbook=16_15.xlsx&amp;sheet=A0&amp;row=1328&amp;col=10&amp;number=&amp;sourceID=54","")</f>
        <v/>
      </c>
      <c r="K1328" s="4" t="str">
        <f>HYPERLINK("http://141.218.60.56/~jnz1568/getInfo.php?workbook=16_15.xlsx&amp;sheet=A0&amp;row=1328&amp;col=11&amp;number=&amp;sourceID=54","")</f>
        <v/>
      </c>
      <c r="L1328" s="4" t="str">
        <f>HYPERLINK("http://141.218.60.56/~jnz1568/getInfo.php?workbook=16_15.xlsx&amp;sheet=A0&amp;row=1328&amp;col=12&amp;number=1241.15769696&amp;sourceID=53","1241.15769696")</f>
        <v>1241.15769696</v>
      </c>
      <c r="M1328" s="4" t="str">
        <f>HYPERLINK("http://141.218.60.56/~jnz1568/getInfo.php?workbook=16_15.xlsx&amp;sheet=A0&amp;row=1328&amp;col=13&amp;number=&amp;sourceID=53","")</f>
        <v/>
      </c>
      <c r="N1328" s="4" t="str">
        <f>HYPERLINK("http://141.218.60.56/~jnz1568/getInfo.php?workbook=16_15.xlsx&amp;sheet=A0&amp;row=1328&amp;col=14&amp;number=&amp;sourceID=53","")</f>
        <v/>
      </c>
      <c r="O1328" s="4" t="str">
        <f>HYPERLINK("http://141.218.60.56/~jnz1568/getInfo.php?workbook=16_15.xlsx&amp;sheet=A0&amp;row=1328&amp;col=15&amp;number=&amp;sourceID=55","")</f>
        <v/>
      </c>
      <c r="P1328" s="4" t="str">
        <f>HYPERLINK("http://141.218.60.56/~jnz1568/getInfo.php?workbook=16_15.xlsx&amp;sheet=A0&amp;row=1328&amp;col=16&amp;number=&amp;sourceID=55","")</f>
        <v/>
      </c>
      <c r="Q1328" s="4" t="str">
        <f>HYPERLINK("http://141.218.60.56/~jnz1568/getInfo.php?workbook=16_15.xlsx&amp;sheet=A0&amp;row=1328&amp;col=17&amp;number=&amp;sourceID=56","")</f>
        <v/>
      </c>
      <c r="R1328" s="4" t="str">
        <f>HYPERLINK("http://141.218.60.56/~jnz1568/getInfo.php?workbook=16_15.xlsx&amp;sheet=A0&amp;row=1328&amp;col=18&amp;number=&amp;sourceID=56","")</f>
        <v/>
      </c>
      <c r="S1328" s="4" t="str">
        <f>HYPERLINK("http://141.218.60.56/~jnz1568/getInfo.php?workbook=16_15.xlsx&amp;sheet=A0&amp;row=1328&amp;col=19&amp;number=&amp;sourceID=57","")</f>
        <v/>
      </c>
      <c r="T1328" s="4" t="str">
        <f>HYPERLINK("http://141.218.60.56/~jnz1568/getInfo.php?workbook=16_15.xlsx&amp;sheet=A0&amp;row=1328&amp;col=20&amp;number=&amp;sourceID=57","")</f>
        <v/>
      </c>
      <c r="U1328" s="4" t="str">
        <f>HYPERLINK("http://141.218.60.56/~jnz1568/getInfo.php?workbook=16_15.xlsx&amp;sheet=A0&amp;row=1328&amp;col=21&amp;number=&amp;sourceID=47","")</f>
        <v/>
      </c>
      <c r="V1328" s="4" t="str">
        <f>HYPERLINK("http://141.218.60.56/~jnz1568/getInfo.php?workbook=16_15.xlsx&amp;sheet=A0&amp;row=1328&amp;col=22&amp;number=&amp;sourceID=47","")</f>
        <v/>
      </c>
    </row>
    <row r="1329" spans="1:22">
      <c r="A1329" s="3">
        <v>16</v>
      </c>
      <c r="B1329" s="3">
        <v>15</v>
      </c>
      <c r="C1329" s="3">
        <v>59</v>
      </c>
      <c r="D1329" s="3">
        <v>15</v>
      </c>
      <c r="E1329" s="3">
        <f>((1/(INDEX(E0!J$4:J$73,C1329,1)-INDEX(E0!J$4:J$73,D1329,1))))*100000000</f>
        <v>0</v>
      </c>
      <c r="F1329" s="4" t="str">
        <f>HYPERLINK("http://141.218.60.56/~jnz1568/getInfo.php?workbook=16_15.xlsx&amp;sheet=A0&amp;row=1329&amp;col=6&amp;number=10002&amp;sourceID=54","10002")</f>
        <v>10002</v>
      </c>
      <c r="G1329" s="4" t="str">
        <f>HYPERLINK("http://141.218.60.56/~jnz1568/getInfo.php?workbook=16_15.xlsx&amp;sheet=A0&amp;row=1329&amp;col=7&amp;number=&amp;sourceID=54","")</f>
        <v/>
      </c>
      <c r="H1329" s="4" t="str">
        <f>HYPERLINK("http://141.218.60.56/~jnz1568/getInfo.php?workbook=16_15.xlsx&amp;sheet=A0&amp;row=1329&amp;col=8&amp;number=&amp;sourceID=54","")</f>
        <v/>
      </c>
      <c r="I1329" s="4" t="str">
        <f>HYPERLINK("http://141.218.60.56/~jnz1568/getInfo.php?workbook=16_15.xlsx&amp;sheet=A0&amp;row=1329&amp;col=9&amp;number=10453&amp;sourceID=54","10453")</f>
        <v>10453</v>
      </c>
      <c r="J1329" s="4" t="str">
        <f>HYPERLINK("http://141.218.60.56/~jnz1568/getInfo.php?workbook=16_15.xlsx&amp;sheet=A0&amp;row=1329&amp;col=10&amp;number=&amp;sourceID=54","")</f>
        <v/>
      </c>
      <c r="K1329" s="4" t="str">
        <f>HYPERLINK("http://141.218.60.56/~jnz1568/getInfo.php?workbook=16_15.xlsx&amp;sheet=A0&amp;row=1329&amp;col=11&amp;number=&amp;sourceID=54","")</f>
        <v/>
      </c>
      <c r="L1329" s="4" t="str">
        <f>HYPERLINK("http://141.218.60.56/~jnz1568/getInfo.php?workbook=16_15.xlsx&amp;sheet=A0&amp;row=1329&amp;col=12&amp;number=10929.0247291&amp;sourceID=53","10929.0247291")</f>
        <v>10929.0247291</v>
      </c>
      <c r="M1329" s="4" t="str">
        <f>HYPERLINK("http://141.218.60.56/~jnz1568/getInfo.php?workbook=16_15.xlsx&amp;sheet=A0&amp;row=1329&amp;col=13&amp;number=&amp;sourceID=53","")</f>
        <v/>
      </c>
      <c r="N1329" s="4" t="str">
        <f>HYPERLINK("http://141.218.60.56/~jnz1568/getInfo.php?workbook=16_15.xlsx&amp;sheet=A0&amp;row=1329&amp;col=14&amp;number=&amp;sourceID=53","")</f>
        <v/>
      </c>
      <c r="O1329" s="4" t="str">
        <f>HYPERLINK("http://141.218.60.56/~jnz1568/getInfo.php?workbook=16_15.xlsx&amp;sheet=A0&amp;row=1329&amp;col=15&amp;number=&amp;sourceID=55","")</f>
        <v/>
      </c>
      <c r="P1329" s="4" t="str">
        <f>HYPERLINK("http://141.218.60.56/~jnz1568/getInfo.php?workbook=16_15.xlsx&amp;sheet=A0&amp;row=1329&amp;col=16&amp;number=&amp;sourceID=55","")</f>
        <v/>
      </c>
      <c r="Q1329" s="4" t="str">
        <f>HYPERLINK("http://141.218.60.56/~jnz1568/getInfo.php?workbook=16_15.xlsx&amp;sheet=A0&amp;row=1329&amp;col=17&amp;number=&amp;sourceID=56","")</f>
        <v/>
      </c>
      <c r="R1329" s="4" t="str">
        <f>HYPERLINK("http://141.218.60.56/~jnz1568/getInfo.php?workbook=16_15.xlsx&amp;sheet=A0&amp;row=1329&amp;col=18&amp;number=&amp;sourceID=56","")</f>
        <v/>
      </c>
      <c r="S1329" s="4" t="str">
        <f>HYPERLINK("http://141.218.60.56/~jnz1568/getInfo.php?workbook=16_15.xlsx&amp;sheet=A0&amp;row=1329&amp;col=19&amp;number=&amp;sourceID=57","")</f>
        <v/>
      </c>
      <c r="T1329" s="4" t="str">
        <f>HYPERLINK("http://141.218.60.56/~jnz1568/getInfo.php?workbook=16_15.xlsx&amp;sheet=A0&amp;row=1329&amp;col=20&amp;number=&amp;sourceID=57","")</f>
        <v/>
      </c>
      <c r="U1329" s="4" t="str">
        <f>HYPERLINK("http://141.218.60.56/~jnz1568/getInfo.php?workbook=16_15.xlsx&amp;sheet=A0&amp;row=1329&amp;col=21&amp;number=&amp;sourceID=47","")</f>
        <v/>
      </c>
      <c r="V1329" s="4" t="str">
        <f>HYPERLINK("http://141.218.60.56/~jnz1568/getInfo.php?workbook=16_15.xlsx&amp;sheet=A0&amp;row=1329&amp;col=22&amp;number=&amp;sourceID=47","")</f>
        <v/>
      </c>
    </row>
    <row r="1330" spans="1:22">
      <c r="A1330" s="3">
        <v>16</v>
      </c>
      <c r="B1330" s="3">
        <v>15</v>
      </c>
      <c r="C1330" s="3">
        <v>59</v>
      </c>
      <c r="D1330" s="3">
        <v>16</v>
      </c>
      <c r="E1330" s="3">
        <f>((1/(INDEX(E0!J$4:J$73,C1330,1)-INDEX(E0!J$4:J$73,D1330,1))))*100000000</f>
        <v>0</v>
      </c>
      <c r="F1330" s="4" t="str">
        <f>HYPERLINK("http://141.218.60.56/~jnz1568/getInfo.php?workbook=16_15.xlsx&amp;sheet=A0&amp;row=1330&amp;col=6&amp;number=11.255&amp;sourceID=54","11.255")</f>
        <v>11.255</v>
      </c>
      <c r="G1330" s="4" t="str">
        <f>HYPERLINK("http://141.218.60.56/~jnz1568/getInfo.php?workbook=16_15.xlsx&amp;sheet=A0&amp;row=1330&amp;col=7&amp;number=&amp;sourceID=54","")</f>
        <v/>
      </c>
      <c r="H1330" s="4" t="str">
        <f>HYPERLINK("http://141.218.60.56/~jnz1568/getInfo.php?workbook=16_15.xlsx&amp;sheet=A0&amp;row=1330&amp;col=8&amp;number=&amp;sourceID=54","")</f>
        <v/>
      </c>
      <c r="I1330" s="4" t="str">
        <f>HYPERLINK("http://141.218.60.56/~jnz1568/getInfo.php?workbook=16_15.xlsx&amp;sheet=A0&amp;row=1330&amp;col=9&amp;number=1.3947&amp;sourceID=54","1.3947")</f>
        <v>1.3947</v>
      </c>
      <c r="J1330" s="4" t="str">
        <f>HYPERLINK("http://141.218.60.56/~jnz1568/getInfo.php?workbook=16_15.xlsx&amp;sheet=A0&amp;row=1330&amp;col=10&amp;number=&amp;sourceID=54","")</f>
        <v/>
      </c>
      <c r="K1330" s="4" t="str">
        <f>HYPERLINK("http://141.218.60.56/~jnz1568/getInfo.php?workbook=16_15.xlsx&amp;sheet=A0&amp;row=1330&amp;col=11&amp;number=&amp;sourceID=54","")</f>
        <v/>
      </c>
      <c r="L1330" s="4" t="str">
        <f>HYPERLINK("http://141.218.60.56/~jnz1568/getInfo.php?workbook=16_15.xlsx&amp;sheet=A0&amp;row=1330&amp;col=12&amp;number=4.83454731711&amp;sourceID=53","4.83454731711")</f>
        <v>4.83454731711</v>
      </c>
      <c r="M1330" s="4" t="str">
        <f>HYPERLINK("http://141.218.60.56/~jnz1568/getInfo.php?workbook=16_15.xlsx&amp;sheet=A0&amp;row=1330&amp;col=13&amp;number=&amp;sourceID=53","")</f>
        <v/>
      </c>
      <c r="N1330" s="4" t="str">
        <f>HYPERLINK("http://141.218.60.56/~jnz1568/getInfo.php?workbook=16_15.xlsx&amp;sheet=A0&amp;row=1330&amp;col=14&amp;number=&amp;sourceID=53","")</f>
        <v/>
      </c>
      <c r="O1330" s="4" t="str">
        <f>HYPERLINK("http://141.218.60.56/~jnz1568/getInfo.php?workbook=16_15.xlsx&amp;sheet=A0&amp;row=1330&amp;col=15&amp;number=&amp;sourceID=55","")</f>
        <v/>
      </c>
      <c r="P1330" s="4" t="str">
        <f>HYPERLINK("http://141.218.60.56/~jnz1568/getInfo.php?workbook=16_15.xlsx&amp;sheet=A0&amp;row=1330&amp;col=16&amp;number=&amp;sourceID=55","")</f>
        <v/>
      </c>
      <c r="Q1330" s="4" t="str">
        <f>HYPERLINK("http://141.218.60.56/~jnz1568/getInfo.php?workbook=16_15.xlsx&amp;sheet=A0&amp;row=1330&amp;col=17&amp;number=&amp;sourceID=56","")</f>
        <v/>
      </c>
      <c r="R1330" s="4" t="str">
        <f>HYPERLINK("http://141.218.60.56/~jnz1568/getInfo.php?workbook=16_15.xlsx&amp;sheet=A0&amp;row=1330&amp;col=18&amp;number=&amp;sourceID=56","")</f>
        <v/>
      </c>
      <c r="S1330" s="4" t="str">
        <f>HYPERLINK("http://141.218.60.56/~jnz1568/getInfo.php?workbook=16_15.xlsx&amp;sheet=A0&amp;row=1330&amp;col=19&amp;number=&amp;sourceID=57","")</f>
        <v/>
      </c>
      <c r="T1330" s="4" t="str">
        <f>HYPERLINK("http://141.218.60.56/~jnz1568/getInfo.php?workbook=16_15.xlsx&amp;sheet=A0&amp;row=1330&amp;col=20&amp;number=&amp;sourceID=57","")</f>
        <v/>
      </c>
      <c r="U1330" s="4" t="str">
        <f>HYPERLINK("http://141.218.60.56/~jnz1568/getInfo.php?workbook=16_15.xlsx&amp;sheet=A0&amp;row=1330&amp;col=21&amp;number=&amp;sourceID=47","")</f>
        <v/>
      </c>
      <c r="V1330" s="4" t="str">
        <f>HYPERLINK("http://141.218.60.56/~jnz1568/getInfo.php?workbook=16_15.xlsx&amp;sheet=A0&amp;row=1330&amp;col=22&amp;number=&amp;sourceID=47","")</f>
        <v/>
      </c>
    </row>
    <row r="1331" spans="1:22">
      <c r="A1331" s="3">
        <v>16</v>
      </c>
      <c r="B1331" s="3">
        <v>15</v>
      </c>
      <c r="C1331" s="3">
        <v>59</v>
      </c>
      <c r="D1331" s="3">
        <v>17</v>
      </c>
      <c r="E1331" s="3">
        <f>((1/(INDEX(E0!J$4:J$73,C1331,1)-INDEX(E0!J$4:J$73,D1331,1))))*100000000</f>
        <v>0</v>
      </c>
      <c r="F1331" s="4" t="str">
        <f>HYPERLINK("http://141.218.60.56/~jnz1568/getInfo.php?workbook=16_15.xlsx&amp;sheet=A0&amp;row=1331&amp;col=6&amp;number=2440.3&amp;sourceID=54","2440.3")</f>
        <v>2440.3</v>
      </c>
      <c r="G1331" s="4" t="str">
        <f>HYPERLINK("http://141.218.60.56/~jnz1568/getInfo.php?workbook=16_15.xlsx&amp;sheet=A0&amp;row=1331&amp;col=7&amp;number=&amp;sourceID=54","")</f>
        <v/>
      </c>
      <c r="H1331" s="4" t="str">
        <f>HYPERLINK("http://141.218.60.56/~jnz1568/getInfo.php?workbook=16_15.xlsx&amp;sheet=A0&amp;row=1331&amp;col=8&amp;number=&amp;sourceID=54","")</f>
        <v/>
      </c>
      <c r="I1331" s="4" t="str">
        <f>HYPERLINK("http://141.218.60.56/~jnz1568/getInfo.php?workbook=16_15.xlsx&amp;sheet=A0&amp;row=1331&amp;col=9&amp;number=2837.8&amp;sourceID=54","2837.8")</f>
        <v>2837.8</v>
      </c>
      <c r="J1331" s="4" t="str">
        <f>HYPERLINK("http://141.218.60.56/~jnz1568/getInfo.php?workbook=16_15.xlsx&amp;sheet=A0&amp;row=1331&amp;col=10&amp;number=&amp;sourceID=54","")</f>
        <v/>
      </c>
      <c r="K1331" s="4" t="str">
        <f>HYPERLINK("http://141.218.60.56/~jnz1568/getInfo.php?workbook=16_15.xlsx&amp;sheet=A0&amp;row=1331&amp;col=11&amp;number=&amp;sourceID=54","")</f>
        <v/>
      </c>
      <c r="L1331" s="4" t="str">
        <f>HYPERLINK("http://141.218.60.56/~jnz1568/getInfo.php?workbook=16_15.xlsx&amp;sheet=A0&amp;row=1331&amp;col=12&amp;number=4499.04326453&amp;sourceID=53","4499.04326453")</f>
        <v>4499.04326453</v>
      </c>
      <c r="M1331" s="4" t="str">
        <f>HYPERLINK("http://141.218.60.56/~jnz1568/getInfo.php?workbook=16_15.xlsx&amp;sheet=A0&amp;row=1331&amp;col=13&amp;number=&amp;sourceID=53","")</f>
        <v/>
      </c>
      <c r="N1331" s="4" t="str">
        <f>HYPERLINK("http://141.218.60.56/~jnz1568/getInfo.php?workbook=16_15.xlsx&amp;sheet=A0&amp;row=1331&amp;col=14&amp;number=&amp;sourceID=53","")</f>
        <v/>
      </c>
      <c r="O1331" s="4" t="str">
        <f>HYPERLINK("http://141.218.60.56/~jnz1568/getInfo.php?workbook=16_15.xlsx&amp;sheet=A0&amp;row=1331&amp;col=15&amp;number=&amp;sourceID=55","")</f>
        <v/>
      </c>
      <c r="P1331" s="4" t="str">
        <f>HYPERLINK("http://141.218.60.56/~jnz1568/getInfo.php?workbook=16_15.xlsx&amp;sheet=A0&amp;row=1331&amp;col=16&amp;number=&amp;sourceID=55","")</f>
        <v/>
      </c>
      <c r="Q1331" s="4" t="str">
        <f>HYPERLINK("http://141.218.60.56/~jnz1568/getInfo.php?workbook=16_15.xlsx&amp;sheet=A0&amp;row=1331&amp;col=17&amp;number=&amp;sourceID=56","")</f>
        <v/>
      </c>
      <c r="R1331" s="4" t="str">
        <f>HYPERLINK("http://141.218.60.56/~jnz1568/getInfo.php?workbook=16_15.xlsx&amp;sheet=A0&amp;row=1331&amp;col=18&amp;number=&amp;sourceID=56","")</f>
        <v/>
      </c>
      <c r="S1331" s="4" t="str">
        <f>HYPERLINK("http://141.218.60.56/~jnz1568/getInfo.php?workbook=16_15.xlsx&amp;sheet=A0&amp;row=1331&amp;col=19&amp;number=&amp;sourceID=57","")</f>
        <v/>
      </c>
      <c r="T1331" s="4" t="str">
        <f>HYPERLINK("http://141.218.60.56/~jnz1568/getInfo.php?workbook=16_15.xlsx&amp;sheet=A0&amp;row=1331&amp;col=20&amp;number=&amp;sourceID=57","")</f>
        <v/>
      </c>
      <c r="U1331" s="4" t="str">
        <f>HYPERLINK("http://141.218.60.56/~jnz1568/getInfo.php?workbook=16_15.xlsx&amp;sheet=A0&amp;row=1331&amp;col=21&amp;number=&amp;sourceID=47","")</f>
        <v/>
      </c>
      <c r="V1331" s="4" t="str">
        <f>HYPERLINK("http://141.218.60.56/~jnz1568/getInfo.php?workbook=16_15.xlsx&amp;sheet=A0&amp;row=1331&amp;col=22&amp;number=&amp;sourceID=47","")</f>
        <v/>
      </c>
    </row>
    <row r="1332" spans="1:22">
      <c r="A1332" s="3">
        <v>16</v>
      </c>
      <c r="B1332" s="3">
        <v>15</v>
      </c>
      <c r="C1332" s="3">
        <v>59</v>
      </c>
      <c r="D1332" s="3">
        <v>20</v>
      </c>
      <c r="E1332" s="3">
        <f>((1/(INDEX(E0!J$4:J$73,C1332,1)-INDEX(E0!J$4:J$73,D1332,1))))*100000000</f>
        <v>0</v>
      </c>
      <c r="F1332" s="4" t="str">
        <f>HYPERLINK("http://141.218.60.56/~jnz1568/getInfo.php?workbook=16_15.xlsx&amp;sheet=A0&amp;row=1332&amp;col=6&amp;number=21082000&amp;sourceID=54","21082000")</f>
        <v>21082000</v>
      </c>
      <c r="G1332" s="4" t="str">
        <f>HYPERLINK("http://141.218.60.56/~jnz1568/getInfo.php?workbook=16_15.xlsx&amp;sheet=A0&amp;row=1332&amp;col=7&amp;number=&amp;sourceID=54","")</f>
        <v/>
      </c>
      <c r="H1332" s="4" t="str">
        <f>HYPERLINK("http://141.218.60.56/~jnz1568/getInfo.php?workbook=16_15.xlsx&amp;sheet=A0&amp;row=1332&amp;col=8&amp;number=&amp;sourceID=54","")</f>
        <v/>
      </c>
      <c r="I1332" s="4" t="str">
        <f>HYPERLINK("http://141.218.60.56/~jnz1568/getInfo.php?workbook=16_15.xlsx&amp;sheet=A0&amp;row=1332&amp;col=9&amp;number=19792000&amp;sourceID=54","19792000")</f>
        <v>19792000</v>
      </c>
      <c r="J1332" s="4" t="str">
        <f>HYPERLINK("http://141.218.60.56/~jnz1568/getInfo.php?workbook=16_15.xlsx&amp;sheet=A0&amp;row=1332&amp;col=10&amp;number=&amp;sourceID=54","")</f>
        <v/>
      </c>
      <c r="K1332" s="4" t="str">
        <f>HYPERLINK("http://141.218.60.56/~jnz1568/getInfo.php?workbook=16_15.xlsx&amp;sheet=A0&amp;row=1332&amp;col=11&amp;number=&amp;sourceID=54","")</f>
        <v/>
      </c>
      <c r="L1332" s="4" t="str">
        <f>HYPERLINK("http://141.218.60.56/~jnz1568/getInfo.php?workbook=16_15.xlsx&amp;sheet=A0&amp;row=1332&amp;col=12&amp;number=3759745.7701&amp;sourceID=53","3759745.7701")</f>
        <v>3759745.7701</v>
      </c>
      <c r="M1332" s="4" t="str">
        <f>HYPERLINK("http://141.218.60.56/~jnz1568/getInfo.php?workbook=16_15.xlsx&amp;sheet=A0&amp;row=1332&amp;col=13&amp;number=&amp;sourceID=53","")</f>
        <v/>
      </c>
      <c r="N1332" s="4" t="str">
        <f>HYPERLINK("http://141.218.60.56/~jnz1568/getInfo.php?workbook=16_15.xlsx&amp;sheet=A0&amp;row=1332&amp;col=14&amp;number=&amp;sourceID=53","")</f>
        <v/>
      </c>
      <c r="O1332" s="4" t="str">
        <f>HYPERLINK("http://141.218.60.56/~jnz1568/getInfo.php?workbook=16_15.xlsx&amp;sheet=A0&amp;row=1332&amp;col=15&amp;number=&amp;sourceID=55","")</f>
        <v/>
      </c>
      <c r="P1332" s="4" t="str">
        <f>HYPERLINK("http://141.218.60.56/~jnz1568/getInfo.php?workbook=16_15.xlsx&amp;sheet=A0&amp;row=1332&amp;col=16&amp;number=&amp;sourceID=55","")</f>
        <v/>
      </c>
      <c r="Q1332" s="4" t="str">
        <f>HYPERLINK("http://141.218.60.56/~jnz1568/getInfo.php?workbook=16_15.xlsx&amp;sheet=A0&amp;row=1332&amp;col=17&amp;number=&amp;sourceID=56","")</f>
        <v/>
      </c>
      <c r="R1332" s="4" t="str">
        <f>HYPERLINK("http://141.218.60.56/~jnz1568/getInfo.php?workbook=16_15.xlsx&amp;sheet=A0&amp;row=1332&amp;col=18&amp;number=&amp;sourceID=56","")</f>
        <v/>
      </c>
      <c r="S1332" s="4" t="str">
        <f>HYPERLINK("http://141.218.60.56/~jnz1568/getInfo.php?workbook=16_15.xlsx&amp;sheet=A0&amp;row=1332&amp;col=19&amp;number=&amp;sourceID=57","")</f>
        <v/>
      </c>
      <c r="T1332" s="4" t="str">
        <f>HYPERLINK("http://141.218.60.56/~jnz1568/getInfo.php?workbook=16_15.xlsx&amp;sheet=A0&amp;row=1332&amp;col=20&amp;number=&amp;sourceID=57","")</f>
        <v/>
      </c>
      <c r="U1332" s="4" t="str">
        <f>HYPERLINK("http://141.218.60.56/~jnz1568/getInfo.php?workbook=16_15.xlsx&amp;sheet=A0&amp;row=1332&amp;col=21&amp;number=&amp;sourceID=47","")</f>
        <v/>
      </c>
      <c r="V1332" s="4" t="str">
        <f>HYPERLINK("http://141.218.60.56/~jnz1568/getInfo.php?workbook=16_15.xlsx&amp;sheet=A0&amp;row=1332&amp;col=22&amp;number=&amp;sourceID=47","")</f>
        <v/>
      </c>
    </row>
    <row r="1333" spans="1:22">
      <c r="A1333" s="3">
        <v>16</v>
      </c>
      <c r="B1333" s="3">
        <v>15</v>
      </c>
      <c r="C1333" s="3">
        <v>59</v>
      </c>
      <c r="D1333" s="3">
        <v>21</v>
      </c>
      <c r="E1333" s="3">
        <f>((1/(INDEX(E0!J$4:J$73,C1333,1)-INDEX(E0!J$4:J$73,D1333,1))))*100000000</f>
        <v>0</v>
      </c>
      <c r="F1333" s="4" t="str">
        <f>HYPERLINK("http://141.218.60.56/~jnz1568/getInfo.php?workbook=16_15.xlsx&amp;sheet=A0&amp;row=1333&amp;col=6&amp;number=3280700&amp;sourceID=54","3280700")</f>
        <v>3280700</v>
      </c>
      <c r="G1333" s="4" t="str">
        <f>HYPERLINK("http://141.218.60.56/~jnz1568/getInfo.php?workbook=16_15.xlsx&amp;sheet=A0&amp;row=1333&amp;col=7&amp;number=&amp;sourceID=54","")</f>
        <v/>
      </c>
      <c r="H1333" s="4" t="str">
        <f>HYPERLINK("http://141.218.60.56/~jnz1568/getInfo.php?workbook=16_15.xlsx&amp;sheet=A0&amp;row=1333&amp;col=8&amp;number=&amp;sourceID=54","")</f>
        <v/>
      </c>
      <c r="I1333" s="4" t="str">
        <f>HYPERLINK("http://141.218.60.56/~jnz1568/getInfo.php?workbook=16_15.xlsx&amp;sheet=A0&amp;row=1333&amp;col=9&amp;number=2785500&amp;sourceID=54","2785500")</f>
        <v>2785500</v>
      </c>
      <c r="J1333" s="4" t="str">
        <f>HYPERLINK("http://141.218.60.56/~jnz1568/getInfo.php?workbook=16_15.xlsx&amp;sheet=A0&amp;row=1333&amp;col=10&amp;number=&amp;sourceID=54","")</f>
        <v/>
      </c>
      <c r="K1333" s="4" t="str">
        <f>HYPERLINK("http://141.218.60.56/~jnz1568/getInfo.php?workbook=16_15.xlsx&amp;sheet=A0&amp;row=1333&amp;col=11&amp;number=&amp;sourceID=54","")</f>
        <v/>
      </c>
      <c r="L1333" s="4" t="str">
        <f>HYPERLINK("http://141.218.60.56/~jnz1568/getInfo.php?workbook=16_15.xlsx&amp;sheet=A0&amp;row=1333&amp;col=12&amp;number=408649.030698&amp;sourceID=53","408649.030698")</f>
        <v>408649.030698</v>
      </c>
      <c r="M1333" s="4" t="str">
        <f>HYPERLINK("http://141.218.60.56/~jnz1568/getInfo.php?workbook=16_15.xlsx&amp;sheet=A0&amp;row=1333&amp;col=13&amp;number=&amp;sourceID=53","")</f>
        <v/>
      </c>
      <c r="N1333" s="4" t="str">
        <f>HYPERLINK("http://141.218.60.56/~jnz1568/getInfo.php?workbook=16_15.xlsx&amp;sheet=A0&amp;row=1333&amp;col=14&amp;number=&amp;sourceID=53","")</f>
        <v/>
      </c>
      <c r="O1333" s="4" t="str">
        <f>HYPERLINK("http://141.218.60.56/~jnz1568/getInfo.php?workbook=16_15.xlsx&amp;sheet=A0&amp;row=1333&amp;col=15&amp;number=&amp;sourceID=55","")</f>
        <v/>
      </c>
      <c r="P1333" s="4" t="str">
        <f>HYPERLINK("http://141.218.60.56/~jnz1568/getInfo.php?workbook=16_15.xlsx&amp;sheet=A0&amp;row=1333&amp;col=16&amp;number=&amp;sourceID=55","")</f>
        <v/>
      </c>
      <c r="Q1333" s="4" t="str">
        <f>HYPERLINK("http://141.218.60.56/~jnz1568/getInfo.php?workbook=16_15.xlsx&amp;sheet=A0&amp;row=1333&amp;col=17&amp;number=&amp;sourceID=56","")</f>
        <v/>
      </c>
      <c r="R1333" s="4" t="str">
        <f>HYPERLINK("http://141.218.60.56/~jnz1568/getInfo.php?workbook=16_15.xlsx&amp;sheet=A0&amp;row=1333&amp;col=18&amp;number=&amp;sourceID=56","")</f>
        <v/>
      </c>
      <c r="S1333" s="4" t="str">
        <f>HYPERLINK("http://141.218.60.56/~jnz1568/getInfo.php?workbook=16_15.xlsx&amp;sheet=A0&amp;row=1333&amp;col=19&amp;number=&amp;sourceID=57","")</f>
        <v/>
      </c>
      <c r="T1333" s="4" t="str">
        <f>HYPERLINK("http://141.218.60.56/~jnz1568/getInfo.php?workbook=16_15.xlsx&amp;sheet=A0&amp;row=1333&amp;col=20&amp;number=&amp;sourceID=57","")</f>
        <v/>
      </c>
      <c r="U1333" s="4" t="str">
        <f>HYPERLINK("http://141.218.60.56/~jnz1568/getInfo.php?workbook=16_15.xlsx&amp;sheet=A0&amp;row=1333&amp;col=21&amp;number=&amp;sourceID=47","")</f>
        <v/>
      </c>
      <c r="V1333" s="4" t="str">
        <f>HYPERLINK("http://141.218.60.56/~jnz1568/getInfo.php?workbook=16_15.xlsx&amp;sheet=A0&amp;row=1333&amp;col=22&amp;number=&amp;sourceID=47","")</f>
        <v/>
      </c>
    </row>
    <row r="1334" spans="1:22">
      <c r="A1334" s="3">
        <v>16</v>
      </c>
      <c r="B1334" s="3">
        <v>15</v>
      </c>
      <c r="C1334" s="3">
        <v>59</v>
      </c>
      <c r="D1334" s="3">
        <v>22</v>
      </c>
      <c r="E1334" s="3">
        <f>((1/(INDEX(E0!J$4:J$73,C1334,1)-INDEX(E0!J$4:J$73,D1334,1))))*100000000</f>
        <v>0</v>
      </c>
      <c r="F1334" s="4" t="str">
        <f>HYPERLINK("http://141.218.60.56/~jnz1568/getInfo.php?workbook=16_15.xlsx&amp;sheet=A0&amp;row=1334&amp;col=6&amp;number=3170.7&amp;sourceID=54","3170.7")</f>
        <v>3170.7</v>
      </c>
      <c r="G1334" s="4" t="str">
        <f>HYPERLINK("http://141.218.60.56/~jnz1568/getInfo.php?workbook=16_15.xlsx&amp;sheet=A0&amp;row=1334&amp;col=7&amp;number=&amp;sourceID=54","")</f>
        <v/>
      </c>
      <c r="H1334" s="4" t="str">
        <f>HYPERLINK("http://141.218.60.56/~jnz1568/getInfo.php?workbook=16_15.xlsx&amp;sheet=A0&amp;row=1334&amp;col=8&amp;number=&amp;sourceID=54","")</f>
        <v/>
      </c>
      <c r="I1334" s="4" t="str">
        <f>HYPERLINK("http://141.218.60.56/~jnz1568/getInfo.php?workbook=16_15.xlsx&amp;sheet=A0&amp;row=1334&amp;col=9&amp;number=3339.8&amp;sourceID=54","3339.8")</f>
        <v>3339.8</v>
      </c>
      <c r="J1334" s="4" t="str">
        <f>HYPERLINK("http://141.218.60.56/~jnz1568/getInfo.php?workbook=16_15.xlsx&amp;sheet=A0&amp;row=1334&amp;col=10&amp;number=&amp;sourceID=54","")</f>
        <v/>
      </c>
      <c r="K1334" s="4" t="str">
        <f>HYPERLINK("http://141.218.60.56/~jnz1568/getInfo.php?workbook=16_15.xlsx&amp;sheet=A0&amp;row=1334&amp;col=11&amp;number=&amp;sourceID=54","")</f>
        <v/>
      </c>
      <c r="L1334" s="4" t="str">
        <f>HYPERLINK("http://141.218.60.56/~jnz1568/getInfo.php?workbook=16_15.xlsx&amp;sheet=A0&amp;row=1334&amp;col=12&amp;number=4008.18462181&amp;sourceID=53","4008.18462181")</f>
        <v>4008.18462181</v>
      </c>
      <c r="M1334" s="4" t="str">
        <f>HYPERLINK("http://141.218.60.56/~jnz1568/getInfo.php?workbook=16_15.xlsx&amp;sheet=A0&amp;row=1334&amp;col=13&amp;number=&amp;sourceID=53","")</f>
        <v/>
      </c>
      <c r="N1334" s="4" t="str">
        <f>HYPERLINK("http://141.218.60.56/~jnz1568/getInfo.php?workbook=16_15.xlsx&amp;sheet=A0&amp;row=1334&amp;col=14&amp;number=&amp;sourceID=53","")</f>
        <v/>
      </c>
      <c r="O1334" s="4" t="str">
        <f>HYPERLINK("http://141.218.60.56/~jnz1568/getInfo.php?workbook=16_15.xlsx&amp;sheet=A0&amp;row=1334&amp;col=15&amp;number=&amp;sourceID=55","")</f>
        <v/>
      </c>
      <c r="P1334" s="4" t="str">
        <f>HYPERLINK("http://141.218.60.56/~jnz1568/getInfo.php?workbook=16_15.xlsx&amp;sheet=A0&amp;row=1334&amp;col=16&amp;number=&amp;sourceID=55","")</f>
        <v/>
      </c>
      <c r="Q1334" s="4" t="str">
        <f>HYPERLINK("http://141.218.60.56/~jnz1568/getInfo.php?workbook=16_15.xlsx&amp;sheet=A0&amp;row=1334&amp;col=17&amp;number=&amp;sourceID=56","")</f>
        <v/>
      </c>
      <c r="R1334" s="4" t="str">
        <f>HYPERLINK("http://141.218.60.56/~jnz1568/getInfo.php?workbook=16_15.xlsx&amp;sheet=A0&amp;row=1334&amp;col=18&amp;number=&amp;sourceID=56","")</f>
        <v/>
      </c>
      <c r="S1334" s="4" t="str">
        <f>HYPERLINK("http://141.218.60.56/~jnz1568/getInfo.php?workbook=16_15.xlsx&amp;sheet=A0&amp;row=1334&amp;col=19&amp;number=&amp;sourceID=57","")</f>
        <v/>
      </c>
      <c r="T1334" s="4" t="str">
        <f>HYPERLINK("http://141.218.60.56/~jnz1568/getInfo.php?workbook=16_15.xlsx&amp;sheet=A0&amp;row=1334&amp;col=20&amp;number=&amp;sourceID=57","")</f>
        <v/>
      </c>
      <c r="U1334" s="4" t="str">
        <f>HYPERLINK("http://141.218.60.56/~jnz1568/getInfo.php?workbook=16_15.xlsx&amp;sheet=A0&amp;row=1334&amp;col=21&amp;number=&amp;sourceID=47","")</f>
        <v/>
      </c>
      <c r="V1334" s="4" t="str">
        <f>HYPERLINK("http://141.218.60.56/~jnz1568/getInfo.php?workbook=16_15.xlsx&amp;sheet=A0&amp;row=1334&amp;col=22&amp;number=&amp;sourceID=47","")</f>
        <v/>
      </c>
    </row>
    <row r="1335" spans="1:22">
      <c r="A1335" s="3">
        <v>16</v>
      </c>
      <c r="B1335" s="3">
        <v>15</v>
      </c>
      <c r="C1335" s="3">
        <v>59</v>
      </c>
      <c r="D1335" s="3">
        <v>23</v>
      </c>
      <c r="E1335" s="3">
        <f>((1/(INDEX(E0!J$4:J$73,C1335,1)-INDEX(E0!J$4:J$73,D1335,1))))*100000000</f>
        <v>0</v>
      </c>
      <c r="F1335" s="4" t="str">
        <f>HYPERLINK("http://141.218.60.56/~jnz1568/getInfo.php?workbook=16_15.xlsx&amp;sheet=A0&amp;row=1335&amp;col=6&amp;number=974.07&amp;sourceID=54","974.07")</f>
        <v>974.07</v>
      </c>
      <c r="G1335" s="4" t="str">
        <f>HYPERLINK("http://141.218.60.56/~jnz1568/getInfo.php?workbook=16_15.xlsx&amp;sheet=A0&amp;row=1335&amp;col=7&amp;number=&amp;sourceID=54","")</f>
        <v/>
      </c>
      <c r="H1335" s="4" t="str">
        <f>HYPERLINK("http://141.218.60.56/~jnz1568/getInfo.php?workbook=16_15.xlsx&amp;sheet=A0&amp;row=1335&amp;col=8&amp;number=&amp;sourceID=54","")</f>
        <v/>
      </c>
      <c r="I1335" s="4" t="str">
        <f>HYPERLINK("http://141.218.60.56/~jnz1568/getInfo.php?workbook=16_15.xlsx&amp;sheet=A0&amp;row=1335&amp;col=9&amp;number=1258.7&amp;sourceID=54","1258.7")</f>
        <v>1258.7</v>
      </c>
      <c r="J1335" s="4" t="str">
        <f>HYPERLINK("http://141.218.60.56/~jnz1568/getInfo.php?workbook=16_15.xlsx&amp;sheet=A0&amp;row=1335&amp;col=10&amp;number=&amp;sourceID=54","")</f>
        <v/>
      </c>
      <c r="K1335" s="4" t="str">
        <f>HYPERLINK("http://141.218.60.56/~jnz1568/getInfo.php?workbook=16_15.xlsx&amp;sheet=A0&amp;row=1335&amp;col=11&amp;number=&amp;sourceID=54","")</f>
        <v/>
      </c>
      <c r="L1335" s="4" t="str">
        <f>HYPERLINK("http://141.218.60.56/~jnz1568/getInfo.php?workbook=16_15.xlsx&amp;sheet=A0&amp;row=1335&amp;col=12&amp;number=945.116991703&amp;sourceID=53","945.116991703")</f>
        <v>945.116991703</v>
      </c>
      <c r="M1335" s="4" t="str">
        <f>HYPERLINK("http://141.218.60.56/~jnz1568/getInfo.php?workbook=16_15.xlsx&amp;sheet=A0&amp;row=1335&amp;col=13&amp;number=&amp;sourceID=53","")</f>
        <v/>
      </c>
      <c r="N1335" s="4" t="str">
        <f>HYPERLINK("http://141.218.60.56/~jnz1568/getInfo.php?workbook=16_15.xlsx&amp;sheet=A0&amp;row=1335&amp;col=14&amp;number=&amp;sourceID=53","")</f>
        <v/>
      </c>
      <c r="O1335" s="4" t="str">
        <f>HYPERLINK("http://141.218.60.56/~jnz1568/getInfo.php?workbook=16_15.xlsx&amp;sheet=A0&amp;row=1335&amp;col=15&amp;number=&amp;sourceID=55","")</f>
        <v/>
      </c>
      <c r="P1335" s="4" t="str">
        <f>HYPERLINK("http://141.218.60.56/~jnz1568/getInfo.php?workbook=16_15.xlsx&amp;sheet=A0&amp;row=1335&amp;col=16&amp;number=&amp;sourceID=55","")</f>
        <v/>
      </c>
      <c r="Q1335" s="4" t="str">
        <f>HYPERLINK("http://141.218.60.56/~jnz1568/getInfo.php?workbook=16_15.xlsx&amp;sheet=A0&amp;row=1335&amp;col=17&amp;number=&amp;sourceID=56","")</f>
        <v/>
      </c>
      <c r="R1335" s="4" t="str">
        <f>HYPERLINK("http://141.218.60.56/~jnz1568/getInfo.php?workbook=16_15.xlsx&amp;sheet=A0&amp;row=1335&amp;col=18&amp;number=&amp;sourceID=56","")</f>
        <v/>
      </c>
      <c r="S1335" s="4" t="str">
        <f>HYPERLINK("http://141.218.60.56/~jnz1568/getInfo.php?workbook=16_15.xlsx&amp;sheet=A0&amp;row=1335&amp;col=19&amp;number=&amp;sourceID=57","")</f>
        <v/>
      </c>
      <c r="T1335" s="4" t="str">
        <f>HYPERLINK("http://141.218.60.56/~jnz1568/getInfo.php?workbook=16_15.xlsx&amp;sheet=A0&amp;row=1335&amp;col=20&amp;number=&amp;sourceID=57","")</f>
        <v/>
      </c>
      <c r="U1335" s="4" t="str">
        <f>HYPERLINK("http://141.218.60.56/~jnz1568/getInfo.php?workbook=16_15.xlsx&amp;sheet=A0&amp;row=1335&amp;col=21&amp;number=&amp;sourceID=47","")</f>
        <v/>
      </c>
      <c r="V1335" s="4" t="str">
        <f>HYPERLINK("http://141.218.60.56/~jnz1568/getInfo.php?workbook=16_15.xlsx&amp;sheet=A0&amp;row=1335&amp;col=22&amp;number=&amp;sourceID=47","")</f>
        <v/>
      </c>
    </row>
    <row r="1336" spans="1:22">
      <c r="A1336" s="3">
        <v>16</v>
      </c>
      <c r="B1336" s="3">
        <v>15</v>
      </c>
      <c r="C1336" s="3">
        <v>59</v>
      </c>
      <c r="D1336" s="3">
        <v>24</v>
      </c>
      <c r="E1336" s="3">
        <f>((1/(INDEX(E0!J$4:J$73,C1336,1)-INDEX(E0!J$4:J$73,D1336,1))))*100000000</f>
        <v>0</v>
      </c>
      <c r="F1336" s="4" t="str">
        <f>HYPERLINK("http://141.218.60.56/~jnz1568/getInfo.php?workbook=16_15.xlsx&amp;sheet=A0&amp;row=1336&amp;col=6&amp;number=149980&amp;sourceID=54","149980")</f>
        <v>149980</v>
      </c>
      <c r="G1336" s="4" t="str">
        <f>HYPERLINK("http://141.218.60.56/~jnz1568/getInfo.php?workbook=16_15.xlsx&amp;sheet=A0&amp;row=1336&amp;col=7&amp;number=&amp;sourceID=54","")</f>
        <v/>
      </c>
      <c r="H1336" s="4" t="str">
        <f>HYPERLINK("http://141.218.60.56/~jnz1568/getInfo.php?workbook=16_15.xlsx&amp;sheet=A0&amp;row=1336&amp;col=8&amp;number=&amp;sourceID=54","")</f>
        <v/>
      </c>
      <c r="I1336" s="4" t="str">
        <f>HYPERLINK("http://141.218.60.56/~jnz1568/getInfo.php?workbook=16_15.xlsx&amp;sheet=A0&amp;row=1336&amp;col=9&amp;number=387540&amp;sourceID=54","387540")</f>
        <v>387540</v>
      </c>
      <c r="J1336" s="4" t="str">
        <f>HYPERLINK("http://141.218.60.56/~jnz1568/getInfo.php?workbook=16_15.xlsx&amp;sheet=A0&amp;row=1336&amp;col=10&amp;number=&amp;sourceID=54","")</f>
        <v/>
      </c>
      <c r="K1336" s="4" t="str">
        <f>HYPERLINK("http://141.218.60.56/~jnz1568/getInfo.php?workbook=16_15.xlsx&amp;sheet=A0&amp;row=1336&amp;col=11&amp;number=&amp;sourceID=54","")</f>
        <v/>
      </c>
      <c r="L1336" s="4" t="str">
        <f>HYPERLINK("http://141.218.60.56/~jnz1568/getInfo.php?workbook=16_15.xlsx&amp;sheet=A0&amp;row=1336&amp;col=12&amp;number=289077.470974&amp;sourceID=53","289077.470974")</f>
        <v>289077.470974</v>
      </c>
      <c r="M1336" s="4" t="str">
        <f>HYPERLINK("http://141.218.60.56/~jnz1568/getInfo.php?workbook=16_15.xlsx&amp;sheet=A0&amp;row=1336&amp;col=13&amp;number=&amp;sourceID=53","")</f>
        <v/>
      </c>
      <c r="N1336" s="4" t="str">
        <f>HYPERLINK("http://141.218.60.56/~jnz1568/getInfo.php?workbook=16_15.xlsx&amp;sheet=A0&amp;row=1336&amp;col=14&amp;number=&amp;sourceID=53","")</f>
        <v/>
      </c>
      <c r="O1336" s="4" t="str">
        <f>HYPERLINK("http://141.218.60.56/~jnz1568/getInfo.php?workbook=16_15.xlsx&amp;sheet=A0&amp;row=1336&amp;col=15&amp;number=&amp;sourceID=55","")</f>
        <v/>
      </c>
      <c r="P1336" s="4" t="str">
        <f>HYPERLINK("http://141.218.60.56/~jnz1568/getInfo.php?workbook=16_15.xlsx&amp;sheet=A0&amp;row=1336&amp;col=16&amp;number=&amp;sourceID=55","")</f>
        <v/>
      </c>
      <c r="Q1336" s="4" t="str">
        <f>HYPERLINK("http://141.218.60.56/~jnz1568/getInfo.php?workbook=16_15.xlsx&amp;sheet=A0&amp;row=1336&amp;col=17&amp;number=&amp;sourceID=56","")</f>
        <v/>
      </c>
      <c r="R1336" s="4" t="str">
        <f>HYPERLINK("http://141.218.60.56/~jnz1568/getInfo.php?workbook=16_15.xlsx&amp;sheet=A0&amp;row=1336&amp;col=18&amp;number=&amp;sourceID=56","")</f>
        <v/>
      </c>
      <c r="S1336" s="4" t="str">
        <f>HYPERLINK("http://141.218.60.56/~jnz1568/getInfo.php?workbook=16_15.xlsx&amp;sheet=A0&amp;row=1336&amp;col=19&amp;number=&amp;sourceID=57","")</f>
        <v/>
      </c>
      <c r="T1336" s="4" t="str">
        <f>HYPERLINK("http://141.218.60.56/~jnz1568/getInfo.php?workbook=16_15.xlsx&amp;sheet=A0&amp;row=1336&amp;col=20&amp;number=&amp;sourceID=57","")</f>
        <v/>
      </c>
      <c r="U1336" s="4" t="str">
        <f>HYPERLINK("http://141.218.60.56/~jnz1568/getInfo.php?workbook=16_15.xlsx&amp;sheet=A0&amp;row=1336&amp;col=21&amp;number=&amp;sourceID=47","")</f>
        <v/>
      </c>
      <c r="V1336" s="4" t="str">
        <f>HYPERLINK("http://141.218.60.56/~jnz1568/getInfo.php?workbook=16_15.xlsx&amp;sheet=A0&amp;row=1336&amp;col=22&amp;number=&amp;sourceID=47","")</f>
        <v/>
      </c>
    </row>
    <row r="1337" spans="1:22">
      <c r="A1337" s="3">
        <v>16</v>
      </c>
      <c r="B1337" s="3">
        <v>15</v>
      </c>
      <c r="C1337" s="3">
        <v>59</v>
      </c>
      <c r="D1337" s="3">
        <v>26</v>
      </c>
      <c r="E1337" s="3">
        <f>((1/(INDEX(E0!J$4:J$73,C1337,1)-INDEX(E0!J$4:J$73,D1337,1))))*100000000</f>
        <v>0</v>
      </c>
      <c r="F1337" s="4" t="str">
        <f>HYPERLINK("http://141.218.60.56/~jnz1568/getInfo.php?workbook=16_15.xlsx&amp;sheet=A0&amp;row=1337&amp;col=6&amp;number=9778600&amp;sourceID=54","9778600")</f>
        <v>9778600</v>
      </c>
      <c r="G1337" s="4" t="str">
        <f>HYPERLINK("http://141.218.60.56/~jnz1568/getInfo.php?workbook=16_15.xlsx&amp;sheet=A0&amp;row=1337&amp;col=7&amp;number=&amp;sourceID=54","")</f>
        <v/>
      </c>
      <c r="H1337" s="4" t="str">
        <f>HYPERLINK("http://141.218.60.56/~jnz1568/getInfo.php?workbook=16_15.xlsx&amp;sheet=A0&amp;row=1337&amp;col=8&amp;number=&amp;sourceID=54","")</f>
        <v/>
      </c>
      <c r="I1337" s="4" t="str">
        <f>HYPERLINK("http://141.218.60.56/~jnz1568/getInfo.php?workbook=16_15.xlsx&amp;sheet=A0&amp;row=1337&amp;col=9&amp;number=9626500&amp;sourceID=54","9626500")</f>
        <v>9626500</v>
      </c>
      <c r="J1337" s="4" t="str">
        <f>HYPERLINK("http://141.218.60.56/~jnz1568/getInfo.php?workbook=16_15.xlsx&amp;sheet=A0&amp;row=1337&amp;col=10&amp;number=&amp;sourceID=54","")</f>
        <v/>
      </c>
      <c r="K1337" s="4" t="str">
        <f>HYPERLINK("http://141.218.60.56/~jnz1568/getInfo.php?workbook=16_15.xlsx&amp;sheet=A0&amp;row=1337&amp;col=11&amp;number=&amp;sourceID=54","")</f>
        <v/>
      </c>
      <c r="L1337" s="4" t="str">
        <f>HYPERLINK("http://141.218.60.56/~jnz1568/getInfo.php?workbook=16_15.xlsx&amp;sheet=A0&amp;row=1337&amp;col=12&amp;number=7936131.01884&amp;sourceID=53","7936131.01884")</f>
        <v>7936131.01884</v>
      </c>
      <c r="M1337" s="4" t="str">
        <f>HYPERLINK("http://141.218.60.56/~jnz1568/getInfo.php?workbook=16_15.xlsx&amp;sheet=A0&amp;row=1337&amp;col=13&amp;number=&amp;sourceID=53","")</f>
        <v/>
      </c>
      <c r="N1337" s="4" t="str">
        <f>HYPERLINK("http://141.218.60.56/~jnz1568/getInfo.php?workbook=16_15.xlsx&amp;sheet=A0&amp;row=1337&amp;col=14&amp;number=&amp;sourceID=53","")</f>
        <v/>
      </c>
      <c r="O1337" s="4" t="str">
        <f>HYPERLINK("http://141.218.60.56/~jnz1568/getInfo.php?workbook=16_15.xlsx&amp;sheet=A0&amp;row=1337&amp;col=15&amp;number=&amp;sourceID=55","")</f>
        <v/>
      </c>
      <c r="P1337" s="4" t="str">
        <f>HYPERLINK("http://141.218.60.56/~jnz1568/getInfo.php?workbook=16_15.xlsx&amp;sheet=A0&amp;row=1337&amp;col=16&amp;number=&amp;sourceID=55","")</f>
        <v/>
      </c>
      <c r="Q1337" s="4" t="str">
        <f>HYPERLINK("http://141.218.60.56/~jnz1568/getInfo.php?workbook=16_15.xlsx&amp;sheet=A0&amp;row=1337&amp;col=17&amp;number=&amp;sourceID=56","")</f>
        <v/>
      </c>
      <c r="R1337" s="4" t="str">
        <f>HYPERLINK("http://141.218.60.56/~jnz1568/getInfo.php?workbook=16_15.xlsx&amp;sheet=A0&amp;row=1337&amp;col=18&amp;number=&amp;sourceID=56","")</f>
        <v/>
      </c>
      <c r="S1337" s="4" t="str">
        <f>HYPERLINK("http://141.218.60.56/~jnz1568/getInfo.php?workbook=16_15.xlsx&amp;sheet=A0&amp;row=1337&amp;col=19&amp;number=&amp;sourceID=57","")</f>
        <v/>
      </c>
      <c r="T1337" s="4" t="str">
        <f>HYPERLINK("http://141.218.60.56/~jnz1568/getInfo.php?workbook=16_15.xlsx&amp;sheet=A0&amp;row=1337&amp;col=20&amp;number=&amp;sourceID=57","")</f>
        <v/>
      </c>
      <c r="U1337" s="4" t="str">
        <f>HYPERLINK("http://141.218.60.56/~jnz1568/getInfo.php?workbook=16_15.xlsx&amp;sheet=A0&amp;row=1337&amp;col=21&amp;number=&amp;sourceID=47","")</f>
        <v/>
      </c>
      <c r="V1337" s="4" t="str">
        <f>HYPERLINK("http://141.218.60.56/~jnz1568/getInfo.php?workbook=16_15.xlsx&amp;sheet=A0&amp;row=1337&amp;col=22&amp;number=&amp;sourceID=47","")</f>
        <v/>
      </c>
    </row>
    <row r="1338" spans="1:22">
      <c r="A1338" s="3">
        <v>16</v>
      </c>
      <c r="B1338" s="3">
        <v>15</v>
      </c>
      <c r="C1338" s="3">
        <v>59</v>
      </c>
      <c r="D1338" s="3">
        <v>28</v>
      </c>
      <c r="E1338" s="3">
        <f>((1/(INDEX(E0!J$4:J$73,C1338,1)-INDEX(E0!J$4:J$73,D1338,1))))*100000000</f>
        <v>0</v>
      </c>
      <c r="F1338" s="4" t="str">
        <f>HYPERLINK("http://141.218.60.56/~jnz1568/getInfo.php?workbook=16_15.xlsx&amp;sheet=A0&amp;row=1338&amp;col=6&amp;number=13987&amp;sourceID=54","13987")</f>
        <v>13987</v>
      </c>
      <c r="G1338" s="4" t="str">
        <f>HYPERLINK("http://141.218.60.56/~jnz1568/getInfo.php?workbook=16_15.xlsx&amp;sheet=A0&amp;row=1338&amp;col=7&amp;number=&amp;sourceID=54","")</f>
        <v/>
      </c>
      <c r="H1338" s="4" t="str">
        <f>HYPERLINK("http://141.218.60.56/~jnz1568/getInfo.php?workbook=16_15.xlsx&amp;sheet=A0&amp;row=1338&amp;col=8&amp;number=&amp;sourceID=54","")</f>
        <v/>
      </c>
      <c r="I1338" s="4" t="str">
        <f>HYPERLINK("http://141.218.60.56/~jnz1568/getInfo.php?workbook=16_15.xlsx&amp;sheet=A0&amp;row=1338&amp;col=9&amp;number=13463&amp;sourceID=54","13463")</f>
        <v>13463</v>
      </c>
      <c r="J1338" s="4" t="str">
        <f>HYPERLINK("http://141.218.60.56/~jnz1568/getInfo.php?workbook=16_15.xlsx&amp;sheet=A0&amp;row=1338&amp;col=10&amp;number=&amp;sourceID=54","")</f>
        <v/>
      </c>
      <c r="K1338" s="4" t="str">
        <f>HYPERLINK("http://141.218.60.56/~jnz1568/getInfo.php?workbook=16_15.xlsx&amp;sheet=A0&amp;row=1338&amp;col=11&amp;number=&amp;sourceID=54","")</f>
        <v/>
      </c>
      <c r="L1338" s="4" t="str">
        <f>HYPERLINK("http://141.218.60.56/~jnz1568/getInfo.php?workbook=16_15.xlsx&amp;sheet=A0&amp;row=1338&amp;col=12&amp;number=14099.2418226&amp;sourceID=53","14099.2418226")</f>
        <v>14099.2418226</v>
      </c>
      <c r="M1338" s="4" t="str">
        <f>HYPERLINK("http://141.218.60.56/~jnz1568/getInfo.php?workbook=16_15.xlsx&amp;sheet=A0&amp;row=1338&amp;col=13&amp;number=&amp;sourceID=53","")</f>
        <v/>
      </c>
      <c r="N1338" s="4" t="str">
        <f>HYPERLINK("http://141.218.60.56/~jnz1568/getInfo.php?workbook=16_15.xlsx&amp;sheet=A0&amp;row=1338&amp;col=14&amp;number=&amp;sourceID=53","")</f>
        <v/>
      </c>
      <c r="O1338" s="4" t="str">
        <f>HYPERLINK("http://141.218.60.56/~jnz1568/getInfo.php?workbook=16_15.xlsx&amp;sheet=A0&amp;row=1338&amp;col=15&amp;number=&amp;sourceID=55","")</f>
        <v/>
      </c>
      <c r="P1338" s="4" t="str">
        <f>HYPERLINK("http://141.218.60.56/~jnz1568/getInfo.php?workbook=16_15.xlsx&amp;sheet=A0&amp;row=1338&amp;col=16&amp;number=&amp;sourceID=55","")</f>
        <v/>
      </c>
      <c r="Q1338" s="4" t="str">
        <f>HYPERLINK("http://141.218.60.56/~jnz1568/getInfo.php?workbook=16_15.xlsx&amp;sheet=A0&amp;row=1338&amp;col=17&amp;number=&amp;sourceID=56","")</f>
        <v/>
      </c>
      <c r="R1338" s="4" t="str">
        <f>HYPERLINK("http://141.218.60.56/~jnz1568/getInfo.php?workbook=16_15.xlsx&amp;sheet=A0&amp;row=1338&amp;col=18&amp;number=&amp;sourceID=56","")</f>
        <v/>
      </c>
      <c r="S1338" s="4" t="str">
        <f>HYPERLINK("http://141.218.60.56/~jnz1568/getInfo.php?workbook=16_15.xlsx&amp;sheet=A0&amp;row=1338&amp;col=19&amp;number=&amp;sourceID=57","")</f>
        <v/>
      </c>
      <c r="T1338" s="4" t="str">
        <f>HYPERLINK("http://141.218.60.56/~jnz1568/getInfo.php?workbook=16_15.xlsx&amp;sheet=A0&amp;row=1338&amp;col=20&amp;number=&amp;sourceID=57","")</f>
        <v/>
      </c>
      <c r="U1338" s="4" t="str">
        <f>HYPERLINK("http://141.218.60.56/~jnz1568/getInfo.php?workbook=16_15.xlsx&amp;sheet=A0&amp;row=1338&amp;col=21&amp;number=&amp;sourceID=47","")</f>
        <v/>
      </c>
      <c r="V1338" s="4" t="str">
        <f>HYPERLINK("http://141.218.60.56/~jnz1568/getInfo.php?workbook=16_15.xlsx&amp;sheet=A0&amp;row=1338&amp;col=22&amp;number=&amp;sourceID=47","")</f>
        <v/>
      </c>
    </row>
    <row r="1339" spans="1:22">
      <c r="A1339" s="3">
        <v>16</v>
      </c>
      <c r="B1339" s="3">
        <v>15</v>
      </c>
      <c r="C1339" s="3">
        <v>59</v>
      </c>
      <c r="D1339" s="3">
        <v>29</v>
      </c>
      <c r="E1339" s="3">
        <f>((1/(INDEX(E0!J$4:J$73,C1339,1)-INDEX(E0!J$4:J$73,D1339,1))))*100000000</f>
        <v>0</v>
      </c>
      <c r="F1339" s="4" t="str">
        <f>HYPERLINK("http://141.218.60.56/~jnz1568/getInfo.php?workbook=16_15.xlsx&amp;sheet=A0&amp;row=1339&amp;col=6&amp;number=79562000&amp;sourceID=54","79562000")</f>
        <v>79562000</v>
      </c>
      <c r="G1339" s="4" t="str">
        <f>HYPERLINK("http://141.218.60.56/~jnz1568/getInfo.php?workbook=16_15.xlsx&amp;sheet=A0&amp;row=1339&amp;col=7&amp;number=&amp;sourceID=54","")</f>
        <v/>
      </c>
      <c r="H1339" s="4" t="str">
        <f>HYPERLINK("http://141.218.60.56/~jnz1568/getInfo.php?workbook=16_15.xlsx&amp;sheet=A0&amp;row=1339&amp;col=8&amp;number=&amp;sourceID=54","")</f>
        <v/>
      </c>
      <c r="I1339" s="4" t="str">
        <f>HYPERLINK("http://141.218.60.56/~jnz1568/getInfo.php?workbook=16_15.xlsx&amp;sheet=A0&amp;row=1339&amp;col=9&amp;number=75569000&amp;sourceID=54","75569000")</f>
        <v>75569000</v>
      </c>
      <c r="J1339" s="4" t="str">
        <f>HYPERLINK("http://141.218.60.56/~jnz1568/getInfo.php?workbook=16_15.xlsx&amp;sheet=A0&amp;row=1339&amp;col=10&amp;number=&amp;sourceID=54","")</f>
        <v/>
      </c>
      <c r="K1339" s="4" t="str">
        <f>HYPERLINK("http://141.218.60.56/~jnz1568/getInfo.php?workbook=16_15.xlsx&amp;sheet=A0&amp;row=1339&amp;col=11&amp;number=&amp;sourceID=54","")</f>
        <v/>
      </c>
      <c r="L1339" s="4" t="str">
        <f>HYPERLINK("http://141.218.60.56/~jnz1568/getInfo.php?workbook=16_15.xlsx&amp;sheet=A0&amp;row=1339&amp;col=12&amp;number=75543292.219&amp;sourceID=53","75543292.219")</f>
        <v>75543292.219</v>
      </c>
      <c r="M1339" s="4" t="str">
        <f>HYPERLINK("http://141.218.60.56/~jnz1568/getInfo.php?workbook=16_15.xlsx&amp;sheet=A0&amp;row=1339&amp;col=13&amp;number=&amp;sourceID=53","")</f>
        <v/>
      </c>
      <c r="N1339" s="4" t="str">
        <f>HYPERLINK("http://141.218.60.56/~jnz1568/getInfo.php?workbook=16_15.xlsx&amp;sheet=A0&amp;row=1339&amp;col=14&amp;number=&amp;sourceID=53","")</f>
        <v/>
      </c>
      <c r="O1339" s="4" t="str">
        <f>HYPERLINK("http://141.218.60.56/~jnz1568/getInfo.php?workbook=16_15.xlsx&amp;sheet=A0&amp;row=1339&amp;col=15&amp;number=&amp;sourceID=55","")</f>
        <v/>
      </c>
      <c r="P1339" s="4" t="str">
        <f>HYPERLINK("http://141.218.60.56/~jnz1568/getInfo.php?workbook=16_15.xlsx&amp;sheet=A0&amp;row=1339&amp;col=16&amp;number=&amp;sourceID=55","")</f>
        <v/>
      </c>
      <c r="Q1339" s="4" t="str">
        <f>HYPERLINK("http://141.218.60.56/~jnz1568/getInfo.php?workbook=16_15.xlsx&amp;sheet=A0&amp;row=1339&amp;col=17&amp;number=&amp;sourceID=56","")</f>
        <v/>
      </c>
      <c r="R1339" s="4" t="str">
        <f>HYPERLINK("http://141.218.60.56/~jnz1568/getInfo.php?workbook=16_15.xlsx&amp;sheet=A0&amp;row=1339&amp;col=18&amp;number=&amp;sourceID=56","")</f>
        <v/>
      </c>
      <c r="S1339" s="4" t="str">
        <f>HYPERLINK("http://141.218.60.56/~jnz1568/getInfo.php?workbook=16_15.xlsx&amp;sheet=A0&amp;row=1339&amp;col=19&amp;number=&amp;sourceID=57","")</f>
        <v/>
      </c>
      <c r="T1339" s="4" t="str">
        <f>HYPERLINK("http://141.218.60.56/~jnz1568/getInfo.php?workbook=16_15.xlsx&amp;sheet=A0&amp;row=1339&amp;col=20&amp;number=&amp;sourceID=57","")</f>
        <v/>
      </c>
      <c r="U1339" s="4" t="str">
        <f>HYPERLINK("http://141.218.60.56/~jnz1568/getInfo.php?workbook=16_15.xlsx&amp;sheet=A0&amp;row=1339&amp;col=21&amp;number=&amp;sourceID=47","")</f>
        <v/>
      </c>
      <c r="V1339" s="4" t="str">
        <f>HYPERLINK("http://141.218.60.56/~jnz1568/getInfo.php?workbook=16_15.xlsx&amp;sheet=A0&amp;row=1339&amp;col=22&amp;number=&amp;sourceID=47","")</f>
        <v/>
      </c>
    </row>
    <row r="1340" spans="1:22">
      <c r="A1340" s="3">
        <v>16</v>
      </c>
      <c r="B1340" s="3">
        <v>15</v>
      </c>
      <c r="C1340" s="3">
        <v>59</v>
      </c>
      <c r="D1340" s="3">
        <v>30</v>
      </c>
      <c r="E1340" s="3">
        <f>((1/(INDEX(E0!J$4:J$73,C1340,1)-INDEX(E0!J$4:J$73,D1340,1))))*100000000</f>
        <v>0</v>
      </c>
      <c r="F1340" s="4" t="str">
        <f>HYPERLINK("http://141.218.60.56/~jnz1568/getInfo.php?workbook=16_15.xlsx&amp;sheet=A0&amp;row=1340&amp;col=6&amp;number=12496000&amp;sourceID=54","12496000")</f>
        <v>12496000</v>
      </c>
      <c r="G1340" s="4" t="str">
        <f>HYPERLINK("http://141.218.60.56/~jnz1568/getInfo.php?workbook=16_15.xlsx&amp;sheet=A0&amp;row=1340&amp;col=7&amp;number=&amp;sourceID=54","")</f>
        <v/>
      </c>
      <c r="H1340" s="4" t="str">
        <f>HYPERLINK("http://141.218.60.56/~jnz1568/getInfo.php?workbook=16_15.xlsx&amp;sheet=A0&amp;row=1340&amp;col=8&amp;number=&amp;sourceID=54","")</f>
        <v/>
      </c>
      <c r="I1340" s="4" t="str">
        <f>HYPERLINK("http://141.218.60.56/~jnz1568/getInfo.php?workbook=16_15.xlsx&amp;sheet=A0&amp;row=1340&amp;col=9&amp;number=11933000&amp;sourceID=54","11933000")</f>
        <v>11933000</v>
      </c>
      <c r="J1340" s="4" t="str">
        <f>HYPERLINK("http://141.218.60.56/~jnz1568/getInfo.php?workbook=16_15.xlsx&amp;sheet=A0&amp;row=1340&amp;col=10&amp;number=&amp;sourceID=54","")</f>
        <v/>
      </c>
      <c r="K1340" s="4" t="str">
        <f>HYPERLINK("http://141.218.60.56/~jnz1568/getInfo.php?workbook=16_15.xlsx&amp;sheet=A0&amp;row=1340&amp;col=11&amp;number=&amp;sourceID=54","")</f>
        <v/>
      </c>
      <c r="L1340" s="4" t="str">
        <f>HYPERLINK("http://141.218.60.56/~jnz1568/getInfo.php?workbook=16_15.xlsx&amp;sheet=A0&amp;row=1340&amp;col=12&amp;number=12120440.2234&amp;sourceID=53","12120440.2234")</f>
        <v>12120440.2234</v>
      </c>
      <c r="M1340" s="4" t="str">
        <f>HYPERLINK("http://141.218.60.56/~jnz1568/getInfo.php?workbook=16_15.xlsx&amp;sheet=A0&amp;row=1340&amp;col=13&amp;number=&amp;sourceID=53","")</f>
        <v/>
      </c>
      <c r="N1340" s="4" t="str">
        <f>HYPERLINK("http://141.218.60.56/~jnz1568/getInfo.php?workbook=16_15.xlsx&amp;sheet=A0&amp;row=1340&amp;col=14&amp;number=&amp;sourceID=53","")</f>
        <v/>
      </c>
      <c r="O1340" s="4" t="str">
        <f>HYPERLINK("http://141.218.60.56/~jnz1568/getInfo.php?workbook=16_15.xlsx&amp;sheet=A0&amp;row=1340&amp;col=15&amp;number=&amp;sourceID=55","")</f>
        <v/>
      </c>
      <c r="P1340" s="4" t="str">
        <f>HYPERLINK("http://141.218.60.56/~jnz1568/getInfo.php?workbook=16_15.xlsx&amp;sheet=A0&amp;row=1340&amp;col=16&amp;number=&amp;sourceID=55","")</f>
        <v/>
      </c>
      <c r="Q1340" s="4" t="str">
        <f>HYPERLINK("http://141.218.60.56/~jnz1568/getInfo.php?workbook=16_15.xlsx&amp;sheet=A0&amp;row=1340&amp;col=17&amp;number=&amp;sourceID=56","")</f>
        <v/>
      </c>
      <c r="R1340" s="4" t="str">
        <f>HYPERLINK("http://141.218.60.56/~jnz1568/getInfo.php?workbook=16_15.xlsx&amp;sheet=A0&amp;row=1340&amp;col=18&amp;number=&amp;sourceID=56","")</f>
        <v/>
      </c>
      <c r="S1340" s="4" t="str">
        <f>HYPERLINK("http://141.218.60.56/~jnz1568/getInfo.php?workbook=16_15.xlsx&amp;sheet=A0&amp;row=1340&amp;col=19&amp;number=&amp;sourceID=57","")</f>
        <v/>
      </c>
      <c r="T1340" s="4" t="str">
        <f>HYPERLINK("http://141.218.60.56/~jnz1568/getInfo.php?workbook=16_15.xlsx&amp;sheet=A0&amp;row=1340&amp;col=20&amp;number=&amp;sourceID=57","")</f>
        <v/>
      </c>
      <c r="U1340" s="4" t="str">
        <f>HYPERLINK("http://141.218.60.56/~jnz1568/getInfo.php?workbook=16_15.xlsx&amp;sheet=A0&amp;row=1340&amp;col=21&amp;number=&amp;sourceID=47","")</f>
        <v/>
      </c>
      <c r="V1340" s="4" t="str">
        <f>HYPERLINK("http://141.218.60.56/~jnz1568/getInfo.php?workbook=16_15.xlsx&amp;sheet=A0&amp;row=1340&amp;col=22&amp;number=&amp;sourceID=47","")</f>
        <v/>
      </c>
    </row>
    <row r="1341" spans="1:22">
      <c r="A1341" s="3">
        <v>16</v>
      </c>
      <c r="B1341" s="3">
        <v>15</v>
      </c>
      <c r="C1341" s="3">
        <v>59</v>
      </c>
      <c r="D1341" s="3">
        <v>31</v>
      </c>
      <c r="E1341" s="3">
        <f>((1/(INDEX(E0!J$4:J$73,C1341,1)-INDEX(E0!J$4:J$73,D1341,1))))*100000000</f>
        <v>0</v>
      </c>
      <c r="F1341" s="4" t="str">
        <f>HYPERLINK("http://141.218.60.56/~jnz1568/getInfo.php?workbook=16_15.xlsx&amp;sheet=A0&amp;row=1341&amp;col=6&amp;number=&amp;sourceID=54","")</f>
        <v/>
      </c>
      <c r="G1341" s="4" t="str">
        <f>HYPERLINK("http://141.218.60.56/~jnz1568/getInfo.php?workbook=16_15.xlsx&amp;sheet=A0&amp;row=1341&amp;col=7&amp;number=0.86589&amp;sourceID=54","0.86589")</f>
        <v>0.86589</v>
      </c>
      <c r="H1341" s="4" t="str">
        <f>HYPERLINK("http://141.218.60.56/~jnz1568/getInfo.php?workbook=16_15.xlsx&amp;sheet=A0&amp;row=1341&amp;col=8&amp;number=0.00022666&amp;sourceID=54","0.00022666")</f>
        <v>0.00022666</v>
      </c>
      <c r="I1341" s="4" t="str">
        <f>HYPERLINK("http://141.218.60.56/~jnz1568/getInfo.php?workbook=16_15.xlsx&amp;sheet=A0&amp;row=1341&amp;col=9&amp;number=&amp;sourceID=54","")</f>
        <v/>
      </c>
      <c r="J1341" s="4" t="str">
        <f>HYPERLINK("http://141.218.60.56/~jnz1568/getInfo.php?workbook=16_15.xlsx&amp;sheet=A0&amp;row=1341&amp;col=10&amp;number=0.73118&amp;sourceID=54","0.73118")</f>
        <v>0.73118</v>
      </c>
      <c r="K1341" s="4" t="str">
        <f>HYPERLINK("http://141.218.60.56/~jnz1568/getInfo.php?workbook=16_15.xlsx&amp;sheet=A0&amp;row=1341&amp;col=11&amp;number=0.00021323&amp;sourceID=54","0.00021323")</f>
        <v>0.00021323</v>
      </c>
      <c r="L1341" s="4" t="str">
        <f>HYPERLINK("http://141.218.60.56/~jnz1568/getInfo.php?workbook=16_15.xlsx&amp;sheet=A0&amp;row=1341&amp;col=12&amp;number=&amp;sourceID=53","")</f>
        <v/>
      </c>
      <c r="M1341" s="4" t="str">
        <f>HYPERLINK("http://141.218.60.56/~jnz1568/getInfo.php?workbook=16_15.xlsx&amp;sheet=A0&amp;row=1341&amp;col=13&amp;number=&amp;sourceID=53","")</f>
        <v/>
      </c>
      <c r="N1341" s="4" t="str">
        <f>HYPERLINK("http://141.218.60.56/~jnz1568/getInfo.php?workbook=16_15.xlsx&amp;sheet=A0&amp;row=1341&amp;col=14&amp;number=&amp;sourceID=53","")</f>
        <v/>
      </c>
      <c r="O1341" s="4" t="str">
        <f>HYPERLINK("http://141.218.60.56/~jnz1568/getInfo.php?workbook=16_15.xlsx&amp;sheet=A0&amp;row=1341&amp;col=15&amp;number=&amp;sourceID=55","")</f>
        <v/>
      </c>
      <c r="P1341" s="4" t="str">
        <f>HYPERLINK("http://141.218.60.56/~jnz1568/getInfo.php?workbook=16_15.xlsx&amp;sheet=A0&amp;row=1341&amp;col=16&amp;number=&amp;sourceID=55","")</f>
        <v/>
      </c>
      <c r="Q1341" s="4" t="str">
        <f>HYPERLINK("http://141.218.60.56/~jnz1568/getInfo.php?workbook=16_15.xlsx&amp;sheet=A0&amp;row=1341&amp;col=17&amp;number=&amp;sourceID=56","")</f>
        <v/>
      </c>
      <c r="R1341" s="4" t="str">
        <f>HYPERLINK("http://141.218.60.56/~jnz1568/getInfo.php?workbook=16_15.xlsx&amp;sheet=A0&amp;row=1341&amp;col=18&amp;number=&amp;sourceID=56","")</f>
        <v/>
      </c>
      <c r="S1341" s="4" t="str">
        <f>HYPERLINK("http://141.218.60.56/~jnz1568/getInfo.php?workbook=16_15.xlsx&amp;sheet=A0&amp;row=1341&amp;col=19&amp;number=&amp;sourceID=57","")</f>
        <v/>
      </c>
      <c r="T1341" s="4" t="str">
        <f>HYPERLINK("http://141.218.60.56/~jnz1568/getInfo.php?workbook=16_15.xlsx&amp;sheet=A0&amp;row=1341&amp;col=20&amp;number=&amp;sourceID=57","")</f>
        <v/>
      </c>
      <c r="U1341" s="4" t="str">
        <f>HYPERLINK("http://141.218.60.56/~jnz1568/getInfo.php?workbook=16_15.xlsx&amp;sheet=A0&amp;row=1341&amp;col=21&amp;number=&amp;sourceID=47","")</f>
        <v/>
      </c>
      <c r="V1341" s="4" t="str">
        <f>HYPERLINK("http://141.218.60.56/~jnz1568/getInfo.php?workbook=16_15.xlsx&amp;sheet=A0&amp;row=1341&amp;col=22&amp;number=&amp;sourceID=47","")</f>
        <v/>
      </c>
    </row>
    <row r="1342" spans="1:22">
      <c r="A1342" s="3">
        <v>16</v>
      </c>
      <c r="B1342" s="3">
        <v>15</v>
      </c>
      <c r="C1342" s="3">
        <v>59</v>
      </c>
      <c r="D1342" s="3">
        <v>34</v>
      </c>
      <c r="E1342" s="3">
        <f>((1/(INDEX(E0!J$4:J$73,C1342,1)-INDEX(E0!J$4:J$73,D1342,1))))*100000000</f>
        <v>0</v>
      </c>
      <c r="F1342" s="4" t="str">
        <f>HYPERLINK("http://141.218.60.56/~jnz1568/getInfo.php?workbook=16_15.xlsx&amp;sheet=A0&amp;row=1342&amp;col=6&amp;number=&amp;sourceID=54","")</f>
        <v/>
      </c>
      <c r="G1342" s="4" t="str">
        <f>HYPERLINK("http://141.218.60.56/~jnz1568/getInfo.php?workbook=16_15.xlsx&amp;sheet=A0&amp;row=1342&amp;col=7&amp;number=5.5548e-05&amp;sourceID=54","5.5548e-05")</f>
        <v>5.5548e-05</v>
      </c>
      <c r="H1342" s="4" t="str">
        <f>HYPERLINK("http://141.218.60.56/~jnz1568/getInfo.php?workbook=16_15.xlsx&amp;sheet=A0&amp;row=1342&amp;col=8&amp;number=0.010751&amp;sourceID=54","0.010751")</f>
        <v>0.010751</v>
      </c>
      <c r="I1342" s="4" t="str">
        <f>HYPERLINK("http://141.218.60.56/~jnz1568/getInfo.php?workbook=16_15.xlsx&amp;sheet=A0&amp;row=1342&amp;col=9&amp;number=&amp;sourceID=54","")</f>
        <v/>
      </c>
      <c r="J1342" s="4" t="str">
        <f>HYPERLINK("http://141.218.60.56/~jnz1568/getInfo.php?workbook=16_15.xlsx&amp;sheet=A0&amp;row=1342&amp;col=10&amp;number=5.1938e-05&amp;sourceID=54","5.1938e-05")</f>
        <v>5.1938e-05</v>
      </c>
      <c r="K1342" s="4" t="str">
        <f>HYPERLINK("http://141.218.60.56/~jnz1568/getInfo.php?workbook=16_15.xlsx&amp;sheet=A0&amp;row=1342&amp;col=11&amp;number=0.01042&amp;sourceID=54","0.01042")</f>
        <v>0.01042</v>
      </c>
      <c r="L1342" s="4" t="str">
        <f>HYPERLINK("http://141.218.60.56/~jnz1568/getInfo.php?workbook=16_15.xlsx&amp;sheet=A0&amp;row=1342&amp;col=12&amp;number=&amp;sourceID=53","")</f>
        <v/>
      </c>
      <c r="M1342" s="4" t="str">
        <f>HYPERLINK("http://141.218.60.56/~jnz1568/getInfo.php?workbook=16_15.xlsx&amp;sheet=A0&amp;row=1342&amp;col=13&amp;number=&amp;sourceID=53","")</f>
        <v/>
      </c>
      <c r="N1342" s="4" t="str">
        <f>HYPERLINK("http://141.218.60.56/~jnz1568/getInfo.php?workbook=16_15.xlsx&amp;sheet=A0&amp;row=1342&amp;col=14&amp;number=&amp;sourceID=53","")</f>
        <v/>
      </c>
      <c r="O1342" s="4" t="str">
        <f>HYPERLINK("http://141.218.60.56/~jnz1568/getInfo.php?workbook=16_15.xlsx&amp;sheet=A0&amp;row=1342&amp;col=15&amp;number=&amp;sourceID=55","")</f>
        <v/>
      </c>
      <c r="P1342" s="4" t="str">
        <f>HYPERLINK("http://141.218.60.56/~jnz1568/getInfo.php?workbook=16_15.xlsx&amp;sheet=A0&amp;row=1342&amp;col=16&amp;number=&amp;sourceID=55","")</f>
        <v/>
      </c>
      <c r="Q1342" s="4" t="str">
        <f>HYPERLINK("http://141.218.60.56/~jnz1568/getInfo.php?workbook=16_15.xlsx&amp;sheet=A0&amp;row=1342&amp;col=17&amp;number=&amp;sourceID=56","")</f>
        <v/>
      </c>
      <c r="R1342" s="4" t="str">
        <f>HYPERLINK("http://141.218.60.56/~jnz1568/getInfo.php?workbook=16_15.xlsx&amp;sheet=A0&amp;row=1342&amp;col=18&amp;number=&amp;sourceID=56","")</f>
        <v/>
      </c>
      <c r="S1342" s="4" t="str">
        <f>HYPERLINK("http://141.218.60.56/~jnz1568/getInfo.php?workbook=16_15.xlsx&amp;sheet=A0&amp;row=1342&amp;col=19&amp;number=&amp;sourceID=57","")</f>
        <v/>
      </c>
      <c r="T1342" s="4" t="str">
        <f>HYPERLINK("http://141.218.60.56/~jnz1568/getInfo.php?workbook=16_15.xlsx&amp;sheet=A0&amp;row=1342&amp;col=20&amp;number=&amp;sourceID=57","")</f>
        <v/>
      </c>
      <c r="U1342" s="4" t="str">
        <f>HYPERLINK("http://141.218.60.56/~jnz1568/getInfo.php?workbook=16_15.xlsx&amp;sheet=A0&amp;row=1342&amp;col=21&amp;number=&amp;sourceID=47","")</f>
        <v/>
      </c>
      <c r="V1342" s="4" t="str">
        <f>HYPERLINK("http://141.218.60.56/~jnz1568/getInfo.php?workbook=16_15.xlsx&amp;sheet=A0&amp;row=1342&amp;col=22&amp;number=&amp;sourceID=47","")</f>
        <v/>
      </c>
    </row>
    <row r="1343" spans="1:22">
      <c r="A1343" s="3">
        <v>16</v>
      </c>
      <c r="B1343" s="3">
        <v>15</v>
      </c>
      <c r="C1343" s="3">
        <v>59</v>
      </c>
      <c r="D1343" s="3">
        <v>35</v>
      </c>
      <c r="E1343" s="3">
        <f>((1/(INDEX(E0!J$4:J$73,C1343,1)-INDEX(E0!J$4:J$73,D1343,1))))*100000000</f>
        <v>0</v>
      </c>
      <c r="F1343" s="4" t="str">
        <f>HYPERLINK("http://141.218.60.56/~jnz1568/getInfo.php?workbook=16_15.xlsx&amp;sheet=A0&amp;row=1343&amp;col=6&amp;number=&amp;sourceID=54","")</f>
        <v/>
      </c>
      <c r="G1343" s="4" t="str">
        <f>HYPERLINK("http://141.218.60.56/~jnz1568/getInfo.php?workbook=16_15.xlsx&amp;sheet=A0&amp;row=1343&amp;col=7&amp;number=0.00032861&amp;sourceID=54","0.00032861")</f>
        <v>0.00032861</v>
      </c>
      <c r="H1343" s="4" t="str">
        <f>HYPERLINK("http://141.218.60.56/~jnz1568/getInfo.php?workbook=16_15.xlsx&amp;sheet=A0&amp;row=1343&amp;col=8&amp;number=0.0026772&amp;sourceID=54","0.0026772")</f>
        <v>0.0026772</v>
      </c>
      <c r="I1343" s="4" t="str">
        <f>HYPERLINK("http://141.218.60.56/~jnz1568/getInfo.php?workbook=16_15.xlsx&amp;sheet=A0&amp;row=1343&amp;col=9&amp;number=&amp;sourceID=54","")</f>
        <v/>
      </c>
      <c r="J1343" s="4" t="str">
        <f>HYPERLINK("http://141.218.60.56/~jnz1568/getInfo.php?workbook=16_15.xlsx&amp;sheet=A0&amp;row=1343&amp;col=10&amp;number=0.00029955&amp;sourceID=54","0.00029955")</f>
        <v>0.00029955</v>
      </c>
      <c r="K1343" s="4" t="str">
        <f>HYPERLINK("http://141.218.60.56/~jnz1568/getInfo.php?workbook=16_15.xlsx&amp;sheet=A0&amp;row=1343&amp;col=11&amp;number=0.0030791&amp;sourceID=54","0.0030791")</f>
        <v>0.0030791</v>
      </c>
      <c r="L1343" s="4" t="str">
        <f>HYPERLINK("http://141.218.60.56/~jnz1568/getInfo.php?workbook=16_15.xlsx&amp;sheet=A0&amp;row=1343&amp;col=12&amp;number=&amp;sourceID=53","")</f>
        <v/>
      </c>
      <c r="M1343" s="4" t="str">
        <f>HYPERLINK("http://141.218.60.56/~jnz1568/getInfo.php?workbook=16_15.xlsx&amp;sheet=A0&amp;row=1343&amp;col=13&amp;number=&amp;sourceID=53","")</f>
        <v/>
      </c>
      <c r="N1343" s="4" t="str">
        <f>HYPERLINK("http://141.218.60.56/~jnz1568/getInfo.php?workbook=16_15.xlsx&amp;sheet=A0&amp;row=1343&amp;col=14&amp;number=&amp;sourceID=53","")</f>
        <v/>
      </c>
      <c r="O1343" s="4" t="str">
        <f>HYPERLINK("http://141.218.60.56/~jnz1568/getInfo.php?workbook=16_15.xlsx&amp;sheet=A0&amp;row=1343&amp;col=15&amp;number=&amp;sourceID=55","")</f>
        <v/>
      </c>
      <c r="P1343" s="4" t="str">
        <f>HYPERLINK("http://141.218.60.56/~jnz1568/getInfo.php?workbook=16_15.xlsx&amp;sheet=A0&amp;row=1343&amp;col=16&amp;number=&amp;sourceID=55","")</f>
        <v/>
      </c>
      <c r="Q1343" s="4" t="str">
        <f>HYPERLINK("http://141.218.60.56/~jnz1568/getInfo.php?workbook=16_15.xlsx&amp;sheet=A0&amp;row=1343&amp;col=17&amp;number=&amp;sourceID=56","")</f>
        <v/>
      </c>
      <c r="R1343" s="4" t="str">
        <f>HYPERLINK("http://141.218.60.56/~jnz1568/getInfo.php?workbook=16_15.xlsx&amp;sheet=A0&amp;row=1343&amp;col=18&amp;number=&amp;sourceID=56","")</f>
        <v/>
      </c>
      <c r="S1343" s="4" t="str">
        <f>HYPERLINK("http://141.218.60.56/~jnz1568/getInfo.php?workbook=16_15.xlsx&amp;sheet=A0&amp;row=1343&amp;col=19&amp;number=&amp;sourceID=57","")</f>
        <v/>
      </c>
      <c r="T1343" s="4" t="str">
        <f>HYPERLINK("http://141.218.60.56/~jnz1568/getInfo.php?workbook=16_15.xlsx&amp;sheet=A0&amp;row=1343&amp;col=20&amp;number=&amp;sourceID=57","")</f>
        <v/>
      </c>
      <c r="U1343" s="4" t="str">
        <f>HYPERLINK("http://141.218.60.56/~jnz1568/getInfo.php?workbook=16_15.xlsx&amp;sheet=A0&amp;row=1343&amp;col=21&amp;number=&amp;sourceID=47","")</f>
        <v/>
      </c>
      <c r="V1343" s="4" t="str">
        <f>HYPERLINK("http://141.218.60.56/~jnz1568/getInfo.php?workbook=16_15.xlsx&amp;sheet=A0&amp;row=1343&amp;col=22&amp;number=&amp;sourceID=47","")</f>
        <v/>
      </c>
    </row>
    <row r="1344" spans="1:22">
      <c r="A1344" s="3">
        <v>16</v>
      </c>
      <c r="B1344" s="3">
        <v>15</v>
      </c>
      <c r="C1344" s="3">
        <v>59</v>
      </c>
      <c r="D1344" s="3">
        <v>36</v>
      </c>
      <c r="E1344" s="3">
        <f>((1/(INDEX(E0!J$4:J$73,C1344,1)-INDEX(E0!J$4:J$73,D1344,1))))*100000000</f>
        <v>0</v>
      </c>
      <c r="F1344" s="4" t="str">
        <f>HYPERLINK("http://141.218.60.56/~jnz1568/getInfo.php?workbook=16_15.xlsx&amp;sheet=A0&amp;row=1344&amp;col=6&amp;number=&amp;sourceID=54","")</f>
        <v/>
      </c>
      <c r="G1344" s="4" t="str">
        <f>HYPERLINK("http://141.218.60.56/~jnz1568/getInfo.php?workbook=16_15.xlsx&amp;sheet=A0&amp;row=1344&amp;col=7&amp;number=0.00024895&amp;sourceID=54","0.00024895")</f>
        <v>0.00024895</v>
      </c>
      <c r="H1344" s="4" t="str">
        <f>HYPERLINK("http://141.218.60.56/~jnz1568/getInfo.php?workbook=16_15.xlsx&amp;sheet=A0&amp;row=1344&amp;col=8&amp;number=0.0026105&amp;sourceID=54","0.0026105")</f>
        <v>0.0026105</v>
      </c>
      <c r="I1344" s="4" t="str">
        <f>HYPERLINK("http://141.218.60.56/~jnz1568/getInfo.php?workbook=16_15.xlsx&amp;sheet=A0&amp;row=1344&amp;col=9&amp;number=&amp;sourceID=54","")</f>
        <v/>
      </c>
      <c r="J1344" s="4" t="str">
        <f>HYPERLINK("http://141.218.60.56/~jnz1568/getInfo.php?workbook=16_15.xlsx&amp;sheet=A0&amp;row=1344&amp;col=10&amp;number=0.00022129&amp;sourceID=54","0.00022129")</f>
        <v>0.00022129</v>
      </c>
      <c r="K1344" s="4" t="str">
        <f>HYPERLINK("http://141.218.60.56/~jnz1568/getInfo.php?workbook=16_15.xlsx&amp;sheet=A0&amp;row=1344&amp;col=11&amp;number=0.0027423&amp;sourceID=54","0.0027423")</f>
        <v>0.0027423</v>
      </c>
      <c r="L1344" s="4" t="str">
        <f>HYPERLINK("http://141.218.60.56/~jnz1568/getInfo.php?workbook=16_15.xlsx&amp;sheet=A0&amp;row=1344&amp;col=12&amp;number=&amp;sourceID=53","")</f>
        <v/>
      </c>
      <c r="M1344" s="4" t="str">
        <f>HYPERLINK("http://141.218.60.56/~jnz1568/getInfo.php?workbook=16_15.xlsx&amp;sheet=A0&amp;row=1344&amp;col=13&amp;number=&amp;sourceID=53","")</f>
        <v/>
      </c>
      <c r="N1344" s="4" t="str">
        <f>HYPERLINK("http://141.218.60.56/~jnz1568/getInfo.php?workbook=16_15.xlsx&amp;sheet=A0&amp;row=1344&amp;col=14&amp;number=&amp;sourceID=53","")</f>
        <v/>
      </c>
      <c r="O1344" s="4" t="str">
        <f>HYPERLINK("http://141.218.60.56/~jnz1568/getInfo.php?workbook=16_15.xlsx&amp;sheet=A0&amp;row=1344&amp;col=15&amp;number=&amp;sourceID=55","")</f>
        <v/>
      </c>
      <c r="P1344" s="4" t="str">
        <f>HYPERLINK("http://141.218.60.56/~jnz1568/getInfo.php?workbook=16_15.xlsx&amp;sheet=A0&amp;row=1344&amp;col=16&amp;number=&amp;sourceID=55","")</f>
        <v/>
      </c>
      <c r="Q1344" s="4" t="str">
        <f>HYPERLINK("http://141.218.60.56/~jnz1568/getInfo.php?workbook=16_15.xlsx&amp;sheet=A0&amp;row=1344&amp;col=17&amp;number=&amp;sourceID=56","")</f>
        <v/>
      </c>
      <c r="R1344" s="4" t="str">
        <f>HYPERLINK("http://141.218.60.56/~jnz1568/getInfo.php?workbook=16_15.xlsx&amp;sheet=A0&amp;row=1344&amp;col=18&amp;number=&amp;sourceID=56","")</f>
        <v/>
      </c>
      <c r="S1344" s="4" t="str">
        <f>HYPERLINK("http://141.218.60.56/~jnz1568/getInfo.php?workbook=16_15.xlsx&amp;sheet=A0&amp;row=1344&amp;col=19&amp;number=&amp;sourceID=57","")</f>
        <v/>
      </c>
      <c r="T1344" s="4" t="str">
        <f>HYPERLINK("http://141.218.60.56/~jnz1568/getInfo.php?workbook=16_15.xlsx&amp;sheet=A0&amp;row=1344&amp;col=20&amp;number=&amp;sourceID=57","")</f>
        <v/>
      </c>
      <c r="U1344" s="4" t="str">
        <f>HYPERLINK("http://141.218.60.56/~jnz1568/getInfo.php?workbook=16_15.xlsx&amp;sheet=A0&amp;row=1344&amp;col=21&amp;number=&amp;sourceID=47","")</f>
        <v/>
      </c>
      <c r="V1344" s="4" t="str">
        <f>HYPERLINK("http://141.218.60.56/~jnz1568/getInfo.php?workbook=16_15.xlsx&amp;sheet=A0&amp;row=1344&amp;col=22&amp;number=&amp;sourceID=47","")</f>
        <v/>
      </c>
    </row>
    <row r="1345" spans="1:22">
      <c r="A1345" s="3">
        <v>16</v>
      </c>
      <c r="B1345" s="3">
        <v>15</v>
      </c>
      <c r="C1345" s="3">
        <v>59</v>
      </c>
      <c r="D1345" s="3">
        <v>37</v>
      </c>
      <c r="E1345" s="3">
        <f>((1/(INDEX(E0!J$4:J$73,C1345,1)-INDEX(E0!J$4:J$73,D1345,1))))*100000000</f>
        <v>0</v>
      </c>
      <c r="F1345" s="4" t="str">
        <f>HYPERLINK("http://141.218.60.56/~jnz1568/getInfo.php?workbook=16_15.xlsx&amp;sheet=A0&amp;row=1345&amp;col=6&amp;number=&amp;sourceID=54","")</f>
        <v/>
      </c>
      <c r="G1345" s="4" t="str">
        <f>HYPERLINK("http://141.218.60.56/~jnz1568/getInfo.php?workbook=16_15.xlsx&amp;sheet=A0&amp;row=1345&amp;col=7&amp;number=1.7851e-05&amp;sourceID=54","1.7851e-05")</f>
        <v>1.7851e-05</v>
      </c>
      <c r="H1345" s="4" t="str">
        <f>HYPERLINK("http://141.218.60.56/~jnz1568/getInfo.php?workbook=16_15.xlsx&amp;sheet=A0&amp;row=1345&amp;col=8&amp;number=&amp;sourceID=54","")</f>
        <v/>
      </c>
      <c r="I1345" s="4" t="str">
        <f>HYPERLINK("http://141.218.60.56/~jnz1568/getInfo.php?workbook=16_15.xlsx&amp;sheet=A0&amp;row=1345&amp;col=9&amp;number=&amp;sourceID=54","")</f>
        <v/>
      </c>
      <c r="J1345" s="4" t="str">
        <f>HYPERLINK("http://141.218.60.56/~jnz1568/getInfo.php?workbook=16_15.xlsx&amp;sheet=A0&amp;row=1345&amp;col=10&amp;number=1.7616e-05&amp;sourceID=54","1.7616e-05")</f>
        <v>1.7616e-05</v>
      </c>
      <c r="K1345" s="4" t="str">
        <f>HYPERLINK("http://141.218.60.56/~jnz1568/getInfo.php?workbook=16_15.xlsx&amp;sheet=A0&amp;row=1345&amp;col=11&amp;number=&amp;sourceID=54","")</f>
        <v/>
      </c>
      <c r="L1345" s="4" t="str">
        <f>HYPERLINK("http://141.218.60.56/~jnz1568/getInfo.php?workbook=16_15.xlsx&amp;sheet=A0&amp;row=1345&amp;col=12&amp;number=&amp;sourceID=53","")</f>
        <v/>
      </c>
      <c r="M1345" s="4" t="str">
        <f>HYPERLINK("http://141.218.60.56/~jnz1568/getInfo.php?workbook=16_15.xlsx&amp;sheet=A0&amp;row=1345&amp;col=13&amp;number=&amp;sourceID=53","")</f>
        <v/>
      </c>
      <c r="N1345" s="4" t="str">
        <f>HYPERLINK("http://141.218.60.56/~jnz1568/getInfo.php?workbook=16_15.xlsx&amp;sheet=A0&amp;row=1345&amp;col=14&amp;number=&amp;sourceID=53","")</f>
        <v/>
      </c>
      <c r="O1345" s="4" t="str">
        <f>HYPERLINK("http://141.218.60.56/~jnz1568/getInfo.php?workbook=16_15.xlsx&amp;sheet=A0&amp;row=1345&amp;col=15&amp;number=&amp;sourceID=55","")</f>
        <v/>
      </c>
      <c r="P1345" s="4" t="str">
        <f>HYPERLINK("http://141.218.60.56/~jnz1568/getInfo.php?workbook=16_15.xlsx&amp;sheet=A0&amp;row=1345&amp;col=16&amp;number=&amp;sourceID=55","")</f>
        <v/>
      </c>
      <c r="Q1345" s="4" t="str">
        <f>HYPERLINK("http://141.218.60.56/~jnz1568/getInfo.php?workbook=16_15.xlsx&amp;sheet=A0&amp;row=1345&amp;col=17&amp;number=&amp;sourceID=56","")</f>
        <v/>
      </c>
      <c r="R1345" s="4" t="str">
        <f>HYPERLINK("http://141.218.60.56/~jnz1568/getInfo.php?workbook=16_15.xlsx&amp;sheet=A0&amp;row=1345&amp;col=18&amp;number=&amp;sourceID=56","")</f>
        <v/>
      </c>
      <c r="S1345" s="4" t="str">
        <f>HYPERLINK("http://141.218.60.56/~jnz1568/getInfo.php?workbook=16_15.xlsx&amp;sheet=A0&amp;row=1345&amp;col=19&amp;number=&amp;sourceID=57","")</f>
        <v/>
      </c>
      <c r="T1345" s="4" t="str">
        <f>HYPERLINK("http://141.218.60.56/~jnz1568/getInfo.php?workbook=16_15.xlsx&amp;sheet=A0&amp;row=1345&amp;col=20&amp;number=&amp;sourceID=57","")</f>
        <v/>
      </c>
      <c r="U1345" s="4" t="str">
        <f>HYPERLINK("http://141.218.60.56/~jnz1568/getInfo.php?workbook=16_15.xlsx&amp;sheet=A0&amp;row=1345&amp;col=21&amp;number=&amp;sourceID=47","")</f>
        <v/>
      </c>
      <c r="V1345" s="4" t="str">
        <f>HYPERLINK("http://141.218.60.56/~jnz1568/getInfo.php?workbook=16_15.xlsx&amp;sheet=A0&amp;row=1345&amp;col=22&amp;number=&amp;sourceID=47","")</f>
        <v/>
      </c>
    </row>
    <row r="1346" spans="1:22">
      <c r="A1346" s="3">
        <v>16</v>
      </c>
      <c r="B1346" s="3">
        <v>15</v>
      </c>
      <c r="C1346" s="3">
        <v>59</v>
      </c>
      <c r="D1346" s="3">
        <v>38</v>
      </c>
      <c r="E1346" s="3">
        <f>((1/(INDEX(E0!J$4:J$73,C1346,1)-INDEX(E0!J$4:J$73,D1346,1))))*100000000</f>
        <v>0</v>
      </c>
      <c r="F1346" s="4" t="str">
        <f>HYPERLINK("http://141.218.60.56/~jnz1568/getInfo.php?workbook=16_15.xlsx&amp;sheet=A0&amp;row=1346&amp;col=6&amp;number=&amp;sourceID=54","")</f>
        <v/>
      </c>
      <c r="G1346" s="4" t="str">
        <f>HYPERLINK("http://141.218.60.56/~jnz1568/getInfo.php?workbook=16_15.xlsx&amp;sheet=A0&amp;row=1346&amp;col=7&amp;number=0.00091888&amp;sourceID=54","0.00091888")</f>
        <v>0.00091888</v>
      </c>
      <c r="H1346" s="4" t="str">
        <f>HYPERLINK("http://141.218.60.56/~jnz1568/getInfo.php?workbook=16_15.xlsx&amp;sheet=A0&amp;row=1346&amp;col=8&amp;number=0.0030916&amp;sourceID=54","0.0030916")</f>
        <v>0.0030916</v>
      </c>
      <c r="I1346" s="4" t="str">
        <f>HYPERLINK("http://141.218.60.56/~jnz1568/getInfo.php?workbook=16_15.xlsx&amp;sheet=A0&amp;row=1346&amp;col=9&amp;number=&amp;sourceID=54","")</f>
        <v/>
      </c>
      <c r="J1346" s="4" t="str">
        <f>HYPERLINK("http://141.218.60.56/~jnz1568/getInfo.php?workbook=16_15.xlsx&amp;sheet=A0&amp;row=1346&amp;col=10&amp;number=0.00075053&amp;sourceID=54","0.00075053")</f>
        <v>0.00075053</v>
      </c>
      <c r="K1346" s="4" t="str">
        <f>HYPERLINK("http://141.218.60.56/~jnz1568/getInfo.php?workbook=16_15.xlsx&amp;sheet=A0&amp;row=1346&amp;col=11&amp;number=0.0029554&amp;sourceID=54","0.0029554")</f>
        <v>0.0029554</v>
      </c>
      <c r="L1346" s="4" t="str">
        <f>HYPERLINK("http://141.218.60.56/~jnz1568/getInfo.php?workbook=16_15.xlsx&amp;sheet=A0&amp;row=1346&amp;col=12&amp;number=&amp;sourceID=53","")</f>
        <v/>
      </c>
      <c r="M1346" s="4" t="str">
        <f>HYPERLINK("http://141.218.60.56/~jnz1568/getInfo.php?workbook=16_15.xlsx&amp;sheet=A0&amp;row=1346&amp;col=13&amp;number=&amp;sourceID=53","")</f>
        <v/>
      </c>
      <c r="N1346" s="4" t="str">
        <f>HYPERLINK("http://141.218.60.56/~jnz1568/getInfo.php?workbook=16_15.xlsx&amp;sheet=A0&amp;row=1346&amp;col=14&amp;number=&amp;sourceID=53","")</f>
        <v/>
      </c>
      <c r="O1346" s="4" t="str">
        <f>HYPERLINK("http://141.218.60.56/~jnz1568/getInfo.php?workbook=16_15.xlsx&amp;sheet=A0&amp;row=1346&amp;col=15&amp;number=&amp;sourceID=55","")</f>
        <v/>
      </c>
      <c r="P1346" s="4" t="str">
        <f>HYPERLINK("http://141.218.60.56/~jnz1568/getInfo.php?workbook=16_15.xlsx&amp;sheet=A0&amp;row=1346&amp;col=16&amp;number=&amp;sourceID=55","")</f>
        <v/>
      </c>
      <c r="Q1346" s="4" t="str">
        <f>HYPERLINK("http://141.218.60.56/~jnz1568/getInfo.php?workbook=16_15.xlsx&amp;sheet=A0&amp;row=1346&amp;col=17&amp;number=&amp;sourceID=56","")</f>
        <v/>
      </c>
      <c r="R1346" s="4" t="str">
        <f>HYPERLINK("http://141.218.60.56/~jnz1568/getInfo.php?workbook=16_15.xlsx&amp;sheet=A0&amp;row=1346&amp;col=18&amp;number=&amp;sourceID=56","")</f>
        <v/>
      </c>
      <c r="S1346" s="4" t="str">
        <f>HYPERLINK("http://141.218.60.56/~jnz1568/getInfo.php?workbook=16_15.xlsx&amp;sheet=A0&amp;row=1346&amp;col=19&amp;number=&amp;sourceID=57","")</f>
        <v/>
      </c>
      <c r="T1346" s="4" t="str">
        <f>HYPERLINK("http://141.218.60.56/~jnz1568/getInfo.php?workbook=16_15.xlsx&amp;sheet=A0&amp;row=1346&amp;col=20&amp;number=&amp;sourceID=57","")</f>
        <v/>
      </c>
      <c r="U1346" s="4" t="str">
        <f>HYPERLINK("http://141.218.60.56/~jnz1568/getInfo.php?workbook=16_15.xlsx&amp;sheet=A0&amp;row=1346&amp;col=21&amp;number=&amp;sourceID=47","")</f>
        <v/>
      </c>
      <c r="V1346" s="4" t="str">
        <f>HYPERLINK("http://141.218.60.56/~jnz1568/getInfo.php?workbook=16_15.xlsx&amp;sheet=A0&amp;row=1346&amp;col=22&amp;number=&amp;sourceID=47","")</f>
        <v/>
      </c>
    </row>
    <row r="1347" spans="1:22">
      <c r="A1347" s="3">
        <v>16</v>
      </c>
      <c r="B1347" s="3">
        <v>15</v>
      </c>
      <c r="C1347" s="3">
        <v>59</v>
      </c>
      <c r="D1347" s="3">
        <v>39</v>
      </c>
      <c r="E1347" s="3">
        <f>((1/(INDEX(E0!J$4:J$73,C1347,1)-INDEX(E0!J$4:J$73,D1347,1))))*100000000</f>
        <v>0</v>
      </c>
      <c r="F1347" s="4" t="str">
        <f>HYPERLINK("http://141.218.60.56/~jnz1568/getInfo.php?workbook=16_15.xlsx&amp;sheet=A0&amp;row=1347&amp;col=6&amp;number=&amp;sourceID=54","")</f>
        <v/>
      </c>
      <c r="G1347" s="4" t="str">
        <f>HYPERLINK("http://141.218.60.56/~jnz1568/getInfo.php?workbook=16_15.xlsx&amp;sheet=A0&amp;row=1347&amp;col=7&amp;number=0.0064337&amp;sourceID=54","0.0064337")</f>
        <v>0.0064337</v>
      </c>
      <c r="H1347" s="4" t="str">
        <f>HYPERLINK("http://141.218.60.56/~jnz1568/getInfo.php?workbook=16_15.xlsx&amp;sheet=A0&amp;row=1347&amp;col=8&amp;number=0.009431&amp;sourceID=54","0.009431")</f>
        <v>0.009431</v>
      </c>
      <c r="I1347" s="4" t="str">
        <f>HYPERLINK("http://141.218.60.56/~jnz1568/getInfo.php?workbook=16_15.xlsx&amp;sheet=A0&amp;row=1347&amp;col=9&amp;number=&amp;sourceID=54","")</f>
        <v/>
      </c>
      <c r="J1347" s="4" t="str">
        <f>HYPERLINK("http://141.218.60.56/~jnz1568/getInfo.php?workbook=16_15.xlsx&amp;sheet=A0&amp;row=1347&amp;col=10&amp;number=0.0063013&amp;sourceID=54","0.0063013")</f>
        <v>0.0063013</v>
      </c>
      <c r="K1347" s="4" t="str">
        <f>HYPERLINK("http://141.218.60.56/~jnz1568/getInfo.php?workbook=16_15.xlsx&amp;sheet=A0&amp;row=1347&amp;col=11&amp;number=0.0097546&amp;sourceID=54","0.0097546")</f>
        <v>0.0097546</v>
      </c>
      <c r="L1347" s="4" t="str">
        <f>HYPERLINK("http://141.218.60.56/~jnz1568/getInfo.php?workbook=16_15.xlsx&amp;sheet=A0&amp;row=1347&amp;col=12&amp;number=&amp;sourceID=53","")</f>
        <v/>
      </c>
      <c r="M1347" s="4" t="str">
        <f>HYPERLINK("http://141.218.60.56/~jnz1568/getInfo.php?workbook=16_15.xlsx&amp;sheet=A0&amp;row=1347&amp;col=13&amp;number=&amp;sourceID=53","")</f>
        <v/>
      </c>
      <c r="N1347" s="4" t="str">
        <f>HYPERLINK("http://141.218.60.56/~jnz1568/getInfo.php?workbook=16_15.xlsx&amp;sheet=A0&amp;row=1347&amp;col=14&amp;number=&amp;sourceID=53","")</f>
        <v/>
      </c>
      <c r="O1347" s="4" t="str">
        <f>HYPERLINK("http://141.218.60.56/~jnz1568/getInfo.php?workbook=16_15.xlsx&amp;sheet=A0&amp;row=1347&amp;col=15&amp;number=&amp;sourceID=55","")</f>
        <v/>
      </c>
      <c r="P1347" s="4" t="str">
        <f>HYPERLINK("http://141.218.60.56/~jnz1568/getInfo.php?workbook=16_15.xlsx&amp;sheet=A0&amp;row=1347&amp;col=16&amp;number=&amp;sourceID=55","")</f>
        <v/>
      </c>
      <c r="Q1347" s="4" t="str">
        <f>HYPERLINK("http://141.218.60.56/~jnz1568/getInfo.php?workbook=16_15.xlsx&amp;sheet=A0&amp;row=1347&amp;col=17&amp;number=&amp;sourceID=56","")</f>
        <v/>
      </c>
      <c r="R1347" s="4" t="str">
        <f>HYPERLINK("http://141.218.60.56/~jnz1568/getInfo.php?workbook=16_15.xlsx&amp;sheet=A0&amp;row=1347&amp;col=18&amp;number=&amp;sourceID=56","")</f>
        <v/>
      </c>
      <c r="S1347" s="4" t="str">
        <f>HYPERLINK("http://141.218.60.56/~jnz1568/getInfo.php?workbook=16_15.xlsx&amp;sheet=A0&amp;row=1347&amp;col=19&amp;number=&amp;sourceID=57","")</f>
        <v/>
      </c>
      <c r="T1347" s="4" t="str">
        <f>HYPERLINK("http://141.218.60.56/~jnz1568/getInfo.php?workbook=16_15.xlsx&amp;sheet=A0&amp;row=1347&amp;col=20&amp;number=&amp;sourceID=57","")</f>
        <v/>
      </c>
      <c r="U1347" s="4" t="str">
        <f>HYPERLINK("http://141.218.60.56/~jnz1568/getInfo.php?workbook=16_15.xlsx&amp;sheet=A0&amp;row=1347&amp;col=21&amp;number=&amp;sourceID=47","")</f>
        <v/>
      </c>
      <c r="V1347" s="4" t="str">
        <f>HYPERLINK("http://141.218.60.56/~jnz1568/getInfo.php?workbook=16_15.xlsx&amp;sheet=A0&amp;row=1347&amp;col=22&amp;number=&amp;sourceID=47","")</f>
        <v/>
      </c>
    </row>
    <row r="1348" spans="1:22">
      <c r="A1348" s="3">
        <v>16</v>
      </c>
      <c r="B1348" s="3">
        <v>15</v>
      </c>
      <c r="C1348" s="3">
        <v>59</v>
      </c>
      <c r="D1348" s="3">
        <v>40</v>
      </c>
      <c r="E1348" s="3">
        <f>((1/(INDEX(E0!J$4:J$73,C1348,1)-INDEX(E0!J$4:J$73,D1348,1))))*100000000</f>
        <v>0</v>
      </c>
      <c r="F1348" s="4" t="str">
        <f>HYPERLINK("http://141.218.60.56/~jnz1568/getInfo.php?workbook=16_15.xlsx&amp;sheet=A0&amp;row=1348&amp;col=6&amp;number=&amp;sourceID=54","")</f>
        <v/>
      </c>
      <c r="G1348" s="4" t="str">
        <f>HYPERLINK("http://141.218.60.56/~jnz1568/getInfo.php?workbook=16_15.xlsx&amp;sheet=A0&amp;row=1348&amp;col=7&amp;number=0.0075001&amp;sourceID=54","0.0075001")</f>
        <v>0.0075001</v>
      </c>
      <c r="H1348" s="4" t="str">
        <f>HYPERLINK("http://141.218.60.56/~jnz1568/getInfo.php?workbook=16_15.xlsx&amp;sheet=A0&amp;row=1348&amp;col=8&amp;number=0.0016401&amp;sourceID=54","0.0016401")</f>
        <v>0.0016401</v>
      </c>
      <c r="I1348" s="4" t="str">
        <f>HYPERLINK("http://141.218.60.56/~jnz1568/getInfo.php?workbook=16_15.xlsx&amp;sheet=A0&amp;row=1348&amp;col=9&amp;number=&amp;sourceID=54","")</f>
        <v/>
      </c>
      <c r="J1348" s="4" t="str">
        <f>HYPERLINK("http://141.218.60.56/~jnz1568/getInfo.php?workbook=16_15.xlsx&amp;sheet=A0&amp;row=1348&amp;col=10&amp;number=0.0068258&amp;sourceID=54","0.0068258")</f>
        <v>0.0068258</v>
      </c>
      <c r="K1348" s="4" t="str">
        <f>HYPERLINK("http://141.218.60.56/~jnz1568/getInfo.php?workbook=16_15.xlsx&amp;sheet=A0&amp;row=1348&amp;col=11&amp;number=0.0012331&amp;sourceID=54","0.0012331")</f>
        <v>0.0012331</v>
      </c>
      <c r="L1348" s="4" t="str">
        <f>HYPERLINK("http://141.218.60.56/~jnz1568/getInfo.php?workbook=16_15.xlsx&amp;sheet=A0&amp;row=1348&amp;col=12&amp;number=&amp;sourceID=53","")</f>
        <v/>
      </c>
      <c r="M1348" s="4" t="str">
        <f>HYPERLINK("http://141.218.60.56/~jnz1568/getInfo.php?workbook=16_15.xlsx&amp;sheet=A0&amp;row=1348&amp;col=13&amp;number=&amp;sourceID=53","")</f>
        <v/>
      </c>
      <c r="N1348" s="4" t="str">
        <f>HYPERLINK("http://141.218.60.56/~jnz1568/getInfo.php?workbook=16_15.xlsx&amp;sheet=A0&amp;row=1348&amp;col=14&amp;number=&amp;sourceID=53","")</f>
        <v/>
      </c>
      <c r="O1348" s="4" t="str">
        <f>HYPERLINK("http://141.218.60.56/~jnz1568/getInfo.php?workbook=16_15.xlsx&amp;sheet=A0&amp;row=1348&amp;col=15&amp;number=&amp;sourceID=55","")</f>
        <v/>
      </c>
      <c r="P1348" s="4" t="str">
        <f>HYPERLINK("http://141.218.60.56/~jnz1568/getInfo.php?workbook=16_15.xlsx&amp;sheet=A0&amp;row=1348&amp;col=16&amp;number=&amp;sourceID=55","")</f>
        <v/>
      </c>
      <c r="Q1348" s="4" t="str">
        <f>HYPERLINK("http://141.218.60.56/~jnz1568/getInfo.php?workbook=16_15.xlsx&amp;sheet=A0&amp;row=1348&amp;col=17&amp;number=&amp;sourceID=56","")</f>
        <v/>
      </c>
      <c r="R1348" s="4" t="str">
        <f>HYPERLINK("http://141.218.60.56/~jnz1568/getInfo.php?workbook=16_15.xlsx&amp;sheet=A0&amp;row=1348&amp;col=18&amp;number=&amp;sourceID=56","")</f>
        <v/>
      </c>
      <c r="S1348" s="4" t="str">
        <f>HYPERLINK("http://141.218.60.56/~jnz1568/getInfo.php?workbook=16_15.xlsx&amp;sheet=A0&amp;row=1348&amp;col=19&amp;number=&amp;sourceID=57","")</f>
        <v/>
      </c>
      <c r="T1348" s="4" t="str">
        <f>HYPERLINK("http://141.218.60.56/~jnz1568/getInfo.php?workbook=16_15.xlsx&amp;sheet=A0&amp;row=1348&amp;col=20&amp;number=&amp;sourceID=57","")</f>
        <v/>
      </c>
      <c r="U1348" s="4" t="str">
        <f>HYPERLINK("http://141.218.60.56/~jnz1568/getInfo.php?workbook=16_15.xlsx&amp;sheet=A0&amp;row=1348&amp;col=21&amp;number=&amp;sourceID=47","")</f>
        <v/>
      </c>
      <c r="V1348" s="4" t="str">
        <f>HYPERLINK("http://141.218.60.56/~jnz1568/getInfo.php?workbook=16_15.xlsx&amp;sheet=A0&amp;row=1348&amp;col=22&amp;number=&amp;sourceID=47","")</f>
        <v/>
      </c>
    </row>
    <row r="1349" spans="1:22">
      <c r="A1349" s="3">
        <v>16</v>
      </c>
      <c r="B1349" s="3">
        <v>15</v>
      </c>
      <c r="C1349" s="3">
        <v>59</v>
      </c>
      <c r="D1349" s="3">
        <v>41</v>
      </c>
      <c r="E1349" s="3">
        <f>((1/(INDEX(E0!J$4:J$73,C1349,1)-INDEX(E0!J$4:J$73,D1349,1))))*100000000</f>
        <v>0</v>
      </c>
      <c r="F1349" s="4" t="str">
        <f>HYPERLINK("http://141.218.60.56/~jnz1568/getInfo.php?workbook=16_15.xlsx&amp;sheet=A0&amp;row=1349&amp;col=6&amp;number=215.67&amp;sourceID=54","215.67")</f>
        <v>215.67</v>
      </c>
      <c r="G1349" s="4" t="str">
        <f>HYPERLINK("http://141.218.60.56/~jnz1568/getInfo.php?workbook=16_15.xlsx&amp;sheet=A0&amp;row=1349&amp;col=7&amp;number=&amp;sourceID=54","")</f>
        <v/>
      </c>
      <c r="H1349" s="4" t="str">
        <f>HYPERLINK("http://141.218.60.56/~jnz1568/getInfo.php?workbook=16_15.xlsx&amp;sheet=A0&amp;row=1349&amp;col=8&amp;number=&amp;sourceID=54","")</f>
        <v/>
      </c>
      <c r="I1349" s="4" t="str">
        <f>HYPERLINK("http://141.218.60.56/~jnz1568/getInfo.php?workbook=16_15.xlsx&amp;sheet=A0&amp;row=1349&amp;col=9&amp;number=268.22&amp;sourceID=54","268.22")</f>
        <v>268.22</v>
      </c>
      <c r="J1349" s="4" t="str">
        <f>HYPERLINK("http://141.218.60.56/~jnz1568/getInfo.php?workbook=16_15.xlsx&amp;sheet=A0&amp;row=1349&amp;col=10&amp;number=&amp;sourceID=54","")</f>
        <v/>
      </c>
      <c r="K1349" s="4" t="str">
        <f>HYPERLINK("http://141.218.60.56/~jnz1568/getInfo.php?workbook=16_15.xlsx&amp;sheet=A0&amp;row=1349&amp;col=11&amp;number=&amp;sourceID=54","")</f>
        <v/>
      </c>
      <c r="L1349" s="4" t="str">
        <f>HYPERLINK("http://141.218.60.56/~jnz1568/getInfo.php?workbook=16_15.xlsx&amp;sheet=A0&amp;row=1349&amp;col=12&amp;number=351.50604371&amp;sourceID=53","351.50604371")</f>
        <v>351.50604371</v>
      </c>
      <c r="M1349" s="4" t="str">
        <f>HYPERLINK("http://141.218.60.56/~jnz1568/getInfo.php?workbook=16_15.xlsx&amp;sheet=A0&amp;row=1349&amp;col=13&amp;number=&amp;sourceID=53","")</f>
        <v/>
      </c>
      <c r="N1349" s="4" t="str">
        <f>HYPERLINK("http://141.218.60.56/~jnz1568/getInfo.php?workbook=16_15.xlsx&amp;sheet=A0&amp;row=1349&amp;col=14&amp;number=&amp;sourceID=53","")</f>
        <v/>
      </c>
      <c r="O1349" s="4" t="str">
        <f>HYPERLINK("http://141.218.60.56/~jnz1568/getInfo.php?workbook=16_15.xlsx&amp;sheet=A0&amp;row=1349&amp;col=15&amp;number=&amp;sourceID=55","")</f>
        <v/>
      </c>
      <c r="P1349" s="4" t="str">
        <f>HYPERLINK("http://141.218.60.56/~jnz1568/getInfo.php?workbook=16_15.xlsx&amp;sheet=A0&amp;row=1349&amp;col=16&amp;number=&amp;sourceID=55","")</f>
        <v/>
      </c>
      <c r="Q1349" s="4" t="str">
        <f>HYPERLINK("http://141.218.60.56/~jnz1568/getInfo.php?workbook=16_15.xlsx&amp;sheet=A0&amp;row=1349&amp;col=17&amp;number=&amp;sourceID=56","")</f>
        <v/>
      </c>
      <c r="R1349" s="4" t="str">
        <f>HYPERLINK("http://141.218.60.56/~jnz1568/getInfo.php?workbook=16_15.xlsx&amp;sheet=A0&amp;row=1349&amp;col=18&amp;number=&amp;sourceID=56","")</f>
        <v/>
      </c>
      <c r="S1349" s="4" t="str">
        <f>HYPERLINK("http://141.218.60.56/~jnz1568/getInfo.php?workbook=16_15.xlsx&amp;sheet=A0&amp;row=1349&amp;col=19&amp;number=&amp;sourceID=57","")</f>
        <v/>
      </c>
      <c r="T1349" s="4" t="str">
        <f>HYPERLINK("http://141.218.60.56/~jnz1568/getInfo.php?workbook=16_15.xlsx&amp;sheet=A0&amp;row=1349&amp;col=20&amp;number=&amp;sourceID=57","")</f>
        <v/>
      </c>
      <c r="U1349" s="4" t="str">
        <f>HYPERLINK("http://141.218.60.56/~jnz1568/getInfo.php?workbook=16_15.xlsx&amp;sheet=A0&amp;row=1349&amp;col=21&amp;number=&amp;sourceID=47","")</f>
        <v/>
      </c>
      <c r="V1349" s="4" t="str">
        <f>HYPERLINK("http://141.218.60.56/~jnz1568/getInfo.php?workbook=16_15.xlsx&amp;sheet=A0&amp;row=1349&amp;col=22&amp;number=&amp;sourceID=47","")</f>
        <v/>
      </c>
    </row>
    <row r="1350" spans="1:22">
      <c r="A1350" s="3">
        <v>16</v>
      </c>
      <c r="B1350" s="3">
        <v>15</v>
      </c>
      <c r="C1350" s="3">
        <v>59</v>
      </c>
      <c r="D1350" s="3">
        <v>42</v>
      </c>
      <c r="E1350" s="3">
        <f>((1/(INDEX(E0!J$4:J$73,C1350,1)-INDEX(E0!J$4:J$73,D1350,1))))*100000000</f>
        <v>0</v>
      </c>
      <c r="F1350" s="4" t="str">
        <f>HYPERLINK("http://141.218.60.56/~jnz1568/getInfo.php?workbook=16_15.xlsx&amp;sheet=A0&amp;row=1350&amp;col=6&amp;number=&amp;sourceID=54","")</f>
        <v/>
      </c>
      <c r="G1350" s="4" t="str">
        <f>HYPERLINK("http://141.218.60.56/~jnz1568/getInfo.php?workbook=16_15.xlsx&amp;sheet=A0&amp;row=1350&amp;col=7&amp;number=0.42093&amp;sourceID=54","0.42093")</f>
        <v>0.42093</v>
      </c>
      <c r="H1350" s="4" t="str">
        <f>HYPERLINK("http://141.218.60.56/~jnz1568/getInfo.php?workbook=16_15.xlsx&amp;sheet=A0&amp;row=1350&amp;col=8&amp;number=4.4544e-05&amp;sourceID=54","4.4544e-05")</f>
        <v>4.4544e-05</v>
      </c>
      <c r="I1350" s="4" t="str">
        <f>HYPERLINK("http://141.218.60.56/~jnz1568/getInfo.php?workbook=16_15.xlsx&amp;sheet=A0&amp;row=1350&amp;col=9&amp;number=&amp;sourceID=54","")</f>
        <v/>
      </c>
      <c r="J1350" s="4" t="str">
        <f>HYPERLINK("http://141.218.60.56/~jnz1568/getInfo.php?workbook=16_15.xlsx&amp;sheet=A0&amp;row=1350&amp;col=10&amp;number=0.34161&amp;sourceID=54","0.34161")</f>
        <v>0.34161</v>
      </c>
      <c r="K1350" s="4" t="str">
        <f>HYPERLINK("http://141.218.60.56/~jnz1568/getInfo.php?workbook=16_15.xlsx&amp;sheet=A0&amp;row=1350&amp;col=11&amp;number=8.3215e-05&amp;sourceID=54","8.3215e-05")</f>
        <v>8.3215e-05</v>
      </c>
      <c r="L1350" s="4" t="str">
        <f>HYPERLINK("http://141.218.60.56/~jnz1568/getInfo.php?workbook=16_15.xlsx&amp;sheet=A0&amp;row=1350&amp;col=12&amp;number=&amp;sourceID=53","")</f>
        <v/>
      </c>
      <c r="M1350" s="4" t="str">
        <f>HYPERLINK("http://141.218.60.56/~jnz1568/getInfo.php?workbook=16_15.xlsx&amp;sheet=A0&amp;row=1350&amp;col=13&amp;number=&amp;sourceID=53","")</f>
        <v/>
      </c>
      <c r="N1350" s="4" t="str">
        <f>HYPERLINK("http://141.218.60.56/~jnz1568/getInfo.php?workbook=16_15.xlsx&amp;sheet=A0&amp;row=1350&amp;col=14&amp;number=&amp;sourceID=53","")</f>
        <v/>
      </c>
      <c r="O1350" s="4" t="str">
        <f>HYPERLINK("http://141.218.60.56/~jnz1568/getInfo.php?workbook=16_15.xlsx&amp;sheet=A0&amp;row=1350&amp;col=15&amp;number=&amp;sourceID=55","")</f>
        <v/>
      </c>
      <c r="P1350" s="4" t="str">
        <f>HYPERLINK("http://141.218.60.56/~jnz1568/getInfo.php?workbook=16_15.xlsx&amp;sheet=A0&amp;row=1350&amp;col=16&amp;number=&amp;sourceID=55","")</f>
        <v/>
      </c>
      <c r="Q1350" s="4" t="str">
        <f>HYPERLINK("http://141.218.60.56/~jnz1568/getInfo.php?workbook=16_15.xlsx&amp;sheet=A0&amp;row=1350&amp;col=17&amp;number=&amp;sourceID=56","")</f>
        <v/>
      </c>
      <c r="R1350" s="4" t="str">
        <f>HYPERLINK("http://141.218.60.56/~jnz1568/getInfo.php?workbook=16_15.xlsx&amp;sheet=A0&amp;row=1350&amp;col=18&amp;number=&amp;sourceID=56","")</f>
        <v/>
      </c>
      <c r="S1350" s="4" t="str">
        <f>HYPERLINK("http://141.218.60.56/~jnz1568/getInfo.php?workbook=16_15.xlsx&amp;sheet=A0&amp;row=1350&amp;col=19&amp;number=&amp;sourceID=57","")</f>
        <v/>
      </c>
      <c r="T1350" s="4" t="str">
        <f>HYPERLINK("http://141.218.60.56/~jnz1568/getInfo.php?workbook=16_15.xlsx&amp;sheet=A0&amp;row=1350&amp;col=20&amp;number=&amp;sourceID=57","")</f>
        <v/>
      </c>
      <c r="U1350" s="4" t="str">
        <f>HYPERLINK("http://141.218.60.56/~jnz1568/getInfo.php?workbook=16_15.xlsx&amp;sheet=A0&amp;row=1350&amp;col=21&amp;number=&amp;sourceID=47","")</f>
        <v/>
      </c>
      <c r="V1350" s="4" t="str">
        <f>HYPERLINK("http://141.218.60.56/~jnz1568/getInfo.php?workbook=16_15.xlsx&amp;sheet=A0&amp;row=1350&amp;col=22&amp;number=&amp;sourceID=47","")</f>
        <v/>
      </c>
    </row>
    <row r="1351" spans="1:22">
      <c r="A1351" s="3">
        <v>16</v>
      </c>
      <c r="B1351" s="3">
        <v>15</v>
      </c>
      <c r="C1351" s="3">
        <v>59</v>
      </c>
      <c r="D1351" s="3">
        <v>43</v>
      </c>
      <c r="E1351" s="3">
        <f>((1/(INDEX(E0!J$4:J$73,C1351,1)-INDEX(E0!J$4:J$73,D1351,1))))*100000000</f>
        <v>0</v>
      </c>
      <c r="F1351" s="4" t="str">
        <f>HYPERLINK("http://141.218.60.56/~jnz1568/getInfo.php?workbook=16_15.xlsx&amp;sheet=A0&amp;row=1351&amp;col=6&amp;number=251.95&amp;sourceID=54","251.95")</f>
        <v>251.95</v>
      </c>
      <c r="G1351" s="4" t="str">
        <f>HYPERLINK("http://141.218.60.56/~jnz1568/getInfo.php?workbook=16_15.xlsx&amp;sheet=A0&amp;row=1351&amp;col=7&amp;number=&amp;sourceID=54","")</f>
        <v/>
      </c>
      <c r="H1351" s="4" t="str">
        <f>HYPERLINK("http://141.218.60.56/~jnz1568/getInfo.php?workbook=16_15.xlsx&amp;sheet=A0&amp;row=1351&amp;col=8&amp;number=&amp;sourceID=54","")</f>
        <v/>
      </c>
      <c r="I1351" s="4" t="str">
        <f>HYPERLINK("http://141.218.60.56/~jnz1568/getInfo.php?workbook=16_15.xlsx&amp;sheet=A0&amp;row=1351&amp;col=9&amp;number=284.58&amp;sourceID=54","284.58")</f>
        <v>284.58</v>
      </c>
      <c r="J1351" s="4" t="str">
        <f>HYPERLINK("http://141.218.60.56/~jnz1568/getInfo.php?workbook=16_15.xlsx&amp;sheet=A0&amp;row=1351&amp;col=10&amp;number=&amp;sourceID=54","")</f>
        <v/>
      </c>
      <c r="K1351" s="4" t="str">
        <f>HYPERLINK("http://141.218.60.56/~jnz1568/getInfo.php?workbook=16_15.xlsx&amp;sheet=A0&amp;row=1351&amp;col=11&amp;number=&amp;sourceID=54","")</f>
        <v/>
      </c>
      <c r="L1351" s="4" t="str">
        <f>HYPERLINK("http://141.218.60.56/~jnz1568/getInfo.php?workbook=16_15.xlsx&amp;sheet=A0&amp;row=1351&amp;col=12&amp;number=501.154060996&amp;sourceID=53","501.154060996")</f>
        <v>501.154060996</v>
      </c>
      <c r="M1351" s="4" t="str">
        <f>HYPERLINK("http://141.218.60.56/~jnz1568/getInfo.php?workbook=16_15.xlsx&amp;sheet=A0&amp;row=1351&amp;col=13&amp;number=&amp;sourceID=53","")</f>
        <v/>
      </c>
      <c r="N1351" s="4" t="str">
        <f>HYPERLINK("http://141.218.60.56/~jnz1568/getInfo.php?workbook=16_15.xlsx&amp;sheet=A0&amp;row=1351&amp;col=14&amp;number=&amp;sourceID=53","")</f>
        <v/>
      </c>
      <c r="O1351" s="4" t="str">
        <f>HYPERLINK("http://141.218.60.56/~jnz1568/getInfo.php?workbook=16_15.xlsx&amp;sheet=A0&amp;row=1351&amp;col=15&amp;number=&amp;sourceID=55","")</f>
        <v/>
      </c>
      <c r="P1351" s="4" t="str">
        <f>HYPERLINK("http://141.218.60.56/~jnz1568/getInfo.php?workbook=16_15.xlsx&amp;sheet=A0&amp;row=1351&amp;col=16&amp;number=&amp;sourceID=55","")</f>
        <v/>
      </c>
      <c r="Q1351" s="4" t="str">
        <f>HYPERLINK("http://141.218.60.56/~jnz1568/getInfo.php?workbook=16_15.xlsx&amp;sheet=A0&amp;row=1351&amp;col=17&amp;number=&amp;sourceID=56","")</f>
        <v/>
      </c>
      <c r="R1351" s="4" t="str">
        <f>HYPERLINK("http://141.218.60.56/~jnz1568/getInfo.php?workbook=16_15.xlsx&amp;sheet=A0&amp;row=1351&amp;col=18&amp;number=&amp;sourceID=56","")</f>
        <v/>
      </c>
      <c r="S1351" s="4" t="str">
        <f>HYPERLINK("http://141.218.60.56/~jnz1568/getInfo.php?workbook=16_15.xlsx&amp;sheet=A0&amp;row=1351&amp;col=19&amp;number=&amp;sourceID=57","")</f>
        <v/>
      </c>
      <c r="T1351" s="4" t="str">
        <f>HYPERLINK("http://141.218.60.56/~jnz1568/getInfo.php?workbook=16_15.xlsx&amp;sheet=A0&amp;row=1351&amp;col=20&amp;number=&amp;sourceID=57","")</f>
        <v/>
      </c>
      <c r="U1351" s="4" t="str">
        <f>HYPERLINK("http://141.218.60.56/~jnz1568/getInfo.php?workbook=16_15.xlsx&amp;sheet=A0&amp;row=1351&amp;col=21&amp;number=&amp;sourceID=47","")</f>
        <v/>
      </c>
      <c r="V1351" s="4" t="str">
        <f>HYPERLINK("http://141.218.60.56/~jnz1568/getInfo.php?workbook=16_15.xlsx&amp;sheet=A0&amp;row=1351&amp;col=22&amp;number=&amp;sourceID=47","")</f>
        <v/>
      </c>
    </row>
    <row r="1352" spans="1:22">
      <c r="A1352" s="3">
        <v>16</v>
      </c>
      <c r="B1352" s="3">
        <v>15</v>
      </c>
      <c r="C1352" s="3">
        <v>59</v>
      </c>
      <c r="D1352" s="3">
        <v>44</v>
      </c>
      <c r="E1352" s="3">
        <f>((1/(INDEX(E0!J$4:J$73,C1352,1)-INDEX(E0!J$4:J$73,D1352,1))))*100000000</f>
        <v>0</v>
      </c>
      <c r="F1352" s="4" t="str">
        <f>HYPERLINK("http://141.218.60.56/~jnz1568/getInfo.php?workbook=16_15.xlsx&amp;sheet=A0&amp;row=1352&amp;col=6&amp;number=0.46981&amp;sourceID=54","0.46981")</f>
        <v>0.46981</v>
      </c>
      <c r="G1352" s="4" t="str">
        <f>HYPERLINK("http://141.218.60.56/~jnz1568/getInfo.php?workbook=16_15.xlsx&amp;sheet=A0&amp;row=1352&amp;col=7&amp;number=&amp;sourceID=54","")</f>
        <v/>
      </c>
      <c r="H1352" s="4" t="str">
        <f>HYPERLINK("http://141.218.60.56/~jnz1568/getInfo.php?workbook=16_15.xlsx&amp;sheet=A0&amp;row=1352&amp;col=8&amp;number=&amp;sourceID=54","")</f>
        <v/>
      </c>
      <c r="I1352" s="4" t="str">
        <f>HYPERLINK("http://141.218.60.56/~jnz1568/getInfo.php?workbook=16_15.xlsx&amp;sheet=A0&amp;row=1352&amp;col=9&amp;number=3.6362&amp;sourceID=54","3.6362")</f>
        <v>3.6362</v>
      </c>
      <c r="J1352" s="4" t="str">
        <f>HYPERLINK("http://141.218.60.56/~jnz1568/getInfo.php?workbook=16_15.xlsx&amp;sheet=A0&amp;row=1352&amp;col=10&amp;number=&amp;sourceID=54","")</f>
        <v/>
      </c>
      <c r="K1352" s="4" t="str">
        <f>HYPERLINK("http://141.218.60.56/~jnz1568/getInfo.php?workbook=16_15.xlsx&amp;sheet=A0&amp;row=1352&amp;col=11&amp;number=&amp;sourceID=54","")</f>
        <v/>
      </c>
      <c r="L1352" s="4" t="str">
        <f>HYPERLINK("http://141.218.60.56/~jnz1568/getInfo.php?workbook=16_15.xlsx&amp;sheet=A0&amp;row=1352&amp;col=12&amp;number=30.667753519&amp;sourceID=53","30.667753519")</f>
        <v>30.667753519</v>
      </c>
      <c r="M1352" s="4" t="str">
        <f>HYPERLINK("http://141.218.60.56/~jnz1568/getInfo.php?workbook=16_15.xlsx&amp;sheet=A0&amp;row=1352&amp;col=13&amp;number=&amp;sourceID=53","")</f>
        <v/>
      </c>
      <c r="N1352" s="4" t="str">
        <f>HYPERLINK("http://141.218.60.56/~jnz1568/getInfo.php?workbook=16_15.xlsx&amp;sheet=A0&amp;row=1352&amp;col=14&amp;number=&amp;sourceID=53","")</f>
        <v/>
      </c>
      <c r="O1352" s="4" t="str">
        <f>HYPERLINK("http://141.218.60.56/~jnz1568/getInfo.php?workbook=16_15.xlsx&amp;sheet=A0&amp;row=1352&amp;col=15&amp;number=&amp;sourceID=55","")</f>
        <v/>
      </c>
      <c r="P1352" s="4" t="str">
        <f>HYPERLINK("http://141.218.60.56/~jnz1568/getInfo.php?workbook=16_15.xlsx&amp;sheet=A0&amp;row=1352&amp;col=16&amp;number=&amp;sourceID=55","")</f>
        <v/>
      </c>
      <c r="Q1352" s="4" t="str">
        <f>HYPERLINK("http://141.218.60.56/~jnz1568/getInfo.php?workbook=16_15.xlsx&amp;sheet=A0&amp;row=1352&amp;col=17&amp;number=&amp;sourceID=56","")</f>
        <v/>
      </c>
      <c r="R1352" s="4" t="str">
        <f>HYPERLINK("http://141.218.60.56/~jnz1568/getInfo.php?workbook=16_15.xlsx&amp;sheet=A0&amp;row=1352&amp;col=18&amp;number=&amp;sourceID=56","")</f>
        <v/>
      </c>
      <c r="S1352" s="4" t="str">
        <f>HYPERLINK("http://141.218.60.56/~jnz1568/getInfo.php?workbook=16_15.xlsx&amp;sheet=A0&amp;row=1352&amp;col=19&amp;number=&amp;sourceID=57","")</f>
        <v/>
      </c>
      <c r="T1352" s="4" t="str">
        <f>HYPERLINK("http://141.218.60.56/~jnz1568/getInfo.php?workbook=16_15.xlsx&amp;sheet=A0&amp;row=1352&amp;col=20&amp;number=&amp;sourceID=57","")</f>
        <v/>
      </c>
      <c r="U1352" s="4" t="str">
        <f>HYPERLINK("http://141.218.60.56/~jnz1568/getInfo.php?workbook=16_15.xlsx&amp;sheet=A0&amp;row=1352&amp;col=21&amp;number=&amp;sourceID=47","")</f>
        <v/>
      </c>
      <c r="V1352" s="4" t="str">
        <f>HYPERLINK("http://141.218.60.56/~jnz1568/getInfo.php?workbook=16_15.xlsx&amp;sheet=A0&amp;row=1352&amp;col=22&amp;number=&amp;sourceID=47","")</f>
        <v/>
      </c>
    </row>
    <row r="1353" spans="1:22">
      <c r="A1353" s="3">
        <v>16</v>
      </c>
      <c r="B1353" s="3">
        <v>15</v>
      </c>
      <c r="C1353" s="3">
        <v>59</v>
      </c>
      <c r="D1353" s="3">
        <v>45</v>
      </c>
      <c r="E1353" s="3">
        <f>((1/(INDEX(E0!J$4:J$73,C1353,1)-INDEX(E0!J$4:J$73,D1353,1))))*100000000</f>
        <v>0</v>
      </c>
      <c r="F1353" s="4" t="str">
        <f>HYPERLINK("http://141.218.60.56/~jnz1568/getInfo.php?workbook=16_15.xlsx&amp;sheet=A0&amp;row=1353&amp;col=6&amp;number=&amp;sourceID=54","")</f>
        <v/>
      </c>
      <c r="G1353" s="4" t="str">
        <f>HYPERLINK("http://141.218.60.56/~jnz1568/getInfo.php?workbook=16_15.xlsx&amp;sheet=A0&amp;row=1353&amp;col=7&amp;number=0.0031929&amp;sourceID=54","0.0031929")</f>
        <v>0.0031929</v>
      </c>
      <c r="H1353" s="4" t="str">
        <f>HYPERLINK("http://141.218.60.56/~jnz1568/getInfo.php?workbook=16_15.xlsx&amp;sheet=A0&amp;row=1353&amp;col=8&amp;number=0.0013456&amp;sourceID=54","0.0013456")</f>
        <v>0.0013456</v>
      </c>
      <c r="I1353" s="4" t="str">
        <f>HYPERLINK("http://141.218.60.56/~jnz1568/getInfo.php?workbook=16_15.xlsx&amp;sheet=A0&amp;row=1353&amp;col=9&amp;number=&amp;sourceID=54","")</f>
        <v/>
      </c>
      <c r="J1353" s="4" t="str">
        <f>HYPERLINK("http://141.218.60.56/~jnz1568/getInfo.php?workbook=16_15.xlsx&amp;sheet=A0&amp;row=1353&amp;col=10&amp;number=0.00080189&amp;sourceID=54","0.00080189")</f>
        <v>0.00080189</v>
      </c>
      <c r="K1353" s="4" t="str">
        <f>HYPERLINK("http://141.218.60.56/~jnz1568/getInfo.php?workbook=16_15.xlsx&amp;sheet=A0&amp;row=1353&amp;col=11&amp;number=0.0013252&amp;sourceID=54","0.0013252")</f>
        <v>0.0013252</v>
      </c>
      <c r="L1353" s="4" t="str">
        <f>HYPERLINK("http://141.218.60.56/~jnz1568/getInfo.php?workbook=16_15.xlsx&amp;sheet=A0&amp;row=1353&amp;col=12&amp;number=&amp;sourceID=53","")</f>
        <v/>
      </c>
      <c r="M1353" s="4" t="str">
        <f>HYPERLINK("http://141.218.60.56/~jnz1568/getInfo.php?workbook=16_15.xlsx&amp;sheet=A0&amp;row=1353&amp;col=13&amp;number=&amp;sourceID=53","")</f>
        <v/>
      </c>
      <c r="N1353" s="4" t="str">
        <f>HYPERLINK("http://141.218.60.56/~jnz1568/getInfo.php?workbook=16_15.xlsx&amp;sheet=A0&amp;row=1353&amp;col=14&amp;number=&amp;sourceID=53","")</f>
        <v/>
      </c>
      <c r="O1353" s="4" t="str">
        <f>HYPERLINK("http://141.218.60.56/~jnz1568/getInfo.php?workbook=16_15.xlsx&amp;sheet=A0&amp;row=1353&amp;col=15&amp;number=&amp;sourceID=55","")</f>
        <v/>
      </c>
      <c r="P1353" s="4" t="str">
        <f>HYPERLINK("http://141.218.60.56/~jnz1568/getInfo.php?workbook=16_15.xlsx&amp;sheet=A0&amp;row=1353&amp;col=16&amp;number=&amp;sourceID=55","")</f>
        <v/>
      </c>
      <c r="Q1353" s="4" t="str">
        <f>HYPERLINK("http://141.218.60.56/~jnz1568/getInfo.php?workbook=16_15.xlsx&amp;sheet=A0&amp;row=1353&amp;col=17&amp;number=&amp;sourceID=56","")</f>
        <v/>
      </c>
      <c r="R1353" s="4" t="str">
        <f>HYPERLINK("http://141.218.60.56/~jnz1568/getInfo.php?workbook=16_15.xlsx&amp;sheet=A0&amp;row=1353&amp;col=18&amp;number=&amp;sourceID=56","")</f>
        <v/>
      </c>
      <c r="S1353" s="4" t="str">
        <f>HYPERLINK("http://141.218.60.56/~jnz1568/getInfo.php?workbook=16_15.xlsx&amp;sheet=A0&amp;row=1353&amp;col=19&amp;number=&amp;sourceID=57","")</f>
        <v/>
      </c>
      <c r="T1353" s="4" t="str">
        <f>HYPERLINK("http://141.218.60.56/~jnz1568/getInfo.php?workbook=16_15.xlsx&amp;sheet=A0&amp;row=1353&amp;col=20&amp;number=&amp;sourceID=57","")</f>
        <v/>
      </c>
      <c r="U1353" s="4" t="str">
        <f>HYPERLINK("http://141.218.60.56/~jnz1568/getInfo.php?workbook=16_15.xlsx&amp;sheet=A0&amp;row=1353&amp;col=21&amp;number=&amp;sourceID=47","")</f>
        <v/>
      </c>
      <c r="V1353" s="4" t="str">
        <f>HYPERLINK("http://141.218.60.56/~jnz1568/getInfo.php?workbook=16_15.xlsx&amp;sheet=A0&amp;row=1353&amp;col=22&amp;number=&amp;sourceID=47","")</f>
        <v/>
      </c>
    </row>
    <row r="1354" spans="1:22">
      <c r="A1354" s="3">
        <v>16</v>
      </c>
      <c r="B1354" s="3">
        <v>15</v>
      </c>
      <c r="C1354" s="3">
        <v>59</v>
      </c>
      <c r="D1354" s="3">
        <v>46</v>
      </c>
      <c r="E1354" s="3">
        <f>((1/(INDEX(E0!J$4:J$73,C1354,1)-INDEX(E0!J$4:J$73,D1354,1))))*100000000</f>
        <v>0</v>
      </c>
      <c r="F1354" s="4" t="str">
        <f>HYPERLINK("http://141.218.60.56/~jnz1568/getInfo.php?workbook=16_15.xlsx&amp;sheet=A0&amp;row=1354&amp;col=6&amp;number=&amp;sourceID=54","")</f>
        <v/>
      </c>
      <c r="G1354" s="4" t="str">
        <f>HYPERLINK("http://141.218.60.56/~jnz1568/getInfo.php?workbook=16_15.xlsx&amp;sheet=A0&amp;row=1354&amp;col=7&amp;number=0.15118&amp;sourceID=54","0.15118")</f>
        <v>0.15118</v>
      </c>
      <c r="H1354" s="4" t="str">
        <f>HYPERLINK("http://141.218.60.56/~jnz1568/getInfo.php?workbook=16_15.xlsx&amp;sheet=A0&amp;row=1354&amp;col=8&amp;number=0.00097529&amp;sourceID=54","0.00097529")</f>
        <v>0.00097529</v>
      </c>
      <c r="I1354" s="4" t="str">
        <f>HYPERLINK("http://141.218.60.56/~jnz1568/getInfo.php?workbook=16_15.xlsx&amp;sheet=A0&amp;row=1354&amp;col=9&amp;number=&amp;sourceID=54","")</f>
        <v/>
      </c>
      <c r="J1354" s="4" t="str">
        <f>HYPERLINK("http://141.218.60.56/~jnz1568/getInfo.php?workbook=16_15.xlsx&amp;sheet=A0&amp;row=1354&amp;col=10&amp;number=0.11839&amp;sourceID=54","0.11839")</f>
        <v>0.11839</v>
      </c>
      <c r="K1354" s="4" t="str">
        <f>HYPERLINK("http://141.218.60.56/~jnz1568/getInfo.php?workbook=16_15.xlsx&amp;sheet=A0&amp;row=1354&amp;col=11&amp;number=0.0008668&amp;sourceID=54","0.0008668")</f>
        <v>0.0008668</v>
      </c>
      <c r="L1354" s="4" t="str">
        <f>HYPERLINK("http://141.218.60.56/~jnz1568/getInfo.php?workbook=16_15.xlsx&amp;sheet=A0&amp;row=1354&amp;col=12&amp;number=&amp;sourceID=53","")</f>
        <v/>
      </c>
      <c r="M1354" s="4" t="str">
        <f>HYPERLINK("http://141.218.60.56/~jnz1568/getInfo.php?workbook=16_15.xlsx&amp;sheet=A0&amp;row=1354&amp;col=13&amp;number=&amp;sourceID=53","")</f>
        <v/>
      </c>
      <c r="N1354" s="4" t="str">
        <f>HYPERLINK("http://141.218.60.56/~jnz1568/getInfo.php?workbook=16_15.xlsx&amp;sheet=A0&amp;row=1354&amp;col=14&amp;number=&amp;sourceID=53","")</f>
        <v/>
      </c>
      <c r="O1354" s="4" t="str">
        <f>HYPERLINK("http://141.218.60.56/~jnz1568/getInfo.php?workbook=16_15.xlsx&amp;sheet=A0&amp;row=1354&amp;col=15&amp;number=&amp;sourceID=55","")</f>
        <v/>
      </c>
      <c r="P1354" s="4" t="str">
        <f>HYPERLINK("http://141.218.60.56/~jnz1568/getInfo.php?workbook=16_15.xlsx&amp;sheet=A0&amp;row=1354&amp;col=16&amp;number=&amp;sourceID=55","")</f>
        <v/>
      </c>
      <c r="Q1354" s="4" t="str">
        <f>HYPERLINK("http://141.218.60.56/~jnz1568/getInfo.php?workbook=16_15.xlsx&amp;sheet=A0&amp;row=1354&amp;col=17&amp;number=&amp;sourceID=56","")</f>
        <v/>
      </c>
      <c r="R1354" s="4" t="str">
        <f>HYPERLINK("http://141.218.60.56/~jnz1568/getInfo.php?workbook=16_15.xlsx&amp;sheet=A0&amp;row=1354&amp;col=18&amp;number=&amp;sourceID=56","")</f>
        <v/>
      </c>
      <c r="S1354" s="4" t="str">
        <f>HYPERLINK("http://141.218.60.56/~jnz1568/getInfo.php?workbook=16_15.xlsx&amp;sheet=A0&amp;row=1354&amp;col=19&amp;number=&amp;sourceID=57","")</f>
        <v/>
      </c>
      <c r="T1354" s="4" t="str">
        <f>HYPERLINK("http://141.218.60.56/~jnz1568/getInfo.php?workbook=16_15.xlsx&amp;sheet=A0&amp;row=1354&amp;col=20&amp;number=&amp;sourceID=57","")</f>
        <v/>
      </c>
      <c r="U1354" s="4" t="str">
        <f>HYPERLINK("http://141.218.60.56/~jnz1568/getInfo.php?workbook=16_15.xlsx&amp;sheet=A0&amp;row=1354&amp;col=21&amp;number=&amp;sourceID=47","")</f>
        <v/>
      </c>
      <c r="V1354" s="4" t="str">
        <f>HYPERLINK("http://141.218.60.56/~jnz1568/getInfo.php?workbook=16_15.xlsx&amp;sheet=A0&amp;row=1354&amp;col=22&amp;number=&amp;sourceID=47","")</f>
        <v/>
      </c>
    </row>
    <row r="1355" spans="1:22">
      <c r="A1355" s="3">
        <v>16</v>
      </c>
      <c r="B1355" s="3">
        <v>15</v>
      </c>
      <c r="C1355" s="3">
        <v>59</v>
      </c>
      <c r="D1355" s="3">
        <v>47</v>
      </c>
      <c r="E1355" s="3">
        <f>((1/(INDEX(E0!J$4:J$73,C1355,1)-INDEX(E0!J$4:J$73,D1355,1))))*100000000</f>
        <v>0</v>
      </c>
      <c r="F1355" s="4" t="str">
        <f>HYPERLINK("http://141.218.60.56/~jnz1568/getInfo.php?workbook=16_15.xlsx&amp;sheet=A0&amp;row=1355&amp;col=6&amp;number=&amp;sourceID=54","")</f>
        <v/>
      </c>
      <c r="G1355" s="4" t="str">
        <f>HYPERLINK("http://141.218.60.56/~jnz1568/getInfo.php?workbook=16_15.xlsx&amp;sheet=A0&amp;row=1355&amp;col=7&amp;number=0.015726&amp;sourceID=54","0.015726")</f>
        <v>0.015726</v>
      </c>
      <c r="H1355" s="4" t="str">
        <f>HYPERLINK("http://141.218.60.56/~jnz1568/getInfo.php?workbook=16_15.xlsx&amp;sheet=A0&amp;row=1355&amp;col=8&amp;number=0.0055832&amp;sourceID=54","0.0055832")</f>
        <v>0.0055832</v>
      </c>
      <c r="I1355" s="4" t="str">
        <f>HYPERLINK("http://141.218.60.56/~jnz1568/getInfo.php?workbook=16_15.xlsx&amp;sheet=A0&amp;row=1355&amp;col=9&amp;number=&amp;sourceID=54","")</f>
        <v/>
      </c>
      <c r="J1355" s="4" t="str">
        <f>HYPERLINK("http://141.218.60.56/~jnz1568/getInfo.php?workbook=16_15.xlsx&amp;sheet=A0&amp;row=1355&amp;col=10&amp;number=0.012201&amp;sourceID=54","0.012201")</f>
        <v>0.012201</v>
      </c>
      <c r="K1355" s="4" t="str">
        <f>HYPERLINK("http://141.218.60.56/~jnz1568/getInfo.php?workbook=16_15.xlsx&amp;sheet=A0&amp;row=1355&amp;col=11&amp;number=0.0047242&amp;sourceID=54","0.0047242")</f>
        <v>0.0047242</v>
      </c>
      <c r="L1355" s="4" t="str">
        <f>HYPERLINK("http://141.218.60.56/~jnz1568/getInfo.php?workbook=16_15.xlsx&amp;sheet=A0&amp;row=1355&amp;col=12&amp;number=&amp;sourceID=53","")</f>
        <v/>
      </c>
      <c r="M1355" s="4" t="str">
        <f>HYPERLINK("http://141.218.60.56/~jnz1568/getInfo.php?workbook=16_15.xlsx&amp;sheet=A0&amp;row=1355&amp;col=13&amp;number=&amp;sourceID=53","")</f>
        <v/>
      </c>
      <c r="N1355" s="4" t="str">
        <f>HYPERLINK("http://141.218.60.56/~jnz1568/getInfo.php?workbook=16_15.xlsx&amp;sheet=A0&amp;row=1355&amp;col=14&amp;number=&amp;sourceID=53","")</f>
        <v/>
      </c>
      <c r="O1355" s="4" t="str">
        <f>HYPERLINK("http://141.218.60.56/~jnz1568/getInfo.php?workbook=16_15.xlsx&amp;sheet=A0&amp;row=1355&amp;col=15&amp;number=&amp;sourceID=55","")</f>
        <v/>
      </c>
      <c r="P1355" s="4" t="str">
        <f>HYPERLINK("http://141.218.60.56/~jnz1568/getInfo.php?workbook=16_15.xlsx&amp;sheet=A0&amp;row=1355&amp;col=16&amp;number=&amp;sourceID=55","")</f>
        <v/>
      </c>
      <c r="Q1355" s="4" t="str">
        <f>HYPERLINK("http://141.218.60.56/~jnz1568/getInfo.php?workbook=16_15.xlsx&amp;sheet=A0&amp;row=1355&amp;col=17&amp;number=&amp;sourceID=56","")</f>
        <v/>
      </c>
      <c r="R1355" s="4" t="str">
        <f>HYPERLINK("http://141.218.60.56/~jnz1568/getInfo.php?workbook=16_15.xlsx&amp;sheet=A0&amp;row=1355&amp;col=18&amp;number=&amp;sourceID=56","")</f>
        <v/>
      </c>
      <c r="S1355" s="4" t="str">
        <f>HYPERLINK("http://141.218.60.56/~jnz1568/getInfo.php?workbook=16_15.xlsx&amp;sheet=A0&amp;row=1355&amp;col=19&amp;number=&amp;sourceID=57","")</f>
        <v/>
      </c>
      <c r="T1355" s="4" t="str">
        <f>HYPERLINK("http://141.218.60.56/~jnz1568/getInfo.php?workbook=16_15.xlsx&amp;sheet=A0&amp;row=1355&amp;col=20&amp;number=&amp;sourceID=57","")</f>
        <v/>
      </c>
      <c r="U1355" s="4" t="str">
        <f>HYPERLINK("http://141.218.60.56/~jnz1568/getInfo.php?workbook=16_15.xlsx&amp;sheet=A0&amp;row=1355&amp;col=21&amp;number=&amp;sourceID=47","")</f>
        <v/>
      </c>
      <c r="V1355" s="4" t="str">
        <f>HYPERLINK("http://141.218.60.56/~jnz1568/getInfo.php?workbook=16_15.xlsx&amp;sheet=A0&amp;row=1355&amp;col=22&amp;number=&amp;sourceID=47","")</f>
        <v/>
      </c>
    </row>
    <row r="1356" spans="1:22">
      <c r="A1356" s="3">
        <v>16</v>
      </c>
      <c r="B1356" s="3">
        <v>15</v>
      </c>
      <c r="C1356" s="3">
        <v>59</v>
      </c>
      <c r="D1356" s="3">
        <v>48</v>
      </c>
      <c r="E1356" s="3">
        <f>((1/(INDEX(E0!J$4:J$73,C1356,1)-INDEX(E0!J$4:J$73,D1356,1))))*100000000</f>
        <v>0</v>
      </c>
      <c r="F1356" s="4" t="str">
        <f>HYPERLINK("http://141.218.60.56/~jnz1568/getInfo.php?workbook=16_15.xlsx&amp;sheet=A0&amp;row=1356&amp;col=6&amp;number=84462&amp;sourceID=54","84462")</f>
        <v>84462</v>
      </c>
      <c r="G1356" s="4" t="str">
        <f>HYPERLINK("http://141.218.60.56/~jnz1568/getInfo.php?workbook=16_15.xlsx&amp;sheet=A0&amp;row=1356&amp;col=7&amp;number=&amp;sourceID=54","")</f>
        <v/>
      </c>
      <c r="H1356" s="4" t="str">
        <f>HYPERLINK("http://141.218.60.56/~jnz1568/getInfo.php?workbook=16_15.xlsx&amp;sheet=A0&amp;row=1356&amp;col=8&amp;number=&amp;sourceID=54","")</f>
        <v/>
      </c>
      <c r="I1356" s="4" t="str">
        <f>HYPERLINK("http://141.218.60.56/~jnz1568/getInfo.php?workbook=16_15.xlsx&amp;sheet=A0&amp;row=1356&amp;col=9&amp;number=101330&amp;sourceID=54","101330")</f>
        <v>101330</v>
      </c>
      <c r="J1356" s="4" t="str">
        <f>HYPERLINK("http://141.218.60.56/~jnz1568/getInfo.php?workbook=16_15.xlsx&amp;sheet=A0&amp;row=1356&amp;col=10&amp;number=&amp;sourceID=54","")</f>
        <v/>
      </c>
      <c r="K1356" s="4" t="str">
        <f>HYPERLINK("http://141.218.60.56/~jnz1568/getInfo.php?workbook=16_15.xlsx&amp;sheet=A0&amp;row=1356&amp;col=11&amp;number=&amp;sourceID=54","")</f>
        <v/>
      </c>
      <c r="L1356" s="4" t="str">
        <f>HYPERLINK("http://141.218.60.56/~jnz1568/getInfo.php?workbook=16_15.xlsx&amp;sheet=A0&amp;row=1356&amp;col=12&amp;number=97491.4802139&amp;sourceID=53","97491.4802139")</f>
        <v>97491.4802139</v>
      </c>
      <c r="M1356" s="4" t="str">
        <f>HYPERLINK("http://141.218.60.56/~jnz1568/getInfo.php?workbook=16_15.xlsx&amp;sheet=A0&amp;row=1356&amp;col=13&amp;number=&amp;sourceID=53","")</f>
        <v/>
      </c>
      <c r="N1356" s="4" t="str">
        <f>HYPERLINK("http://141.218.60.56/~jnz1568/getInfo.php?workbook=16_15.xlsx&amp;sheet=A0&amp;row=1356&amp;col=14&amp;number=&amp;sourceID=53","")</f>
        <v/>
      </c>
      <c r="O1356" s="4" t="str">
        <f>HYPERLINK("http://141.218.60.56/~jnz1568/getInfo.php?workbook=16_15.xlsx&amp;sheet=A0&amp;row=1356&amp;col=15&amp;number=&amp;sourceID=55","")</f>
        <v/>
      </c>
      <c r="P1356" s="4" t="str">
        <f>HYPERLINK("http://141.218.60.56/~jnz1568/getInfo.php?workbook=16_15.xlsx&amp;sheet=A0&amp;row=1356&amp;col=16&amp;number=&amp;sourceID=55","")</f>
        <v/>
      </c>
      <c r="Q1356" s="4" t="str">
        <f>HYPERLINK("http://141.218.60.56/~jnz1568/getInfo.php?workbook=16_15.xlsx&amp;sheet=A0&amp;row=1356&amp;col=17&amp;number=&amp;sourceID=56","")</f>
        <v/>
      </c>
      <c r="R1356" s="4" t="str">
        <f>HYPERLINK("http://141.218.60.56/~jnz1568/getInfo.php?workbook=16_15.xlsx&amp;sheet=A0&amp;row=1356&amp;col=18&amp;number=&amp;sourceID=56","")</f>
        <v/>
      </c>
      <c r="S1356" s="4" t="str">
        <f>HYPERLINK("http://141.218.60.56/~jnz1568/getInfo.php?workbook=16_15.xlsx&amp;sheet=A0&amp;row=1356&amp;col=19&amp;number=&amp;sourceID=57","")</f>
        <v/>
      </c>
      <c r="T1356" s="4" t="str">
        <f>HYPERLINK("http://141.218.60.56/~jnz1568/getInfo.php?workbook=16_15.xlsx&amp;sheet=A0&amp;row=1356&amp;col=20&amp;number=&amp;sourceID=57","")</f>
        <v/>
      </c>
      <c r="U1356" s="4" t="str">
        <f>HYPERLINK("http://141.218.60.56/~jnz1568/getInfo.php?workbook=16_15.xlsx&amp;sheet=A0&amp;row=1356&amp;col=21&amp;number=&amp;sourceID=47","")</f>
        <v/>
      </c>
      <c r="V1356" s="4" t="str">
        <f>HYPERLINK("http://141.218.60.56/~jnz1568/getInfo.php?workbook=16_15.xlsx&amp;sheet=A0&amp;row=1356&amp;col=22&amp;number=&amp;sourceID=47","")</f>
        <v/>
      </c>
    </row>
    <row r="1357" spans="1:22">
      <c r="A1357" s="3">
        <v>16</v>
      </c>
      <c r="B1357" s="3">
        <v>15</v>
      </c>
      <c r="C1357" s="3">
        <v>59</v>
      </c>
      <c r="D1357" s="3">
        <v>49</v>
      </c>
      <c r="E1357" s="3">
        <f>((1/(INDEX(E0!J$4:J$73,C1357,1)-INDEX(E0!J$4:J$73,D1357,1))))*100000000</f>
        <v>0</v>
      </c>
      <c r="F1357" s="4" t="str">
        <f>HYPERLINK("http://141.218.60.56/~jnz1568/getInfo.php?workbook=16_15.xlsx&amp;sheet=A0&amp;row=1357&amp;col=6&amp;number=&amp;sourceID=54","")</f>
        <v/>
      </c>
      <c r="G1357" s="4" t="str">
        <f>HYPERLINK("http://141.218.60.56/~jnz1568/getInfo.php?workbook=16_15.xlsx&amp;sheet=A0&amp;row=1357&amp;col=7&amp;number=0.011193&amp;sourceID=54","0.011193")</f>
        <v>0.011193</v>
      </c>
      <c r="H1357" s="4" t="str">
        <f>HYPERLINK("http://141.218.60.56/~jnz1568/getInfo.php?workbook=16_15.xlsx&amp;sheet=A0&amp;row=1357&amp;col=8&amp;number=0.017597&amp;sourceID=54","0.017597")</f>
        <v>0.017597</v>
      </c>
      <c r="I1357" s="4" t="str">
        <f>HYPERLINK("http://141.218.60.56/~jnz1568/getInfo.php?workbook=16_15.xlsx&amp;sheet=A0&amp;row=1357&amp;col=9&amp;number=&amp;sourceID=54","")</f>
        <v/>
      </c>
      <c r="J1357" s="4" t="str">
        <f>HYPERLINK("http://141.218.60.56/~jnz1568/getInfo.php?workbook=16_15.xlsx&amp;sheet=A0&amp;row=1357&amp;col=10&amp;number=0.0085804&amp;sourceID=54","0.0085804")</f>
        <v>0.0085804</v>
      </c>
      <c r="K1357" s="4" t="str">
        <f>HYPERLINK("http://141.218.60.56/~jnz1568/getInfo.php?workbook=16_15.xlsx&amp;sheet=A0&amp;row=1357&amp;col=11&amp;number=0.014772&amp;sourceID=54","0.014772")</f>
        <v>0.014772</v>
      </c>
      <c r="L1357" s="4" t="str">
        <f>HYPERLINK("http://141.218.60.56/~jnz1568/getInfo.php?workbook=16_15.xlsx&amp;sheet=A0&amp;row=1357&amp;col=12&amp;number=&amp;sourceID=53","")</f>
        <v/>
      </c>
      <c r="M1357" s="4" t="str">
        <f>HYPERLINK("http://141.218.60.56/~jnz1568/getInfo.php?workbook=16_15.xlsx&amp;sheet=A0&amp;row=1357&amp;col=13&amp;number=&amp;sourceID=53","")</f>
        <v/>
      </c>
      <c r="N1357" s="4" t="str">
        <f>HYPERLINK("http://141.218.60.56/~jnz1568/getInfo.php?workbook=16_15.xlsx&amp;sheet=A0&amp;row=1357&amp;col=14&amp;number=&amp;sourceID=53","")</f>
        <v/>
      </c>
      <c r="O1357" s="4" t="str">
        <f>HYPERLINK("http://141.218.60.56/~jnz1568/getInfo.php?workbook=16_15.xlsx&amp;sheet=A0&amp;row=1357&amp;col=15&amp;number=&amp;sourceID=55","")</f>
        <v/>
      </c>
      <c r="P1357" s="4" t="str">
        <f>HYPERLINK("http://141.218.60.56/~jnz1568/getInfo.php?workbook=16_15.xlsx&amp;sheet=A0&amp;row=1357&amp;col=16&amp;number=&amp;sourceID=55","")</f>
        <v/>
      </c>
      <c r="Q1357" s="4" t="str">
        <f>HYPERLINK("http://141.218.60.56/~jnz1568/getInfo.php?workbook=16_15.xlsx&amp;sheet=A0&amp;row=1357&amp;col=17&amp;number=&amp;sourceID=56","")</f>
        <v/>
      </c>
      <c r="R1357" s="4" t="str">
        <f>HYPERLINK("http://141.218.60.56/~jnz1568/getInfo.php?workbook=16_15.xlsx&amp;sheet=A0&amp;row=1357&amp;col=18&amp;number=&amp;sourceID=56","")</f>
        <v/>
      </c>
      <c r="S1357" s="4" t="str">
        <f>HYPERLINK("http://141.218.60.56/~jnz1568/getInfo.php?workbook=16_15.xlsx&amp;sheet=A0&amp;row=1357&amp;col=19&amp;number=&amp;sourceID=57","")</f>
        <v/>
      </c>
      <c r="T1357" s="4" t="str">
        <f>HYPERLINK("http://141.218.60.56/~jnz1568/getInfo.php?workbook=16_15.xlsx&amp;sheet=A0&amp;row=1357&amp;col=20&amp;number=&amp;sourceID=57","")</f>
        <v/>
      </c>
      <c r="U1357" s="4" t="str">
        <f>HYPERLINK("http://141.218.60.56/~jnz1568/getInfo.php?workbook=16_15.xlsx&amp;sheet=A0&amp;row=1357&amp;col=21&amp;number=&amp;sourceID=47","")</f>
        <v/>
      </c>
      <c r="V1357" s="4" t="str">
        <f>HYPERLINK("http://141.218.60.56/~jnz1568/getInfo.php?workbook=16_15.xlsx&amp;sheet=A0&amp;row=1357&amp;col=22&amp;number=&amp;sourceID=47","")</f>
        <v/>
      </c>
    </row>
    <row r="1358" spans="1:22">
      <c r="A1358" s="3">
        <v>16</v>
      </c>
      <c r="B1358" s="3">
        <v>15</v>
      </c>
      <c r="C1358" s="3">
        <v>59</v>
      </c>
      <c r="D1358" s="3">
        <v>50</v>
      </c>
      <c r="E1358" s="3">
        <f>((1/(INDEX(E0!J$4:J$73,C1358,1)-INDEX(E0!J$4:J$73,D1358,1))))*100000000</f>
        <v>0</v>
      </c>
      <c r="F1358" s="4" t="str">
        <f>HYPERLINK("http://141.218.60.56/~jnz1568/getInfo.php?workbook=16_15.xlsx&amp;sheet=A0&amp;row=1358&amp;col=6&amp;number=14192&amp;sourceID=54","14192")</f>
        <v>14192</v>
      </c>
      <c r="G1358" s="4" t="str">
        <f>HYPERLINK("http://141.218.60.56/~jnz1568/getInfo.php?workbook=16_15.xlsx&amp;sheet=A0&amp;row=1358&amp;col=7&amp;number=&amp;sourceID=54","")</f>
        <v/>
      </c>
      <c r="H1358" s="4" t="str">
        <f>HYPERLINK("http://141.218.60.56/~jnz1568/getInfo.php?workbook=16_15.xlsx&amp;sheet=A0&amp;row=1358&amp;col=8&amp;number=&amp;sourceID=54","")</f>
        <v/>
      </c>
      <c r="I1358" s="4" t="str">
        <f>HYPERLINK("http://141.218.60.56/~jnz1568/getInfo.php?workbook=16_15.xlsx&amp;sheet=A0&amp;row=1358&amp;col=9&amp;number=20896&amp;sourceID=54","20896")</f>
        <v>20896</v>
      </c>
      <c r="J1358" s="4" t="str">
        <f>HYPERLINK("http://141.218.60.56/~jnz1568/getInfo.php?workbook=16_15.xlsx&amp;sheet=A0&amp;row=1358&amp;col=10&amp;number=&amp;sourceID=54","")</f>
        <v/>
      </c>
      <c r="K1358" s="4" t="str">
        <f>HYPERLINK("http://141.218.60.56/~jnz1568/getInfo.php?workbook=16_15.xlsx&amp;sheet=A0&amp;row=1358&amp;col=11&amp;number=&amp;sourceID=54","")</f>
        <v/>
      </c>
      <c r="L1358" s="4" t="str">
        <f>HYPERLINK("http://141.218.60.56/~jnz1568/getInfo.php?workbook=16_15.xlsx&amp;sheet=A0&amp;row=1358&amp;col=12&amp;number=18419.0182137&amp;sourceID=53","18419.0182137")</f>
        <v>18419.0182137</v>
      </c>
      <c r="M1358" s="4" t="str">
        <f>HYPERLINK("http://141.218.60.56/~jnz1568/getInfo.php?workbook=16_15.xlsx&amp;sheet=A0&amp;row=1358&amp;col=13&amp;number=&amp;sourceID=53","")</f>
        <v/>
      </c>
      <c r="N1358" s="4" t="str">
        <f>HYPERLINK("http://141.218.60.56/~jnz1568/getInfo.php?workbook=16_15.xlsx&amp;sheet=A0&amp;row=1358&amp;col=14&amp;number=&amp;sourceID=53","")</f>
        <v/>
      </c>
      <c r="O1358" s="4" t="str">
        <f>HYPERLINK("http://141.218.60.56/~jnz1568/getInfo.php?workbook=16_15.xlsx&amp;sheet=A0&amp;row=1358&amp;col=15&amp;number=&amp;sourceID=55","")</f>
        <v/>
      </c>
      <c r="P1358" s="4" t="str">
        <f>HYPERLINK("http://141.218.60.56/~jnz1568/getInfo.php?workbook=16_15.xlsx&amp;sheet=A0&amp;row=1358&amp;col=16&amp;number=&amp;sourceID=55","")</f>
        <v/>
      </c>
      <c r="Q1358" s="4" t="str">
        <f>HYPERLINK("http://141.218.60.56/~jnz1568/getInfo.php?workbook=16_15.xlsx&amp;sheet=A0&amp;row=1358&amp;col=17&amp;number=&amp;sourceID=56","")</f>
        <v/>
      </c>
      <c r="R1358" s="4" t="str">
        <f>HYPERLINK("http://141.218.60.56/~jnz1568/getInfo.php?workbook=16_15.xlsx&amp;sheet=A0&amp;row=1358&amp;col=18&amp;number=&amp;sourceID=56","")</f>
        <v/>
      </c>
      <c r="S1358" s="4" t="str">
        <f>HYPERLINK("http://141.218.60.56/~jnz1568/getInfo.php?workbook=16_15.xlsx&amp;sheet=A0&amp;row=1358&amp;col=19&amp;number=&amp;sourceID=57","")</f>
        <v/>
      </c>
      <c r="T1358" s="4" t="str">
        <f>HYPERLINK("http://141.218.60.56/~jnz1568/getInfo.php?workbook=16_15.xlsx&amp;sheet=A0&amp;row=1358&amp;col=20&amp;number=&amp;sourceID=57","")</f>
        <v/>
      </c>
      <c r="U1358" s="4" t="str">
        <f>HYPERLINK("http://141.218.60.56/~jnz1568/getInfo.php?workbook=16_15.xlsx&amp;sheet=A0&amp;row=1358&amp;col=21&amp;number=&amp;sourceID=47","")</f>
        <v/>
      </c>
      <c r="V1358" s="4" t="str">
        <f>HYPERLINK("http://141.218.60.56/~jnz1568/getInfo.php?workbook=16_15.xlsx&amp;sheet=A0&amp;row=1358&amp;col=22&amp;number=&amp;sourceID=47","")</f>
        <v/>
      </c>
    </row>
    <row r="1359" spans="1:22">
      <c r="A1359" s="3">
        <v>16</v>
      </c>
      <c r="B1359" s="3">
        <v>15</v>
      </c>
      <c r="C1359" s="3">
        <v>59</v>
      </c>
      <c r="D1359" s="3">
        <v>51</v>
      </c>
      <c r="E1359" s="3">
        <f>((1/(INDEX(E0!J$4:J$73,C1359,1)-INDEX(E0!J$4:J$73,D1359,1))))*100000000</f>
        <v>0</v>
      </c>
      <c r="F1359" s="4" t="str">
        <f>HYPERLINK("http://141.218.60.56/~jnz1568/getInfo.php?workbook=16_15.xlsx&amp;sheet=A0&amp;row=1359&amp;col=6&amp;number=438.73&amp;sourceID=54","438.73")</f>
        <v>438.73</v>
      </c>
      <c r="G1359" s="4" t="str">
        <f>HYPERLINK("http://141.218.60.56/~jnz1568/getInfo.php?workbook=16_15.xlsx&amp;sheet=A0&amp;row=1359&amp;col=7&amp;number=&amp;sourceID=54","")</f>
        <v/>
      </c>
      <c r="H1359" s="4" t="str">
        <f>HYPERLINK("http://141.218.60.56/~jnz1568/getInfo.php?workbook=16_15.xlsx&amp;sheet=A0&amp;row=1359&amp;col=8&amp;number=&amp;sourceID=54","")</f>
        <v/>
      </c>
      <c r="I1359" s="4" t="str">
        <f>HYPERLINK("http://141.218.60.56/~jnz1568/getInfo.php?workbook=16_15.xlsx&amp;sheet=A0&amp;row=1359&amp;col=9&amp;number=347.96&amp;sourceID=54","347.96")</f>
        <v>347.96</v>
      </c>
      <c r="J1359" s="4" t="str">
        <f>HYPERLINK("http://141.218.60.56/~jnz1568/getInfo.php?workbook=16_15.xlsx&amp;sheet=A0&amp;row=1359&amp;col=10&amp;number=&amp;sourceID=54","")</f>
        <v/>
      </c>
      <c r="K1359" s="4" t="str">
        <f>HYPERLINK("http://141.218.60.56/~jnz1568/getInfo.php?workbook=16_15.xlsx&amp;sheet=A0&amp;row=1359&amp;col=11&amp;number=&amp;sourceID=54","")</f>
        <v/>
      </c>
      <c r="L1359" s="4" t="str">
        <f>HYPERLINK("http://141.218.60.56/~jnz1568/getInfo.php?workbook=16_15.xlsx&amp;sheet=A0&amp;row=1359&amp;col=12&amp;number=604.239843312&amp;sourceID=53","604.239843312")</f>
        <v>604.239843312</v>
      </c>
      <c r="M1359" s="4" t="str">
        <f>HYPERLINK("http://141.218.60.56/~jnz1568/getInfo.php?workbook=16_15.xlsx&amp;sheet=A0&amp;row=1359&amp;col=13&amp;number=&amp;sourceID=53","")</f>
        <v/>
      </c>
      <c r="N1359" s="4" t="str">
        <f>HYPERLINK("http://141.218.60.56/~jnz1568/getInfo.php?workbook=16_15.xlsx&amp;sheet=A0&amp;row=1359&amp;col=14&amp;number=&amp;sourceID=53","")</f>
        <v/>
      </c>
      <c r="O1359" s="4" t="str">
        <f>HYPERLINK("http://141.218.60.56/~jnz1568/getInfo.php?workbook=16_15.xlsx&amp;sheet=A0&amp;row=1359&amp;col=15&amp;number=&amp;sourceID=55","")</f>
        <v/>
      </c>
      <c r="P1359" s="4" t="str">
        <f>HYPERLINK("http://141.218.60.56/~jnz1568/getInfo.php?workbook=16_15.xlsx&amp;sheet=A0&amp;row=1359&amp;col=16&amp;number=&amp;sourceID=55","")</f>
        <v/>
      </c>
      <c r="Q1359" s="4" t="str">
        <f>HYPERLINK("http://141.218.60.56/~jnz1568/getInfo.php?workbook=16_15.xlsx&amp;sheet=A0&amp;row=1359&amp;col=17&amp;number=&amp;sourceID=56","")</f>
        <v/>
      </c>
      <c r="R1359" s="4" t="str">
        <f>HYPERLINK("http://141.218.60.56/~jnz1568/getInfo.php?workbook=16_15.xlsx&amp;sheet=A0&amp;row=1359&amp;col=18&amp;number=&amp;sourceID=56","")</f>
        <v/>
      </c>
      <c r="S1359" s="4" t="str">
        <f>HYPERLINK("http://141.218.60.56/~jnz1568/getInfo.php?workbook=16_15.xlsx&amp;sheet=A0&amp;row=1359&amp;col=19&amp;number=&amp;sourceID=57","")</f>
        <v/>
      </c>
      <c r="T1359" s="4" t="str">
        <f>HYPERLINK("http://141.218.60.56/~jnz1568/getInfo.php?workbook=16_15.xlsx&amp;sheet=A0&amp;row=1359&amp;col=20&amp;number=&amp;sourceID=57","")</f>
        <v/>
      </c>
      <c r="U1359" s="4" t="str">
        <f>HYPERLINK("http://141.218.60.56/~jnz1568/getInfo.php?workbook=16_15.xlsx&amp;sheet=A0&amp;row=1359&amp;col=21&amp;number=&amp;sourceID=47","")</f>
        <v/>
      </c>
      <c r="V1359" s="4" t="str">
        <f>HYPERLINK("http://141.218.60.56/~jnz1568/getInfo.php?workbook=16_15.xlsx&amp;sheet=A0&amp;row=1359&amp;col=22&amp;number=&amp;sourceID=47","")</f>
        <v/>
      </c>
    </row>
    <row r="1360" spans="1:22">
      <c r="A1360" s="3">
        <v>16</v>
      </c>
      <c r="B1360" s="3">
        <v>15</v>
      </c>
      <c r="C1360" s="3">
        <v>59</v>
      </c>
      <c r="D1360" s="3">
        <v>52</v>
      </c>
      <c r="E1360" s="3">
        <f>((1/(INDEX(E0!J$4:J$73,C1360,1)-INDEX(E0!J$4:J$73,D1360,1))))*100000000</f>
        <v>0</v>
      </c>
      <c r="F1360" s="4" t="str">
        <f>HYPERLINK("http://141.218.60.56/~jnz1568/getInfo.php?workbook=16_15.xlsx&amp;sheet=A0&amp;row=1360&amp;col=6&amp;number=6145.3&amp;sourceID=54","6145.3")</f>
        <v>6145.3</v>
      </c>
      <c r="G1360" s="4" t="str">
        <f>HYPERLINK("http://141.218.60.56/~jnz1568/getInfo.php?workbook=16_15.xlsx&amp;sheet=A0&amp;row=1360&amp;col=7&amp;number=&amp;sourceID=54","")</f>
        <v/>
      </c>
      <c r="H1360" s="4" t="str">
        <f>HYPERLINK("http://141.218.60.56/~jnz1568/getInfo.php?workbook=16_15.xlsx&amp;sheet=A0&amp;row=1360&amp;col=8&amp;number=&amp;sourceID=54","")</f>
        <v/>
      </c>
      <c r="I1360" s="4" t="str">
        <f>HYPERLINK("http://141.218.60.56/~jnz1568/getInfo.php?workbook=16_15.xlsx&amp;sheet=A0&amp;row=1360&amp;col=9&amp;number=93291&amp;sourceID=54","93291")</f>
        <v>93291</v>
      </c>
      <c r="J1360" s="4" t="str">
        <f>HYPERLINK("http://141.218.60.56/~jnz1568/getInfo.php?workbook=16_15.xlsx&amp;sheet=A0&amp;row=1360&amp;col=10&amp;number=&amp;sourceID=54","")</f>
        <v/>
      </c>
      <c r="K1360" s="4" t="str">
        <f>HYPERLINK("http://141.218.60.56/~jnz1568/getInfo.php?workbook=16_15.xlsx&amp;sheet=A0&amp;row=1360&amp;col=11&amp;number=&amp;sourceID=54","")</f>
        <v/>
      </c>
      <c r="L1360" s="4" t="str">
        <f>HYPERLINK("http://141.218.60.56/~jnz1568/getInfo.php?workbook=16_15.xlsx&amp;sheet=A0&amp;row=1360&amp;col=12&amp;number=77547.8855815&amp;sourceID=53","77547.8855815")</f>
        <v>77547.8855815</v>
      </c>
      <c r="M1360" s="4" t="str">
        <f>HYPERLINK("http://141.218.60.56/~jnz1568/getInfo.php?workbook=16_15.xlsx&amp;sheet=A0&amp;row=1360&amp;col=13&amp;number=&amp;sourceID=53","")</f>
        <v/>
      </c>
      <c r="N1360" s="4" t="str">
        <f>HYPERLINK("http://141.218.60.56/~jnz1568/getInfo.php?workbook=16_15.xlsx&amp;sheet=A0&amp;row=1360&amp;col=14&amp;number=&amp;sourceID=53","")</f>
        <v/>
      </c>
      <c r="O1360" s="4" t="str">
        <f>HYPERLINK("http://141.218.60.56/~jnz1568/getInfo.php?workbook=16_15.xlsx&amp;sheet=A0&amp;row=1360&amp;col=15&amp;number=&amp;sourceID=55","")</f>
        <v/>
      </c>
      <c r="P1360" s="4" t="str">
        <f>HYPERLINK("http://141.218.60.56/~jnz1568/getInfo.php?workbook=16_15.xlsx&amp;sheet=A0&amp;row=1360&amp;col=16&amp;number=&amp;sourceID=55","")</f>
        <v/>
      </c>
      <c r="Q1360" s="4" t="str">
        <f>HYPERLINK("http://141.218.60.56/~jnz1568/getInfo.php?workbook=16_15.xlsx&amp;sheet=A0&amp;row=1360&amp;col=17&amp;number=&amp;sourceID=56","")</f>
        <v/>
      </c>
      <c r="R1360" s="4" t="str">
        <f>HYPERLINK("http://141.218.60.56/~jnz1568/getInfo.php?workbook=16_15.xlsx&amp;sheet=A0&amp;row=1360&amp;col=18&amp;number=&amp;sourceID=56","")</f>
        <v/>
      </c>
      <c r="S1360" s="4" t="str">
        <f>HYPERLINK("http://141.218.60.56/~jnz1568/getInfo.php?workbook=16_15.xlsx&amp;sheet=A0&amp;row=1360&amp;col=19&amp;number=&amp;sourceID=57","")</f>
        <v/>
      </c>
      <c r="T1360" s="4" t="str">
        <f>HYPERLINK("http://141.218.60.56/~jnz1568/getInfo.php?workbook=16_15.xlsx&amp;sheet=A0&amp;row=1360&amp;col=20&amp;number=&amp;sourceID=57","")</f>
        <v/>
      </c>
      <c r="U1360" s="4" t="str">
        <f>HYPERLINK("http://141.218.60.56/~jnz1568/getInfo.php?workbook=16_15.xlsx&amp;sheet=A0&amp;row=1360&amp;col=21&amp;number=&amp;sourceID=47","")</f>
        <v/>
      </c>
      <c r="V1360" s="4" t="str">
        <f>HYPERLINK("http://141.218.60.56/~jnz1568/getInfo.php?workbook=16_15.xlsx&amp;sheet=A0&amp;row=1360&amp;col=22&amp;number=&amp;sourceID=47","")</f>
        <v/>
      </c>
    </row>
    <row r="1361" spans="1:22">
      <c r="A1361" s="3">
        <v>16</v>
      </c>
      <c r="B1361" s="3">
        <v>15</v>
      </c>
      <c r="C1361" s="3">
        <v>59</v>
      </c>
      <c r="D1361" s="3">
        <v>54</v>
      </c>
      <c r="E1361" s="3">
        <f>((1/(INDEX(E0!J$4:J$73,C1361,1)-INDEX(E0!J$4:J$73,D1361,1))))*100000000</f>
        <v>0</v>
      </c>
      <c r="F1361" s="4" t="str">
        <f>HYPERLINK("http://141.218.60.56/~jnz1568/getInfo.php?workbook=16_15.xlsx&amp;sheet=A0&amp;row=1361&amp;col=6&amp;number=45.87&amp;sourceID=54","45.87")</f>
        <v>45.87</v>
      </c>
      <c r="G1361" s="4" t="str">
        <f>HYPERLINK("http://141.218.60.56/~jnz1568/getInfo.php?workbook=16_15.xlsx&amp;sheet=A0&amp;row=1361&amp;col=7&amp;number=&amp;sourceID=54","")</f>
        <v/>
      </c>
      <c r="H1361" s="4" t="str">
        <f>HYPERLINK("http://141.218.60.56/~jnz1568/getInfo.php?workbook=16_15.xlsx&amp;sheet=A0&amp;row=1361&amp;col=8&amp;number=&amp;sourceID=54","")</f>
        <v/>
      </c>
      <c r="I1361" s="4" t="str">
        <f>HYPERLINK("http://141.218.60.56/~jnz1568/getInfo.php?workbook=16_15.xlsx&amp;sheet=A0&amp;row=1361&amp;col=9&amp;number=681.9&amp;sourceID=54","681.9")</f>
        <v>681.9</v>
      </c>
      <c r="J1361" s="4" t="str">
        <f>HYPERLINK("http://141.218.60.56/~jnz1568/getInfo.php?workbook=16_15.xlsx&amp;sheet=A0&amp;row=1361&amp;col=10&amp;number=&amp;sourceID=54","")</f>
        <v/>
      </c>
      <c r="K1361" s="4" t="str">
        <f>HYPERLINK("http://141.218.60.56/~jnz1568/getInfo.php?workbook=16_15.xlsx&amp;sheet=A0&amp;row=1361&amp;col=11&amp;number=&amp;sourceID=54","")</f>
        <v/>
      </c>
      <c r="L1361" s="4" t="str">
        <f>HYPERLINK("http://141.218.60.56/~jnz1568/getInfo.php?workbook=16_15.xlsx&amp;sheet=A0&amp;row=1361&amp;col=12&amp;number=1834.32375775&amp;sourceID=53","1834.32375775")</f>
        <v>1834.32375775</v>
      </c>
      <c r="M1361" s="4" t="str">
        <f>HYPERLINK("http://141.218.60.56/~jnz1568/getInfo.php?workbook=16_15.xlsx&amp;sheet=A0&amp;row=1361&amp;col=13&amp;number=&amp;sourceID=53","")</f>
        <v/>
      </c>
      <c r="N1361" s="4" t="str">
        <f>HYPERLINK("http://141.218.60.56/~jnz1568/getInfo.php?workbook=16_15.xlsx&amp;sheet=A0&amp;row=1361&amp;col=14&amp;number=&amp;sourceID=53","")</f>
        <v/>
      </c>
      <c r="O1361" s="4" t="str">
        <f>HYPERLINK("http://141.218.60.56/~jnz1568/getInfo.php?workbook=16_15.xlsx&amp;sheet=A0&amp;row=1361&amp;col=15&amp;number=&amp;sourceID=55","")</f>
        <v/>
      </c>
      <c r="P1361" s="4" t="str">
        <f>HYPERLINK("http://141.218.60.56/~jnz1568/getInfo.php?workbook=16_15.xlsx&amp;sheet=A0&amp;row=1361&amp;col=16&amp;number=&amp;sourceID=55","")</f>
        <v/>
      </c>
      <c r="Q1361" s="4" t="str">
        <f>HYPERLINK("http://141.218.60.56/~jnz1568/getInfo.php?workbook=16_15.xlsx&amp;sheet=A0&amp;row=1361&amp;col=17&amp;number=&amp;sourceID=56","")</f>
        <v/>
      </c>
      <c r="R1361" s="4" t="str">
        <f>HYPERLINK("http://141.218.60.56/~jnz1568/getInfo.php?workbook=16_15.xlsx&amp;sheet=A0&amp;row=1361&amp;col=18&amp;number=&amp;sourceID=56","")</f>
        <v/>
      </c>
      <c r="S1361" s="4" t="str">
        <f>HYPERLINK("http://141.218.60.56/~jnz1568/getInfo.php?workbook=16_15.xlsx&amp;sheet=A0&amp;row=1361&amp;col=19&amp;number=&amp;sourceID=57","")</f>
        <v/>
      </c>
      <c r="T1361" s="4" t="str">
        <f>HYPERLINK("http://141.218.60.56/~jnz1568/getInfo.php?workbook=16_15.xlsx&amp;sheet=A0&amp;row=1361&amp;col=20&amp;number=&amp;sourceID=57","")</f>
        <v/>
      </c>
      <c r="U1361" s="4" t="str">
        <f>HYPERLINK("http://141.218.60.56/~jnz1568/getInfo.php?workbook=16_15.xlsx&amp;sheet=A0&amp;row=1361&amp;col=21&amp;number=&amp;sourceID=47","")</f>
        <v/>
      </c>
      <c r="V1361" s="4" t="str">
        <f>HYPERLINK("http://141.218.60.56/~jnz1568/getInfo.php?workbook=16_15.xlsx&amp;sheet=A0&amp;row=1361&amp;col=22&amp;number=&amp;sourceID=47","")</f>
        <v/>
      </c>
    </row>
    <row r="1362" spans="1:22">
      <c r="A1362" s="3">
        <v>16</v>
      </c>
      <c r="B1362" s="3">
        <v>15</v>
      </c>
      <c r="C1362" s="3">
        <v>59</v>
      </c>
      <c r="D1362" s="3">
        <v>55</v>
      </c>
      <c r="E1362" s="3">
        <f>((1/(INDEX(E0!J$4:J$73,C1362,1)-INDEX(E0!J$4:J$73,D1362,1))))*100000000</f>
        <v>0</v>
      </c>
      <c r="F1362" s="4" t="str">
        <f>HYPERLINK("http://141.218.60.56/~jnz1568/getInfo.php?workbook=16_15.xlsx&amp;sheet=A0&amp;row=1362&amp;col=6&amp;number=0.43844&amp;sourceID=54","0.43844")</f>
        <v>0.43844</v>
      </c>
      <c r="G1362" s="4" t="str">
        <f>HYPERLINK("http://141.218.60.56/~jnz1568/getInfo.php?workbook=16_15.xlsx&amp;sheet=A0&amp;row=1362&amp;col=7&amp;number=&amp;sourceID=54","")</f>
        <v/>
      </c>
      <c r="H1362" s="4" t="str">
        <f>HYPERLINK("http://141.218.60.56/~jnz1568/getInfo.php?workbook=16_15.xlsx&amp;sheet=A0&amp;row=1362&amp;col=8&amp;number=&amp;sourceID=54","")</f>
        <v/>
      </c>
      <c r="I1362" s="4" t="str">
        <f>HYPERLINK("http://141.218.60.56/~jnz1568/getInfo.php?workbook=16_15.xlsx&amp;sheet=A0&amp;row=1362&amp;col=9&amp;number=30.582&amp;sourceID=54","30.582")</f>
        <v>30.582</v>
      </c>
      <c r="J1362" s="4" t="str">
        <f>HYPERLINK("http://141.218.60.56/~jnz1568/getInfo.php?workbook=16_15.xlsx&amp;sheet=A0&amp;row=1362&amp;col=10&amp;number=&amp;sourceID=54","")</f>
        <v/>
      </c>
      <c r="K1362" s="4" t="str">
        <f>HYPERLINK("http://141.218.60.56/~jnz1568/getInfo.php?workbook=16_15.xlsx&amp;sheet=A0&amp;row=1362&amp;col=11&amp;number=&amp;sourceID=54","")</f>
        <v/>
      </c>
      <c r="L1362" s="4" t="str">
        <f>HYPERLINK("http://141.218.60.56/~jnz1568/getInfo.php?workbook=16_15.xlsx&amp;sheet=A0&amp;row=1362&amp;col=12&amp;number=132.369926323&amp;sourceID=53","132.369926323")</f>
        <v>132.369926323</v>
      </c>
      <c r="M1362" s="4" t="str">
        <f>HYPERLINK("http://141.218.60.56/~jnz1568/getInfo.php?workbook=16_15.xlsx&amp;sheet=A0&amp;row=1362&amp;col=13&amp;number=&amp;sourceID=53","")</f>
        <v/>
      </c>
      <c r="N1362" s="4" t="str">
        <f>HYPERLINK("http://141.218.60.56/~jnz1568/getInfo.php?workbook=16_15.xlsx&amp;sheet=A0&amp;row=1362&amp;col=14&amp;number=&amp;sourceID=53","")</f>
        <v/>
      </c>
      <c r="O1362" s="4" t="str">
        <f>HYPERLINK("http://141.218.60.56/~jnz1568/getInfo.php?workbook=16_15.xlsx&amp;sheet=A0&amp;row=1362&amp;col=15&amp;number=&amp;sourceID=55","")</f>
        <v/>
      </c>
      <c r="P1362" s="4" t="str">
        <f>HYPERLINK("http://141.218.60.56/~jnz1568/getInfo.php?workbook=16_15.xlsx&amp;sheet=A0&amp;row=1362&amp;col=16&amp;number=&amp;sourceID=55","")</f>
        <v/>
      </c>
      <c r="Q1362" s="4" t="str">
        <f>HYPERLINK("http://141.218.60.56/~jnz1568/getInfo.php?workbook=16_15.xlsx&amp;sheet=A0&amp;row=1362&amp;col=17&amp;number=&amp;sourceID=56","")</f>
        <v/>
      </c>
      <c r="R1362" s="4" t="str">
        <f>HYPERLINK("http://141.218.60.56/~jnz1568/getInfo.php?workbook=16_15.xlsx&amp;sheet=A0&amp;row=1362&amp;col=18&amp;number=&amp;sourceID=56","")</f>
        <v/>
      </c>
      <c r="S1362" s="4" t="str">
        <f>HYPERLINK("http://141.218.60.56/~jnz1568/getInfo.php?workbook=16_15.xlsx&amp;sheet=A0&amp;row=1362&amp;col=19&amp;number=&amp;sourceID=57","")</f>
        <v/>
      </c>
      <c r="T1362" s="4" t="str">
        <f>HYPERLINK("http://141.218.60.56/~jnz1568/getInfo.php?workbook=16_15.xlsx&amp;sheet=A0&amp;row=1362&amp;col=20&amp;number=&amp;sourceID=57","")</f>
        <v/>
      </c>
      <c r="U1362" s="4" t="str">
        <f>HYPERLINK("http://141.218.60.56/~jnz1568/getInfo.php?workbook=16_15.xlsx&amp;sheet=A0&amp;row=1362&amp;col=21&amp;number=&amp;sourceID=47","")</f>
        <v/>
      </c>
      <c r="V1362" s="4" t="str">
        <f>HYPERLINK("http://141.218.60.56/~jnz1568/getInfo.php?workbook=16_15.xlsx&amp;sheet=A0&amp;row=1362&amp;col=22&amp;number=&amp;sourceID=47","")</f>
        <v/>
      </c>
    </row>
    <row r="1363" spans="1:22">
      <c r="A1363" s="3">
        <v>16</v>
      </c>
      <c r="B1363" s="3">
        <v>15</v>
      </c>
      <c r="C1363" s="3">
        <v>59</v>
      </c>
      <c r="D1363" s="3">
        <v>56</v>
      </c>
      <c r="E1363" s="3">
        <f>((1/(INDEX(E0!J$4:J$73,C1363,1)-INDEX(E0!J$4:J$73,D1363,1))))*100000000</f>
        <v>0</v>
      </c>
      <c r="F1363" s="4" t="str">
        <f>HYPERLINK("http://141.218.60.56/~jnz1568/getInfo.php?workbook=16_15.xlsx&amp;sheet=A0&amp;row=1363&amp;col=6&amp;number=&amp;sourceID=54","")</f>
        <v/>
      </c>
      <c r="G1363" s="4" t="str">
        <f>HYPERLINK("http://141.218.60.56/~jnz1568/getInfo.php?workbook=16_15.xlsx&amp;sheet=A0&amp;row=1363&amp;col=7&amp;number=4.9212e-07&amp;sourceID=54","4.9212e-07")</f>
        <v>4.9212e-07</v>
      </c>
      <c r="H1363" s="4" t="str">
        <f>HYPERLINK("http://141.218.60.56/~jnz1568/getInfo.php?workbook=16_15.xlsx&amp;sheet=A0&amp;row=1363&amp;col=8&amp;number=2.9756e-05&amp;sourceID=54","2.9756e-05")</f>
        <v>2.9756e-05</v>
      </c>
      <c r="I1363" s="4" t="str">
        <f>HYPERLINK("http://141.218.60.56/~jnz1568/getInfo.php?workbook=16_15.xlsx&amp;sheet=A0&amp;row=1363&amp;col=9&amp;number=&amp;sourceID=54","")</f>
        <v/>
      </c>
      <c r="J1363" s="4" t="str">
        <f>HYPERLINK("http://141.218.60.56/~jnz1568/getInfo.php?workbook=16_15.xlsx&amp;sheet=A0&amp;row=1363&amp;col=10&amp;number=5.5236e-07&amp;sourceID=54","5.5236e-07")</f>
        <v>5.5236e-07</v>
      </c>
      <c r="K1363" s="4" t="str">
        <f>HYPERLINK("http://141.218.60.56/~jnz1568/getInfo.php?workbook=16_15.xlsx&amp;sheet=A0&amp;row=1363&amp;col=11&amp;number=8.0075e-06&amp;sourceID=54","8.0075e-06")</f>
        <v>8.0075e-06</v>
      </c>
      <c r="L1363" s="4" t="str">
        <f>HYPERLINK("http://141.218.60.56/~jnz1568/getInfo.php?workbook=16_15.xlsx&amp;sheet=A0&amp;row=1363&amp;col=12&amp;number=&amp;sourceID=53","")</f>
        <v/>
      </c>
      <c r="M1363" s="4" t="str">
        <f>HYPERLINK("http://141.218.60.56/~jnz1568/getInfo.php?workbook=16_15.xlsx&amp;sheet=A0&amp;row=1363&amp;col=13&amp;number=&amp;sourceID=53","")</f>
        <v/>
      </c>
      <c r="N1363" s="4" t="str">
        <f>HYPERLINK("http://141.218.60.56/~jnz1568/getInfo.php?workbook=16_15.xlsx&amp;sheet=A0&amp;row=1363&amp;col=14&amp;number=&amp;sourceID=53","")</f>
        <v/>
      </c>
      <c r="O1363" s="4" t="str">
        <f>HYPERLINK("http://141.218.60.56/~jnz1568/getInfo.php?workbook=16_15.xlsx&amp;sheet=A0&amp;row=1363&amp;col=15&amp;number=&amp;sourceID=55","")</f>
        <v/>
      </c>
      <c r="P1363" s="4" t="str">
        <f>HYPERLINK("http://141.218.60.56/~jnz1568/getInfo.php?workbook=16_15.xlsx&amp;sheet=A0&amp;row=1363&amp;col=16&amp;number=&amp;sourceID=55","")</f>
        <v/>
      </c>
      <c r="Q1363" s="4" t="str">
        <f>HYPERLINK("http://141.218.60.56/~jnz1568/getInfo.php?workbook=16_15.xlsx&amp;sheet=A0&amp;row=1363&amp;col=17&amp;number=&amp;sourceID=56","")</f>
        <v/>
      </c>
      <c r="R1363" s="4" t="str">
        <f>HYPERLINK("http://141.218.60.56/~jnz1568/getInfo.php?workbook=16_15.xlsx&amp;sheet=A0&amp;row=1363&amp;col=18&amp;number=&amp;sourceID=56","")</f>
        <v/>
      </c>
      <c r="S1363" s="4" t="str">
        <f>HYPERLINK("http://141.218.60.56/~jnz1568/getInfo.php?workbook=16_15.xlsx&amp;sheet=A0&amp;row=1363&amp;col=19&amp;number=&amp;sourceID=57","")</f>
        <v/>
      </c>
      <c r="T1363" s="4" t="str">
        <f>HYPERLINK("http://141.218.60.56/~jnz1568/getInfo.php?workbook=16_15.xlsx&amp;sheet=A0&amp;row=1363&amp;col=20&amp;number=&amp;sourceID=57","")</f>
        <v/>
      </c>
      <c r="U1363" s="4" t="str">
        <f>HYPERLINK("http://141.218.60.56/~jnz1568/getInfo.php?workbook=16_15.xlsx&amp;sheet=A0&amp;row=1363&amp;col=21&amp;number=&amp;sourceID=47","")</f>
        <v/>
      </c>
      <c r="V1363" s="4" t="str">
        <f>HYPERLINK("http://141.218.60.56/~jnz1568/getInfo.php?workbook=16_15.xlsx&amp;sheet=A0&amp;row=1363&amp;col=22&amp;number=&amp;sourceID=47","")</f>
        <v/>
      </c>
    </row>
    <row r="1364" spans="1:22">
      <c r="A1364" s="3">
        <v>16</v>
      </c>
      <c r="B1364" s="3">
        <v>15</v>
      </c>
      <c r="C1364" s="3">
        <v>59</v>
      </c>
      <c r="D1364" s="3">
        <v>57</v>
      </c>
      <c r="E1364" s="3">
        <f>((1/(INDEX(E0!J$4:J$73,C1364,1)-INDEX(E0!J$4:J$73,D1364,1))))*100000000</f>
        <v>0</v>
      </c>
      <c r="F1364" s="4" t="str">
        <f>HYPERLINK("http://141.218.60.56/~jnz1568/getInfo.php?workbook=16_15.xlsx&amp;sheet=A0&amp;row=1364&amp;col=6&amp;number=&amp;sourceID=54","")</f>
        <v/>
      </c>
      <c r="G1364" s="4" t="str">
        <f>HYPERLINK("http://141.218.60.56/~jnz1568/getInfo.php?workbook=16_15.xlsx&amp;sheet=A0&amp;row=1364&amp;col=7&amp;number=4.7902e-08&amp;sourceID=54","4.7902e-08")</f>
        <v>4.7902e-08</v>
      </c>
      <c r="H1364" s="4" t="str">
        <f>HYPERLINK("http://141.218.60.56/~jnz1568/getInfo.php?workbook=16_15.xlsx&amp;sheet=A0&amp;row=1364&amp;col=8&amp;number=&amp;sourceID=54","")</f>
        <v/>
      </c>
      <c r="I1364" s="4" t="str">
        <f>HYPERLINK("http://141.218.60.56/~jnz1568/getInfo.php?workbook=16_15.xlsx&amp;sheet=A0&amp;row=1364&amp;col=9&amp;number=&amp;sourceID=54","")</f>
        <v/>
      </c>
      <c r="J1364" s="4" t="str">
        <f>HYPERLINK("http://141.218.60.56/~jnz1568/getInfo.php?workbook=16_15.xlsx&amp;sheet=A0&amp;row=1364&amp;col=10&amp;number=6.0582e-08&amp;sourceID=54","6.0582e-08")</f>
        <v>6.0582e-08</v>
      </c>
      <c r="K1364" s="4" t="str">
        <f>HYPERLINK("http://141.218.60.56/~jnz1568/getInfo.php?workbook=16_15.xlsx&amp;sheet=A0&amp;row=1364&amp;col=11&amp;number=&amp;sourceID=54","")</f>
        <v/>
      </c>
      <c r="L1364" s="4" t="str">
        <f>HYPERLINK("http://141.218.60.56/~jnz1568/getInfo.php?workbook=16_15.xlsx&amp;sheet=A0&amp;row=1364&amp;col=12&amp;number=&amp;sourceID=53","")</f>
        <v/>
      </c>
      <c r="M1364" s="4" t="str">
        <f>HYPERLINK("http://141.218.60.56/~jnz1568/getInfo.php?workbook=16_15.xlsx&amp;sheet=A0&amp;row=1364&amp;col=13&amp;number=&amp;sourceID=53","")</f>
        <v/>
      </c>
      <c r="N1364" s="4" t="str">
        <f>HYPERLINK("http://141.218.60.56/~jnz1568/getInfo.php?workbook=16_15.xlsx&amp;sheet=A0&amp;row=1364&amp;col=14&amp;number=&amp;sourceID=53","")</f>
        <v/>
      </c>
      <c r="O1364" s="4" t="str">
        <f>HYPERLINK("http://141.218.60.56/~jnz1568/getInfo.php?workbook=16_15.xlsx&amp;sheet=A0&amp;row=1364&amp;col=15&amp;number=&amp;sourceID=55","")</f>
        <v/>
      </c>
      <c r="P1364" s="4" t="str">
        <f>HYPERLINK("http://141.218.60.56/~jnz1568/getInfo.php?workbook=16_15.xlsx&amp;sheet=A0&amp;row=1364&amp;col=16&amp;number=&amp;sourceID=55","")</f>
        <v/>
      </c>
      <c r="Q1364" s="4" t="str">
        <f>HYPERLINK("http://141.218.60.56/~jnz1568/getInfo.php?workbook=16_15.xlsx&amp;sheet=A0&amp;row=1364&amp;col=17&amp;number=&amp;sourceID=56","")</f>
        <v/>
      </c>
      <c r="R1364" s="4" t="str">
        <f>HYPERLINK("http://141.218.60.56/~jnz1568/getInfo.php?workbook=16_15.xlsx&amp;sheet=A0&amp;row=1364&amp;col=18&amp;number=&amp;sourceID=56","")</f>
        <v/>
      </c>
      <c r="S1364" s="4" t="str">
        <f>HYPERLINK("http://141.218.60.56/~jnz1568/getInfo.php?workbook=16_15.xlsx&amp;sheet=A0&amp;row=1364&amp;col=19&amp;number=&amp;sourceID=57","")</f>
        <v/>
      </c>
      <c r="T1364" s="4" t="str">
        <f>HYPERLINK("http://141.218.60.56/~jnz1568/getInfo.php?workbook=16_15.xlsx&amp;sheet=A0&amp;row=1364&amp;col=20&amp;number=&amp;sourceID=57","")</f>
        <v/>
      </c>
      <c r="U1364" s="4" t="str">
        <f>HYPERLINK("http://141.218.60.56/~jnz1568/getInfo.php?workbook=16_15.xlsx&amp;sheet=A0&amp;row=1364&amp;col=21&amp;number=&amp;sourceID=47","")</f>
        <v/>
      </c>
      <c r="V1364" s="4" t="str">
        <f>HYPERLINK("http://141.218.60.56/~jnz1568/getInfo.php?workbook=16_15.xlsx&amp;sheet=A0&amp;row=1364&amp;col=22&amp;number=&amp;sourceID=47","")</f>
        <v/>
      </c>
    </row>
    <row r="1365" spans="1:22">
      <c r="A1365" s="3">
        <v>16</v>
      </c>
      <c r="B1365" s="3">
        <v>15</v>
      </c>
      <c r="C1365" s="3">
        <v>59</v>
      </c>
      <c r="D1365" s="3">
        <v>58</v>
      </c>
      <c r="E1365" s="3">
        <f>((1/(INDEX(E0!J$4:J$73,C1365,1)-INDEX(E0!J$4:J$73,D1365,1))))*100000000</f>
        <v>0</v>
      </c>
      <c r="F1365" s="4" t="str">
        <f>HYPERLINK("http://141.218.60.56/~jnz1568/getInfo.php?workbook=16_15.xlsx&amp;sheet=A0&amp;row=1365&amp;col=6&amp;number=&amp;sourceID=54","")</f>
        <v/>
      </c>
      <c r="G1365" s="4" t="str">
        <f>HYPERLINK("http://141.218.60.56/~jnz1568/getInfo.php?workbook=16_15.xlsx&amp;sheet=A0&amp;row=1365&amp;col=7&amp;number=2.08e-13&amp;sourceID=54","2.08e-13")</f>
        <v>2.08e-13</v>
      </c>
      <c r="H1365" s="4" t="str">
        <f>HYPERLINK("http://141.218.60.56/~jnz1568/getInfo.php?workbook=16_15.xlsx&amp;sheet=A0&amp;row=1365&amp;col=8&amp;number=1.2433e-06&amp;sourceID=54","1.2433e-06")</f>
        <v>1.2433e-06</v>
      </c>
      <c r="I1365" s="4" t="str">
        <f>HYPERLINK("http://141.218.60.56/~jnz1568/getInfo.php?workbook=16_15.xlsx&amp;sheet=A0&amp;row=1365&amp;col=9&amp;number=&amp;sourceID=54","")</f>
        <v/>
      </c>
      <c r="J1365" s="4" t="str">
        <f>HYPERLINK("http://141.218.60.56/~jnz1568/getInfo.php?workbook=16_15.xlsx&amp;sheet=A0&amp;row=1365&amp;col=10&amp;number=2.11e-13&amp;sourceID=54","2.11e-13")</f>
        <v>2.11e-13</v>
      </c>
      <c r="K1365" s="4" t="str">
        <f>HYPERLINK("http://141.218.60.56/~jnz1568/getInfo.php?workbook=16_15.xlsx&amp;sheet=A0&amp;row=1365&amp;col=11&amp;number=1.2234e-06&amp;sourceID=54","1.2234e-06")</f>
        <v>1.2234e-06</v>
      </c>
      <c r="L1365" s="4" t="str">
        <f>HYPERLINK("http://141.218.60.56/~jnz1568/getInfo.php?workbook=16_15.xlsx&amp;sheet=A0&amp;row=1365&amp;col=12&amp;number=&amp;sourceID=53","")</f>
        <v/>
      </c>
      <c r="M1365" s="4" t="str">
        <f>HYPERLINK("http://141.218.60.56/~jnz1568/getInfo.php?workbook=16_15.xlsx&amp;sheet=A0&amp;row=1365&amp;col=13&amp;number=&amp;sourceID=53","")</f>
        <v/>
      </c>
      <c r="N1365" s="4" t="str">
        <f>HYPERLINK("http://141.218.60.56/~jnz1568/getInfo.php?workbook=16_15.xlsx&amp;sheet=A0&amp;row=1365&amp;col=14&amp;number=&amp;sourceID=53","")</f>
        <v/>
      </c>
      <c r="O1365" s="4" t="str">
        <f>HYPERLINK("http://141.218.60.56/~jnz1568/getInfo.php?workbook=16_15.xlsx&amp;sheet=A0&amp;row=1365&amp;col=15&amp;number=&amp;sourceID=55","")</f>
        <v/>
      </c>
      <c r="P1365" s="4" t="str">
        <f>HYPERLINK("http://141.218.60.56/~jnz1568/getInfo.php?workbook=16_15.xlsx&amp;sheet=A0&amp;row=1365&amp;col=16&amp;number=&amp;sourceID=55","")</f>
        <v/>
      </c>
      <c r="Q1365" s="4" t="str">
        <f>HYPERLINK("http://141.218.60.56/~jnz1568/getInfo.php?workbook=16_15.xlsx&amp;sheet=A0&amp;row=1365&amp;col=17&amp;number=&amp;sourceID=56","")</f>
        <v/>
      </c>
      <c r="R1365" s="4" t="str">
        <f>HYPERLINK("http://141.218.60.56/~jnz1568/getInfo.php?workbook=16_15.xlsx&amp;sheet=A0&amp;row=1365&amp;col=18&amp;number=&amp;sourceID=56","")</f>
        <v/>
      </c>
      <c r="S1365" s="4" t="str">
        <f>HYPERLINK("http://141.218.60.56/~jnz1568/getInfo.php?workbook=16_15.xlsx&amp;sheet=A0&amp;row=1365&amp;col=19&amp;number=&amp;sourceID=57","")</f>
        <v/>
      </c>
      <c r="T1365" s="4" t="str">
        <f>HYPERLINK("http://141.218.60.56/~jnz1568/getInfo.php?workbook=16_15.xlsx&amp;sheet=A0&amp;row=1365&amp;col=20&amp;number=&amp;sourceID=57","")</f>
        <v/>
      </c>
      <c r="U1365" s="4" t="str">
        <f>HYPERLINK("http://141.218.60.56/~jnz1568/getInfo.php?workbook=16_15.xlsx&amp;sheet=A0&amp;row=1365&amp;col=21&amp;number=&amp;sourceID=47","")</f>
        <v/>
      </c>
      <c r="V1365" s="4" t="str">
        <f>HYPERLINK("http://141.218.60.56/~jnz1568/getInfo.php?workbook=16_15.xlsx&amp;sheet=A0&amp;row=1365&amp;col=22&amp;number=&amp;sourceID=47","")</f>
        <v/>
      </c>
    </row>
    <row r="1366" spans="1:22">
      <c r="A1366" s="3">
        <v>16</v>
      </c>
      <c r="B1366" s="3">
        <v>15</v>
      </c>
      <c r="C1366" s="3">
        <v>60</v>
      </c>
      <c r="D1366" s="3">
        <v>1</v>
      </c>
      <c r="E1366" s="3">
        <f>((1/(INDEX(E0!J$4:J$73,C1366,1)-INDEX(E0!J$4:J$73,D1366,1))))*100000000</f>
        <v>0</v>
      </c>
      <c r="F1366" s="4" t="str">
        <f>HYPERLINK("http://141.218.60.56/~jnz1568/getInfo.php?workbook=16_15.xlsx&amp;sheet=A0&amp;row=1366&amp;col=6&amp;number=&amp;sourceID=54","")</f>
        <v/>
      </c>
      <c r="G1366" s="4" t="str">
        <f>HYPERLINK("http://141.218.60.56/~jnz1568/getInfo.php?workbook=16_15.xlsx&amp;sheet=A0&amp;row=1366&amp;col=7&amp;number=0.069799&amp;sourceID=54","0.069799")</f>
        <v>0.069799</v>
      </c>
      <c r="H1366" s="4" t="str">
        <f>HYPERLINK("http://141.218.60.56/~jnz1568/getInfo.php?workbook=16_15.xlsx&amp;sheet=A0&amp;row=1366&amp;col=8&amp;number=0.00015749&amp;sourceID=54","0.00015749")</f>
        <v>0.00015749</v>
      </c>
      <c r="I1366" s="4" t="str">
        <f>HYPERLINK("http://141.218.60.56/~jnz1568/getInfo.php?workbook=16_15.xlsx&amp;sheet=A0&amp;row=1366&amp;col=9&amp;number=&amp;sourceID=54","")</f>
        <v/>
      </c>
      <c r="J1366" s="4" t="str">
        <f>HYPERLINK("http://141.218.60.56/~jnz1568/getInfo.php?workbook=16_15.xlsx&amp;sheet=A0&amp;row=1366&amp;col=10&amp;number=0.077641&amp;sourceID=54","0.077641")</f>
        <v>0.077641</v>
      </c>
      <c r="K1366" s="4" t="str">
        <f>HYPERLINK("http://141.218.60.56/~jnz1568/getInfo.php?workbook=16_15.xlsx&amp;sheet=A0&amp;row=1366&amp;col=11&amp;number=0.00016086&amp;sourceID=54","0.00016086")</f>
        <v>0.00016086</v>
      </c>
      <c r="L1366" s="4" t="str">
        <f>HYPERLINK("http://141.218.60.56/~jnz1568/getInfo.php?workbook=16_15.xlsx&amp;sheet=A0&amp;row=1366&amp;col=12&amp;number=&amp;sourceID=53","")</f>
        <v/>
      </c>
      <c r="M1366" s="4" t="str">
        <f>HYPERLINK("http://141.218.60.56/~jnz1568/getInfo.php?workbook=16_15.xlsx&amp;sheet=A0&amp;row=1366&amp;col=13&amp;number=&amp;sourceID=53","")</f>
        <v/>
      </c>
      <c r="N1366" s="4" t="str">
        <f>HYPERLINK("http://141.218.60.56/~jnz1568/getInfo.php?workbook=16_15.xlsx&amp;sheet=A0&amp;row=1366&amp;col=14&amp;number=&amp;sourceID=53","")</f>
        <v/>
      </c>
      <c r="O1366" s="4" t="str">
        <f>HYPERLINK("http://141.218.60.56/~jnz1568/getInfo.php?workbook=16_15.xlsx&amp;sheet=A0&amp;row=1366&amp;col=15&amp;number=&amp;sourceID=55","")</f>
        <v/>
      </c>
      <c r="P1366" s="4" t="str">
        <f>HYPERLINK("http://141.218.60.56/~jnz1568/getInfo.php?workbook=16_15.xlsx&amp;sheet=A0&amp;row=1366&amp;col=16&amp;number=&amp;sourceID=55","")</f>
        <v/>
      </c>
      <c r="Q1366" s="4" t="str">
        <f>HYPERLINK("http://141.218.60.56/~jnz1568/getInfo.php?workbook=16_15.xlsx&amp;sheet=A0&amp;row=1366&amp;col=17&amp;number=&amp;sourceID=56","")</f>
        <v/>
      </c>
      <c r="R1366" s="4" t="str">
        <f>HYPERLINK("http://141.218.60.56/~jnz1568/getInfo.php?workbook=16_15.xlsx&amp;sheet=A0&amp;row=1366&amp;col=18&amp;number=&amp;sourceID=56","")</f>
        <v/>
      </c>
      <c r="S1366" s="4" t="str">
        <f>HYPERLINK("http://141.218.60.56/~jnz1568/getInfo.php?workbook=16_15.xlsx&amp;sheet=A0&amp;row=1366&amp;col=19&amp;number=&amp;sourceID=57","")</f>
        <v/>
      </c>
      <c r="T1366" s="4" t="str">
        <f>HYPERLINK("http://141.218.60.56/~jnz1568/getInfo.php?workbook=16_15.xlsx&amp;sheet=A0&amp;row=1366&amp;col=20&amp;number=&amp;sourceID=57","")</f>
        <v/>
      </c>
      <c r="U1366" s="4" t="str">
        <f>HYPERLINK("http://141.218.60.56/~jnz1568/getInfo.php?workbook=16_15.xlsx&amp;sheet=A0&amp;row=1366&amp;col=21&amp;number=&amp;sourceID=47","")</f>
        <v/>
      </c>
      <c r="V1366" s="4" t="str">
        <f>HYPERLINK("http://141.218.60.56/~jnz1568/getInfo.php?workbook=16_15.xlsx&amp;sheet=A0&amp;row=1366&amp;col=22&amp;number=&amp;sourceID=47","")</f>
        <v/>
      </c>
    </row>
    <row r="1367" spans="1:22">
      <c r="A1367" s="3">
        <v>16</v>
      </c>
      <c r="B1367" s="3">
        <v>15</v>
      </c>
      <c r="C1367" s="3">
        <v>60</v>
      </c>
      <c r="D1367" s="3">
        <v>2</v>
      </c>
      <c r="E1367" s="3">
        <f>((1/(INDEX(E0!J$4:J$73,C1367,1)-INDEX(E0!J$4:J$73,D1367,1))))*100000000</f>
        <v>0</v>
      </c>
      <c r="F1367" s="4" t="str">
        <f>HYPERLINK("http://141.218.60.56/~jnz1568/getInfo.php?workbook=16_15.xlsx&amp;sheet=A0&amp;row=1367&amp;col=6&amp;number=&amp;sourceID=54","")</f>
        <v/>
      </c>
      <c r="G1367" s="4" t="str">
        <f>HYPERLINK("http://141.218.60.56/~jnz1568/getInfo.php?workbook=16_15.xlsx&amp;sheet=A0&amp;row=1367&amp;col=7&amp;number=2806.8&amp;sourceID=54","2806.8")</f>
        <v>2806.8</v>
      </c>
      <c r="H1367" s="4" t="str">
        <f>HYPERLINK("http://141.218.60.56/~jnz1568/getInfo.php?workbook=16_15.xlsx&amp;sheet=A0&amp;row=1367&amp;col=8&amp;number=0.040529&amp;sourceID=54","0.040529")</f>
        <v>0.040529</v>
      </c>
      <c r="I1367" s="4" t="str">
        <f>HYPERLINK("http://141.218.60.56/~jnz1568/getInfo.php?workbook=16_15.xlsx&amp;sheet=A0&amp;row=1367&amp;col=9&amp;number=&amp;sourceID=54","")</f>
        <v/>
      </c>
      <c r="J1367" s="4" t="str">
        <f>HYPERLINK("http://141.218.60.56/~jnz1568/getInfo.php?workbook=16_15.xlsx&amp;sheet=A0&amp;row=1367&amp;col=10&amp;number=2840.4&amp;sourceID=54","2840.4")</f>
        <v>2840.4</v>
      </c>
      <c r="K1367" s="4" t="str">
        <f>HYPERLINK("http://141.218.60.56/~jnz1568/getInfo.php?workbook=16_15.xlsx&amp;sheet=A0&amp;row=1367&amp;col=11&amp;number=0.040489&amp;sourceID=54","0.040489")</f>
        <v>0.040489</v>
      </c>
      <c r="L1367" s="4" t="str">
        <f>HYPERLINK("http://141.218.60.56/~jnz1568/getInfo.php?workbook=16_15.xlsx&amp;sheet=A0&amp;row=1367&amp;col=12&amp;number=&amp;sourceID=53","")</f>
        <v/>
      </c>
      <c r="M1367" s="4" t="str">
        <f>HYPERLINK("http://141.218.60.56/~jnz1568/getInfo.php?workbook=16_15.xlsx&amp;sheet=A0&amp;row=1367&amp;col=13&amp;number=&amp;sourceID=53","")</f>
        <v/>
      </c>
      <c r="N1367" s="4" t="str">
        <f>HYPERLINK("http://141.218.60.56/~jnz1568/getInfo.php?workbook=16_15.xlsx&amp;sheet=A0&amp;row=1367&amp;col=14&amp;number=&amp;sourceID=53","")</f>
        <v/>
      </c>
      <c r="O1367" s="4" t="str">
        <f>HYPERLINK("http://141.218.60.56/~jnz1568/getInfo.php?workbook=16_15.xlsx&amp;sheet=A0&amp;row=1367&amp;col=15&amp;number=&amp;sourceID=55","")</f>
        <v/>
      </c>
      <c r="P1367" s="4" t="str">
        <f>HYPERLINK("http://141.218.60.56/~jnz1568/getInfo.php?workbook=16_15.xlsx&amp;sheet=A0&amp;row=1367&amp;col=16&amp;number=&amp;sourceID=55","")</f>
        <v/>
      </c>
      <c r="Q1367" s="4" t="str">
        <f>HYPERLINK("http://141.218.60.56/~jnz1568/getInfo.php?workbook=16_15.xlsx&amp;sheet=A0&amp;row=1367&amp;col=17&amp;number=&amp;sourceID=56","")</f>
        <v/>
      </c>
      <c r="R1367" s="4" t="str">
        <f>HYPERLINK("http://141.218.60.56/~jnz1568/getInfo.php?workbook=16_15.xlsx&amp;sheet=A0&amp;row=1367&amp;col=18&amp;number=&amp;sourceID=56","")</f>
        <v/>
      </c>
      <c r="S1367" s="4" t="str">
        <f>HYPERLINK("http://141.218.60.56/~jnz1568/getInfo.php?workbook=16_15.xlsx&amp;sheet=A0&amp;row=1367&amp;col=19&amp;number=&amp;sourceID=57","")</f>
        <v/>
      </c>
      <c r="T1367" s="4" t="str">
        <f>HYPERLINK("http://141.218.60.56/~jnz1568/getInfo.php?workbook=16_15.xlsx&amp;sheet=A0&amp;row=1367&amp;col=20&amp;number=&amp;sourceID=57","")</f>
        <v/>
      </c>
      <c r="U1367" s="4" t="str">
        <f>HYPERLINK("http://141.218.60.56/~jnz1568/getInfo.php?workbook=16_15.xlsx&amp;sheet=A0&amp;row=1367&amp;col=21&amp;number=&amp;sourceID=47","")</f>
        <v/>
      </c>
      <c r="V1367" s="4" t="str">
        <f>HYPERLINK("http://141.218.60.56/~jnz1568/getInfo.php?workbook=16_15.xlsx&amp;sheet=A0&amp;row=1367&amp;col=22&amp;number=&amp;sourceID=47","")</f>
        <v/>
      </c>
    </row>
    <row r="1368" spans="1:22">
      <c r="A1368" s="3">
        <v>16</v>
      </c>
      <c r="B1368" s="3">
        <v>15</v>
      </c>
      <c r="C1368" s="3">
        <v>60</v>
      </c>
      <c r="D1368" s="3">
        <v>3</v>
      </c>
      <c r="E1368" s="3">
        <f>((1/(INDEX(E0!J$4:J$73,C1368,1)-INDEX(E0!J$4:J$73,D1368,1))))*100000000</f>
        <v>0</v>
      </c>
      <c r="F1368" s="4" t="str">
        <f>HYPERLINK("http://141.218.60.56/~jnz1568/getInfo.php?workbook=16_15.xlsx&amp;sheet=A0&amp;row=1368&amp;col=6&amp;number=&amp;sourceID=54","")</f>
        <v/>
      </c>
      <c r="G1368" s="4" t="str">
        <f>HYPERLINK("http://141.218.60.56/~jnz1568/getInfo.php?workbook=16_15.xlsx&amp;sheet=A0&amp;row=1368&amp;col=7&amp;number=1697.7&amp;sourceID=54","1697.7")</f>
        <v>1697.7</v>
      </c>
      <c r="H1368" s="4" t="str">
        <f>HYPERLINK("http://141.218.60.56/~jnz1568/getInfo.php?workbook=16_15.xlsx&amp;sheet=A0&amp;row=1368&amp;col=8&amp;number=&amp;sourceID=54","")</f>
        <v/>
      </c>
      <c r="I1368" s="4" t="str">
        <f>HYPERLINK("http://141.218.60.56/~jnz1568/getInfo.php?workbook=16_15.xlsx&amp;sheet=A0&amp;row=1368&amp;col=9&amp;number=&amp;sourceID=54","")</f>
        <v/>
      </c>
      <c r="J1368" s="4" t="str">
        <f>HYPERLINK("http://141.218.60.56/~jnz1568/getInfo.php?workbook=16_15.xlsx&amp;sheet=A0&amp;row=1368&amp;col=10&amp;number=1711.1&amp;sourceID=54","1711.1")</f>
        <v>1711.1</v>
      </c>
      <c r="K1368" s="4" t="str">
        <f>HYPERLINK("http://141.218.60.56/~jnz1568/getInfo.php?workbook=16_15.xlsx&amp;sheet=A0&amp;row=1368&amp;col=11&amp;number=&amp;sourceID=54","")</f>
        <v/>
      </c>
      <c r="L1368" s="4" t="str">
        <f>HYPERLINK("http://141.218.60.56/~jnz1568/getInfo.php?workbook=16_15.xlsx&amp;sheet=A0&amp;row=1368&amp;col=12&amp;number=&amp;sourceID=53","")</f>
        <v/>
      </c>
      <c r="M1368" s="4" t="str">
        <f>HYPERLINK("http://141.218.60.56/~jnz1568/getInfo.php?workbook=16_15.xlsx&amp;sheet=A0&amp;row=1368&amp;col=13&amp;number=&amp;sourceID=53","")</f>
        <v/>
      </c>
      <c r="N1368" s="4" t="str">
        <f>HYPERLINK("http://141.218.60.56/~jnz1568/getInfo.php?workbook=16_15.xlsx&amp;sheet=A0&amp;row=1368&amp;col=14&amp;number=&amp;sourceID=53","")</f>
        <v/>
      </c>
      <c r="O1368" s="4" t="str">
        <f>HYPERLINK("http://141.218.60.56/~jnz1568/getInfo.php?workbook=16_15.xlsx&amp;sheet=A0&amp;row=1368&amp;col=15&amp;number=&amp;sourceID=55","")</f>
        <v/>
      </c>
      <c r="P1368" s="4" t="str">
        <f>HYPERLINK("http://141.218.60.56/~jnz1568/getInfo.php?workbook=16_15.xlsx&amp;sheet=A0&amp;row=1368&amp;col=16&amp;number=&amp;sourceID=55","")</f>
        <v/>
      </c>
      <c r="Q1368" s="4" t="str">
        <f>HYPERLINK("http://141.218.60.56/~jnz1568/getInfo.php?workbook=16_15.xlsx&amp;sheet=A0&amp;row=1368&amp;col=17&amp;number=&amp;sourceID=56","")</f>
        <v/>
      </c>
      <c r="R1368" s="4" t="str">
        <f>HYPERLINK("http://141.218.60.56/~jnz1568/getInfo.php?workbook=16_15.xlsx&amp;sheet=A0&amp;row=1368&amp;col=18&amp;number=&amp;sourceID=56","")</f>
        <v/>
      </c>
      <c r="S1368" s="4" t="str">
        <f>HYPERLINK("http://141.218.60.56/~jnz1568/getInfo.php?workbook=16_15.xlsx&amp;sheet=A0&amp;row=1368&amp;col=19&amp;number=&amp;sourceID=57","")</f>
        <v/>
      </c>
      <c r="T1368" s="4" t="str">
        <f>HYPERLINK("http://141.218.60.56/~jnz1568/getInfo.php?workbook=16_15.xlsx&amp;sheet=A0&amp;row=1368&amp;col=20&amp;number=&amp;sourceID=57","")</f>
        <v/>
      </c>
      <c r="U1368" s="4" t="str">
        <f>HYPERLINK("http://141.218.60.56/~jnz1568/getInfo.php?workbook=16_15.xlsx&amp;sheet=A0&amp;row=1368&amp;col=21&amp;number=&amp;sourceID=47","")</f>
        <v/>
      </c>
      <c r="V1368" s="4" t="str">
        <f>HYPERLINK("http://141.218.60.56/~jnz1568/getInfo.php?workbook=16_15.xlsx&amp;sheet=A0&amp;row=1368&amp;col=22&amp;number=&amp;sourceID=47","")</f>
        <v/>
      </c>
    </row>
    <row r="1369" spans="1:22">
      <c r="A1369" s="3">
        <v>16</v>
      </c>
      <c r="B1369" s="3">
        <v>15</v>
      </c>
      <c r="C1369" s="3">
        <v>60</v>
      </c>
      <c r="D1369" s="3">
        <v>4</v>
      </c>
      <c r="E1369" s="3">
        <f>((1/(INDEX(E0!J$4:J$73,C1369,1)-INDEX(E0!J$4:J$73,D1369,1))))*100000000</f>
        <v>0</v>
      </c>
      <c r="F1369" s="4" t="str">
        <f>HYPERLINK("http://141.218.60.56/~jnz1568/getInfo.php?workbook=16_15.xlsx&amp;sheet=A0&amp;row=1369&amp;col=6&amp;number=&amp;sourceID=54","")</f>
        <v/>
      </c>
      <c r="G1369" s="4" t="str">
        <f>HYPERLINK("http://141.218.60.56/~jnz1568/getInfo.php?workbook=16_15.xlsx&amp;sheet=A0&amp;row=1369&amp;col=7&amp;number=&amp;sourceID=54","")</f>
        <v/>
      </c>
      <c r="H1369" s="4" t="str">
        <f>HYPERLINK("http://141.218.60.56/~jnz1568/getInfo.php?workbook=16_15.xlsx&amp;sheet=A0&amp;row=1369&amp;col=8&amp;number=0.13203&amp;sourceID=54","0.13203")</f>
        <v>0.13203</v>
      </c>
      <c r="I1369" s="4" t="str">
        <f>HYPERLINK("http://141.218.60.56/~jnz1568/getInfo.php?workbook=16_15.xlsx&amp;sheet=A0&amp;row=1369&amp;col=9&amp;number=&amp;sourceID=54","")</f>
        <v/>
      </c>
      <c r="J1369" s="4" t="str">
        <f>HYPERLINK("http://141.218.60.56/~jnz1568/getInfo.php?workbook=16_15.xlsx&amp;sheet=A0&amp;row=1369&amp;col=10&amp;number=&amp;sourceID=54","")</f>
        <v/>
      </c>
      <c r="K1369" s="4" t="str">
        <f>HYPERLINK("http://141.218.60.56/~jnz1568/getInfo.php?workbook=16_15.xlsx&amp;sheet=A0&amp;row=1369&amp;col=11&amp;number=0.13239&amp;sourceID=54","0.13239")</f>
        <v>0.13239</v>
      </c>
      <c r="L1369" s="4" t="str">
        <f>HYPERLINK("http://141.218.60.56/~jnz1568/getInfo.php?workbook=16_15.xlsx&amp;sheet=A0&amp;row=1369&amp;col=12&amp;number=&amp;sourceID=53","")</f>
        <v/>
      </c>
      <c r="M1369" s="4" t="str">
        <f>HYPERLINK("http://141.218.60.56/~jnz1568/getInfo.php?workbook=16_15.xlsx&amp;sheet=A0&amp;row=1369&amp;col=13&amp;number=&amp;sourceID=53","")</f>
        <v/>
      </c>
      <c r="N1369" s="4" t="str">
        <f>HYPERLINK("http://141.218.60.56/~jnz1568/getInfo.php?workbook=16_15.xlsx&amp;sheet=A0&amp;row=1369&amp;col=14&amp;number=&amp;sourceID=53","")</f>
        <v/>
      </c>
      <c r="O1369" s="4" t="str">
        <f>HYPERLINK("http://141.218.60.56/~jnz1568/getInfo.php?workbook=16_15.xlsx&amp;sheet=A0&amp;row=1369&amp;col=15&amp;number=&amp;sourceID=55","")</f>
        <v/>
      </c>
      <c r="P1369" s="4" t="str">
        <f>HYPERLINK("http://141.218.60.56/~jnz1568/getInfo.php?workbook=16_15.xlsx&amp;sheet=A0&amp;row=1369&amp;col=16&amp;number=&amp;sourceID=55","")</f>
        <v/>
      </c>
      <c r="Q1369" s="4" t="str">
        <f>HYPERLINK("http://141.218.60.56/~jnz1568/getInfo.php?workbook=16_15.xlsx&amp;sheet=A0&amp;row=1369&amp;col=17&amp;number=&amp;sourceID=56","")</f>
        <v/>
      </c>
      <c r="R1369" s="4" t="str">
        <f>HYPERLINK("http://141.218.60.56/~jnz1568/getInfo.php?workbook=16_15.xlsx&amp;sheet=A0&amp;row=1369&amp;col=18&amp;number=&amp;sourceID=56","")</f>
        <v/>
      </c>
      <c r="S1369" s="4" t="str">
        <f>HYPERLINK("http://141.218.60.56/~jnz1568/getInfo.php?workbook=16_15.xlsx&amp;sheet=A0&amp;row=1369&amp;col=19&amp;number=&amp;sourceID=57","")</f>
        <v/>
      </c>
      <c r="T1369" s="4" t="str">
        <f>HYPERLINK("http://141.218.60.56/~jnz1568/getInfo.php?workbook=16_15.xlsx&amp;sheet=A0&amp;row=1369&amp;col=20&amp;number=&amp;sourceID=57","")</f>
        <v/>
      </c>
      <c r="U1369" s="4" t="str">
        <f>HYPERLINK("http://141.218.60.56/~jnz1568/getInfo.php?workbook=16_15.xlsx&amp;sheet=A0&amp;row=1369&amp;col=21&amp;number=&amp;sourceID=47","")</f>
        <v/>
      </c>
      <c r="V1369" s="4" t="str">
        <f>HYPERLINK("http://141.218.60.56/~jnz1568/getInfo.php?workbook=16_15.xlsx&amp;sheet=A0&amp;row=1369&amp;col=22&amp;number=&amp;sourceID=47","")</f>
        <v/>
      </c>
    </row>
    <row r="1370" spans="1:22">
      <c r="A1370" s="3">
        <v>16</v>
      </c>
      <c r="B1370" s="3">
        <v>15</v>
      </c>
      <c r="C1370" s="3">
        <v>60</v>
      </c>
      <c r="D1370" s="3">
        <v>5</v>
      </c>
      <c r="E1370" s="3">
        <f>((1/(INDEX(E0!J$4:J$73,C1370,1)-INDEX(E0!J$4:J$73,D1370,1))))*100000000</f>
        <v>0</v>
      </c>
      <c r="F1370" s="4" t="str">
        <f>HYPERLINK("http://141.218.60.56/~jnz1568/getInfo.php?workbook=16_15.xlsx&amp;sheet=A0&amp;row=1370&amp;col=6&amp;number=&amp;sourceID=54","")</f>
        <v/>
      </c>
      <c r="G1370" s="4" t="str">
        <f>HYPERLINK("http://141.218.60.56/~jnz1568/getInfo.php?workbook=16_15.xlsx&amp;sheet=A0&amp;row=1370&amp;col=7&amp;number=76.146&amp;sourceID=54","76.146")</f>
        <v>76.146</v>
      </c>
      <c r="H1370" s="4" t="str">
        <f>HYPERLINK("http://141.218.60.56/~jnz1568/getInfo.php?workbook=16_15.xlsx&amp;sheet=A0&amp;row=1370&amp;col=8&amp;number=0.3877&amp;sourceID=54","0.3877")</f>
        <v>0.3877</v>
      </c>
      <c r="I1370" s="4" t="str">
        <f>HYPERLINK("http://141.218.60.56/~jnz1568/getInfo.php?workbook=16_15.xlsx&amp;sheet=A0&amp;row=1370&amp;col=9&amp;number=&amp;sourceID=54","")</f>
        <v/>
      </c>
      <c r="J1370" s="4" t="str">
        <f>HYPERLINK("http://141.218.60.56/~jnz1568/getInfo.php?workbook=16_15.xlsx&amp;sheet=A0&amp;row=1370&amp;col=10&amp;number=75.976&amp;sourceID=54","75.976")</f>
        <v>75.976</v>
      </c>
      <c r="K1370" s="4" t="str">
        <f>HYPERLINK("http://141.218.60.56/~jnz1568/getInfo.php?workbook=16_15.xlsx&amp;sheet=A0&amp;row=1370&amp;col=11&amp;number=0.38894&amp;sourceID=54","0.38894")</f>
        <v>0.38894</v>
      </c>
      <c r="L1370" s="4" t="str">
        <f>HYPERLINK("http://141.218.60.56/~jnz1568/getInfo.php?workbook=16_15.xlsx&amp;sheet=A0&amp;row=1370&amp;col=12&amp;number=&amp;sourceID=53","")</f>
        <v/>
      </c>
      <c r="M1370" s="4" t="str">
        <f>HYPERLINK("http://141.218.60.56/~jnz1568/getInfo.php?workbook=16_15.xlsx&amp;sheet=A0&amp;row=1370&amp;col=13&amp;number=&amp;sourceID=53","")</f>
        <v/>
      </c>
      <c r="N1370" s="4" t="str">
        <f>HYPERLINK("http://141.218.60.56/~jnz1568/getInfo.php?workbook=16_15.xlsx&amp;sheet=A0&amp;row=1370&amp;col=14&amp;number=&amp;sourceID=53","")</f>
        <v/>
      </c>
      <c r="O1370" s="4" t="str">
        <f>HYPERLINK("http://141.218.60.56/~jnz1568/getInfo.php?workbook=16_15.xlsx&amp;sheet=A0&amp;row=1370&amp;col=15&amp;number=&amp;sourceID=55","")</f>
        <v/>
      </c>
      <c r="P1370" s="4" t="str">
        <f>HYPERLINK("http://141.218.60.56/~jnz1568/getInfo.php?workbook=16_15.xlsx&amp;sheet=A0&amp;row=1370&amp;col=16&amp;number=&amp;sourceID=55","")</f>
        <v/>
      </c>
      <c r="Q1370" s="4" t="str">
        <f>HYPERLINK("http://141.218.60.56/~jnz1568/getInfo.php?workbook=16_15.xlsx&amp;sheet=A0&amp;row=1370&amp;col=17&amp;number=&amp;sourceID=56","")</f>
        <v/>
      </c>
      <c r="R1370" s="4" t="str">
        <f>HYPERLINK("http://141.218.60.56/~jnz1568/getInfo.php?workbook=16_15.xlsx&amp;sheet=A0&amp;row=1370&amp;col=18&amp;number=&amp;sourceID=56","")</f>
        <v/>
      </c>
      <c r="S1370" s="4" t="str">
        <f>HYPERLINK("http://141.218.60.56/~jnz1568/getInfo.php?workbook=16_15.xlsx&amp;sheet=A0&amp;row=1370&amp;col=19&amp;number=&amp;sourceID=57","")</f>
        <v/>
      </c>
      <c r="T1370" s="4" t="str">
        <f>HYPERLINK("http://141.218.60.56/~jnz1568/getInfo.php?workbook=16_15.xlsx&amp;sheet=A0&amp;row=1370&amp;col=20&amp;number=&amp;sourceID=57","")</f>
        <v/>
      </c>
      <c r="U1370" s="4" t="str">
        <f>HYPERLINK("http://141.218.60.56/~jnz1568/getInfo.php?workbook=16_15.xlsx&amp;sheet=A0&amp;row=1370&amp;col=21&amp;number=&amp;sourceID=47","")</f>
        <v/>
      </c>
      <c r="V1370" s="4" t="str">
        <f>HYPERLINK("http://141.218.60.56/~jnz1568/getInfo.php?workbook=16_15.xlsx&amp;sheet=A0&amp;row=1370&amp;col=22&amp;number=&amp;sourceID=47","")</f>
        <v/>
      </c>
    </row>
    <row r="1371" spans="1:22">
      <c r="A1371" s="3">
        <v>16</v>
      </c>
      <c r="B1371" s="3">
        <v>15</v>
      </c>
      <c r="C1371" s="3">
        <v>60</v>
      </c>
      <c r="D1371" s="3">
        <v>7</v>
      </c>
      <c r="E1371" s="3">
        <f>((1/(INDEX(E0!J$4:J$73,C1371,1)-INDEX(E0!J$4:J$73,D1371,1))))*100000000</f>
        <v>0</v>
      </c>
      <c r="F1371" s="4" t="str">
        <f>HYPERLINK("http://141.218.60.56/~jnz1568/getInfo.php?workbook=16_15.xlsx&amp;sheet=A0&amp;row=1371&amp;col=6&amp;number=6256.5&amp;sourceID=54","6256.5")</f>
        <v>6256.5</v>
      </c>
      <c r="G1371" s="4" t="str">
        <f>HYPERLINK("http://141.218.60.56/~jnz1568/getInfo.php?workbook=16_15.xlsx&amp;sheet=A0&amp;row=1371&amp;col=7&amp;number=&amp;sourceID=54","")</f>
        <v/>
      </c>
      <c r="H1371" s="4" t="str">
        <f>HYPERLINK("http://141.218.60.56/~jnz1568/getInfo.php?workbook=16_15.xlsx&amp;sheet=A0&amp;row=1371&amp;col=8&amp;number=&amp;sourceID=54","")</f>
        <v/>
      </c>
      <c r="I1371" s="4" t="str">
        <f>HYPERLINK("http://141.218.60.56/~jnz1568/getInfo.php?workbook=16_15.xlsx&amp;sheet=A0&amp;row=1371&amp;col=9&amp;number=6404.3&amp;sourceID=54","6404.3")</f>
        <v>6404.3</v>
      </c>
      <c r="J1371" s="4" t="str">
        <f>HYPERLINK("http://141.218.60.56/~jnz1568/getInfo.php?workbook=16_15.xlsx&amp;sheet=A0&amp;row=1371&amp;col=10&amp;number=&amp;sourceID=54","")</f>
        <v/>
      </c>
      <c r="K1371" s="4" t="str">
        <f>HYPERLINK("http://141.218.60.56/~jnz1568/getInfo.php?workbook=16_15.xlsx&amp;sheet=A0&amp;row=1371&amp;col=11&amp;number=&amp;sourceID=54","")</f>
        <v/>
      </c>
      <c r="L1371" s="4" t="str">
        <f>HYPERLINK("http://141.218.60.56/~jnz1568/getInfo.php?workbook=16_15.xlsx&amp;sheet=A0&amp;row=1371&amp;col=12&amp;number=7316.7117476&amp;sourceID=53","7316.7117476")</f>
        <v>7316.7117476</v>
      </c>
      <c r="M1371" s="4" t="str">
        <f>HYPERLINK("http://141.218.60.56/~jnz1568/getInfo.php?workbook=16_15.xlsx&amp;sheet=A0&amp;row=1371&amp;col=13&amp;number=&amp;sourceID=53","")</f>
        <v/>
      </c>
      <c r="N1371" s="4" t="str">
        <f>HYPERLINK("http://141.218.60.56/~jnz1568/getInfo.php?workbook=16_15.xlsx&amp;sheet=A0&amp;row=1371&amp;col=14&amp;number=&amp;sourceID=53","")</f>
        <v/>
      </c>
      <c r="O1371" s="4" t="str">
        <f>HYPERLINK("http://141.218.60.56/~jnz1568/getInfo.php?workbook=16_15.xlsx&amp;sheet=A0&amp;row=1371&amp;col=15&amp;number=&amp;sourceID=55","")</f>
        <v/>
      </c>
      <c r="P1371" s="4" t="str">
        <f>HYPERLINK("http://141.218.60.56/~jnz1568/getInfo.php?workbook=16_15.xlsx&amp;sheet=A0&amp;row=1371&amp;col=16&amp;number=&amp;sourceID=55","")</f>
        <v/>
      </c>
      <c r="Q1371" s="4" t="str">
        <f>HYPERLINK("http://141.218.60.56/~jnz1568/getInfo.php?workbook=16_15.xlsx&amp;sheet=A0&amp;row=1371&amp;col=17&amp;number=&amp;sourceID=56","")</f>
        <v/>
      </c>
      <c r="R1371" s="4" t="str">
        <f>HYPERLINK("http://141.218.60.56/~jnz1568/getInfo.php?workbook=16_15.xlsx&amp;sheet=A0&amp;row=1371&amp;col=18&amp;number=&amp;sourceID=56","")</f>
        <v/>
      </c>
      <c r="S1371" s="4" t="str">
        <f>HYPERLINK("http://141.218.60.56/~jnz1568/getInfo.php?workbook=16_15.xlsx&amp;sheet=A0&amp;row=1371&amp;col=19&amp;number=&amp;sourceID=57","")</f>
        <v/>
      </c>
      <c r="T1371" s="4" t="str">
        <f>HYPERLINK("http://141.218.60.56/~jnz1568/getInfo.php?workbook=16_15.xlsx&amp;sheet=A0&amp;row=1371&amp;col=20&amp;number=&amp;sourceID=57","")</f>
        <v/>
      </c>
      <c r="U1371" s="4" t="str">
        <f>HYPERLINK("http://141.218.60.56/~jnz1568/getInfo.php?workbook=16_15.xlsx&amp;sheet=A0&amp;row=1371&amp;col=21&amp;number=&amp;sourceID=47","")</f>
        <v/>
      </c>
      <c r="V1371" s="4" t="str">
        <f>HYPERLINK("http://141.218.60.56/~jnz1568/getInfo.php?workbook=16_15.xlsx&amp;sheet=A0&amp;row=1371&amp;col=22&amp;number=&amp;sourceID=47","")</f>
        <v/>
      </c>
    </row>
    <row r="1372" spans="1:22">
      <c r="A1372" s="3">
        <v>16</v>
      </c>
      <c r="B1372" s="3">
        <v>15</v>
      </c>
      <c r="C1372" s="3">
        <v>60</v>
      </c>
      <c r="D1372" s="3">
        <v>8</v>
      </c>
      <c r="E1372" s="3">
        <f>((1/(INDEX(E0!J$4:J$73,C1372,1)-INDEX(E0!J$4:J$73,D1372,1))))*100000000</f>
        <v>0</v>
      </c>
      <c r="F1372" s="4" t="str">
        <f>HYPERLINK("http://141.218.60.56/~jnz1568/getInfo.php?workbook=16_15.xlsx&amp;sheet=A0&amp;row=1372&amp;col=6&amp;number=246.64&amp;sourceID=54","246.64")</f>
        <v>246.64</v>
      </c>
      <c r="G1372" s="4" t="str">
        <f>HYPERLINK("http://141.218.60.56/~jnz1568/getInfo.php?workbook=16_15.xlsx&amp;sheet=A0&amp;row=1372&amp;col=7&amp;number=&amp;sourceID=54","")</f>
        <v/>
      </c>
      <c r="H1372" s="4" t="str">
        <f>HYPERLINK("http://141.218.60.56/~jnz1568/getInfo.php?workbook=16_15.xlsx&amp;sheet=A0&amp;row=1372&amp;col=8&amp;number=&amp;sourceID=54","")</f>
        <v/>
      </c>
      <c r="I1372" s="4" t="str">
        <f>HYPERLINK("http://141.218.60.56/~jnz1568/getInfo.php?workbook=16_15.xlsx&amp;sheet=A0&amp;row=1372&amp;col=9&amp;number=261.98&amp;sourceID=54","261.98")</f>
        <v>261.98</v>
      </c>
      <c r="J1372" s="4" t="str">
        <f>HYPERLINK("http://141.218.60.56/~jnz1568/getInfo.php?workbook=16_15.xlsx&amp;sheet=A0&amp;row=1372&amp;col=10&amp;number=&amp;sourceID=54","")</f>
        <v/>
      </c>
      <c r="K1372" s="4" t="str">
        <f>HYPERLINK("http://141.218.60.56/~jnz1568/getInfo.php?workbook=16_15.xlsx&amp;sheet=A0&amp;row=1372&amp;col=11&amp;number=&amp;sourceID=54","")</f>
        <v/>
      </c>
      <c r="L1372" s="4" t="str">
        <f>HYPERLINK("http://141.218.60.56/~jnz1568/getInfo.php?workbook=16_15.xlsx&amp;sheet=A0&amp;row=1372&amp;col=12&amp;number=548.000060128&amp;sourceID=53","548.000060128")</f>
        <v>548.000060128</v>
      </c>
      <c r="M1372" s="4" t="str">
        <f>HYPERLINK("http://141.218.60.56/~jnz1568/getInfo.php?workbook=16_15.xlsx&amp;sheet=A0&amp;row=1372&amp;col=13&amp;number=&amp;sourceID=53","")</f>
        <v/>
      </c>
      <c r="N1372" s="4" t="str">
        <f>HYPERLINK("http://141.218.60.56/~jnz1568/getInfo.php?workbook=16_15.xlsx&amp;sheet=A0&amp;row=1372&amp;col=14&amp;number=&amp;sourceID=53","")</f>
        <v/>
      </c>
      <c r="O1372" s="4" t="str">
        <f>HYPERLINK("http://141.218.60.56/~jnz1568/getInfo.php?workbook=16_15.xlsx&amp;sheet=A0&amp;row=1372&amp;col=15&amp;number=&amp;sourceID=55","")</f>
        <v/>
      </c>
      <c r="P1372" s="4" t="str">
        <f>HYPERLINK("http://141.218.60.56/~jnz1568/getInfo.php?workbook=16_15.xlsx&amp;sheet=A0&amp;row=1372&amp;col=16&amp;number=&amp;sourceID=55","")</f>
        <v/>
      </c>
      <c r="Q1372" s="4" t="str">
        <f>HYPERLINK("http://141.218.60.56/~jnz1568/getInfo.php?workbook=16_15.xlsx&amp;sheet=A0&amp;row=1372&amp;col=17&amp;number=&amp;sourceID=56","")</f>
        <v/>
      </c>
      <c r="R1372" s="4" t="str">
        <f>HYPERLINK("http://141.218.60.56/~jnz1568/getInfo.php?workbook=16_15.xlsx&amp;sheet=A0&amp;row=1372&amp;col=18&amp;number=&amp;sourceID=56","")</f>
        <v/>
      </c>
      <c r="S1372" s="4" t="str">
        <f>HYPERLINK("http://141.218.60.56/~jnz1568/getInfo.php?workbook=16_15.xlsx&amp;sheet=A0&amp;row=1372&amp;col=19&amp;number=&amp;sourceID=57","")</f>
        <v/>
      </c>
      <c r="T1372" s="4" t="str">
        <f>HYPERLINK("http://141.218.60.56/~jnz1568/getInfo.php?workbook=16_15.xlsx&amp;sheet=A0&amp;row=1372&amp;col=20&amp;number=&amp;sourceID=57","")</f>
        <v/>
      </c>
      <c r="U1372" s="4" t="str">
        <f>HYPERLINK("http://141.218.60.56/~jnz1568/getInfo.php?workbook=16_15.xlsx&amp;sheet=A0&amp;row=1372&amp;col=21&amp;number=&amp;sourceID=47","")</f>
        <v/>
      </c>
      <c r="V1372" s="4" t="str">
        <f>HYPERLINK("http://141.218.60.56/~jnz1568/getInfo.php?workbook=16_15.xlsx&amp;sheet=A0&amp;row=1372&amp;col=22&amp;number=&amp;sourceID=47","")</f>
        <v/>
      </c>
    </row>
    <row r="1373" spans="1:22">
      <c r="A1373" s="3">
        <v>16</v>
      </c>
      <c r="B1373" s="3">
        <v>15</v>
      </c>
      <c r="C1373" s="3">
        <v>60</v>
      </c>
      <c r="D1373" s="3">
        <v>9</v>
      </c>
      <c r="E1373" s="3">
        <f>((1/(INDEX(E0!J$4:J$73,C1373,1)-INDEX(E0!J$4:J$73,D1373,1))))*100000000</f>
        <v>0</v>
      </c>
      <c r="F1373" s="4" t="str">
        <f>HYPERLINK("http://141.218.60.56/~jnz1568/getInfo.php?workbook=16_15.xlsx&amp;sheet=A0&amp;row=1373&amp;col=6&amp;number=40547000&amp;sourceID=54","40547000")</f>
        <v>40547000</v>
      </c>
      <c r="G1373" s="4" t="str">
        <f>HYPERLINK("http://141.218.60.56/~jnz1568/getInfo.php?workbook=16_15.xlsx&amp;sheet=A0&amp;row=1373&amp;col=7&amp;number=&amp;sourceID=54","")</f>
        <v/>
      </c>
      <c r="H1373" s="4" t="str">
        <f>HYPERLINK("http://141.218.60.56/~jnz1568/getInfo.php?workbook=16_15.xlsx&amp;sheet=A0&amp;row=1373&amp;col=8&amp;number=&amp;sourceID=54","")</f>
        <v/>
      </c>
      <c r="I1373" s="4" t="str">
        <f>HYPERLINK("http://141.218.60.56/~jnz1568/getInfo.php?workbook=16_15.xlsx&amp;sheet=A0&amp;row=1373&amp;col=9&amp;number=39056000&amp;sourceID=54","39056000")</f>
        <v>39056000</v>
      </c>
      <c r="J1373" s="4" t="str">
        <f>HYPERLINK("http://141.218.60.56/~jnz1568/getInfo.php?workbook=16_15.xlsx&amp;sheet=A0&amp;row=1373&amp;col=10&amp;number=&amp;sourceID=54","")</f>
        <v/>
      </c>
      <c r="K1373" s="4" t="str">
        <f>HYPERLINK("http://141.218.60.56/~jnz1568/getInfo.php?workbook=16_15.xlsx&amp;sheet=A0&amp;row=1373&amp;col=11&amp;number=&amp;sourceID=54","")</f>
        <v/>
      </c>
      <c r="L1373" s="4" t="str">
        <f>HYPERLINK("http://141.218.60.56/~jnz1568/getInfo.php?workbook=16_15.xlsx&amp;sheet=A0&amp;row=1373&amp;col=12&amp;number=42644497.3817&amp;sourceID=53","42644497.3817")</f>
        <v>42644497.3817</v>
      </c>
      <c r="M1373" s="4" t="str">
        <f>HYPERLINK("http://141.218.60.56/~jnz1568/getInfo.php?workbook=16_15.xlsx&amp;sheet=A0&amp;row=1373&amp;col=13&amp;number=&amp;sourceID=53","")</f>
        <v/>
      </c>
      <c r="N1373" s="4" t="str">
        <f>HYPERLINK("http://141.218.60.56/~jnz1568/getInfo.php?workbook=16_15.xlsx&amp;sheet=A0&amp;row=1373&amp;col=14&amp;number=&amp;sourceID=53","")</f>
        <v/>
      </c>
      <c r="O1373" s="4" t="str">
        <f>HYPERLINK("http://141.218.60.56/~jnz1568/getInfo.php?workbook=16_15.xlsx&amp;sheet=A0&amp;row=1373&amp;col=15&amp;number=&amp;sourceID=55","")</f>
        <v/>
      </c>
      <c r="P1373" s="4" t="str">
        <f>HYPERLINK("http://141.218.60.56/~jnz1568/getInfo.php?workbook=16_15.xlsx&amp;sheet=A0&amp;row=1373&amp;col=16&amp;number=&amp;sourceID=55","")</f>
        <v/>
      </c>
      <c r="Q1373" s="4" t="str">
        <f>HYPERLINK("http://141.218.60.56/~jnz1568/getInfo.php?workbook=16_15.xlsx&amp;sheet=A0&amp;row=1373&amp;col=17&amp;number=&amp;sourceID=56","")</f>
        <v/>
      </c>
      <c r="R1373" s="4" t="str">
        <f>HYPERLINK("http://141.218.60.56/~jnz1568/getInfo.php?workbook=16_15.xlsx&amp;sheet=A0&amp;row=1373&amp;col=18&amp;number=&amp;sourceID=56","")</f>
        <v/>
      </c>
      <c r="S1373" s="4" t="str">
        <f>HYPERLINK("http://141.218.60.56/~jnz1568/getInfo.php?workbook=16_15.xlsx&amp;sheet=A0&amp;row=1373&amp;col=19&amp;number=&amp;sourceID=57","")</f>
        <v/>
      </c>
      <c r="T1373" s="4" t="str">
        <f>HYPERLINK("http://141.218.60.56/~jnz1568/getInfo.php?workbook=16_15.xlsx&amp;sheet=A0&amp;row=1373&amp;col=20&amp;number=&amp;sourceID=57","")</f>
        <v/>
      </c>
      <c r="U1373" s="4" t="str">
        <f>HYPERLINK("http://141.218.60.56/~jnz1568/getInfo.php?workbook=16_15.xlsx&amp;sheet=A0&amp;row=1373&amp;col=21&amp;number=&amp;sourceID=47","")</f>
        <v/>
      </c>
      <c r="V1373" s="4" t="str">
        <f>HYPERLINK("http://141.218.60.56/~jnz1568/getInfo.php?workbook=16_15.xlsx&amp;sheet=A0&amp;row=1373&amp;col=22&amp;number=&amp;sourceID=47","")</f>
        <v/>
      </c>
    </row>
    <row r="1374" spans="1:22">
      <c r="A1374" s="3">
        <v>16</v>
      </c>
      <c r="B1374" s="3">
        <v>15</v>
      </c>
      <c r="C1374" s="3">
        <v>60</v>
      </c>
      <c r="D1374" s="3">
        <v>11</v>
      </c>
      <c r="E1374" s="3">
        <f>((1/(INDEX(E0!J$4:J$73,C1374,1)-INDEX(E0!J$4:J$73,D1374,1))))*100000000</f>
        <v>0</v>
      </c>
      <c r="F1374" s="4" t="str">
        <f>HYPERLINK("http://141.218.60.56/~jnz1568/getInfo.php?workbook=16_15.xlsx&amp;sheet=A0&amp;row=1374&amp;col=6&amp;number=221580&amp;sourceID=54","221580")</f>
        <v>221580</v>
      </c>
      <c r="G1374" s="4" t="str">
        <f>HYPERLINK("http://141.218.60.56/~jnz1568/getInfo.php?workbook=16_15.xlsx&amp;sheet=A0&amp;row=1374&amp;col=7&amp;number=&amp;sourceID=54","")</f>
        <v/>
      </c>
      <c r="H1374" s="4" t="str">
        <f>HYPERLINK("http://141.218.60.56/~jnz1568/getInfo.php?workbook=16_15.xlsx&amp;sheet=A0&amp;row=1374&amp;col=8&amp;number=&amp;sourceID=54","")</f>
        <v/>
      </c>
      <c r="I1374" s="4" t="str">
        <f>HYPERLINK("http://141.218.60.56/~jnz1568/getInfo.php?workbook=16_15.xlsx&amp;sheet=A0&amp;row=1374&amp;col=9&amp;number=210190&amp;sourceID=54","210190")</f>
        <v>210190</v>
      </c>
      <c r="J1374" s="4" t="str">
        <f>HYPERLINK("http://141.218.60.56/~jnz1568/getInfo.php?workbook=16_15.xlsx&amp;sheet=A0&amp;row=1374&amp;col=10&amp;number=&amp;sourceID=54","")</f>
        <v/>
      </c>
      <c r="K1374" s="4" t="str">
        <f>HYPERLINK("http://141.218.60.56/~jnz1568/getInfo.php?workbook=16_15.xlsx&amp;sheet=A0&amp;row=1374&amp;col=11&amp;number=&amp;sourceID=54","")</f>
        <v/>
      </c>
      <c r="L1374" s="4" t="str">
        <f>HYPERLINK("http://141.218.60.56/~jnz1568/getInfo.php?workbook=16_15.xlsx&amp;sheet=A0&amp;row=1374&amp;col=12&amp;number=232551.492532&amp;sourceID=53","232551.492532")</f>
        <v>232551.492532</v>
      </c>
      <c r="M1374" s="4" t="str">
        <f>HYPERLINK("http://141.218.60.56/~jnz1568/getInfo.php?workbook=16_15.xlsx&amp;sheet=A0&amp;row=1374&amp;col=13&amp;number=&amp;sourceID=53","")</f>
        <v/>
      </c>
      <c r="N1374" s="4" t="str">
        <f>HYPERLINK("http://141.218.60.56/~jnz1568/getInfo.php?workbook=16_15.xlsx&amp;sheet=A0&amp;row=1374&amp;col=14&amp;number=&amp;sourceID=53","")</f>
        <v/>
      </c>
      <c r="O1374" s="4" t="str">
        <f>HYPERLINK("http://141.218.60.56/~jnz1568/getInfo.php?workbook=16_15.xlsx&amp;sheet=A0&amp;row=1374&amp;col=15&amp;number=&amp;sourceID=55","")</f>
        <v/>
      </c>
      <c r="P1374" s="4" t="str">
        <f>HYPERLINK("http://141.218.60.56/~jnz1568/getInfo.php?workbook=16_15.xlsx&amp;sheet=A0&amp;row=1374&amp;col=16&amp;number=&amp;sourceID=55","")</f>
        <v/>
      </c>
      <c r="Q1374" s="4" t="str">
        <f>HYPERLINK("http://141.218.60.56/~jnz1568/getInfo.php?workbook=16_15.xlsx&amp;sheet=A0&amp;row=1374&amp;col=17&amp;number=&amp;sourceID=56","")</f>
        <v/>
      </c>
      <c r="R1374" s="4" t="str">
        <f>HYPERLINK("http://141.218.60.56/~jnz1568/getInfo.php?workbook=16_15.xlsx&amp;sheet=A0&amp;row=1374&amp;col=18&amp;number=&amp;sourceID=56","")</f>
        <v/>
      </c>
      <c r="S1374" s="4" t="str">
        <f>HYPERLINK("http://141.218.60.56/~jnz1568/getInfo.php?workbook=16_15.xlsx&amp;sheet=A0&amp;row=1374&amp;col=19&amp;number=&amp;sourceID=57","")</f>
        <v/>
      </c>
      <c r="T1374" s="4" t="str">
        <f>HYPERLINK("http://141.218.60.56/~jnz1568/getInfo.php?workbook=16_15.xlsx&amp;sheet=A0&amp;row=1374&amp;col=20&amp;number=&amp;sourceID=57","")</f>
        <v/>
      </c>
      <c r="U1374" s="4" t="str">
        <f>HYPERLINK("http://141.218.60.56/~jnz1568/getInfo.php?workbook=16_15.xlsx&amp;sheet=A0&amp;row=1374&amp;col=21&amp;number=&amp;sourceID=47","")</f>
        <v/>
      </c>
      <c r="V1374" s="4" t="str">
        <f>HYPERLINK("http://141.218.60.56/~jnz1568/getInfo.php?workbook=16_15.xlsx&amp;sheet=A0&amp;row=1374&amp;col=22&amp;number=&amp;sourceID=47","")</f>
        <v/>
      </c>
    </row>
    <row r="1375" spans="1:22">
      <c r="A1375" s="3">
        <v>16</v>
      </c>
      <c r="B1375" s="3">
        <v>15</v>
      </c>
      <c r="C1375" s="3">
        <v>60</v>
      </c>
      <c r="D1375" s="3">
        <v>12</v>
      </c>
      <c r="E1375" s="3">
        <f>((1/(INDEX(E0!J$4:J$73,C1375,1)-INDEX(E0!J$4:J$73,D1375,1))))*100000000</f>
        <v>0</v>
      </c>
      <c r="F1375" s="4" t="str">
        <f>HYPERLINK("http://141.218.60.56/~jnz1568/getInfo.php?workbook=16_15.xlsx&amp;sheet=A0&amp;row=1375&amp;col=6&amp;number=1101900&amp;sourceID=54","1101900")</f>
        <v>1101900</v>
      </c>
      <c r="G1375" s="4" t="str">
        <f>HYPERLINK("http://141.218.60.56/~jnz1568/getInfo.php?workbook=16_15.xlsx&amp;sheet=A0&amp;row=1375&amp;col=7&amp;number=&amp;sourceID=54","")</f>
        <v/>
      </c>
      <c r="H1375" s="4" t="str">
        <f>HYPERLINK("http://141.218.60.56/~jnz1568/getInfo.php?workbook=16_15.xlsx&amp;sheet=A0&amp;row=1375&amp;col=8&amp;number=&amp;sourceID=54","")</f>
        <v/>
      </c>
      <c r="I1375" s="4" t="str">
        <f>HYPERLINK("http://141.218.60.56/~jnz1568/getInfo.php?workbook=16_15.xlsx&amp;sheet=A0&amp;row=1375&amp;col=9&amp;number=1083400&amp;sourceID=54","1083400")</f>
        <v>1083400</v>
      </c>
      <c r="J1375" s="4" t="str">
        <f>HYPERLINK("http://141.218.60.56/~jnz1568/getInfo.php?workbook=16_15.xlsx&amp;sheet=A0&amp;row=1375&amp;col=10&amp;number=&amp;sourceID=54","")</f>
        <v/>
      </c>
      <c r="K1375" s="4" t="str">
        <f>HYPERLINK("http://141.218.60.56/~jnz1568/getInfo.php?workbook=16_15.xlsx&amp;sheet=A0&amp;row=1375&amp;col=11&amp;number=&amp;sourceID=54","")</f>
        <v/>
      </c>
      <c r="L1375" s="4" t="str">
        <f>HYPERLINK("http://141.218.60.56/~jnz1568/getInfo.php?workbook=16_15.xlsx&amp;sheet=A0&amp;row=1375&amp;col=12&amp;number=1170120.91471&amp;sourceID=53","1170120.91471")</f>
        <v>1170120.91471</v>
      </c>
      <c r="M1375" s="4" t="str">
        <f>HYPERLINK("http://141.218.60.56/~jnz1568/getInfo.php?workbook=16_15.xlsx&amp;sheet=A0&amp;row=1375&amp;col=13&amp;number=&amp;sourceID=53","")</f>
        <v/>
      </c>
      <c r="N1375" s="4" t="str">
        <f>HYPERLINK("http://141.218.60.56/~jnz1568/getInfo.php?workbook=16_15.xlsx&amp;sheet=A0&amp;row=1375&amp;col=14&amp;number=&amp;sourceID=53","")</f>
        <v/>
      </c>
      <c r="O1375" s="4" t="str">
        <f>HYPERLINK("http://141.218.60.56/~jnz1568/getInfo.php?workbook=16_15.xlsx&amp;sheet=A0&amp;row=1375&amp;col=15&amp;number=&amp;sourceID=55","")</f>
        <v/>
      </c>
      <c r="P1375" s="4" t="str">
        <f>HYPERLINK("http://141.218.60.56/~jnz1568/getInfo.php?workbook=16_15.xlsx&amp;sheet=A0&amp;row=1375&amp;col=16&amp;number=&amp;sourceID=55","")</f>
        <v/>
      </c>
      <c r="Q1375" s="4" t="str">
        <f>HYPERLINK("http://141.218.60.56/~jnz1568/getInfo.php?workbook=16_15.xlsx&amp;sheet=A0&amp;row=1375&amp;col=17&amp;number=&amp;sourceID=56","")</f>
        <v/>
      </c>
      <c r="R1375" s="4" t="str">
        <f>HYPERLINK("http://141.218.60.56/~jnz1568/getInfo.php?workbook=16_15.xlsx&amp;sheet=A0&amp;row=1375&amp;col=18&amp;number=&amp;sourceID=56","")</f>
        <v/>
      </c>
      <c r="S1375" s="4" t="str">
        <f>HYPERLINK("http://141.218.60.56/~jnz1568/getInfo.php?workbook=16_15.xlsx&amp;sheet=A0&amp;row=1375&amp;col=19&amp;number=&amp;sourceID=57","")</f>
        <v/>
      </c>
      <c r="T1375" s="4" t="str">
        <f>HYPERLINK("http://141.218.60.56/~jnz1568/getInfo.php?workbook=16_15.xlsx&amp;sheet=A0&amp;row=1375&amp;col=20&amp;number=&amp;sourceID=57","")</f>
        <v/>
      </c>
      <c r="U1375" s="4" t="str">
        <f>HYPERLINK("http://141.218.60.56/~jnz1568/getInfo.php?workbook=16_15.xlsx&amp;sheet=A0&amp;row=1375&amp;col=21&amp;number=&amp;sourceID=47","")</f>
        <v/>
      </c>
      <c r="V1375" s="4" t="str">
        <f>HYPERLINK("http://141.218.60.56/~jnz1568/getInfo.php?workbook=16_15.xlsx&amp;sheet=A0&amp;row=1375&amp;col=22&amp;number=&amp;sourceID=47","")</f>
        <v/>
      </c>
    </row>
    <row r="1376" spans="1:22">
      <c r="A1376" s="3">
        <v>16</v>
      </c>
      <c r="B1376" s="3">
        <v>15</v>
      </c>
      <c r="C1376" s="3">
        <v>60</v>
      </c>
      <c r="D1376" s="3">
        <v>13</v>
      </c>
      <c r="E1376" s="3">
        <f>((1/(INDEX(E0!J$4:J$73,C1376,1)-INDEX(E0!J$4:J$73,D1376,1))))*100000000</f>
        <v>0</v>
      </c>
      <c r="F1376" s="4" t="str">
        <f>HYPERLINK("http://141.218.60.56/~jnz1568/getInfo.php?workbook=16_15.xlsx&amp;sheet=A0&amp;row=1376&amp;col=6&amp;number=14451&amp;sourceID=54","14451")</f>
        <v>14451</v>
      </c>
      <c r="G1376" s="4" t="str">
        <f>HYPERLINK("http://141.218.60.56/~jnz1568/getInfo.php?workbook=16_15.xlsx&amp;sheet=A0&amp;row=1376&amp;col=7&amp;number=&amp;sourceID=54","")</f>
        <v/>
      </c>
      <c r="H1376" s="4" t="str">
        <f>HYPERLINK("http://141.218.60.56/~jnz1568/getInfo.php?workbook=16_15.xlsx&amp;sheet=A0&amp;row=1376&amp;col=8&amp;number=&amp;sourceID=54","")</f>
        <v/>
      </c>
      <c r="I1376" s="4" t="str">
        <f>HYPERLINK("http://141.218.60.56/~jnz1568/getInfo.php?workbook=16_15.xlsx&amp;sheet=A0&amp;row=1376&amp;col=9&amp;number=20136&amp;sourceID=54","20136")</f>
        <v>20136</v>
      </c>
      <c r="J1376" s="4" t="str">
        <f>HYPERLINK("http://141.218.60.56/~jnz1568/getInfo.php?workbook=16_15.xlsx&amp;sheet=A0&amp;row=1376&amp;col=10&amp;number=&amp;sourceID=54","")</f>
        <v/>
      </c>
      <c r="K1376" s="4" t="str">
        <f>HYPERLINK("http://141.218.60.56/~jnz1568/getInfo.php?workbook=16_15.xlsx&amp;sheet=A0&amp;row=1376&amp;col=11&amp;number=&amp;sourceID=54","")</f>
        <v/>
      </c>
      <c r="L1376" s="4" t="str">
        <f>HYPERLINK("http://141.218.60.56/~jnz1568/getInfo.php?workbook=16_15.xlsx&amp;sheet=A0&amp;row=1376&amp;col=12&amp;number=19506.0048933&amp;sourceID=53","19506.0048933")</f>
        <v>19506.0048933</v>
      </c>
      <c r="M1376" s="4" t="str">
        <f>HYPERLINK("http://141.218.60.56/~jnz1568/getInfo.php?workbook=16_15.xlsx&amp;sheet=A0&amp;row=1376&amp;col=13&amp;number=&amp;sourceID=53","")</f>
        <v/>
      </c>
      <c r="N1376" s="4" t="str">
        <f>HYPERLINK("http://141.218.60.56/~jnz1568/getInfo.php?workbook=16_15.xlsx&amp;sheet=A0&amp;row=1376&amp;col=14&amp;number=&amp;sourceID=53","")</f>
        <v/>
      </c>
      <c r="O1376" s="4" t="str">
        <f>HYPERLINK("http://141.218.60.56/~jnz1568/getInfo.php?workbook=16_15.xlsx&amp;sheet=A0&amp;row=1376&amp;col=15&amp;number=&amp;sourceID=55","")</f>
        <v/>
      </c>
      <c r="P1376" s="4" t="str">
        <f>HYPERLINK("http://141.218.60.56/~jnz1568/getInfo.php?workbook=16_15.xlsx&amp;sheet=A0&amp;row=1376&amp;col=16&amp;number=&amp;sourceID=55","")</f>
        <v/>
      </c>
      <c r="Q1376" s="4" t="str">
        <f>HYPERLINK("http://141.218.60.56/~jnz1568/getInfo.php?workbook=16_15.xlsx&amp;sheet=A0&amp;row=1376&amp;col=17&amp;number=&amp;sourceID=56","")</f>
        <v/>
      </c>
      <c r="R1376" s="4" t="str">
        <f>HYPERLINK("http://141.218.60.56/~jnz1568/getInfo.php?workbook=16_15.xlsx&amp;sheet=A0&amp;row=1376&amp;col=18&amp;number=&amp;sourceID=56","")</f>
        <v/>
      </c>
      <c r="S1376" s="4" t="str">
        <f>HYPERLINK("http://141.218.60.56/~jnz1568/getInfo.php?workbook=16_15.xlsx&amp;sheet=A0&amp;row=1376&amp;col=19&amp;number=&amp;sourceID=57","")</f>
        <v/>
      </c>
      <c r="T1376" s="4" t="str">
        <f>HYPERLINK("http://141.218.60.56/~jnz1568/getInfo.php?workbook=16_15.xlsx&amp;sheet=A0&amp;row=1376&amp;col=20&amp;number=&amp;sourceID=57","")</f>
        <v/>
      </c>
      <c r="U1376" s="4" t="str">
        <f>HYPERLINK("http://141.218.60.56/~jnz1568/getInfo.php?workbook=16_15.xlsx&amp;sheet=A0&amp;row=1376&amp;col=21&amp;number=&amp;sourceID=47","")</f>
        <v/>
      </c>
      <c r="V1376" s="4" t="str">
        <f>HYPERLINK("http://141.218.60.56/~jnz1568/getInfo.php?workbook=16_15.xlsx&amp;sheet=A0&amp;row=1376&amp;col=22&amp;number=&amp;sourceID=47","")</f>
        <v/>
      </c>
    </row>
    <row r="1377" spans="1:22">
      <c r="A1377" s="3">
        <v>16</v>
      </c>
      <c r="B1377" s="3">
        <v>15</v>
      </c>
      <c r="C1377" s="3">
        <v>60</v>
      </c>
      <c r="D1377" s="3">
        <v>14</v>
      </c>
      <c r="E1377" s="3">
        <f>((1/(INDEX(E0!J$4:J$73,C1377,1)-INDEX(E0!J$4:J$73,D1377,1))))*100000000</f>
        <v>0</v>
      </c>
      <c r="F1377" s="4" t="str">
        <f>HYPERLINK("http://141.218.60.56/~jnz1568/getInfo.php?workbook=16_15.xlsx&amp;sheet=A0&amp;row=1377&amp;col=6&amp;number=7762.9&amp;sourceID=54","7762.9")</f>
        <v>7762.9</v>
      </c>
      <c r="G1377" s="4" t="str">
        <f>HYPERLINK("http://141.218.60.56/~jnz1568/getInfo.php?workbook=16_15.xlsx&amp;sheet=A0&amp;row=1377&amp;col=7&amp;number=&amp;sourceID=54","")</f>
        <v/>
      </c>
      <c r="H1377" s="4" t="str">
        <f>HYPERLINK("http://141.218.60.56/~jnz1568/getInfo.php?workbook=16_15.xlsx&amp;sheet=A0&amp;row=1377&amp;col=8&amp;number=&amp;sourceID=54","")</f>
        <v/>
      </c>
      <c r="I1377" s="4" t="str">
        <f>HYPERLINK("http://141.218.60.56/~jnz1568/getInfo.php?workbook=16_15.xlsx&amp;sheet=A0&amp;row=1377&amp;col=9&amp;number=11724&amp;sourceID=54","11724")</f>
        <v>11724</v>
      </c>
      <c r="J1377" s="4" t="str">
        <f>HYPERLINK("http://141.218.60.56/~jnz1568/getInfo.php?workbook=16_15.xlsx&amp;sheet=A0&amp;row=1377&amp;col=10&amp;number=&amp;sourceID=54","")</f>
        <v/>
      </c>
      <c r="K1377" s="4" t="str">
        <f>HYPERLINK("http://141.218.60.56/~jnz1568/getInfo.php?workbook=16_15.xlsx&amp;sheet=A0&amp;row=1377&amp;col=11&amp;number=&amp;sourceID=54","")</f>
        <v/>
      </c>
      <c r="L1377" s="4" t="str">
        <f>HYPERLINK("http://141.218.60.56/~jnz1568/getInfo.php?workbook=16_15.xlsx&amp;sheet=A0&amp;row=1377&amp;col=12&amp;number=10004.0661537&amp;sourceID=53","10004.0661537")</f>
        <v>10004.0661537</v>
      </c>
      <c r="M1377" s="4" t="str">
        <f>HYPERLINK("http://141.218.60.56/~jnz1568/getInfo.php?workbook=16_15.xlsx&amp;sheet=A0&amp;row=1377&amp;col=13&amp;number=&amp;sourceID=53","")</f>
        <v/>
      </c>
      <c r="N1377" s="4" t="str">
        <f>HYPERLINK("http://141.218.60.56/~jnz1568/getInfo.php?workbook=16_15.xlsx&amp;sheet=A0&amp;row=1377&amp;col=14&amp;number=&amp;sourceID=53","")</f>
        <v/>
      </c>
      <c r="O1377" s="4" t="str">
        <f>HYPERLINK("http://141.218.60.56/~jnz1568/getInfo.php?workbook=16_15.xlsx&amp;sheet=A0&amp;row=1377&amp;col=15&amp;number=&amp;sourceID=55","")</f>
        <v/>
      </c>
      <c r="P1377" s="4" t="str">
        <f>HYPERLINK("http://141.218.60.56/~jnz1568/getInfo.php?workbook=16_15.xlsx&amp;sheet=A0&amp;row=1377&amp;col=16&amp;number=&amp;sourceID=55","")</f>
        <v/>
      </c>
      <c r="Q1377" s="4" t="str">
        <f>HYPERLINK("http://141.218.60.56/~jnz1568/getInfo.php?workbook=16_15.xlsx&amp;sheet=A0&amp;row=1377&amp;col=17&amp;number=&amp;sourceID=56","")</f>
        <v/>
      </c>
      <c r="R1377" s="4" t="str">
        <f>HYPERLINK("http://141.218.60.56/~jnz1568/getInfo.php?workbook=16_15.xlsx&amp;sheet=A0&amp;row=1377&amp;col=18&amp;number=&amp;sourceID=56","")</f>
        <v/>
      </c>
      <c r="S1377" s="4" t="str">
        <f>HYPERLINK("http://141.218.60.56/~jnz1568/getInfo.php?workbook=16_15.xlsx&amp;sheet=A0&amp;row=1377&amp;col=19&amp;number=&amp;sourceID=57","")</f>
        <v/>
      </c>
      <c r="T1377" s="4" t="str">
        <f>HYPERLINK("http://141.218.60.56/~jnz1568/getInfo.php?workbook=16_15.xlsx&amp;sheet=A0&amp;row=1377&amp;col=20&amp;number=&amp;sourceID=57","")</f>
        <v/>
      </c>
      <c r="U1377" s="4" t="str">
        <f>HYPERLINK("http://141.218.60.56/~jnz1568/getInfo.php?workbook=16_15.xlsx&amp;sheet=A0&amp;row=1377&amp;col=21&amp;number=&amp;sourceID=47","")</f>
        <v/>
      </c>
      <c r="V1377" s="4" t="str">
        <f>HYPERLINK("http://141.218.60.56/~jnz1568/getInfo.php?workbook=16_15.xlsx&amp;sheet=A0&amp;row=1377&amp;col=22&amp;number=&amp;sourceID=47","")</f>
        <v/>
      </c>
    </row>
    <row r="1378" spans="1:22">
      <c r="A1378" s="3">
        <v>16</v>
      </c>
      <c r="B1378" s="3">
        <v>15</v>
      </c>
      <c r="C1378" s="3">
        <v>60</v>
      </c>
      <c r="D1378" s="3">
        <v>15</v>
      </c>
      <c r="E1378" s="3">
        <f>((1/(INDEX(E0!J$4:J$73,C1378,1)-INDEX(E0!J$4:J$73,D1378,1))))*100000000</f>
        <v>0</v>
      </c>
      <c r="F1378" s="4" t="str">
        <f>HYPERLINK("http://141.218.60.56/~jnz1568/getInfo.php?workbook=16_15.xlsx&amp;sheet=A0&amp;row=1378&amp;col=6&amp;number=13064&amp;sourceID=54","13064")</f>
        <v>13064</v>
      </c>
      <c r="G1378" s="4" t="str">
        <f>HYPERLINK("http://141.218.60.56/~jnz1568/getInfo.php?workbook=16_15.xlsx&amp;sheet=A0&amp;row=1378&amp;col=7&amp;number=&amp;sourceID=54","")</f>
        <v/>
      </c>
      <c r="H1378" s="4" t="str">
        <f>HYPERLINK("http://141.218.60.56/~jnz1568/getInfo.php?workbook=16_15.xlsx&amp;sheet=A0&amp;row=1378&amp;col=8&amp;number=&amp;sourceID=54","")</f>
        <v/>
      </c>
      <c r="I1378" s="4" t="str">
        <f>HYPERLINK("http://141.218.60.56/~jnz1568/getInfo.php?workbook=16_15.xlsx&amp;sheet=A0&amp;row=1378&amp;col=9&amp;number=13364&amp;sourceID=54","13364")</f>
        <v>13364</v>
      </c>
      <c r="J1378" s="4" t="str">
        <f>HYPERLINK("http://141.218.60.56/~jnz1568/getInfo.php?workbook=16_15.xlsx&amp;sheet=A0&amp;row=1378&amp;col=10&amp;number=&amp;sourceID=54","")</f>
        <v/>
      </c>
      <c r="K1378" s="4" t="str">
        <f>HYPERLINK("http://141.218.60.56/~jnz1568/getInfo.php?workbook=16_15.xlsx&amp;sheet=A0&amp;row=1378&amp;col=11&amp;number=&amp;sourceID=54","")</f>
        <v/>
      </c>
      <c r="L1378" s="4" t="str">
        <f>HYPERLINK("http://141.218.60.56/~jnz1568/getInfo.php?workbook=16_15.xlsx&amp;sheet=A0&amp;row=1378&amp;col=12&amp;number=13181.9207408&amp;sourceID=53","13181.9207408")</f>
        <v>13181.9207408</v>
      </c>
      <c r="M1378" s="4" t="str">
        <f>HYPERLINK("http://141.218.60.56/~jnz1568/getInfo.php?workbook=16_15.xlsx&amp;sheet=A0&amp;row=1378&amp;col=13&amp;number=&amp;sourceID=53","")</f>
        <v/>
      </c>
      <c r="N1378" s="4" t="str">
        <f>HYPERLINK("http://141.218.60.56/~jnz1568/getInfo.php?workbook=16_15.xlsx&amp;sheet=A0&amp;row=1378&amp;col=14&amp;number=&amp;sourceID=53","")</f>
        <v/>
      </c>
      <c r="O1378" s="4" t="str">
        <f>HYPERLINK("http://141.218.60.56/~jnz1568/getInfo.php?workbook=16_15.xlsx&amp;sheet=A0&amp;row=1378&amp;col=15&amp;number=&amp;sourceID=55","")</f>
        <v/>
      </c>
      <c r="P1378" s="4" t="str">
        <f>HYPERLINK("http://141.218.60.56/~jnz1568/getInfo.php?workbook=16_15.xlsx&amp;sheet=A0&amp;row=1378&amp;col=16&amp;number=&amp;sourceID=55","")</f>
        <v/>
      </c>
      <c r="Q1378" s="4" t="str">
        <f>HYPERLINK("http://141.218.60.56/~jnz1568/getInfo.php?workbook=16_15.xlsx&amp;sheet=A0&amp;row=1378&amp;col=17&amp;number=&amp;sourceID=56","")</f>
        <v/>
      </c>
      <c r="R1378" s="4" t="str">
        <f>HYPERLINK("http://141.218.60.56/~jnz1568/getInfo.php?workbook=16_15.xlsx&amp;sheet=A0&amp;row=1378&amp;col=18&amp;number=&amp;sourceID=56","")</f>
        <v/>
      </c>
      <c r="S1378" s="4" t="str">
        <f>HYPERLINK("http://141.218.60.56/~jnz1568/getInfo.php?workbook=16_15.xlsx&amp;sheet=A0&amp;row=1378&amp;col=19&amp;number=&amp;sourceID=57","")</f>
        <v/>
      </c>
      <c r="T1378" s="4" t="str">
        <f>HYPERLINK("http://141.218.60.56/~jnz1568/getInfo.php?workbook=16_15.xlsx&amp;sheet=A0&amp;row=1378&amp;col=20&amp;number=&amp;sourceID=57","")</f>
        <v/>
      </c>
      <c r="U1378" s="4" t="str">
        <f>HYPERLINK("http://141.218.60.56/~jnz1568/getInfo.php?workbook=16_15.xlsx&amp;sheet=A0&amp;row=1378&amp;col=21&amp;number=&amp;sourceID=47","")</f>
        <v/>
      </c>
      <c r="V1378" s="4" t="str">
        <f>HYPERLINK("http://141.218.60.56/~jnz1568/getInfo.php?workbook=16_15.xlsx&amp;sheet=A0&amp;row=1378&amp;col=22&amp;number=&amp;sourceID=47","")</f>
        <v/>
      </c>
    </row>
    <row r="1379" spans="1:22">
      <c r="A1379" s="3">
        <v>16</v>
      </c>
      <c r="B1379" s="3">
        <v>15</v>
      </c>
      <c r="C1379" s="3">
        <v>60</v>
      </c>
      <c r="D1379" s="3">
        <v>20</v>
      </c>
      <c r="E1379" s="3">
        <f>((1/(INDEX(E0!J$4:J$73,C1379,1)-INDEX(E0!J$4:J$73,D1379,1))))*100000000</f>
        <v>0</v>
      </c>
      <c r="F1379" s="4" t="str">
        <f>HYPERLINK("http://141.218.60.56/~jnz1568/getInfo.php?workbook=16_15.xlsx&amp;sheet=A0&amp;row=1379&amp;col=6&amp;number=14633000&amp;sourceID=54","14633000")</f>
        <v>14633000</v>
      </c>
      <c r="G1379" s="4" t="str">
        <f>HYPERLINK("http://141.218.60.56/~jnz1568/getInfo.php?workbook=16_15.xlsx&amp;sheet=A0&amp;row=1379&amp;col=7&amp;number=&amp;sourceID=54","")</f>
        <v/>
      </c>
      <c r="H1379" s="4" t="str">
        <f>HYPERLINK("http://141.218.60.56/~jnz1568/getInfo.php?workbook=16_15.xlsx&amp;sheet=A0&amp;row=1379&amp;col=8&amp;number=&amp;sourceID=54","")</f>
        <v/>
      </c>
      <c r="I1379" s="4" t="str">
        <f>HYPERLINK("http://141.218.60.56/~jnz1568/getInfo.php?workbook=16_15.xlsx&amp;sheet=A0&amp;row=1379&amp;col=9&amp;number=13736000&amp;sourceID=54","13736000")</f>
        <v>13736000</v>
      </c>
      <c r="J1379" s="4" t="str">
        <f>HYPERLINK("http://141.218.60.56/~jnz1568/getInfo.php?workbook=16_15.xlsx&amp;sheet=A0&amp;row=1379&amp;col=10&amp;number=&amp;sourceID=54","")</f>
        <v/>
      </c>
      <c r="K1379" s="4" t="str">
        <f>HYPERLINK("http://141.218.60.56/~jnz1568/getInfo.php?workbook=16_15.xlsx&amp;sheet=A0&amp;row=1379&amp;col=11&amp;number=&amp;sourceID=54","")</f>
        <v/>
      </c>
      <c r="L1379" s="4" t="str">
        <f>HYPERLINK("http://141.218.60.56/~jnz1568/getInfo.php?workbook=16_15.xlsx&amp;sheet=A0&amp;row=1379&amp;col=12&amp;number=15802160.526&amp;sourceID=53","15802160.526")</f>
        <v>15802160.526</v>
      </c>
      <c r="M1379" s="4" t="str">
        <f>HYPERLINK("http://141.218.60.56/~jnz1568/getInfo.php?workbook=16_15.xlsx&amp;sheet=A0&amp;row=1379&amp;col=13&amp;number=&amp;sourceID=53","")</f>
        <v/>
      </c>
      <c r="N1379" s="4" t="str">
        <f>HYPERLINK("http://141.218.60.56/~jnz1568/getInfo.php?workbook=16_15.xlsx&amp;sheet=A0&amp;row=1379&amp;col=14&amp;number=&amp;sourceID=53","")</f>
        <v/>
      </c>
      <c r="O1379" s="4" t="str">
        <f>HYPERLINK("http://141.218.60.56/~jnz1568/getInfo.php?workbook=16_15.xlsx&amp;sheet=A0&amp;row=1379&amp;col=15&amp;number=&amp;sourceID=55","")</f>
        <v/>
      </c>
      <c r="P1379" s="4" t="str">
        <f>HYPERLINK("http://141.218.60.56/~jnz1568/getInfo.php?workbook=16_15.xlsx&amp;sheet=A0&amp;row=1379&amp;col=16&amp;number=&amp;sourceID=55","")</f>
        <v/>
      </c>
      <c r="Q1379" s="4" t="str">
        <f>HYPERLINK("http://141.218.60.56/~jnz1568/getInfo.php?workbook=16_15.xlsx&amp;sheet=A0&amp;row=1379&amp;col=17&amp;number=&amp;sourceID=56","")</f>
        <v/>
      </c>
      <c r="R1379" s="4" t="str">
        <f>HYPERLINK("http://141.218.60.56/~jnz1568/getInfo.php?workbook=16_15.xlsx&amp;sheet=A0&amp;row=1379&amp;col=18&amp;number=&amp;sourceID=56","")</f>
        <v/>
      </c>
      <c r="S1379" s="4" t="str">
        <f>HYPERLINK("http://141.218.60.56/~jnz1568/getInfo.php?workbook=16_15.xlsx&amp;sheet=A0&amp;row=1379&amp;col=19&amp;number=&amp;sourceID=57","")</f>
        <v/>
      </c>
      <c r="T1379" s="4" t="str">
        <f>HYPERLINK("http://141.218.60.56/~jnz1568/getInfo.php?workbook=16_15.xlsx&amp;sheet=A0&amp;row=1379&amp;col=20&amp;number=&amp;sourceID=57","")</f>
        <v/>
      </c>
      <c r="U1379" s="4" t="str">
        <f>HYPERLINK("http://141.218.60.56/~jnz1568/getInfo.php?workbook=16_15.xlsx&amp;sheet=A0&amp;row=1379&amp;col=21&amp;number=&amp;sourceID=47","")</f>
        <v/>
      </c>
      <c r="V1379" s="4" t="str">
        <f>HYPERLINK("http://141.218.60.56/~jnz1568/getInfo.php?workbook=16_15.xlsx&amp;sheet=A0&amp;row=1379&amp;col=22&amp;number=&amp;sourceID=47","")</f>
        <v/>
      </c>
    </row>
    <row r="1380" spans="1:22">
      <c r="A1380" s="3">
        <v>16</v>
      </c>
      <c r="B1380" s="3">
        <v>15</v>
      </c>
      <c r="C1380" s="3">
        <v>60</v>
      </c>
      <c r="D1380" s="3">
        <v>21</v>
      </c>
      <c r="E1380" s="3">
        <f>((1/(INDEX(E0!J$4:J$73,C1380,1)-INDEX(E0!J$4:J$73,D1380,1))))*100000000</f>
        <v>0</v>
      </c>
      <c r="F1380" s="4" t="str">
        <f>HYPERLINK("http://141.218.60.56/~jnz1568/getInfo.php?workbook=16_15.xlsx&amp;sheet=A0&amp;row=1380&amp;col=6&amp;number=9167500&amp;sourceID=54","9167500")</f>
        <v>9167500</v>
      </c>
      <c r="G1380" s="4" t="str">
        <f>HYPERLINK("http://141.218.60.56/~jnz1568/getInfo.php?workbook=16_15.xlsx&amp;sheet=A0&amp;row=1380&amp;col=7&amp;number=&amp;sourceID=54","")</f>
        <v/>
      </c>
      <c r="H1380" s="4" t="str">
        <f>HYPERLINK("http://141.218.60.56/~jnz1568/getInfo.php?workbook=16_15.xlsx&amp;sheet=A0&amp;row=1380&amp;col=8&amp;number=&amp;sourceID=54","")</f>
        <v/>
      </c>
      <c r="I1380" s="4" t="str">
        <f>HYPERLINK("http://141.218.60.56/~jnz1568/getInfo.php?workbook=16_15.xlsx&amp;sheet=A0&amp;row=1380&amp;col=9&amp;number=9040900&amp;sourceID=54","9040900")</f>
        <v>9040900</v>
      </c>
      <c r="J1380" s="4" t="str">
        <f>HYPERLINK("http://141.218.60.56/~jnz1568/getInfo.php?workbook=16_15.xlsx&amp;sheet=A0&amp;row=1380&amp;col=10&amp;number=&amp;sourceID=54","")</f>
        <v/>
      </c>
      <c r="K1380" s="4" t="str">
        <f>HYPERLINK("http://141.218.60.56/~jnz1568/getInfo.php?workbook=16_15.xlsx&amp;sheet=A0&amp;row=1380&amp;col=11&amp;number=&amp;sourceID=54","")</f>
        <v/>
      </c>
      <c r="L1380" s="4" t="str">
        <f>HYPERLINK("http://141.218.60.56/~jnz1568/getInfo.php?workbook=16_15.xlsx&amp;sheet=A0&amp;row=1380&amp;col=12&amp;number=9791708.69874&amp;sourceID=53","9791708.69874")</f>
        <v>9791708.69874</v>
      </c>
      <c r="M1380" s="4" t="str">
        <f>HYPERLINK("http://141.218.60.56/~jnz1568/getInfo.php?workbook=16_15.xlsx&amp;sheet=A0&amp;row=1380&amp;col=13&amp;number=&amp;sourceID=53","")</f>
        <v/>
      </c>
      <c r="N1380" s="4" t="str">
        <f>HYPERLINK("http://141.218.60.56/~jnz1568/getInfo.php?workbook=16_15.xlsx&amp;sheet=A0&amp;row=1380&amp;col=14&amp;number=&amp;sourceID=53","")</f>
        <v/>
      </c>
      <c r="O1380" s="4" t="str">
        <f>HYPERLINK("http://141.218.60.56/~jnz1568/getInfo.php?workbook=16_15.xlsx&amp;sheet=A0&amp;row=1380&amp;col=15&amp;number=&amp;sourceID=55","")</f>
        <v/>
      </c>
      <c r="P1380" s="4" t="str">
        <f>HYPERLINK("http://141.218.60.56/~jnz1568/getInfo.php?workbook=16_15.xlsx&amp;sheet=A0&amp;row=1380&amp;col=16&amp;number=&amp;sourceID=55","")</f>
        <v/>
      </c>
      <c r="Q1380" s="4" t="str">
        <f>HYPERLINK("http://141.218.60.56/~jnz1568/getInfo.php?workbook=16_15.xlsx&amp;sheet=A0&amp;row=1380&amp;col=17&amp;number=&amp;sourceID=56","")</f>
        <v/>
      </c>
      <c r="R1380" s="4" t="str">
        <f>HYPERLINK("http://141.218.60.56/~jnz1568/getInfo.php?workbook=16_15.xlsx&amp;sheet=A0&amp;row=1380&amp;col=18&amp;number=&amp;sourceID=56","")</f>
        <v/>
      </c>
      <c r="S1380" s="4" t="str">
        <f>HYPERLINK("http://141.218.60.56/~jnz1568/getInfo.php?workbook=16_15.xlsx&amp;sheet=A0&amp;row=1380&amp;col=19&amp;number=&amp;sourceID=57","")</f>
        <v/>
      </c>
      <c r="T1380" s="4" t="str">
        <f>HYPERLINK("http://141.218.60.56/~jnz1568/getInfo.php?workbook=16_15.xlsx&amp;sheet=A0&amp;row=1380&amp;col=20&amp;number=&amp;sourceID=57","")</f>
        <v/>
      </c>
      <c r="U1380" s="4" t="str">
        <f>HYPERLINK("http://141.218.60.56/~jnz1568/getInfo.php?workbook=16_15.xlsx&amp;sheet=A0&amp;row=1380&amp;col=21&amp;number=&amp;sourceID=47","")</f>
        <v/>
      </c>
      <c r="V1380" s="4" t="str">
        <f>HYPERLINK("http://141.218.60.56/~jnz1568/getInfo.php?workbook=16_15.xlsx&amp;sheet=A0&amp;row=1380&amp;col=22&amp;number=&amp;sourceID=47","")</f>
        <v/>
      </c>
    </row>
    <row r="1381" spans="1:22">
      <c r="A1381" s="3">
        <v>16</v>
      </c>
      <c r="B1381" s="3">
        <v>15</v>
      </c>
      <c r="C1381" s="3">
        <v>60</v>
      </c>
      <c r="D1381" s="3">
        <v>22</v>
      </c>
      <c r="E1381" s="3">
        <f>((1/(INDEX(E0!J$4:J$73,C1381,1)-INDEX(E0!J$4:J$73,D1381,1))))*100000000</f>
        <v>0</v>
      </c>
      <c r="F1381" s="4" t="str">
        <f>HYPERLINK("http://141.218.60.56/~jnz1568/getInfo.php?workbook=16_15.xlsx&amp;sheet=A0&amp;row=1381&amp;col=6&amp;number=1864.4&amp;sourceID=54","1864.4")</f>
        <v>1864.4</v>
      </c>
      <c r="G1381" s="4" t="str">
        <f>HYPERLINK("http://141.218.60.56/~jnz1568/getInfo.php?workbook=16_15.xlsx&amp;sheet=A0&amp;row=1381&amp;col=7&amp;number=&amp;sourceID=54","")</f>
        <v/>
      </c>
      <c r="H1381" s="4" t="str">
        <f>HYPERLINK("http://141.218.60.56/~jnz1568/getInfo.php?workbook=16_15.xlsx&amp;sheet=A0&amp;row=1381&amp;col=8&amp;number=&amp;sourceID=54","")</f>
        <v/>
      </c>
      <c r="I1381" s="4" t="str">
        <f>HYPERLINK("http://141.218.60.56/~jnz1568/getInfo.php?workbook=16_15.xlsx&amp;sheet=A0&amp;row=1381&amp;col=9&amp;number=2092.4&amp;sourceID=54","2092.4")</f>
        <v>2092.4</v>
      </c>
      <c r="J1381" s="4" t="str">
        <f>HYPERLINK("http://141.218.60.56/~jnz1568/getInfo.php?workbook=16_15.xlsx&amp;sheet=A0&amp;row=1381&amp;col=10&amp;number=&amp;sourceID=54","")</f>
        <v/>
      </c>
      <c r="K1381" s="4" t="str">
        <f>HYPERLINK("http://141.218.60.56/~jnz1568/getInfo.php?workbook=16_15.xlsx&amp;sheet=A0&amp;row=1381&amp;col=11&amp;number=&amp;sourceID=54","")</f>
        <v/>
      </c>
      <c r="L1381" s="4" t="str">
        <f>HYPERLINK("http://141.218.60.56/~jnz1568/getInfo.php?workbook=16_15.xlsx&amp;sheet=A0&amp;row=1381&amp;col=12&amp;number=3475.06492966&amp;sourceID=53","3475.06492966")</f>
        <v>3475.06492966</v>
      </c>
      <c r="M1381" s="4" t="str">
        <f>HYPERLINK("http://141.218.60.56/~jnz1568/getInfo.php?workbook=16_15.xlsx&amp;sheet=A0&amp;row=1381&amp;col=13&amp;number=&amp;sourceID=53","")</f>
        <v/>
      </c>
      <c r="N1381" s="4" t="str">
        <f>HYPERLINK("http://141.218.60.56/~jnz1568/getInfo.php?workbook=16_15.xlsx&amp;sheet=A0&amp;row=1381&amp;col=14&amp;number=&amp;sourceID=53","")</f>
        <v/>
      </c>
      <c r="O1381" s="4" t="str">
        <f>HYPERLINK("http://141.218.60.56/~jnz1568/getInfo.php?workbook=16_15.xlsx&amp;sheet=A0&amp;row=1381&amp;col=15&amp;number=&amp;sourceID=55","")</f>
        <v/>
      </c>
      <c r="P1381" s="4" t="str">
        <f>HYPERLINK("http://141.218.60.56/~jnz1568/getInfo.php?workbook=16_15.xlsx&amp;sheet=A0&amp;row=1381&amp;col=16&amp;number=&amp;sourceID=55","")</f>
        <v/>
      </c>
      <c r="Q1381" s="4" t="str">
        <f>HYPERLINK("http://141.218.60.56/~jnz1568/getInfo.php?workbook=16_15.xlsx&amp;sheet=A0&amp;row=1381&amp;col=17&amp;number=&amp;sourceID=56","")</f>
        <v/>
      </c>
      <c r="R1381" s="4" t="str">
        <f>HYPERLINK("http://141.218.60.56/~jnz1568/getInfo.php?workbook=16_15.xlsx&amp;sheet=A0&amp;row=1381&amp;col=18&amp;number=&amp;sourceID=56","")</f>
        <v/>
      </c>
      <c r="S1381" s="4" t="str">
        <f>HYPERLINK("http://141.218.60.56/~jnz1568/getInfo.php?workbook=16_15.xlsx&amp;sheet=A0&amp;row=1381&amp;col=19&amp;number=&amp;sourceID=57","")</f>
        <v/>
      </c>
      <c r="T1381" s="4" t="str">
        <f>HYPERLINK("http://141.218.60.56/~jnz1568/getInfo.php?workbook=16_15.xlsx&amp;sheet=A0&amp;row=1381&amp;col=20&amp;number=&amp;sourceID=57","")</f>
        <v/>
      </c>
      <c r="U1381" s="4" t="str">
        <f>HYPERLINK("http://141.218.60.56/~jnz1568/getInfo.php?workbook=16_15.xlsx&amp;sheet=A0&amp;row=1381&amp;col=21&amp;number=&amp;sourceID=47","")</f>
        <v/>
      </c>
      <c r="V1381" s="4" t="str">
        <f>HYPERLINK("http://141.218.60.56/~jnz1568/getInfo.php?workbook=16_15.xlsx&amp;sheet=A0&amp;row=1381&amp;col=22&amp;number=&amp;sourceID=47","")</f>
        <v/>
      </c>
    </row>
    <row r="1382" spans="1:22">
      <c r="A1382" s="3">
        <v>16</v>
      </c>
      <c r="B1382" s="3">
        <v>15</v>
      </c>
      <c r="C1382" s="3">
        <v>60</v>
      </c>
      <c r="D1382" s="3">
        <v>23</v>
      </c>
      <c r="E1382" s="3">
        <f>((1/(INDEX(E0!J$4:J$73,C1382,1)-INDEX(E0!J$4:J$73,D1382,1))))*100000000</f>
        <v>0</v>
      </c>
      <c r="F1382" s="4" t="str">
        <f>HYPERLINK("http://141.218.60.56/~jnz1568/getInfo.php?workbook=16_15.xlsx&amp;sheet=A0&amp;row=1382&amp;col=6&amp;number=3215.3&amp;sourceID=54","3215.3")</f>
        <v>3215.3</v>
      </c>
      <c r="G1382" s="4" t="str">
        <f>HYPERLINK("http://141.218.60.56/~jnz1568/getInfo.php?workbook=16_15.xlsx&amp;sheet=A0&amp;row=1382&amp;col=7&amp;number=&amp;sourceID=54","")</f>
        <v/>
      </c>
      <c r="H1382" s="4" t="str">
        <f>HYPERLINK("http://141.218.60.56/~jnz1568/getInfo.php?workbook=16_15.xlsx&amp;sheet=A0&amp;row=1382&amp;col=8&amp;number=&amp;sourceID=54","")</f>
        <v/>
      </c>
      <c r="I1382" s="4" t="str">
        <f>HYPERLINK("http://141.218.60.56/~jnz1568/getInfo.php?workbook=16_15.xlsx&amp;sheet=A0&amp;row=1382&amp;col=9&amp;number=3321.3&amp;sourceID=54","3321.3")</f>
        <v>3321.3</v>
      </c>
      <c r="J1382" s="4" t="str">
        <f>HYPERLINK("http://141.218.60.56/~jnz1568/getInfo.php?workbook=16_15.xlsx&amp;sheet=A0&amp;row=1382&amp;col=10&amp;number=&amp;sourceID=54","")</f>
        <v/>
      </c>
      <c r="K1382" s="4" t="str">
        <f>HYPERLINK("http://141.218.60.56/~jnz1568/getInfo.php?workbook=16_15.xlsx&amp;sheet=A0&amp;row=1382&amp;col=11&amp;number=&amp;sourceID=54","")</f>
        <v/>
      </c>
      <c r="L1382" s="4" t="str">
        <f>HYPERLINK("http://141.218.60.56/~jnz1568/getInfo.php?workbook=16_15.xlsx&amp;sheet=A0&amp;row=1382&amp;col=12&amp;number=1743.47050562&amp;sourceID=53","1743.47050562")</f>
        <v>1743.47050562</v>
      </c>
      <c r="M1382" s="4" t="str">
        <f>HYPERLINK("http://141.218.60.56/~jnz1568/getInfo.php?workbook=16_15.xlsx&amp;sheet=A0&amp;row=1382&amp;col=13&amp;number=&amp;sourceID=53","")</f>
        <v/>
      </c>
      <c r="N1382" s="4" t="str">
        <f>HYPERLINK("http://141.218.60.56/~jnz1568/getInfo.php?workbook=16_15.xlsx&amp;sheet=A0&amp;row=1382&amp;col=14&amp;number=&amp;sourceID=53","")</f>
        <v/>
      </c>
      <c r="O1382" s="4" t="str">
        <f>HYPERLINK("http://141.218.60.56/~jnz1568/getInfo.php?workbook=16_15.xlsx&amp;sheet=A0&amp;row=1382&amp;col=15&amp;number=&amp;sourceID=55","")</f>
        <v/>
      </c>
      <c r="P1382" s="4" t="str">
        <f>HYPERLINK("http://141.218.60.56/~jnz1568/getInfo.php?workbook=16_15.xlsx&amp;sheet=A0&amp;row=1382&amp;col=16&amp;number=&amp;sourceID=55","")</f>
        <v/>
      </c>
      <c r="Q1382" s="4" t="str">
        <f>HYPERLINK("http://141.218.60.56/~jnz1568/getInfo.php?workbook=16_15.xlsx&amp;sheet=A0&amp;row=1382&amp;col=17&amp;number=&amp;sourceID=56","")</f>
        <v/>
      </c>
      <c r="R1382" s="4" t="str">
        <f>HYPERLINK("http://141.218.60.56/~jnz1568/getInfo.php?workbook=16_15.xlsx&amp;sheet=A0&amp;row=1382&amp;col=18&amp;number=&amp;sourceID=56","")</f>
        <v/>
      </c>
      <c r="S1382" s="4" t="str">
        <f>HYPERLINK("http://141.218.60.56/~jnz1568/getInfo.php?workbook=16_15.xlsx&amp;sheet=A0&amp;row=1382&amp;col=19&amp;number=&amp;sourceID=57","")</f>
        <v/>
      </c>
      <c r="T1382" s="4" t="str">
        <f>HYPERLINK("http://141.218.60.56/~jnz1568/getInfo.php?workbook=16_15.xlsx&amp;sheet=A0&amp;row=1382&amp;col=20&amp;number=&amp;sourceID=57","")</f>
        <v/>
      </c>
      <c r="U1382" s="4" t="str">
        <f>HYPERLINK("http://141.218.60.56/~jnz1568/getInfo.php?workbook=16_15.xlsx&amp;sheet=A0&amp;row=1382&amp;col=21&amp;number=&amp;sourceID=47","")</f>
        <v/>
      </c>
      <c r="V1382" s="4" t="str">
        <f>HYPERLINK("http://141.218.60.56/~jnz1568/getInfo.php?workbook=16_15.xlsx&amp;sheet=A0&amp;row=1382&amp;col=22&amp;number=&amp;sourceID=47","")</f>
        <v/>
      </c>
    </row>
    <row r="1383" spans="1:22">
      <c r="A1383" s="3">
        <v>16</v>
      </c>
      <c r="B1383" s="3">
        <v>15</v>
      </c>
      <c r="C1383" s="3">
        <v>60</v>
      </c>
      <c r="D1383" s="3">
        <v>28</v>
      </c>
      <c r="E1383" s="3">
        <f>((1/(INDEX(E0!J$4:J$73,C1383,1)-INDEX(E0!J$4:J$73,D1383,1))))*100000000</f>
        <v>0</v>
      </c>
      <c r="F1383" s="4" t="str">
        <f>HYPERLINK("http://141.218.60.56/~jnz1568/getInfo.php?workbook=16_15.xlsx&amp;sheet=A0&amp;row=1383&amp;col=6&amp;number=6959600&amp;sourceID=54","6959600")</f>
        <v>6959600</v>
      </c>
      <c r="G1383" s="4" t="str">
        <f>HYPERLINK("http://141.218.60.56/~jnz1568/getInfo.php?workbook=16_15.xlsx&amp;sheet=A0&amp;row=1383&amp;col=7&amp;number=&amp;sourceID=54","")</f>
        <v/>
      </c>
      <c r="H1383" s="4" t="str">
        <f>HYPERLINK("http://141.218.60.56/~jnz1568/getInfo.php?workbook=16_15.xlsx&amp;sheet=A0&amp;row=1383&amp;col=8&amp;number=&amp;sourceID=54","")</f>
        <v/>
      </c>
      <c r="I1383" s="4" t="str">
        <f>HYPERLINK("http://141.218.60.56/~jnz1568/getInfo.php?workbook=16_15.xlsx&amp;sheet=A0&amp;row=1383&amp;col=9&amp;number=6247500&amp;sourceID=54","6247500")</f>
        <v>6247500</v>
      </c>
      <c r="J1383" s="4" t="str">
        <f>HYPERLINK("http://141.218.60.56/~jnz1568/getInfo.php?workbook=16_15.xlsx&amp;sheet=A0&amp;row=1383&amp;col=10&amp;number=&amp;sourceID=54","")</f>
        <v/>
      </c>
      <c r="K1383" s="4" t="str">
        <f>HYPERLINK("http://141.218.60.56/~jnz1568/getInfo.php?workbook=16_15.xlsx&amp;sheet=A0&amp;row=1383&amp;col=11&amp;number=&amp;sourceID=54","")</f>
        <v/>
      </c>
      <c r="L1383" s="4" t="str">
        <f>HYPERLINK("http://141.218.60.56/~jnz1568/getInfo.php?workbook=16_15.xlsx&amp;sheet=A0&amp;row=1383&amp;col=12&amp;number=6963316.2637&amp;sourceID=53","6963316.2637")</f>
        <v>6963316.2637</v>
      </c>
      <c r="M1383" s="4" t="str">
        <f>HYPERLINK("http://141.218.60.56/~jnz1568/getInfo.php?workbook=16_15.xlsx&amp;sheet=A0&amp;row=1383&amp;col=13&amp;number=&amp;sourceID=53","")</f>
        <v/>
      </c>
      <c r="N1383" s="4" t="str">
        <f>HYPERLINK("http://141.218.60.56/~jnz1568/getInfo.php?workbook=16_15.xlsx&amp;sheet=A0&amp;row=1383&amp;col=14&amp;number=&amp;sourceID=53","")</f>
        <v/>
      </c>
      <c r="O1383" s="4" t="str">
        <f>HYPERLINK("http://141.218.60.56/~jnz1568/getInfo.php?workbook=16_15.xlsx&amp;sheet=A0&amp;row=1383&amp;col=15&amp;number=&amp;sourceID=55","")</f>
        <v/>
      </c>
      <c r="P1383" s="4" t="str">
        <f>HYPERLINK("http://141.218.60.56/~jnz1568/getInfo.php?workbook=16_15.xlsx&amp;sheet=A0&amp;row=1383&amp;col=16&amp;number=&amp;sourceID=55","")</f>
        <v/>
      </c>
      <c r="Q1383" s="4" t="str">
        <f>HYPERLINK("http://141.218.60.56/~jnz1568/getInfo.php?workbook=16_15.xlsx&amp;sheet=A0&amp;row=1383&amp;col=17&amp;number=&amp;sourceID=56","")</f>
        <v/>
      </c>
      <c r="R1383" s="4" t="str">
        <f>HYPERLINK("http://141.218.60.56/~jnz1568/getInfo.php?workbook=16_15.xlsx&amp;sheet=A0&amp;row=1383&amp;col=18&amp;number=&amp;sourceID=56","")</f>
        <v/>
      </c>
      <c r="S1383" s="4" t="str">
        <f>HYPERLINK("http://141.218.60.56/~jnz1568/getInfo.php?workbook=16_15.xlsx&amp;sheet=A0&amp;row=1383&amp;col=19&amp;number=&amp;sourceID=57","")</f>
        <v/>
      </c>
      <c r="T1383" s="4" t="str">
        <f>HYPERLINK("http://141.218.60.56/~jnz1568/getInfo.php?workbook=16_15.xlsx&amp;sheet=A0&amp;row=1383&amp;col=20&amp;number=&amp;sourceID=57","")</f>
        <v/>
      </c>
      <c r="U1383" s="4" t="str">
        <f>HYPERLINK("http://141.218.60.56/~jnz1568/getInfo.php?workbook=16_15.xlsx&amp;sheet=A0&amp;row=1383&amp;col=21&amp;number=&amp;sourceID=47","")</f>
        <v/>
      </c>
      <c r="V1383" s="4" t="str">
        <f>HYPERLINK("http://141.218.60.56/~jnz1568/getInfo.php?workbook=16_15.xlsx&amp;sheet=A0&amp;row=1383&amp;col=22&amp;number=&amp;sourceID=47","")</f>
        <v/>
      </c>
    </row>
    <row r="1384" spans="1:22">
      <c r="A1384" s="3">
        <v>16</v>
      </c>
      <c r="B1384" s="3">
        <v>15</v>
      </c>
      <c r="C1384" s="3">
        <v>60</v>
      </c>
      <c r="D1384" s="3">
        <v>29</v>
      </c>
      <c r="E1384" s="3">
        <f>((1/(INDEX(E0!J$4:J$73,C1384,1)-INDEX(E0!J$4:J$73,D1384,1))))*100000000</f>
        <v>0</v>
      </c>
      <c r="F1384" s="4" t="str">
        <f>HYPERLINK("http://141.218.60.56/~jnz1568/getInfo.php?workbook=16_15.xlsx&amp;sheet=A0&amp;row=1384&amp;col=6&amp;number=105650000&amp;sourceID=54","105650000")</f>
        <v>105650000</v>
      </c>
      <c r="G1384" s="4" t="str">
        <f>HYPERLINK("http://141.218.60.56/~jnz1568/getInfo.php?workbook=16_15.xlsx&amp;sheet=A0&amp;row=1384&amp;col=7&amp;number=&amp;sourceID=54","")</f>
        <v/>
      </c>
      <c r="H1384" s="4" t="str">
        <f>HYPERLINK("http://141.218.60.56/~jnz1568/getInfo.php?workbook=16_15.xlsx&amp;sheet=A0&amp;row=1384&amp;col=8&amp;number=&amp;sourceID=54","")</f>
        <v/>
      </c>
      <c r="I1384" s="4" t="str">
        <f>HYPERLINK("http://141.218.60.56/~jnz1568/getInfo.php?workbook=16_15.xlsx&amp;sheet=A0&amp;row=1384&amp;col=9&amp;number=100200000&amp;sourceID=54","100200000")</f>
        <v>100200000</v>
      </c>
      <c r="J1384" s="4" t="str">
        <f>HYPERLINK("http://141.218.60.56/~jnz1568/getInfo.php?workbook=16_15.xlsx&amp;sheet=A0&amp;row=1384&amp;col=10&amp;number=&amp;sourceID=54","")</f>
        <v/>
      </c>
      <c r="K1384" s="4" t="str">
        <f>HYPERLINK("http://141.218.60.56/~jnz1568/getInfo.php?workbook=16_15.xlsx&amp;sheet=A0&amp;row=1384&amp;col=11&amp;number=&amp;sourceID=54","")</f>
        <v/>
      </c>
      <c r="L1384" s="4" t="str">
        <f>HYPERLINK("http://141.218.60.56/~jnz1568/getInfo.php?workbook=16_15.xlsx&amp;sheet=A0&amp;row=1384&amp;col=12&amp;number=101064400.178&amp;sourceID=53","101064400.178")</f>
        <v>101064400.178</v>
      </c>
      <c r="M1384" s="4" t="str">
        <f>HYPERLINK("http://141.218.60.56/~jnz1568/getInfo.php?workbook=16_15.xlsx&amp;sheet=A0&amp;row=1384&amp;col=13&amp;number=&amp;sourceID=53","")</f>
        <v/>
      </c>
      <c r="N1384" s="4" t="str">
        <f>HYPERLINK("http://141.218.60.56/~jnz1568/getInfo.php?workbook=16_15.xlsx&amp;sheet=A0&amp;row=1384&amp;col=14&amp;number=&amp;sourceID=53","")</f>
        <v/>
      </c>
      <c r="O1384" s="4" t="str">
        <f>HYPERLINK("http://141.218.60.56/~jnz1568/getInfo.php?workbook=16_15.xlsx&amp;sheet=A0&amp;row=1384&amp;col=15&amp;number=&amp;sourceID=55","")</f>
        <v/>
      </c>
      <c r="P1384" s="4" t="str">
        <f>HYPERLINK("http://141.218.60.56/~jnz1568/getInfo.php?workbook=16_15.xlsx&amp;sheet=A0&amp;row=1384&amp;col=16&amp;number=&amp;sourceID=55","")</f>
        <v/>
      </c>
      <c r="Q1384" s="4" t="str">
        <f>HYPERLINK("http://141.218.60.56/~jnz1568/getInfo.php?workbook=16_15.xlsx&amp;sheet=A0&amp;row=1384&amp;col=17&amp;number=&amp;sourceID=56","")</f>
        <v/>
      </c>
      <c r="R1384" s="4" t="str">
        <f>HYPERLINK("http://141.218.60.56/~jnz1568/getInfo.php?workbook=16_15.xlsx&amp;sheet=A0&amp;row=1384&amp;col=18&amp;number=&amp;sourceID=56","")</f>
        <v/>
      </c>
      <c r="S1384" s="4" t="str">
        <f>HYPERLINK("http://141.218.60.56/~jnz1568/getInfo.php?workbook=16_15.xlsx&amp;sheet=A0&amp;row=1384&amp;col=19&amp;number=&amp;sourceID=57","")</f>
        <v/>
      </c>
      <c r="T1384" s="4" t="str">
        <f>HYPERLINK("http://141.218.60.56/~jnz1568/getInfo.php?workbook=16_15.xlsx&amp;sheet=A0&amp;row=1384&amp;col=20&amp;number=&amp;sourceID=57","")</f>
        <v/>
      </c>
      <c r="U1384" s="4" t="str">
        <f>HYPERLINK("http://141.218.60.56/~jnz1568/getInfo.php?workbook=16_15.xlsx&amp;sheet=A0&amp;row=1384&amp;col=21&amp;number=&amp;sourceID=47","")</f>
        <v/>
      </c>
      <c r="V1384" s="4" t="str">
        <f>HYPERLINK("http://141.218.60.56/~jnz1568/getInfo.php?workbook=16_15.xlsx&amp;sheet=A0&amp;row=1384&amp;col=22&amp;number=&amp;sourceID=47","")</f>
        <v/>
      </c>
    </row>
    <row r="1385" spans="1:22">
      <c r="A1385" s="3">
        <v>16</v>
      </c>
      <c r="B1385" s="3">
        <v>15</v>
      </c>
      <c r="C1385" s="3">
        <v>60</v>
      </c>
      <c r="D1385" s="3">
        <v>31</v>
      </c>
      <c r="E1385" s="3">
        <f>((1/(INDEX(E0!J$4:J$73,C1385,1)-INDEX(E0!J$4:J$73,D1385,1))))*100000000</f>
        <v>0</v>
      </c>
      <c r="F1385" s="4" t="str">
        <f>HYPERLINK("http://141.218.60.56/~jnz1568/getInfo.php?workbook=16_15.xlsx&amp;sheet=A0&amp;row=1385&amp;col=6&amp;number=&amp;sourceID=54","")</f>
        <v/>
      </c>
      <c r="G1385" s="4" t="str">
        <f>HYPERLINK("http://141.218.60.56/~jnz1568/getInfo.php?workbook=16_15.xlsx&amp;sheet=A0&amp;row=1385&amp;col=7&amp;number=&amp;sourceID=54","")</f>
        <v/>
      </c>
      <c r="H1385" s="4" t="str">
        <f>HYPERLINK("http://141.218.60.56/~jnz1568/getInfo.php?workbook=16_15.xlsx&amp;sheet=A0&amp;row=1385&amp;col=8&amp;number=0.024506&amp;sourceID=54","0.024506")</f>
        <v>0.024506</v>
      </c>
      <c r="I1385" s="4" t="str">
        <f>HYPERLINK("http://141.218.60.56/~jnz1568/getInfo.php?workbook=16_15.xlsx&amp;sheet=A0&amp;row=1385&amp;col=9&amp;number=&amp;sourceID=54","")</f>
        <v/>
      </c>
      <c r="J1385" s="4" t="str">
        <f>HYPERLINK("http://141.218.60.56/~jnz1568/getInfo.php?workbook=16_15.xlsx&amp;sheet=A0&amp;row=1385&amp;col=10&amp;number=&amp;sourceID=54","")</f>
        <v/>
      </c>
      <c r="K1385" s="4" t="str">
        <f>HYPERLINK("http://141.218.60.56/~jnz1568/getInfo.php?workbook=16_15.xlsx&amp;sheet=A0&amp;row=1385&amp;col=11&amp;number=0.024322&amp;sourceID=54","0.024322")</f>
        <v>0.024322</v>
      </c>
      <c r="L1385" s="4" t="str">
        <f>HYPERLINK("http://141.218.60.56/~jnz1568/getInfo.php?workbook=16_15.xlsx&amp;sheet=A0&amp;row=1385&amp;col=12&amp;number=&amp;sourceID=53","")</f>
        <v/>
      </c>
      <c r="M1385" s="4" t="str">
        <f>HYPERLINK("http://141.218.60.56/~jnz1568/getInfo.php?workbook=16_15.xlsx&amp;sheet=A0&amp;row=1385&amp;col=13&amp;number=&amp;sourceID=53","")</f>
        <v/>
      </c>
      <c r="N1385" s="4" t="str">
        <f>HYPERLINK("http://141.218.60.56/~jnz1568/getInfo.php?workbook=16_15.xlsx&amp;sheet=A0&amp;row=1385&amp;col=14&amp;number=&amp;sourceID=53","")</f>
        <v/>
      </c>
      <c r="O1385" s="4" t="str">
        <f>HYPERLINK("http://141.218.60.56/~jnz1568/getInfo.php?workbook=16_15.xlsx&amp;sheet=A0&amp;row=1385&amp;col=15&amp;number=&amp;sourceID=55","")</f>
        <v/>
      </c>
      <c r="P1385" s="4" t="str">
        <f>HYPERLINK("http://141.218.60.56/~jnz1568/getInfo.php?workbook=16_15.xlsx&amp;sheet=A0&amp;row=1385&amp;col=16&amp;number=&amp;sourceID=55","")</f>
        <v/>
      </c>
      <c r="Q1385" s="4" t="str">
        <f>HYPERLINK("http://141.218.60.56/~jnz1568/getInfo.php?workbook=16_15.xlsx&amp;sheet=A0&amp;row=1385&amp;col=17&amp;number=&amp;sourceID=56","")</f>
        <v/>
      </c>
      <c r="R1385" s="4" t="str">
        <f>HYPERLINK("http://141.218.60.56/~jnz1568/getInfo.php?workbook=16_15.xlsx&amp;sheet=A0&amp;row=1385&amp;col=18&amp;number=&amp;sourceID=56","")</f>
        <v/>
      </c>
      <c r="S1385" s="4" t="str">
        <f>HYPERLINK("http://141.218.60.56/~jnz1568/getInfo.php?workbook=16_15.xlsx&amp;sheet=A0&amp;row=1385&amp;col=19&amp;number=&amp;sourceID=57","")</f>
        <v/>
      </c>
      <c r="T1385" s="4" t="str">
        <f>HYPERLINK("http://141.218.60.56/~jnz1568/getInfo.php?workbook=16_15.xlsx&amp;sheet=A0&amp;row=1385&amp;col=20&amp;number=&amp;sourceID=57","")</f>
        <v/>
      </c>
      <c r="U1385" s="4" t="str">
        <f>HYPERLINK("http://141.218.60.56/~jnz1568/getInfo.php?workbook=16_15.xlsx&amp;sheet=A0&amp;row=1385&amp;col=21&amp;number=&amp;sourceID=47","")</f>
        <v/>
      </c>
      <c r="V1385" s="4" t="str">
        <f>HYPERLINK("http://141.218.60.56/~jnz1568/getInfo.php?workbook=16_15.xlsx&amp;sheet=A0&amp;row=1385&amp;col=22&amp;number=&amp;sourceID=47","")</f>
        <v/>
      </c>
    </row>
    <row r="1386" spans="1:22">
      <c r="A1386" s="3">
        <v>16</v>
      </c>
      <c r="B1386" s="3">
        <v>15</v>
      </c>
      <c r="C1386" s="3">
        <v>60</v>
      </c>
      <c r="D1386" s="3">
        <v>34</v>
      </c>
      <c r="E1386" s="3">
        <f>((1/(INDEX(E0!J$4:J$73,C1386,1)-INDEX(E0!J$4:J$73,D1386,1))))*100000000</f>
        <v>0</v>
      </c>
      <c r="F1386" s="4" t="str">
        <f>HYPERLINK("http://141.218.60.56/~jnz1568/getInfo.php?workbook=16_15.xlsx&amp;sheet=A0&amp;row=1386&amp;col=6&amp;number=&amp;sourceID=54","")</f>
        <v/>
      </c>
      <c r="G1386" s="4" t="str">
        <f>HYPERLINK("http://141.218.60.56/~jnz1568/getInfo.php?workbook=16_15.xlsx&amp;sheet=A0&amp;row=1386&amp;col=7&amp;number=&amp;sourceID=54","")</f>
        <v/>
      </c>
      <c r="H1386" s="4" t="str">
        <f>HYPERLINK("http://141.218.60.56/~jnz1568/getInfo.php?workbook=16_15.xlsx&amp;sheet=A0&amp;row=1386&amp;col=8&amp;number=0.00075657&amp;sourceID=54","0.00075657")</f>
        <v>0.00075657</v>
      </c>
      <c r="I1386" s="4" t="str">
        <f>HYPERLINK("http://141.218.60.56/~jnz1568/getInfo.php?workbook=16_15.xlsx&amp;sheet=A0&amp;row=1386&amp;col=9&amp;number=&amp;sourceID=54","")</f>
        <v/>
      </c>
      <c r="J1386" s="4" t="str">
        <f>HYPERLINK("http://141.218.60.56/~jnz1568/getInfo.php?workbook=16_15.xlsx&amp;sheet=A0&amp;row=1386&amp;col=10&amp;number=&amp;sourceID=54","")</f>
        <v/>
      </c>
      <c r="K1386" s="4" t="str">
        <f>HYPERLINK("http://141.218.60.56/~jnz1568/getInfo.php?workbook=16_15.xlsx&amp;sheet=A0&amp;row=1386&amp;col=11&amp;number=0.00070023&amp;sourceID=54","0.00070023")</f>
        <v>0.00070023</v>
      </c>
      <c r="L1386" s="4" t="str">
        <f>HYPERLINK("http://141.218.60.56/~jnz1568/getInfo.php?workbook=16_15.xlsx&amp;sheet=A0&amp;row=1386&amp;col=12&amp;number=&amp;sourceID=53","")</f>
        <v/>
      </c>
      <c r="M1386" s="4" t="str">
        <f>HYPERLINK("http://141.218.60.56/~jnz1568/getInfo.php?workbook=16_15.xlsx&amp;sheet=A0&amp;row=1386&amp;col=13&amp;number=&amp;sourceID=53","")</f>
        <v/>
      </c>
      <c r="N1386" s="4" t="str">
        <f>HYPERLINK("http://141.218.60.56/~jnz1568/getInfo.php?workbook=16_15.xlsx&amp;sheet=A0&amp;row=1386&amp;col=14&amp;number=&amp;sourceID=53","")</f>
        <v/>
      </c>
      <c r="O1386" s="4" t="str">
        <f>HYPERLINK("http://141.218.60.56/~jnz1568/getInfo.php?workbook=16_15.xlsx&amp;sheet=A0&amp;row=1386&amp;col=15&amp;number=&amp;sourceID=55","")</f>
        <v/>
      </c>
      <c r="P1386" s="4" t="str">
        <f>HYPERLINK("http://141.218.60.56/~jnz1568/getInfo.php?workbook=16_15.xlsx&amp;sheet=A0&amp;row=1386&amp;col=16&amp;number=&amp;sourceID=55","")</f>
        <v/>
      </c>
      <c r="Q1386" s="4" t="str">
        <f>HYPERLINK("http://141.218.60.56/~jnz1568/getInfo.php?workbook=16_15.xlsx&amp;sheet=A0&amp;row=1386&amp;col=17&amp;number=&amp;sourceID=56","")</f>
        <v/>
      </c>
      <c r="R1386" s="4" t="str">
        <f>HYPERLINK("http://141.218.60.56/~jnz1568/getInfo.php?workbook=16_15.xlsx&amp;sheet=A0&amp;row=1386&amp;col=18&amp;number=&amp;sourceID=56","")</f>
        <v/>
      </c>
      <c r="S1386" s="4" t="str">
        <f>HYPERLINK("http://141.218.60.56/~jnz1568/getInfo.php?workbook=16_15.xlsx&amp;sheet=A0&amp;row=1386&amp;col=19&amp;number=&amp;sourceID=57","")</f>
        <v/>
      </c>
      <c r="T1386" s="4" t="str">
        <f>HYPERLINK("http://141.218.60.56/~jnz1568/getInfo.php?workbook=16_15.xlsx&amp;sheet=A0&amp;row=1386&amp;col=20&amp;number=&amp;sourceID=57","")</f>
        <v/>
      </c>
      <c r="U1386" s="4" t="str">
        <f>HYPERLINK("http://141.218.60.56/~jnz1568/getInfo.php?workbook=16_15.xlsx&amp;sheet=A0&amp;row=1386&amp;col=21&amp;number=&amp;sourceID=47","")</f>
        <v/>
      </c>
      <c r="V1386" s="4" t="str">
        <f>HYPERLINK("http://141.218.60.56/~jnz1568/getInfo.php?workbook=16_15.xlsx&amp;sheet=A0&amp;row=1386&amp;col=22&amp;number=&amp;sourceID=47","")</f>
        <v/>
      </c>
    </row>
    <row r="1387" spans="1:22">
      <c r="A1387" s="3">
        <v>16</v>
      </c>
      <c r="B1387" s="3">
        <v>15</v>
      </c>
      <c r="C1387" s="3">
        <v>60</v>
      </c>
      <c r="D1387" s="3">
        <v>35</v>
      </c>
      <c r="E1387" s="3">
        <f>((1/(INDEX(E0!J$4:J$73,C1387,1)-INDEX(E0!J$4:J$73,D1387,1))))*100000000</f>
        <v>0</v>
      </c>
      <c r="F1387" s="4" t="str">
        <f>HYPERLINK("http://141.218.60.56/~jnz1568/getInfo.php?workbook=16_15.xlsx&amp;sheet=A0&amp;row=1387&amp;col=6&amp;number=&amp;sourceID=54","")</f>
        <v/>
      </c>
      <c r="G1387" s="4" t="str">
        <f>HYPERLINK("http://141.218.60.56/~jnz1568/getInfo.php?workbook=16_15.xlsx&amp;sheet=A0&amp;row=1387&amp;col=7&amp;number=3.1557e-05&amp;sourceID=54","3.1557e-05")</f>
        <v>3.1557e-05</v>
      </c>
      <c r="H1387" s="4" t="str">
        <f>HYPERLINK("http://141.218.60.56/~jnz1568/getInfo.php?workbook=16_15.xlsx&amp;sheet=A0&amp;row=1387&amp;col=8&amp;number=0.0011339&amp;sourceID=54","0.0011339")</f>
        <v>0.0011339</v>
      </c>
      <c r="I1387" s="4" t="str">
        <f>HYPERLINK("http://141.218.60.56/~jnz1568/getInfo.php?workbook=16_15.xlsx&amp;sheet=A0&amp;row=1387&amp;col=9&amp;number=&amp;sourceID=54","")</f>
        <v/>
      </c>
      <c r="J1387" s="4" t="str">
        <f>HYPERLINK("http://141.218.60.56/~jnz1568/getInfo.php?workbook=16_15.xlsx&amp;sheet=A0&amp;row=1387&amp;col=10&amp;number=1.9243e-05&amp;sourceID=54","1.9243e-05")</f>
        <v>1.9243e-05</v>
      </c>
      <c r="K1387" s="4" t="str">
        <f>HYPERLINK("http://141.218.60.56/~jnz1568/getInfo.php?workbook=16_15.xlsx&amp;sheet=A0&amp;row=1387&amp;col=11&amp;number=0.0011323&amp;sourceID=54","0.0011323")</f>
        <v>0.0011323</v>
      </c>
      <c r="L1387" s="4" t="str">
        <f>HYPERLINK("http://141.218.60.56/~jnz1568/getInfo.php?workbook=16_15.xlsx&amp;sheet=A0&amp;row=1387&amp;col=12&amp;number=&amp;sourceID=53","")</f>
        <v/>
      </c>
      <c r="M1387" s="4" t="str">
        <f>HYPERLINK("http://141.218.60.56/~jnz1568/getInfo.php?workbook=16_15.xlsx&amp;sheet=A0&amp;row=1387&amp;col=13&amp;number=&amp;sourceID=53","")</f>
        <v/>
      </c>
      <c r="N1387" s="4" t="str">
        <f>HYPERLINK("http://141.218.60.56/~jnz1568/getInfo.php?workbook=16_15.xlsx&amp;sheet=A0&amp;row=1387&amp;col=14&amp;number=&amp;sourceID=53","")</f>
        <v/>
      </c>
      <c r="O1387" s="4" t="str">
        <f>HYPERLINK("http://141.218.60.56/~jnz1568/getInfo.php?workbook=16_15.xlsx&amp;sheet=A0&amp;row=1387&amp;col=15&amp;number=&amp;sourceID=55","")</f>
        <v/>
      </c>
      <c r="P1387" s="4" t="str">
        <f>HYPERLINK("http://141.218.60.56/~jnz1568/getInfo.php?workbook=16_15.xlsx&amp;sheet=A0&amp;row=1387&amp;col=16&amp;number=&amp;sourceID=55","")</f>
        <v/>
      </c>
      <c r="Q1387" s="4" t="str">
        <f>HYPERLINK("http://141.218.60.56/~jnz1568/getInfo.php?workbook=16_15.xlsx&amp;sheet=A0&amp;row=1387&amp;col=17&amp;number=&amp;sourceID=56","")</f>
        <v/>
      </c>
      <c r="R1387" s="4" t="str">
        <f>HYPERLINK("http://141.218.60.56/~jnz1568/getInfo.php?workbook=16_15.xlsx&amp;sheet=A0&amp;row=1387&amp;col=18&amp;number=&amp;sourceID=56","")</f>
        <v/>
      </c>
      <c r="S1387" s="4" t="str">
        <f>HYPERLINK("http://141.218.60.56/~jnz1568/getInfo.php?workbook=16_15.xlsx&amp;sheet=A0&amp;row=1387&amp;col=19&amp;number=&amp;sourceID=57","")</f>
        <v/>
      </c>
      <c r="T1387" s="4" t="str">
        <f>HYPERLINK("http://141.218.60.56/~jnz1568/getInfo.php?workbook=16_15.xlsx&amp;sheet=A0&amp;row=1387&amp;col=20&amp;number=&amp;sourceID=57","")</f>
        <v/>
      </c>
      <c r="U1387" s="4" t="str">
        <f>HYPERLINK("http://141.218.60.56/~jnz1568/getInfo.php?workbook=16_15.xlsx&amp;sheet=A0&amp;row=1387&amp;col=21&amp;number=&amp;sourceID=47","")</f>
        <v/>
      </c>
      <c r="V1387" s="4" t="str">
        <f>HYPERLINK("http://141.218.60.56/~jnz1568/getInfo.php?workbook=16_15.xlsx&amp;sheet=A0&amp;row=1387&amp;col=22&amp;number=&amp;sourceID=47","")</f>
        <v/>
      </c>
    </row>
    <row r="1388" spans="1:22">
      <c r="A1388" s="3">
        <v>16</v>
      </c>
      <c r="B1388" s="3">
        <v>15</v>
      </c>
      <c r="C1388" s="3">
        <v>60</v>
      </c>
      <c r="D1388" s="3">
        <v>36</v>
      </c>
      <c r="E1388" s="3">
        <f>((1/(INDEX(E0!J$4:J$73,C1388,1)-INDEX(E0!J$4:J$73,D1388,1))))*100000000</f>
        <v>0</v>
      </c>
      <c r="F1388" s="4" t="str">
        <f>HYPERLINK("http://141.218.60.56/~jnz1568/getInfo.php?workbook=16_15.xlsx&amp;sheet=A0&amp;row=1388&amp;col=6&amp;number=&amp;sourceID=54","")</f>
        <v/>
      </c>
      <c r="G1388" s="4" t="str">
        <f>HYPERLINK("http://141.218.60.56/~jnz1568/getInfo.php?workbook=16_15.xlsx&amp;sheet=A0&amp;row=1388&amp;col=7&amp;number=0.00014447&amp;sourceID=54","0.00014447")</f>
        <v>0.00014447</v>
      </c>
      <c r="H1388" s="4" t="str">
        <f>HYPERLINK("http://141.218.60.56/~jnz1568/getInfo.php?workbook=16_15.xlsx&amp;sheet=A0&amp;row=1388&amp;col=8&amp;number=&amp;sourceID=54","")</f>
        <v/>
      </c>
      <c r="I1388" s="4" t="str">
        <f>HYPERLINK("http://141.218.60.56/~jnz1568/getInfo.php?workbook=16_15.xlsx&amp;sheet=A0&amp;row=1388&amp;col=9&amp;number=&amp;sourceID=54","")</f>
        <v/>
      </c>
      <c r="J1388" s="4" t="str">
        <f>HYPERLINK("http://141.218.60.56/~jnz1568/getInfo.php?workbook=16_15.xlsx&amp;sheet=A0&amp;row=1388&amp;col=10&amp;number=0.0001013&amp;sourceID=54","0.0001013")</f>
        <v>0.0001013</v>
      </c>
      <c r="K1388" s="4" t="str">
        <f>HYPERLINK("http://141.218.60.56/~jnz1568/getInfo.php?workbook=16_15.xlsx&amp;sheet=A0&amp;row=1388&amp;col=11&amp;number=&amp;sourceID=54","")</f>
        <v/>
      </c>
      <c r="L1388" s="4" t="str">
        <f>HYPERLINK("http://141.218.60.56/~jnz1568/getInfo.php?workbook=16_15.xlsx&amp;sheet=A0&amp;row=1388&amp;col=12&amp;number=&amp;sourceID=53","")</f>
        <v/>
      </c>
      <c r="M1388" s="4" t="str">
        <f>HYPERLINK("http://141.218.60.56/~jnz1568/getInfo.php?workbook=16_15.xlsx&amp;sheet=A0&amp;row=1388&amp;col=13&amp;number=&amp;sourceID=53","")</f>
        <v/>
      </c>
      <c r="N1388" s="4" t="str">
        <f>HYPERLINK("http://141.218.60.56/~jnz1568/getInfo.php?workbook=16_15.xlsx&amp;sheet=A0&amp;row=1388&amp;col=14&amp;number=&amp;sourceID=53","")</f>
        <v/>
      </c>
      <c r="O1388" s="4" t="str">
        <f>HYPERLINK("http://141.218.60.56/~jnz1568/getInfo.php?workbook=16_15.xlsx&amp;sheet=A0&amp;row=1388&amp;col=15&amp;number=&amp;sourceID=55","")</f>
        <v/>
      </c>
      <c r="P1388" s="4" t="str">
        <f>HYPERLINK("http://141.218.60.56/~jnz1568/getInfo.php?workbook=16_15.xlsx&amp;sheet=A0&amp;row=1388&amp;col=16&amp;number=&amp;sourceID=55","")</f>
        <v/>
      </c>
      <c r="Q1388" s="4" t="str">
        <f>HYPERLINK("http://141.218.60.56/~jnz1568/getInfo.php?workbook=16_15.xlsx&amp;sheet=A0&amp;row=1388&amp;col=17&amp;number=&amp;sourceID=56","")</f>
        <v/>
      </c>
      <c r="R1388" s="4" t="str">
        <f>HYPERLINK("http://141.218.60.56/~jnz1568/getInfo.php?workbook=16_15.xlsx&amp;sheet=A0&amp;row=1388&amp;col=18&amp;number=&amp;sourceID=56","")</f>
        <v/>
      </c>
      <c r="S1388" s="4" t="str">
        <f>HYPERLINK("http://141.218.60.56/~jnz1568/getInfo.php?workbook=16_15.xlsx&amp;sheet=A0&amp;row=1388&amp;col=19&amp;number=&amp;sourceID=57","")</f>
        <v/>
      </c>
      <c r="T1388" s="4" t="str">
        <f>HYPERLINK("http://141.218.60.56/~jnz1568/getInfo.php?workbook=16_15.xlsx&amp;sheet=A0&amp;row=1388&amp;col=20&amp;number=&amp;sourceID=57","")</f>
        <v/>
      </c>
      <c r="U1388" s="4" t="str">
        <f>HYPERLINK("http://141.218.60.56/~jnz1568/getInfo.php?workbook=16_15.xlsx&amp;sheet=A0&amp;row=1388&amp;col=21&amp;number=&amp;sourceID=47","")</f>
        <v/>
      </c>
      <c r="V1388" s="4" t="str">
        <f>HYPERLINK("http://141.218.60.56/~jnz1568/getInfo.php?workbook=16_15.xlsx&amp;sheet=A0&amp;row=1388&amp;col=22&amp;number=&amp;sourceID=47","")</f>
        <v/>
      </c>
    </row>
    <row r="1389" spans="1:22">
      <c r="A1389" s="3">
        <v>16</v>
      </c>
      <c r="B1389" s="3">
        <v>15</v>
      </c>
      <c r="C1389" s="3">
        <v>60</v>
      </c>
      <c r="D1389" s="3">
        <v>38</v>
      </c>
      <c r="E1389" s="3">
        <f>((1/(INDEX(E0!J$4:J$73,C1389,1)-INDEX(E0!J$4:J$73,D1389,1))))*100000000</f>
        <v>0</v>
      </c>
      <c r="F1389" s="4" t="str">
        <f>HYPERLINK("http://141.218.60.56/~jnz1568/getInfo.php?workbook=16_15.xlsx&amp;sheet=A0&amp;row=1389&amp;col=6&amp;number=&amp;sourceID=54","")</f>
        <v/>
      </c>
      <c r="G1389" s="4" t="str">
        <f>HYPERLINK("http://141.218.60.56/~jnz1568/getInfo.php?workbook=16_15.xlsx&amp;sheet=A0&amp;row=1389&amp;col=7&amp;number=&amp;sourceID=54","")</f>
        <v/>
      </c>
      <c r="H1389" s="4" t="str">
        <f>HYPERLINK("http://141.218.60.56/~jnz1568/getInfo.php?workbook=16_15.xlsx&amp;sheet=A0&amp;row=1389&amp;col=8&amp;number=0.010809&amp;sourceID=54","0.010809")</f>
        <v>0.010809</v>
      </c>
      <c r="I1389" s="4" t="str">
        <f>HYPERLINK("http://141.218.60.56/~jnz1568/getInfo.php?workbook=16_15.xlsx&amp;sheet=A0&amp;row=1389&amp;col=9&amp;number=&amp;sourceID=54","")</f>
        <v/>
      </c>
      <c r="J1389" s="4" t="str">
        <f>HYPERLINK("http://141.218.60.56/~jnz1568/getInfo.php?workbook=16_15.xlsx&amp;sheet=A0&amp;row=1389&amp;col=10&amp;number=&amp;sourceID=54","")</f>
        <v/>
      </c>
      <c r="K1389" s="4" t="str">
        <f>HYPERLINK("http://141.218.60.56/~jnz1568/getInfo.php?workbook=16_15.xlsx&amp;sheet=A0&amp;row=1389&amp;col=11&amp;number=0.010595&amp;sourceID=54","0.010595")</f>
        <v>0.010595</v>
      </c>
      <c r="L1389" s="4" t="str">
        <f>HYPERLINK("http://141.218.60.56/~jnz1568/getInfo.php?workbook=16_15.xlsx&amp;sheet=A0&amp;row=1389&amp;col=12&amp;number=&amp;sourceID=53","")</f>
        <v/>
      </c>
      <c r="M1389" s="4" t="str">
        <f>HYPERLINK("http://141.218.60.56/~jnz1568/getInfo.php?workbook=16_15.xlsx&amp;sheet=A0&amp;row=1389&amp;col=13&amp;number=&amp;sourceID=53","")</f>
        <v/>
      </c>
      <c r="N1389" s="4" t="str">
        <f>HYPERLINK("http://141.218.60.56/~jnz1568/getInfo.php?workbook=16_15.xlsx&amp;sheet=A0&amp;row=1389&amp;col=14&amp;number=&amp;sourceID=53","")</f>
        <v/>
      </c>
      <c r="O1389" s="4" t="str">
        <f>HYPERLINK("http://141.218.60.56/~jnz1568/getInfo.php?workbook=16_15.xlsx&amp;sheet=A0&amp;row=1389&amp;col=15&amp;number=&amp;sourceID=55","")</f>
        <v/>
      </c>
      <c r="P1389" s="4" t="str">
        <f>HYPERLINK("http://141.218.60.56/~jnz1568/getInfo.php?workbook=16_15.xlsx&amp;sheet=A0&amp;row=1389&amp;col=16&amp;number=&amp;sourceID=55","")</f>
        <v/>
      </c>
      <c r="Q1389" s="4" t="str">
        <f>HYPERLINK("http://141.218.60.56/~jnz1568/getInfo.php?workbook=16_15.xlsx&amp;sheet=A0&amp;row=1389&amp;col=17&amp;number=&amp;sourceID=56","")</f>
        <v/>
      </c>
      <c r="R1389" s="4" t="str">
        <f>HYPERLINK("http://141.218.60.56/~jnz1568/getInfo.php?workbook=16_15.xlsx&amp;sheet=A0&amp;row=1389&amp;col=18&amp;number=&amp;sourceID=56","")</f>
        <v/>
      </c>
      <c r="S1389" s="4" t="str">
        <f>HYPERLINK("http://141.218.60.56/~jnz1568/getInfo.php?workbook=16_15.xlsx&amp;sheet=A0&amp;row=1389&amp;col=19&amp;number=&amp;sourceID=57","")</f>
        <v/>
      </c>
      <c r="T1389" s="4" t="str">
        <f>HYPERLINK("http://141.218.60.56/~jnz1568/getInfo.php?workbook=16_15.xlsx&amp;sheet=A0&amp;row=1389&amp;col=20&amp;number=&amp;sourceID=57","")</f>
        <v/>
      </c>
      <c r="U1389" s="4" t="str">
        <f>HYPERLINK("http://141.218.60.56/~jnz1568/getInfo.php?workbook=16_15.xlsx&amp;sheet=A0&amp;row=1389&amp;col=21&amp;number=&amp;sourceID=47","")</f>
        <v/>
      </c>
      <c r="V1389" s="4" t="str">
        <f>HYPERLINK("http://141.218.60.56/~jnz1568/getInfo.php?workbook=16_15.xlsx&amp;sheet=A0&amp;row=1389&amp;col=22&amp;number=&amp;sourceID=47","")</f>
        <v/>
      </c>
    </row>
    <row r="1390" spans="1:22">
      <c r="A1390" s="3">
        <v>16</v>
      </c>
      <c r="B1390" s="3">
        <v>15</v>
      </c>
      <c r="C1390" s="3">
        <v>60</v>
      </c>
      <c r="D1390" s="3">
        <v>39</v>
      </c>
      <c r="E1390" s="3">
        <f>((1/(INDEX(E0!J$4:J$73,C1390,1)-INDEX(E0!J$4:J$73,D1390,1))))*100000000</f>
        <v>0</v>
      </c>
      <c r="F1390" s="4" t="str">
        <f>HYPERLINK("http://141.218.60.56/~jnz1568/getInfo.php?workbook=16_15.xlsx&amp;sheet=A0&amp;row=1390&amp;col=6&amp;number=&amp;sourceID=54","")</f>
        <v/>
      </c>
      <c r="G1390" s="4" t="str">
        <f>HYPERLINK("http://141.218.60.56/~jnz1568/getInfo.php?workbook=16_15.xlsx&amp;sheet=A0&amp;row=1390&amp;col=7&amp;number=0.0067664&amp;sourceID=54","0.0067664")</f>
        <v>0.0067664</v>
      </c>
      <c r="H1390" s="4" t="str">
        <f>HYPERLINK("http://141.218.60.56/~jnz1568/getInfo.php?workbook=16_15.xlsx&amp;sheet=A0&amp;row=1390&amp;col=8&amp;number=0.0012468&amp;sourceID=54","0.0012468")</f>
        <v>0.0012468</v>
      </c>
      <c r="I1390" s="4" t="str">
        <f>HYPERLINK("http://141.218.60.56/~jnz1568/getInfo.php?workbook=16_15.xlsx&amp;sheet=A0&amp;row=1390&amp;col=9&amp;number=&amp;sourceID=54","")</f>
        <v/>
      </c>
      <c r="J1390" s="4" t="str">
        <f>HYPERLINK("http://141.218.60.56/~jnz1568/getInfo.php?workbook=16_15.xlsx&amp;sheet=A0&amp;row=1390&amp;col=10&amp;number=0.0066716&amp;sourceID=54","0.0066716")</f>
        <v>0.0066716</v>
      </c>
      <c r="K1390" s="4" t="str">
        <f>HYPERLINK("http://141.218.60.56/~jnz1568/getInfo.php?workbook=16_15.xlsx&amp;sheet=A0&amp;row=1390&amp;col=11&amp;number=0.0011925&amp;sourceID=54","0.0011925")</f>
        <v>0.0011925</v>
      </c>
      <c r="L1390" s="4" t="str">
        <f>HYPERLINK("http://141.218.60.56/~jnz1568/getInfo.php?workbook=16_15.xlsx&amp;sheet=A0&amp;row=1390&amp;col=12&amp;number=&amp;sourceID=53","")</f>
        <v/>
      </c>
      <c r="M1390" s="4" t="str">
        <f>HYPERLINK("http://141.218.60.56/~jnz1568/getInfo.php?workbook=16_15.xlsx&amp;sheet=A0&amp;row=1390&amp;col=13&amp;number=&amp;sourceID=53","")</f>
        <v/>
      </c>
      <c r="N1390" s="4" t="str">
        <f>HYPERLINK("http://141.218.60.56/~jnz1568/getInfo.php?workbook=16_15.xlsx&amp;sheet=A0&amp;row=1390&amp;col=14&amp;number=&amp;sourceID=53","")</f>
        <v/>
      </c>
      <c r="O1390" s="4" t="str">
        <f>HYPERLINK("http://141.218.60.56/~jnz1568/getInfo.php?workbook=16_15.xlsx&amp;sheet=A0&amp;row=1390&amp;col=15&amp;number=&amp;sourceID=55","")</f>
        <v/>
      </c>
      <c r="P1390" s="4" t="str">
        <f>HYPERLINK("http://141.218.60.56/~jnz1568/getInfo.php?workbook=16_15.xlsx&amp;sheet=A0&amp;row=1390&amp;col=16&amp;number=&amp;sourceID=55","")</f>
        <v/>
      </c>
      <c r="Q1390" s="4" t="str">
        <f>HYPERLINK("http://141.218.60.56/~jnz1568/getInfo.php?workbook=16_15.xlsx&amp;sheet=A0&amp;row=1390&amp;col=17&amp;number=&amp;sourceID=56","")</f>
        <v/>
      </c>
      <c r="R1390" s="4" t="str">
        <f>HYPERLINK("http://141.218.60.56/~jnz1568/getInfo.php?workbook=16_15.xlsx&amp;sheet=A0&amp;row=1390&amp;col=18&amp;number=&amp;sourceID=56","")</f>
        <v/>
      </c>
      <c r="S1390" s="4" t="str">
        <f>HYPERLINK("http://141.218.60.56/~jnz1568/getInfo.php?workbook=16_15.xlsx&amp;sheet=A0&amp;row=1390&amp;col=19&amp;number=&amp;sourceID=57","")</f>
        <v/>
      </c>
      <c r="T1390" s="4" t="str">
        <f>HYPERLINK("http://141.218.60.56/~jnz1568/getInfo.php?workbook=16_15.xlsx&amp;sheet=A0&amp;row=1390&amp;col=20&amp;number=&amp;sourceID=57","")</f>
        <v/>
      </c>
      <c r="U1390" s="4" t="str">
        <f>HYPERLINK("http://141.218.60.56/~jnz1568/getInfo.php?workbook=16_15.xlsx&amp;sheet=A0&amp;row=1390&amp;col=21&amp;number=&amp;sourceID=47","")</f>
        <v/>
      </c>
      <c r="V1390" s="4" t="str">
        <f>HYPERLINK("http://141.218.60.56/~jnz1568/getInfo.php?workbook=16_15.xlsx&amp;sheet=A0&amp;row=1390&amp;col=22&amp;number=&amp;sourceID=47","")</f>
        <v/>
      </c>
    </row>
    <row r="1391" spans="1:22">
      <c r="A1391" s="3">
        <v>16</v>
      </c>
      <c r="B1391" s="3">
        <v>15</v>
      </c>
      <c r="C1391" s="3">
        <v>60</v>
      </c>
      <c r="D1391" s="3">
        <v>40</v>
      </c>
      <c r="E1391" s="3">
        <f>((1/(INDEX(E0!J$4:J$73,C1391,1)-INDEX(E0!J$4:J$73,D1391,1))))*100000000</f>
        <v>0</v>
      </c>
      <c r="F1391" s="4" t="str">
        <f>HYPERLINK("http://141.218.60.56/~jnz1568/getInfo.php?workbook=16_15.xlsx&amp;sheet=A0&amp;row=1391&amp;col=6&amp;number=&amp;sourceID=54","")</f>
        <v/>
      </c>
      <c r="G1391" s="4" t="str">
        <f>HYPERLINK("http://141.218.60.56/~jnz1568/getInfo.php?workbook=16_15.xlsx&amp;sheet=A0&amp;row=1391&amp;col=7&amp;number=0.0061957&amp;sourceID=54","0.0061957")</f>
        <v>0.0061957</v>
      </c>
      <c r="H1391" s="4" t="str">
        <f>HYPERLINK("http://141.218.60.56/~jnz1568/getInfo.php?workbook=16_15.xlsx&amp;sheet=A0&amp;row=1391&amp;col=8&amp;number=&amp;sourceID=54","")</f>
        <v/>
      </c>
      <c r="I1391" s="4" t="str">
        <f>HYPERLINK("http://141.218.60.56/~jnz1568/getInfo.php?workbook=16_15.xlsx&amp;sheet=A0&amp;row=1391&amp;col=9&amp;number=&amp;sourceID=54","")</f>
        <v/>
      </c>
      <c r="J1391" s="4" t="str">
        <f>HYPERLINK("http://141.218.60.56/~jnz1568/getInfo.php?workbook=16_15.xlsx&amp;sheet=A0&amp;row=1391&amp;col=10&amp;number=0.0064037&amp;sourceID=54","0.0064037")</f>
        <v>0.0064037</v>
      </c>
      <c r="K1391" s="4" t="str">
        <f>HYPERLINK("http://141.218.60.56/~jnz1568/getInfo.php?workbook=16_15.xlsx&amp;sheet=A0&amp;row=1391&amp;col=11&amp;number=&amp;sourceID=54","")</f>
        <v/>
      </c>
      <c r="L1391" s="4" t="str">
        <f>HYPERLINK("http://141.218.60.56/~jnz1568/getInfo.php?workbook=16_15.xlsx&amp;sheet=A0&amp;row=1391&amp;col=12&amp;number=&amp;sourceID=53","")</f>
        <v/>
      </c>
      <c r="M1391" s="4" t="str">
        <f>HYPERLINK("http://141.218.60.56/~jnz1568/getInfo.php?workbook=16_15.xlsx&amp;sheet=A0&amp;row=1391&amp;col=13&amp;number=&amp;sourceID=53","")</f>
        <v/>
      </c>
      <c r="N1391" s="4" t="str">
        <f>HYPERLINK("http://141.218.60.56/~jnz1568/getInfo.php?workbook=16_15.xlsx&amp;sheet=A0&amp;row=1391&amp;col=14&amp;number=&amp;sourceID=53","")</f>
        <v/>
      </c>
      <c r="O1391" s="4" t="str">
        <f>HYPERLINK("http://141.218.60.56/~jnz1568/getInfo.php?workbook=16_15.xlsx&amp;sheet=A0&amp;row=1391&amp;col=15&amp;number=&amp;sourceID=55","")</f>
        <v/>
      </c>
      <c r="P1391" s="4" t="str">
        <f>HYPERLINK("http://141.218.60.56/~jnz1568/getInfo.php?workbook=16_15.xlsx&amp;sheet=A0&amp;row=1391&amp;col=16&amp;number=&amp;sourceID=55","")</f>
        <v/>
      </c>
      <c r="Q1391" s="4" t="str">
        <f>HYPERLINK("http://141.218.60.56/~jnz1568/getInfo.php?workbook=16_15.xlsx&amp;sheet=A0&amp;row=1391&amp;col=17&amp;number=&amp;sourceID=56","")</f>
        <v/>
      </c>
      <c r="R1391" s="4" t="str">
        <f>HYPERLINK("http://141.218.60.56/~jnz1568/getInfo.php?workbook=16_15.xlsx&amp;sheet=A0&amp;row=1391&amp;col=18&amp;number=&amp;sourceID=56","")</f>
        <v/>
      </c>
      <c r="S1391" s="4" t="str">
        <f>HYPERLINK("http://141.218.60.56/~jnz1568/getInfo.php?workbook=16_15.xlsx&amp;sheet=A0&amp;row=1391&amp;col=19&amp;number=&amp;sourceID=57","")</f>
        <v/>
      </c>
      <c r="T1391" s="4" t="str">
        <f>HYPERLINK("http://141.218.60.56/~jnz1568/getInfo.php?workbook=16_15.xlsx&amp;sheet=A0&amp;row=1391&amp;col=20&amp;number=&amp;sourceID=57","")</f>
        <v/>
      </c>
      <c r="U1391" s="4" t="str">
        <f>HYPERLINK("http://141.218.60.56/~jnz1568/getInfo.php?workbook=16_15.xlsx&amp;sheet=A0&amp;row=1391&amp;col=21&amp;number=&amp;sourceID=47","")</f>
        <v/>
      </c>
      <c r="V1391" s="4" t="str">
        <f>HYPERLINK("http://141.218.60.56/~jnz1568/getInfo.php?workbook=16_15.xlsx&amp;sheet=A0&amp;row=1391&amp;col=22&amp;number=&amp;sourceID=47","")</f>
        <v/>
      </c>
    </row>
    <row r="1392" spans="1:22">
      <c r="A1392" s="3">
        <v>16</v>
      </c>
      <c r="B1392" s="3">
        <v>15</v>
      </c>
      <c r="C1392" s="3">
        <v>60</v>
      </c>
      <c r="D1392" s="3">
        <v>42</v>
      </c>
      <c r="E1392" s="3">
        <f>((1/(INDEX(E0!J$4:J$73,C1392,1)-INDEX(E0!J$4:J$73,D1392,1))))*100000000</f>
        <v>0</v>
      </c>
      <c r="F1392" s="4" t="str">
        <f>HYPERLINK("http://141.218.60.56/~jnz1568/getInfo.php?workbook=16_15.xlsx&amp;sheet=A0&amp;row=1392&amp;col=6&amp;number=&amp;sourceID=54","")</f>
        <v/>
      </c>
      <c r="G1392" s="4" t="str">
        <f>HYPERLINK("http://141.218.60.56/~jnz1568/getInfo.php?workbook=16_15.xlsx&amp;sheet=A0&amp;row=1392&amp;col=7&amp;number=0.27884&amp;sourceID=54","0.27884")</f>
        <v>0.27884</v>
      </c>
      <c r="H1392" s="4" t="str">
        <f>HYPERLINK("http://141.218.60.56/~jnz1568/getInfo.php?workbook=16_15.xlsx&amp;sheet=A0&amp;row=1392&amp;col=8&amp;number=0.00047473&amp;sourceID=54","0.00047473")</f>
        <v>0.00047473</v>
      </c>
      <c r="I1392" s="4" t="str">
        <f>HYPERLINK("http://141.218.60.56/~jnz1568/getInfo.php?workbook=16_15.xlsx&amp;sheet=A0&amp;row=1392&amp;col=9&amp;number=&amp;sourceID=54","")</f>
        <v/>
      </c>
      <c r="J1392" s="4" t="str">
        <f>HYPERLINK("http://141.218.60.56/~jnz1568/getInfo.php?workbook=16_15.xlsx&amp;sheet=A0&amp;row=1392&amp;col=10&amp;number=0.23115&amp;sourceID=54","0.23115")</f>
        <v>0.23115</v>
      </c>
      <c r="K1392" s="4" t="str">
        <f>HYPERLINK("http://141.218.60.56/~jnz1568/getInfo.php?workbook=16_15.xlsx&amp;sheet=A0&amp;row=1392&amp;col=11&amp;number=0.00064196&amp;sourceID=54","0.00064196")</f>
        <v>0.00064196</v>
      </c>
      <c r="L1392" s="4" t="str">
        <f>HYPERLINK("http://141.218.60.56/~jnz1568/getInfo.php?workbook=16_15.xlsx&amp;sheet=A0&amp;row=1392&amp;col=12&amp;number=&amp;sourceID=53","")</f>
        <v/>
      </c>
      <c r="M1392" s="4" t="str">
        <f>HYPERLINK("http://141.218.60.56/~jnz1568/getInfo.php?workbook=16_15.xlsx&amp;sheet=A0&amp;row=1392&amp;col=13&amp;number=&amp;sourceID=53","")</f>
        <v/>
      </c>
      <c r="N1392" s="4" t="str">
        <f>HYPERLINK("http://141.218.60.56/~jnz1568/getInfo.php?workbook=16_15.xlsx&amp;sheet=A0&amp;row=1392&amp;col=14&amp;number=&amp;sourceID=53","")</f>
        <v/>
      </c>
      <c r="O1392" s="4" t="str">
        <f>HYPERLINK("http://141.218.60.56/~jnz1568/getInfo.php?workbook=16_15.xlsx&amp;sheet=A0&amp;row=1392&amp;col=15&amp;number=&amp;sourceID=55","")</f>
        <v/>
      </c>
      <c r="P1392" s="4" t="str">
        <f>HYPERLINK("http://141.218.60.56/~jnz1568/getInfo.php?workbook=16_15.xlsx&amp;sheet=A0&amp;row=1392&amp;col=16&amp;number=&amp;sourceID=55","")</f>
        <v/>
      </c>
      <c r="Q1392" s="4" t="str">
        <f>HYPERLINK("http://141.218.60.56/~jnz1568/getInfo.php?workbook=16_15.xlsx&amp;sheet=A0&amp;row=1392&amp;col=17&amp;number=&amp;sourceID=56","")</f>
        <v/>
      </c>
      <c r="R1392" s="4" t="str">
        <f>HYPERLINK("http://141.218.60.56/~jnz1568/getInfo.php?workbook=16_15.xlsx&amp;sheet=A0&amp;row=1392&amp;col=18&amp;number=&amp;sourceID=56","")</f>
        <v/>
      </c>
      <c r="S1392" s="4" t="str">
        <f>HYPERLINK("http://141.218.60.56/~jnz1568/getInfo.php?workbook=16_15.xlsx&amp;sheet=A0&amp;row=1392&amp;col=19&amp;number=&amp;sourceID=57","")</f>
        <v/>
      </c>
      <c r="T1392" s="4" t="str">
        <f>HYPERLINK("http://141.218.60.56/~jnz1568/getInfo.php?workbook=16_15.xlsx&amp;sheet=A0&amp;row=1392&amp;col=20&amp;number=&amp;sourceID=57","")</f>
        <v/>
      </c>
      <c r="U1392" s="4" t="str">
        <f>HYPERLINK("http://141.218.60.56/~jnz1568/getInfo.php?workbook=16_15.xlsx&amp;sheet=A0&amp;row=1392&amp;col=21&amp;number=&amp;sourceID=47","")</f>
        <v/>
      </c>
      <c r="V1392" s="4" t="str">
        <f>HYPERLINK("http://141.218.60.56/~jnz1568/getInfo.php?workbook=16_15.xlsx&amp;sheet=A0&amp;row=1392&amp;col=22&amp;number=&amp;sourceID=47","")</f>
        <v/>
      </c>
    </row>
    <row r="1393" spans="1:22">
      <c r="A1393" s="3">
        <v>16</v>
      </c>
      <c r="B1393" s="3">
        <v>15</v>
      </c>
      <c r="C1393" s="3">
        <v>60</v>
      </c>
      <c r="D1393" s="3">
        <v>43</v>
      </c>
      <c r="E1393" s="3">
        <f>((1/(INDEX(E0!J$4:J$73,C1393,1)-INDEX(E0!J$4:J$73,D1393,1))))*100000000</f>
        <v>0</v>
      </c>
      <c r="F1393" s="4" t="str">
        <f>HYPERLINK("http://141.218.60.56/~jnz1568/getInfo.php?workbook=16_15.xlsx&amp;sheet=A0&amp;row=1393&amp;col=6&amp;number=63.907&amp;sourceID=54","63.907")</f>
        <v>63.907</v>
      </c>
      <c r="G1393" s="4" t="str">
        <f>HYPERLINK("http://141.218.60.56/~jnz1568/getInfo.php?workbook=16_15.xlsx&amp;sheet=A0&amp;row=1393&amp;col=7&amp;number=&amp;sourceID=54","")</f>
        <v/>
      </c>
      <c r="H1393" s="4" t="str">
        <f>HYPERLINK("http://141.218.60.56/~jnz1568/getInfo.php?workbook=16_15.xlsx&amp;sheet=A0&amp;row=1393&amp;col=8&amp;number=&amp;sourceID=54","")</f>
        <v/>
      </c>
      <c r="I1393" s="4" t="str">
        <f>HYPERLINK("http://141.218.60.56/~jnz1568/getInfo.php?workbook=16_15.xlsx&amp;sheet=A0&amp;row=1393&amp;col=9&amp;number=1.5559&amp;sourceID=54","1.5559")</f>
        <v>1.5559</v>
      </c>
      <c r="J1393" s="4" t="str">
        <f>HYPERLINK("http://141.218.60.56/~jnz1568/getInfo.php?workbook=16_15.xlsx&amp;sheet=A0&amp;row=1393&amp;col=10&amp;number=&amp;sourceID=54","")</f>
        <v/>
      </c>
      <c r="K1393" s="4" t="str">
        <f>HYPERLINK("http://141.218.60.56/~jnz1568/getInfo.php?workbook=16_15.xlsx&amp;sheet=A0&amp;row=1393&amp;col=11&amp;number=&amp;sourceID=54","")</f>
        <v/>
      </c>
      <c r="L1393" s="4" t="str">
        <f>HYPERLINK("http://141.218.60.56/~jnz1568/getInfo.php?workbook=16_15.xlsx&amp;sheet=A0&amp;row=1393&amp;col=12&amp;number=0.511008889896&amp;sourceID=53","0.511008889896")</f>
        <v>0.511008889896</v>
      </c>
      <c r="M1393" s="4" t="str">
        <f>HYPERLINK("http://141.218.60.56/~jnz1568/getInfo.php?workbook=16_15.xlsx&amp;sheet=A0&amp;row=1393&amp;col=13&amp;number=&amp;sourceID=53","")</f>
        <v/>
      </c>
      <c r="N1393" s="4" t="str">
        <f>HYPERLINK("http://141.218.60.56/~jnz1568/getInfo.php?workbook=16_15.xlsx&amp;sheet=A0&amp;row=1393&amp;col=14&amp;number=&amp;sourceID=53","")</f>
        <v/>
      </c>
      <c r="O1393" s="4" t="str">
        <f>HYPERLINK("http://141.218.60.56/~jnz1568/getInfo.php?workbook=16_15.xlsx&amp;sheet=A0&amp;row=1393&amp;col=15&amp;number=&amp;sourceID=55","")</f>
        <v/>
      </c>
      <c r="P1393" s="4" t="str">
        <f>HYPERLINK("http://141.218.60.56/~jnz1568/getInfo.php?workbook=16_15.xlsx&amp;sheet=A0&amp;row=1393&amp;col=16&amp;number=&amp;sourceID=55","")</f>
        <v/>
      </c>
      <c r="Q1393" s="4" t="str">
        <f>HYPERLINK("http://141.218.60.56/~jnz1568/getInfo.php?workbook=16_15.xlsx&amp;sheet=A0&amp;row=1393&amp;col=17&amp;number=&amp;sourceID=56","")</f>
        <v/>
      </c>
      <c r="R1393" s="4" t="str">
        <f>HYPERLINK("http://141.218.60.56/~jnz1568/getInfo.php?workbook=16_15.xlsx&amp;sheet=A0&amp;row=1393&amp;col=18&amp;number=&amp;sourceID=56","")</f>
        <v/>
      </c>
      <c r="S1393" s="4" t="str">
        <f>HYPERLINK("http://141.218.60.56/~jnz1568/getInfo.php?workbook=16_15.xlsx&amp;sheet=A0&amp;row=1393&amp;col=19&amp;number=&amp;sourceID=57","")</f>
        <v/>
      </c>
      <c r="T1393" s="4" t="str">
        <f>HYPERLINK("http://141.218.60.56/~jnz1568/getInfo.php?workbook=16_15.xlsx&amp;sheet=A0&amp;row=1393&amp;col=20&amp;number=&amp;sourceID=57","")</f>
        <v/>
      </c>
      <c r="U1393" s="4" t="str">
        <f>HYPERLINK("http://141.218.60.56/~jnz1568/getInfo.php?workbook=16_15.xlsx&amp;sheet=A0&amp;row=1393&amp;col=21&amp;number=&amp;sourceID=47","")</f>
        <v/>
      </c>
      <c r="V1393" s="4" t="str">
        <f>HYPERLINK("http://141.218.60.56/~jnz1568/getInfo.php?workbook=16_15.xlsx&amp;sheet=A0&amp;row=1393&amp;col=22&amp;number=&amp;sourceID=47","")</f>
        <v/>
      </c>
    </row>
    <row r="1394" spans="1:22">
      <c r="A1394" s="3">
        <v>16</v>
      </c>
      <c r="B1394" s="3">
        <v>15</v>
      </c>
      <c r="C1394" s="3">
        <v>60</v>
      </c>
      <c r="D1394" s="3">
        <v>44</v>
      </c>
      <c r="E1394" s="3">
        <f>((1/(INDEX(E0!J$4:J$73,C1394,1)-INDEX(E0!J$4:J$73,D1394,1))))*100000000</f>
        <v>0</v>
      </c>
      <c r="F1394" s="4" t="str">
        <f>HYPERLINK("http://141.218.60.56/~jnz1568/getInfo.php?workbook=16_15.xlsx&amp;sheet=A0&amp;row=1394&amp;col=6&amp;number=654.44&amp;sourceID=54","654.44")</f>
        <v>654.44</v>
      </c>
      <c r="G1394" s="4" t="str">
        <f>HYPERLINK("http://141.218.60.56/~jnz1568/getInfo.php?workbook=16_15.xlsx&amp;sheet=A0&amp;row=1394&amp;col=7&amp;number=&amp;sourceID=54","")</f>
        <v/>
      </c>
      <c r="H1394" s="4" t="str">
        <f>HYPERLINK("http://141.218.60.56/~jnz1568/getInfo.php?workbook=16_15.xlsx&amp;sheet=A0&amp;row=1394&amp;col=8&amp;number=&amp;sourceID=54","")</f>
        <v/>
      </c>
      <c r="I1394" s="4" t="str">
        <f>HYPERLINK("http://141.218.60.56/~jnz1568/getInfo.php?workbook=16_15.xlsx&amp;sheet=A0&amp;row=1394&amp;col=9&amp;number=543.83&amp;sourceID=54","543.83")</f>
        <v>543.83</v>
      </c>
      <c r="J1394" s="4" t="str">
        <f>HYPERLINK("http://141.218.60.56/~jnz1568/getInfo.php?workbook=16_15.xlsx&amp;sheet=A0&amp;row=1394&amp;col=10&amp;number=&amp;sourceID=54","")</f>
        <v/>
      </c>
      <c r="K1394" s="4" t="str">
        <f>HYPERLINK("http://141.218.60.56/~jnz1568/getInfo.php?workbook=16_15.xlsx&amp;sheet=A0&amp;row=1394&amp;col=11&amp;number=&amp;sourceID=54","")</f>
        <v/>
      </c>
      <c r="L1394" s="4" t="str">
        <f>HYPERLINK("http://141.218.60.56/~jnz1568/getInfo.php?workbook=16_15.xlsx&amp;sheet=A0&amp;row=1394&amp;col=12&amp;number=521.399730874&amp;sourceID=53","521.399730874")</f>
        <v>521.399730874</v>
      </c>
      <c r="M1394" s="4" t="str">
        <f>HYPERLINK("http://141.218.60.56/~jnz1568/getInfo.php?workbook=16_15.xlsx&amp;sheet=A0&amp;row=1394&amp;col=13&amp;number=&amp;sourceID=53","")</f>
        <v/>
      </c>
      <c r="N1394" s="4" t="str">
        <f>HYPERLINK("http://141.218.60.56/~jnz1568/getInfo.php?workbook=16_15.xlsx&amp;sheet=A0&amp;row=1394&amp;col=14&amp;number=&amp;sourceID=53","")</f>
        <v/>
      </c>
      <c r="O1394" s="4" t="str">
        <f>HYPERLINK("http://141.218.60.56/~jnz1568/getInfo.php?workbook=16_15.xlsx&amp;sheet=A0&amp;row=1394&amp;col=15&amp;number=&amp;sourceID=55","")</f>
        <v/>
      </c>
      <c r="P1394" s="4" t="str">
        <f>HYPERLINK("http://141.218.60.56/~jnz1568/getInfo.php?workbook=16_15.xlsx&amp;sheet=A0&amp;row=1394&amp;col=16&amp;number=&amp;sourceID=55","")</f>
        <v/>
      </c>
      <c r="Q1394" s="4" t="str">
        <f>HYPERLINK("http://141.218.60.56/~jnz1568/getInfo.php?workbook=16_15.xlsx&amp;sheet=A0&amp;row=1394&amp;col=17&amp;number=&amp;sourceID=56","")</f>
        <v/>
      </c>
      <c r="R1394" s="4" t="str">
        <f>HYPERLINK("http://141.218.60.56/~jnz1568/getInfo.php?workbook=16_15.xlsx&amp;sheet=A0&amp;row=1394&amp;col=18&amp;number=&amp;sourceID=56","")</f>
        <v/>
      </c>
      <c r="S1394" s="4" t="str">
        <f>HYPERLINK("http://141.218.60.56/~jnz1568/getInfo.php?workbook=16_15.xlsx&amp;sheet=A0&amp;row=1394&amp;col=19&amp;number=&amp;sourceID=57","")</f>
        <v/>
      </c>
      <c r="T1394" s="4" t="str">
        <f>HYPERLINK("http://141.218.60.56/~jnz1568/getInfo.php?workbook=16_15.xlsx&amp;sheet=A0&amp;row=1394&amp;col=20&amp;number=&amp;sourceID=57","")</f>
        <v/>
      </c>
      <c r="U1394" s="4" t="str">
        <f>HYPERLINK("http://141.218.60.56/~jnz1568/getInfo.php?workbook=16_15.xlsx&amp;sheet=A0&amp;row=1394&amp;col=21&amp;number=&amp;sourceID=47","")</f>
        <v/>
      </c>
      <c r="V1394" s="4" t="str">
        <f>HYPERLINK("http://141.218.60.56/~jnz1568/getInfo.php?workbook=16_15.xlsx&amp;sheet=A0&amp;row=1394&amp;col=22&amp;number=&amp;sourceID=47","")</f>
        <v/>
      </c>
    </row>
    <row r="1395" spans="1:22">
      <c r="A1395" s="3">
        <v>16</v>
      </c>
      <c r="B1395" s="3">
        <v>15</v>
      </c>
      <c r="C1395" s="3">
        <v>60</v>
      </c>
      <c r="D1395" s="3">
        <v>45</v>
      </c>
      <c r="E1395" s="3">
        <f>((1/(INDEX(E0!J$4:J$73,C1395,1)-INDEX(E0!J$4:J$73,D1395,1))))*100000000</f>
        <v>0</v>
      </c>
      <c r="F1395" s="4" t="str">
        <f>HYPERLINK("http://141.218.60.56/~jnz1568/getInfo.php?workbook=16_15.xlsx&amp;sheet=A0&amp;row=1395&amp;col=6&amp;number=&amp;sourceID=54","")</f>
        <v/>
      </c>
      <c r="G1395" s="4" t="str">
        <f>HYPERLINK("http://141.218.60.56/~jnz1568/getInfo.php?workbook=16_15.xlsx&amp;sheet=A0&amp;row=1395&amp;col=7&amp;number=0.0020485&amp;sourceID=54","0.0020485")</f>
        <v>0.0020485</v>
      </c>
      <c r="H1395" s="4" t="str">
        <f>HYPERLINK("http://141.218.60.56/~jnz1568/getInfo.php?workbook=16_15.xlsx&amp;sheet=A0&amp;row=1395&amp;col=8&amp;number=0.020082&amp;sourceID=54","0.020082")</f>
        <v>0.020082</v>
      </c>
      <c r="I1395" s="4" t="str">
        <f>HYPERLINK("http://141.218.60.56/~jnz1568/getInfo.php?workbook=16_15.xlsx&amp;sheet=A0&amp;row=1395&amp;col=9&amp;number=&amp;sourceID=54","")</f>
        <v/>
      </c>
      <c r="J1395" s="4" t="str">
        <f>HYPERLINK("http://141.218.60.56/~jnz1568/getInfo.php?workbook=16_15.xlsx&amp;sheet=A0&amp;row=1395&amp;col=10&amp;number=0.00055607&amp;sourceID=54","0.00055607")</f>
        <v>0.00055607</v>
      </c>
      <c r="K1395" s="4" t="str">
        <f>HYPERLINK("http://141.218.60.56/~jnz1568/getInfo.php?workbook=16_15.xlsx&amp;sheet=A0&amp;row=1395&amp;col=11&amp;number=0.017455&amp;sourceID=54","0.017455")</f>
        <v>0.017455</v>
      </c>
      <c r="L1395" s="4" t="str">
        <f>HYPERLINK("http://141.218.60.56/~jnz1568/getInfo.php?workbook=16_15.xlsx&amp;sheet=A0&amp;row=1395&amp;col=12&amp;number=&amp;sourceID=53","")</f>
        <v/>
      </c>
      <c r="M1395" s="4" t="str">
        <f>HYPERLINK("http://141.218.60.56/~jnz1568/getInfo.php?workbook=16_15.xlsx&amp;sheet=A0&amp;row=1395&amp;col=13&amp;number=&amp;sourceID=53","")</f>
        <v/>
      </c>
      <c r="N1395" s="4" t="str">
        <f>HYPERLINK("http://141.218.60.56/~jnz1568/getInfo.php?workbook=16_15.xlsx&amp;sheet=A0&amp;row=1395&amp;col=14&amp;number=&amp;sourceID=53","")</f>
        <v/>
      </c>
      <c r="O1395" s="4" t="str">
        <f>HYPERLINK("http://141.218.60.56/~jnz1568/getInfo.php?workbook=16_15.xlsx&amp;sheet=A0&amp;row=1395&amp;col=15&amp;number=&amp;sourceID=55","")</f>
        <v/>
      </c>
      <c r="P1395" s="4" t="str">
        <f>HYPERLINK("http://141.218.60.56/~jnz1568/getInfo.php?workbook=16_15.xlsx&amp;sheet=A0&amp;row=1395&amp;col=16&amp;number=&amp;sourceID=55","")</f>
        <v/>
      </c>
      <c r="Q1395" s="4" t="str">
        <f>HYPERLINK("http://141.218.60.56/~jnz1568/getInfo.php?workbook=16_15.xlsx&amp;sheet=A0&amp;row=1395&amp;col=17&amp;number=&amp;sourceID=56","")</f>
        <v/>
      </c>
      <c r="R1395" s="4" t="str">
        <f>HYPERLINK("http://141.218.60.56/~jnz1568/getInfo.php?workbook=16_15.xlsx&amp;sheet=A0&amp;row=1395&amp;col=18&amp;number=&amp;sourceID=56","")</f>
        <v/>
      </c>
      <c r="S1395" s="4" t="str">
        <f>HYPERLINK("http://141.218.60.56/~jnz1568/getInfo.php?workbook=16_15.xlsx&amp;sheet=A0&amp;row=1395&amp;col=19&amp;number=&amp;sourceID=57","")</f>
        <v/>
      </c>
      <c r="T1395" s="4" t="str">
        <f>HYPERLINK("http://141.218.60.56/~jnz1568/getInfo.php?workbook=16_15.xlsx&amp;sheet=A0&amp;row=1395&amp;col=20&amp;number=&amp;sourceID=57","")</f>
        <v/>
      </c>
      <c r="U1395" s="4" t="str">
        <f>HYPERLINK("http://141.218.60.56/~jnz1568/getInfo.php?workbook=16_15.xlsx&amp;sheet=A0&amp;row=1395&amp;col=21&amp;number=&amp;sourceID=47","")</f>
        <v/>
      </c>
      <c r="V1395" s="4" t="str">
        <f>HYPERLINK("http://141.218.60.56/~jnz1568/getInfo.php?workbook=16_15.xlsx&amp;sheet=A0&amp;row=1395&amp;col=22&amp;number=&amp;sourceID=47","")</f>
        <v/>
      </c>
    </row>
    <row r="1396" spans="1:22">
      <c r="A1396" s="3">
        <v>16</v>
      </c>
      <c r="B1396" s="3">
        <v>15</v>
      </c>
      <c r="C1396" s="3">
        <v>60</v>
      </c>
      <c r="D1396" s="3">
        <v>46</v>
      </c>
      <c r="E1396" s="3">
        <f>((1/(INDEX(E0!J$4:J$73,C1396,1)-INDEX(E0!J$4:J$73,D1396,1))))*100000000</f>
        <v>0</v>
      </c>
      <c r="F1396" s="4" t="str">
        <f>HYPERLINK("http://141.218.60.56/~jnz1568/getInfo.php?workbook=16_15.xlsx&amp;sheet=A0&amp;row=1396&amp;col=6&amp;number=&amp;sourceID=54","")</f>
        <v/>
      </c>
      <c r="G1396" s="4" t="str">
        <f>HYPERLINK("http://141.218.60.56/~jnz1568/getInfo.php?workbook=16_15.xlsx&amp;sheet=A0&amp;row=1396&amp;col=7&amp;number=0.20777&amp;sourceID=54","0.20777")</f>
        <v>0.20777</v>
      </c>
      <c r="H1396" s="4" t="str">
        <f>HYPERLINK("http://141.218.60.56/~jnz1568/getInfo.php?workbook=16_15.xlsx&amp;sheet=A0&amp;row=1396&amp;col=8&amp;number=&amp;sourceID=54","")</f>
        <v/>
      </c>
      <c r="I1396" s="4" t="str">
        <f>HYPERLINK("http://141.218.60.56/~jnz1568/getInfo.php?workbook=16_15.xlsx&amp;sheet=A0&amp;row=1396&amp;col=9&amp;number=&amp;sourceID=54","")</f>
        <v/>
      </c>
      <c r="J1396" s="4" t="str">
        <f>HYPERLINK("http://141.218.60.56/~jnz1568/getInfo.php?workbook=16_15.xlsx&amp;sheet=A0&amp;row=1396&amp;col=10&amp;number=0.17253&amp;sourceID=54","0.17253")</f>
        <v>0.17253</v>
      </c>
      <c r="K1396" s="4" t="str">
        <f>HYPERLINK("http://141.218.60.56/~jnz1568/getInfo.php?workbook=16_15.xlsx&amp;sheet=A0&amp;row=1396&amp;col=11&amp;number=&amp;sourceID=54","")</f>
        <v/>
      </c>
      <c r="L1396" s="4" t="str">
        <f>HYPERLINK("http://141.218.60.56/~jnz1568/getInfo.php?workbook=16_15.xlsx&amp;sheet=A0&amp;row=1396&amp;col=12&amp;number=&amp;sourceID=53","")</f>
        <v/>
      </c>
      <c r="M1396" s="4" t="str">
        <f>HYPERLINK("http://141.218.60.56/~jnz1568/getInfo.php?workbook=16_15.xlsx&amp;sheet=A0&amp;row=1396&amp;col=13&amp;number=&amp;sourceID=53","")</f>
        <v/>
      </c>
      <c r="N1396" s="4" t="str">
        <f>HYPERLINK("http://141.218.60.56/~jnz1568/getInfo.php?workbook=16_15.xlsx&amp;sheet=A0&amp;row=1396&amp;col=14&amp;number=&amp;sourceID=53","")</f>
        <v/>
      </c>
      <c r="O1396" s="4" t="str">
        <f>HYPERLINK("http://141.218.60.56/~jnz1568/getInfo.php?workbook=16_15.xlsx&amp;sheet=A0&amp;row=1396&amp;col=15&amp;number=&amp;sourceID=55","")</f>
        <v/>
      </c>
      <c r="P1396" s="4" t="str">
        <f>HYPERLINK("http://141.218.60.56/~jnz1568/getInfo.php?workbook=16_15.xlsx&amp;sheet=A0&amp;row=1396&amp;col=16&amp;number=&amp;sourceID=55","")</f>
        <v/>
      </c>
      <c r="Q1396" s="4" t="str">
        <f>HYPERLINK("http://141.218.60.56/~jnz1568/getInfo.php?workbook=16_15.xlsx&amp;sheet=A0&amp;row=1396&amp;col=17&amp;number=&amp;sourceID=56","")</f>
        <v/>
      </c>
      <c r="R1396" s="4" t="str">
        <f>HYPERLINK("http://141.218.60.56/~jnz1568/getInfo.php?workbook=16_15.xlsx&amp;sheet=A0&amp;row=1396&amp;col=18&amp;number=&amp;sourceID=56","")</f>
        <v/>
      </c>
      <c r="S1396" s="4" t="str">
        <f>HYPERLINK("http://141.218.60.56/~jnz1568/getInfo.php?workbook=16_15.xlsx&amp;sheet=A0&amp;row=1396&amp;col=19&amp;number=&amp;sourceID=57","")</f>
        <v/>
      </c>
      <c r="T1396" s="4" t="str">
        <f>HYPERLINK("http://141.218.60.56/~jnz1568/getInfo.php?workbook=16_15.xlsx&amp;sheet=A0&amp;row=1396&amp;col=20&amp;number=&amp;sourceID=57","")</f>
        <v/>
      </c>
      <c r="U1396" s="4" t="str">
        <f>HYPERLINK("http://141.218.60.56/~jnz1568/getInfo.php?workbook=16_15.xlsx&amp;sheet=A0&amp;row=1396&amp;col=21&amp;number=&amp;sourceID=47","")</f>
        <v/>
      </c>
      <c r="V1396" s="4" t="str">
        <f>HYPERLINK("http://141.218.60.56/~jnz1568/getInfo.php?workbook=16_15.xlsx&amp;sheet=A0&amp;row=1396&amp;col=22&amp;number=&amp;sourceID=47","")</f>
        <v/>
      </c>
    </row>
    <row r="1397" spans="1:22">
      <c r="A1397" s="3">
        <v>16</v>
      </c>
      <c r="B1397" s="3">
        <v>15</v>
      </c>
      <c r="C1397" s="3">
        <v>60</v>
      </c>
      <c r="D1397" s="3">
        <v>47</v>
      </c>
      <c r="E1397" s="3">
        <f>((1/(INDEX(E0!J$4:J$73,C1397,1)-INDEX(E0!J$4:J$73,D1397,1))))*100000000</f>
        <v>0</v>
      </c>
      <c r="F1397" s="4" t="str">
        <f>HYPERLINK("http://141.218.60.56/~jnz1568/getInfo.php?workbook=16_15.xlsx&amp;sheet=A0&amp;row=1397&amp;col=6&amp;number=&amp;sourceID=54","")</f>
        <v/>
      </c>
      <c r="G1397" s="4" t="str">
        <f>HYPERLINK("http://141.218.60.56/~jnz1568/getInfo.php?workbook=16_15.xlsx&amp;sheet=A0&amp;row=1397&amp;col=7&amp;number=&amp;sourceID=54","")</f>
        <v/>
      </c>
      <c r="H1397" s="4" t="str">
        <f>HYPERLINK("http://141.218.60.56/~jnz1568/getInfo.php?workbook=16_15.xlsx&amp;sheet=A0&amp;row=1397&amp;col=8&amp;number=1.2785e-05&amp;sourceID=54","1.2785e-05")</f>
        <v>1.2785e-05</v>
      </c>
      <c r="I1397" s="4" t="str">
        <f>HYPERLINK("http://141.218.60.56/~jnz1568/getInfo.php?workbook=16_15.xlsx&amp;sheet=A0&amp;row=1397&amp;col=9&amp;number=&amp;sourceID=54","")</f>
        <v/>
      </c>
      <c r="J1397" s="4" t="str">
        <f>HYPERLINK("http://141.218.60.56/~jnz1568/getInfo.php?workbook=16_15.xlsx&amp;sheet=A0&amp;row=1397&amp;col=10&amp;number=&amp;sourceID=54","")</f>
        <v/>
      </c>
      <c r="K1397" s="4" t="str">
        <f>HYPERLINK("http://141.218.60.56/~jnz1568/getInfo.php?workbook=16_15.xlsx&amp;sheet=A0&amp;row=1397&amp;col=11&amp;number=1.3352e-05&amp;sourceID=54","1.3352e-05")</f>
        <v>1.3352e-05</v>
      </c>
      <c r="L1397" s="4" t="str">
        <f>HYPERLINK("http://141.218.60.56/~jnz1568/getInfo.php?workbook=16_15.xlsx&amp;sheet=A0&amp;row=1397&amp;col=12&amp;number=&amp;sourceID=53","")</f>
        <v/>
      </c>
      <c r="M1397" s="4" t="str">
        <f>HYPERLINK("http://141.218.60.56/~jnz1568/getInfo.php?workbook=16_15.xlsx&amp;sheet=A0&amp;row=1397&amp;col=13&amp;number=&amp;sourceID=53","")</f>
        <v/>
      </c>
      <c r="N1397" s="4" t="str">
        <f>HYPERLINK("http://141.218.60.56/~jnz1568/getInfo.php?workbook=16_15.xlsx&amp;sheet=A0&amp;row=1397&amp;col=14&amp;number=&amp;sourceID=53","")</f>
        <v/>
      </c>
      <c r="O1397" s="4" t="str">
        <f>HYPERLINK("http://141.218.60.56/~jnz1568/getInfo.php?workbook=16_15.xlsx&amp;sheet=A0&amp;row=1397&amp;col=15&amp;number=&amp;sourceID=55","")</f>
        <v/>
      </c>
      <c r="P1397" s="4" t="str">
        <f>HYPERLINK("http://141.218.60.56/~jnz1568/getInfo.php?workbook=16_15.xlsx&amp;sheet=A0&amp;row=1397&amp;col=16&amp;number=&amp;sourceID=55","")</f>
        <v/>
      </c>
      <c r="Q1397" s="4" t="str">
        <f>HYPERLINK("http://141.218.60.56/~jnz1568/getInfo.php?workbook=16_15.xlsx&amp;sheet=A0&amp;row=1397&amp;col=17&amp;number=&amp;sourceID=56","")</f>
        <v/>
      </c>
      <c r="R1397" s="4" t="str">
        <f>HYPERLINK("http://141.218.60.56/~jnz1568/getInfo.php?workbook=16_15.xlsx&amp;sheet=A0&amp;row=1397&amp;col=18&amp;number=&amp;sourceID=56","")</f>
        <v/>
      </c>
      <c r="S1397" s="4" t="str">
        <f>HYPERLINK("http://141.218.60.56/~jnz1568/getInfo.php?workbook=16_15.xlsx&amp;sheet=A0&amp;row=1397&amp;col=19&amp;number=&amp;sourceID=57","")</f>
        <v/>
      </c>
      <c r="T1397" s="4" t="str">
        <f>HYPERLINK("http://141.218.60.56/~jnz1568/getInfo.php?workbook=16_15.xlsx&amp;sheet=A0&amp;row=1397&amp;col=20&amp;number=&amp;sourceID=57","")</f>
        <v/>
      </c>
      <c r="U1397" s="4" t="str">
        <f>HYPERLINK("http://141.218.60.56/~jnz1568/getInfo.php?workbook=16_15.xlsx&amp;sheet=A0&amp;row=1397&amp;col=21&amp;number=&amp;sourceID=47","")</f>
        <v/>
      </c>
      <c r="V1397" s="4" t="str">
        <f>HYPERLINK("http://141.218.60.56/~jnz1568/getInfo.php?workbook=16_15.xlsx&amp;sheet=A0&amp;row=1397&amp;col=22&amp;number=&amp;sourceID=47","")</f>
        <v/>
      </c>
    </row>
    <row r="1398" spans="1:22">
      <c r="A1398" s="3">
        <v>16</v>
      </c>
      <c r="B1398" s="3">
        <v>15</v>
      </c>
      <c r="C1398" s="3">
        <v>60</v>
      </c>
      <c r="D1398" s="3">
        <v>48</v>
      </c>
      <c r="E1398" s="3">
        <f>((1/(INDEX(E0!J$4:J$73,C1398,1)-INDEX(E0!J$4:J$73,D1398,1))))*100000000</f>
        <v>0</v>
      </c>
      <c r="F1398" s="4" t="str">
        <f>HYPERLINK("http://141.218.60.56/~jnz1568/getInfo.php?workbook=16_15.xlsx&amp;sheet=A0&amp;row=1398&amp;col=6&amp;number=1699200&amp;sourceID=54","1699200")</f>
        <v>1699200</v>
      </c>
      <c r="G1398" s="4" t="str">
        <f>HYPERLINK("http://141.218.60.56/~jnz1568/getInfo.php?workbook=16_15.xlsx&amp;sheet=A0&amp;row=1398&amp;col=7&amp;number=&amp;sourceID=54","")</f>
        <v/>
      </c>
      <c r="H1398" s="4" t="str">
        <f>HYPERLINK("http://141.218.60.56/~jnz1568/getInfo.php?workbook=16_15.xlsx&amp;sheet=A0&amp;row=1398&amp;col=8&amp;number=&amp;sourceID=54","")</f>
        <v/>
      </c>
      <c r="I1398" s="4" t="str">
        <f>HYPERLINK("http://141.218.60.56/~jnz1568/getInfo.php?workbook=16_15.xlsx&amp;sheet=A0&amp;row=1398&amp;col=9&amp;number=1882400&amp;sourceID=54","1882400")</f>
        <v>1882400</v>
      </c>
      <c r="J1398" s="4" t="str">
        <f>HYPERLINK("http://141.218.60.56/~jnz1568/getInfo.php?workbook=16_15.xlsx&amp;sheet=A0&amp;row=1398&amp;col=10&amp;number=&amp;sourceID=54","")</f>
        <v/>
      </c>
      <c r="K1398" s="4" t="str">
        <f>HYPERLINK("http://141.218.60.56/~jnz1568/getInfo.php?workbook=16_15.xlsx&amp;sheet=A0&amp;row=1398&amp;col=11&amp;number=&amp;sourceID=54","")</f>
        <v/>
      </c>
      <c r="L1398" s="4" t="str">
        <f>HYPERLINK("http://141.218.60.56/~jnz1568/getInfo.php?workbook=16_15.xlsx&amp;sheet=A0&amp;row=1398&amp;col=12&amp;number=2704907.5488&amp;sourceID=53","2704907.5488")</f>
        <v>2704907.5488</v>
      </c>
      <c r="M1398" s="4" t="str">
        <f>HYPERLINK("http://141.218.60.56/~jnz1568/getInfo.php?workbook=16_15.xlsx&amp;sheet=A0&amp;row=1398&amp;col=13&amp;number=&amp;sourceID=53","")</f>
        <v/>
      </c>
      <c r="N1398" s="4" t="str">
        <f>HYPERLINK("http://141.218.60.56/~jnz1568/getInfo.php?workbook=16_15.xlsx&amp;sheet=A0&amp;row=1398&amp;col=14&amp;number=&amp;sourceID=53","")</f>
        <v/>
      </c>
      <c r="O1398" s="4" t="str">
        <f>HYPERLINK("http://141.218.60.56/~jnz1568/getInfo.php?workbook=16_15.xlsx&amp;sheet=A0&amp;row=1398&amp;col=15&amp;number=&amp;sourceID=55","")</f>
        <v/>
      </c>
      <c r="P1398" s="4" t="str">
        <f>HYPERLINK("http://141.218.60.56/~jnz1568/getInfo.php?workbook=16_15.xlsx&amp;sheet=A0&amp;row=1398&amp;col=16&amp;number=&amp;sourceID=55","")</f>
        <v/>
      </c>
      <c r="Q1398" s="4" t="str">
        <f>HYPERLINK("http://141.218.60.56/~jnz1568/getInfo.php?workbook=16_15.xlsx&amp;sheet=A0&amp;row=1398&amp;col=17&amp;number=&amp;sourceID=56","")</f>
        <v/>
      </c>
      <c r="R1398" s="4" t="str">
        <f>HYPERLINK("http://141.218.60.56/~jnz1568/getInfo.php?workbook=16_15.xlsx&amp;sheet=A0&amp;row=1398&amp;col=18&amp;number=&amp;sourceID=56","")</f>
        <v/>
      </c>
      <c r="S1398" s="4" t="str">
        <f>HYPERLINK("http://141.218.60.56/~jnz1568/getInfo.php?workbook=16_15.xlsx&amp;sheet=A0&amp;row=1398&amp;col=19&amp;number=&amp;sourceID=57","")</f>
        <v/>
      </c>
      <c r="T1398" s="4" t="str">
        <f>HYPERLINK("http://141.218.60.56/~jnz1568/getInfo.php?workbook=16_15.xlsx&amp;sheet=A0&amp;row=1398&amp;col=20&amp;number=&amp;sourceID=57","")</f>
        <v/>
      </c>
      <c r="U1398" s="4" t="str">
        <f>HYPERLINK("http://141.218.60.56/~jnz1568/getInfo.php?workbook=16_15.xlsx&amp;sheet=A0&amp;row=1398&amp;col=21&amp;number=&amp;sourceID=47","")</f>
        <v/>
      </c>
      <c r="V1398" s="4" t="str">
        <f>HYPERLINK("http://141.218.60.56/~jnz1568/getInfo.php?workbook=16_15.xlsx&amp;sheet=A0&amp;row=1398&amp;col=22&amp;number=&amp;sourceID=47","")</f>
        <v/>
      </c>
    </row>
    <row r="1399" spans="1:22">
      <c r="A1399" s="3">
        <v>16</v>
      </c>
      <c r="B1399" s="3">
        <v>15</v>
      </c>
      <c r="C1399" s="3">
        <v>60</v>
      </c>
      <c r="D1399" s="3">
        <v>49</v>
      </c>
      <c r="E1399" s="3">
        <f>((1/(INDEX(E0!J$4:J$73,C1399,1)-INDEX(E0!J$4:J$73,D1399,1))))*100000000</f>
        <v>0</v>
      </c>
      <c r="F1399" s="4" t="str">
        <f>HYPERLINK("http://141.218.60.56/~jnz1568/getInfo.php?workbook=16_15.xlsx&amp;sheet=A0&amp;row=1399&amp;col=6&amp;number=&amp;sourceID=54","")</f>
        <v/>
      </c>
      <c r="G1399" s="4" t="str">
        <f>HYPERLINK("http://141.218.60.56/~jnz1568/getInfo.php?workbook=16_15.xlsx&amp;sheet=A0&amp;row=1399&amp;col=7&amp;number=0.24178&amp;sourceID=54","0.24178")</f>
        <v>0.24178</v>
      </c>
      <c r="H1399" s="4" t="str">
        <f>HYPERLINK("http://141.218.60.56/~jnz1568/getInfo.php?workbook=16_15.xlsx&amp;sheet=A0&amp;row=1399&amp;col=8&amp;number=0.013985&amp;sourceID=54","0.013985")</f>
        <v>0.013985</v>
      </c>
      <c r="I1399" s="4" t="str">
        <f>HYPERLINK("http://141.218.60.56/~jnz1568/getInfo.php?workbook=16_15.xlsx&amp;sheet=A0&amp;row=1399&amp;col=9&amp;number=&amp;sourceID=54","")</f>
        <v/>
      </c>
      <c r="J1399" s="4" t="str">
        <f>HYPERLINK("http://141.218.60.56/~jnz1568/getInfo.php?workbook=16_15.xlsx&amp;sheet=A0&amp;row=1399&amp;col=10&amp;number=0.19344&amp;sourceID=54","0.19344")</f>
        <v>0.19344</v>
      </c>
      <c r="K1399" s="4" t="str">
        <f>HYPERLINK("http://141.218.60.56/~jnz1568/getInfo.php?workbook=16_15.xlsx&amp;sheet=A0&amp;row=1399&amp;col=11&amp;number=0.012309&amp;sourceID=54","0.012309")</f>
        <v>0.012309</v>
      </c>
      <c r="L1399" s="4" t="str">
        <f>HYPERLINK("http://141.218.60.56/~jnz1568/getInfo.php?workbook=16_15.xlsx&amp;sheet=A0&amp;row=1399&amp;col=12&amp;number=&amp;sourceID=53","")</f>
        <v/>
      </c>
      <c r="M1399" s="4" t="str">
        <f>HYPERLINK("http://141.218.60.56/~jnz1568/getInfo.php?workbook=16_15.xlsx&amp;sheet=A0&amp;row=1399&amp;col=13&amp;number=&amp;sourceID=53","")</f>
        <v/>
      </c>
      <c r="N1399" s="4" t="str">
        <f>HYPERLINK("http://141.218.60.56/~jnz1568/getInfo.php?workbook=16_15.xlsx&amp;sheet=A0&amp;row=1399&amp;col=14&amp;number=&amp;sourceID=53","")</f>
        <v/>
      </c>
      <c r="O1399" s="4" t="str">
        <f>HYPERLINK("http://141.218.60.56/~jnz1568/getInfo.php?workbook=16_15.xlsx&amp;sheet=A0&amp;row=1399&amp;col=15&amp;number=&amp;sourceID=55","")</f>
        <v/>
      </c>
      <c r="P1399" s="4" t="str">
        <f>HYPERLINK("http://141.218.60.56/~jnz1568/getInfo.php?workbook=16_15.xlsx&amp;sheet=A0&amp;row=1399&amp;col=16&amp;number=&amp;sourceID=55","")</f>
        <v/>
      </c>
      <c r="Q1399" s="4" t="str">
        <f>HYPERLINK("http://141.218.60.56/~jnz1568/getInfo.php?workbook=16_15.xlsx&amp;sheet=A0&amp;row=1399&amp;col=17&amp;number=&amp;sourceID=56","")</f>
        <v/>
      </c>
      <c r="R1399" s="4" t="str">
        <f>HYPERLINK("http://141.218.60.56/~jnz1568/getInfo.php?workbook=16_15.xlsx&amp;sheet=A0&amp;row=1399&amp;col=18&amp;number=&amp;sourceID=56","")</f>
        <v/>
      </c>
      <c r="S1399" s="4" t="str">
        <f>HYPERLINK("http://141.218.60.56/~jnz1568/getInfo.php?workbook=16_15.xlsx&amp;sheet=A0&amp;row=1399&amp;col=19&amp;number=&amp;sourceID=57","")</f>
        <v/>
      </c>
      <c r="T1399" s="4" t="str">
        <f>HYPERLINK("http://141.218.60.56/~jnz1568/getInfo.php?workbook=16_15.xlsx&amp;sheet=A0&amp;row=1399&amp;col=20&amp;number=&amp;sourceID=57","")</f>
        <v/>
      </c>
      <c r="U1399" s="4" t="str">
        <f>HYPERLINK("http://141.218.60.56/~jnz1568/getInfo.php?workbook=16_15.xlsx&amp;sheet=A0&amp;row=1399&amp;col=21&amp;number=&amp;sourceID=47","")</f>
        <v/>
      </c>
      <c r="V1399" s="4" t="str">
        <f>HYPERLINK("http://141.218.60.56/~jnz1568/getInfo.php?workbook=16_15.xlsx&amp;sheet=A0&amp;row=1399&amp;col=22&amp;number=&amp;sourceID=47","")</f>
        <v/>
      </c>
    </row>
    <row r="1400" spans="1:22">
      <c r="A1400" s="3">
        <v>16</v>
      </c>
      <c r="B1400" s="3">
        <v>15</v>
      </c>
      <c r="C1400" s="3">
        <v>60</v>
      </c>
      <c r="D1400" s="3">
        <v>51</v>
      </c>
      <c r="E1400" s="3">
        <f>((1/(INDEX(E0!J$4:J$73,C1400,1)-INDEX(E0!J$4:J$73,D1400,1))))*100000000</f>
        <v>0</v>
      </c>
      <c r="F1400" s="4" t="str">
        <f>HYPERLINK("http://141.218.60.56/~jnz1568/getInfo.php?workbook=16_15.xlsx&amp;sheet=A0&amp;row=1400&amp;col=6&amp;number=222870&amp;sourceID=54","222870")</f>
        <v>222870</v>
      </c>
      <c r="G1400" s="4" t="str">
        <f>HYPERLINK("http://141.218.60.56/~jnz1568/getInfo.php?workbook=16_15.xlsx&amp;sheet=A0&amp;row=1400&amp;col=7&amp;number=&amp;sourceID=54","")</f>
        <v/>
      </c>
      <c r="H1400" s="4" t="str">
        <f>HYPERLINK("http://141.218.60.56/~jnz1568/getInfo.php?workbook=16_15.xlsx&amp;sheet=A0&amp;row=1400&amp;col=8&amp;number=&amp;sourceID=54","")</f>
        <v/>
      </c>
      <c r="I1400" s="4" t="str">
        <f>HYPERLINK("http://141.218.60.56/~jnz1568/getInfo.php?workbook=16_15.xlsx&amp;sheet=A0&amp;row=1400&amp;col=9&amp;number=184530&amp;sourceID=54","184530")</f>
        <v>184530</v>
      </c>
      <c r="J1400" s="4" t="str">
        <f>HYPERLINK("http://141.218.60.56/~jnz1568/getInfo.php?workbook=16_15.xlsx&amp;sheet=A0&amp;row=1400&amp;col=10&amp;number=&amp;sourceID=54","")</f>
        <v/>
      </c>
      <c r="K1400" s="4" t="str">
        <f>HYPERLINK("http://141.218.60.56/~jnz1568/getInfo.php?workbook=16_15.xlsx&amp;sheet=A0&amp;row=1400&amp;col=11&amp;number=&amp;sourceID=54","")</f>
        <v/>
      </c>
      <c r="L1400" s="4" t="str">
        <f>HYPERLINK("http://141.218.60.56/~jnz1568/getInfo.php?workbook=16_15.xlsx&amp;sheet=A0&amp;row=1400&amp;col=12&amp;number=226847.847746&amp;sourceID=53","226847.847746")</f>
        <v>226847.847746</v>
      </c>
      <c r="M1400" s="4" t="str">
        <f>HYPERLINK("http://141.218.60.56/~jnz1568/getInfo.php?workbook=16_15.xlsx&amp;sheet=A0&amp;row=1400&amp;col=13&amp;number=&amp;sourceID=53","")</f>
        <v/>
      </c>
      <c r="N1400" s="4" t="str">
        <f>HYPERLINK("http://141.218.60.56/~jnz1568/getInfo.php?workbook=16_15.xlsx&amp;sheet=A0&amp;row=1400&amp;col=14&amp;number=&amp;sourceID=53","")</f>
        <v/>
      </c>
      <c r="O1400" s="4" t="str">
        <f>HYPERLINK("http://141.218.60.56/~jnz1568/getInfo.php?workbook=16_15.xlsx&amp;sheet=A0&amp;row=1400&amp;col=15&amp;number=&amp;sourceID=55","")</f>
        <v/>
      </c>
      <c r="P1400" s="4" t="str">
        <f>HYPERLINK("http://141.218.60.56/~jnz1568/getInfo.php?workbook=16_15.xlsx&amp;sheet=A0&amp;row=1400&amp;col=16&amp;number=&amp;sourceID=55","")</f>
        <v/>
      </c>
      <c r="Q1400" s="4" t="str">
        <f>HYPERLINK("http://141.218.60.56/~jnz1568/getInfo.php?workbook=16_15.xlsx&amp;sheet=A0&amp;row=1400&amp;col=17&amp;number=&amp;sourceID=56","")</f>
        <v/>
      </c>
      <c r="R1400" s="4" t="str">
        <f>HYPERLINK("http://141.218.60.56/~jnz1568/getInfo.php?workbook=16_15.xlsx&amp;sheet=A0&amp;row=1400&amp;col=18&amp;number=&amp;sourceID=56","")</f>
        <v/>
      </c>
      <c r="S1400" s="4" t="str">
        <f>HYPERLINK("http://141.218.60.56/~jnz1568/getInfo.php?workbook=16_15.xlsx&amp;sheet=A0&amp;row=1400&amp;col=19&amp;number=&amp;sourceID=57","")</f>
        <v/>
      </c>
      <c r="T1400" s="4" t="str">
        <f>HYPERLINK("http://141.218.60.56/~jnz1568/getInfo.php?workbook=16_15.xlsx&amp;sheet=A0&amp;row=1400&amp;col=20&amp;number=&amp;sourceID=57","")</f>
        <v/>
      </c>
      <c r="U1400" s="4" t="str">
        <f>HYPERLINK("http://141.218.60.56/~jnz1568/getInfo.php?workbook=16_15.xlsx&amp;sheet=A0&amp;row=1400&amp;col=21&amp;number=&amp;sourceID=47","")</f>
        <v/>
      </c>
      <c r="V1400" s="4" t="str">
        <f>HYPERLINK("http://141.218.60.56/~jnz1568/getInfo.php?workbook=16_15.xlsx&amp;sheet=A0&amp;row=1400&amp;col=22&amp;number=&amp;sourceID=47","")</f>
        <v/>
      </c>
    </row>
    <row r="1401" spans="1:22">
      <c r="A1401" s="3">
        <v>16</v>
      </c>
      <c r="B1401" s="3">
        <v>15</v>
      </c>
      <c r="C1401" s="3">
        <v>60</v>
      </c>
      <c r="D1401" s="3">
        <v>54</v>
      </c>
      <c r="E1401" s="3">
        <f>((1/(INDEX(E0!J$4:J$73,C1401,1)-INDEX(E0!J$4:J$73,D1401,1))))*100000000</f>
        <v>0</v>
      </c>
      <c r="F1401" s="4" t="str">
        <f>HYPERLINK("http://141.218.60.56/~jnz1568/getInfo.php?workbook=16_15.xlsx&amp;sheet=A0&amp;row=1401&amp;col=6&amp;number=156300&amp;sourceID=54","156300")</f>
        <v>156300</v>
      </c>
      <c r="G1401" s="4" t="str">
        <f>HYPERLINK("http://141.218.60.56/~jnz1568/getInfo.php?workbook=16_15.xlsx&amp;sheet=A0&amp;row=1401&amp;col=7&amp;number=&amp;sourceID=54","")</f>
        <v/>
      </c>
      <c r="H1401" s="4" t="str">
        <f>HYPERLINK("http://141.218.60.56/~jnz1568/getInfo.php?workbook=16_15.xlsx&amp;sheet=A0&amp;row=1401&amp;col=8&amp;number=&amp;sourceID=54","")</f>
        <v/>
      </c>
      <c r="I1401" s="4" t="str">
        <f>HYPERLINK("http://141.218.60.56/~jnz1568/getInfo.php?workbook=16_15.xlsx&amp;sheet=A0&amp;row=1401&amp;col=9&amp;number=235200&amp;sourceID=54","235200")</f>
        <v>235200</v>
      </c>
      <c r="J1401" s="4" t="str">
        <f>HYPERLINK("http://141.218.60.56/~jnz1568/getInfo.php?workbook=16_15.xlsx&amp;sheet=A0&amp;row=1401&amp;col=10&amp;number=&amp;sourceID=54","")</f>
        <v/>
      </c>
      <c r="K1401" s="4" t="str">
        <f>HYPERLINK("http://141.218.60.56/~jnz1568/getInfo.php?workbook=16_15.xlsx&amp;sheet=A0&amp;row=1401&amp;col=11&amp;number=&amp;sourceID=54","")</f>
        <v/>
      </c>
      <c r="L1401" s="4" t="str">
        <f>HYPERLINK("http://141.218.60.56/~jnz1568/getInfo.php?workbook=16_15.xlsx&amp;sheet=A0&amp;row=1401&amp;col=12&amp;number=226464.131215&amp;sourceID=53","226464.131215")</f>
        <v>226464.131215</v>
      </c>
      <c r="M1401" s="4" t="str">
        <f>HYPERLINK("http://141.218.60.56/~jnz1568/getInfo.php?workbook=16_15.xlsx&amp;sheet=A0&amp;row=1401&amp;col=13&amp;number=&amp;sourceID=53","")</f>
        <v/>
      </c>
      <c r="N1401" s="4" t="str">
        <f>HYPERLINK("http://141.218.60.56/~jnz1568/getInfo.php?workbook=16_15.xlsx&amp;sheet=A0&amp;row=1401&amp;col=14&amp;number=&amp;sourceID=53","")</f>
        <v/>
      </c>
      <c r="O1401" s="4" t="str">
        <f>HYPERLINK("http://141.218.60.56/~jnz1568/getInfo.php?workbook=16_15.xlsx&amp;sheet=A0&amp;row=1401&amp;col=15&amp;number=&amp;sourceID=55","")</f>
        <v/>
      </c>
      <c r="P1401" s="4" t="str">
        <f>HYPERLINK("http://141.218.60.56/~jnz1568/getInfo.php?workbook=16_15.xlsx&amp;sheet=A0&amp;row=1401&amp;col=16&amp;number=&amp;sourceID=55","")</f>
        <v/>
      </c>
      <c r="Q1401" s="4" t="str">
        <f>HYPERLINK("http://141.218.60.56/~jnz1568/getInfo.php?workbook=16_15.xlsx&amp;sheet=A0&amp;row=1401&amp;col=17&amp;number=&amp;sourceID=56","")</f>
        <v/>
      </c>
      <c r="R1401" s="4" t="str">
        <f>HYPERLINK("http://141.218.60.56/~jnz1568/getInfo.php?workbook=16_15.xlsx&amp;sheet=A0&amp;row=1401&amp;col=18&amp;number=&amp;sourceID=56","")</f>
        <v/>
      </c>
      <c r="S1401" s="4" t="str">
        <f>HYPERLINK("http://141.218.60.56/~jnz1568/getInfo.php?workbook=16_15.xlsx&amp;sheet=A0&amp;row=1401&amp;col=19&amp;number=&amp;sourceID=57","")</f>
        <v/>
      </c>
      <c r="T1401" s="4" t="str">
        <f>HYPERLINK("http://141.218.60.56/~jnz1568/getInfo.php?workbook=16_15.xlsx&amp;sheet=A0&amp;row=1401&amp;col=20&amp;number=&amp;sourceID=57","")</f>
        <v/>
      </c>
      <c r="U1401" s="4" t="str">
        <f>HYPERLINK("http://141.218.60.56/~jnz1568/getInfo.php?workbook=16_15.xlsx&amp;sheet=A0&amp;row=1401&amp;col=21&amp;number=&amp;sourceID=47","")</f>
        <v/>
      </c>
      <c r="V1401" s="4" t="str">
        <f>HYPERLINK("http://141.218.60.56/~jnz1568/getInfo.php?workbook=16_15.xlsx&amp;sheet=A0&amp;row=1401&amp;col=22&amp;number=&amp;sourceID=47","")</f>
        <v/>
      </c>
    </row>
    <row r="1402" spans="1:22">
      <c r="A1402" s="3">
        <v>16</v>
      </c>
      <c r="B1402" s="3">
        <v>15</v>
      </c>
      <c r="C1402" s="3">
        <v>60</v>
      </c>
      <c r="D1402" s="3">
        <v>55</v>
      </c>
      <c r="E1402" s="3">
        <f>((1/(INDEX(E0!J$4:J$73,C1402,1)-INDEX(E0!J$4:J$73,D1402,1))))*100000000</f>
        <v>0</v>
      </c>
      <c r="F1402" s="4" t="str">
        <f>HYPERLINK("http://141.218.60.56/~jnz1568/getInfo.php?workbook=16_15.xlsx&amp;sheet=A0&amp;row=1402&amp;col=6&amp;number=58667&amp;sourceID=54","58667")</f>
        <v>58667</v>
      </c>
      <c r="G1402" s="4" t="str">
        <f>HYPERLINK("http://141.218.60.56/~jnz1568/getInfo.php?workbook=16_15.xlsx&amp;sheet=A0&amp;row=1402&amp;col=7&amp;number=&amp;sourceID=54","")</f>
        <v/>
      </c>
      <c r="H1402" s="4" t="str">
        <f>HYPERLINK("http://141.218.60.56/~jnz1568/getInfo.php?workbook=16_15.xlsx&amp;sheet=A0&amp;row=1402&amp;col=8&amp;number=&amp;sourceID=54","")</f>
        <v/>
      </c>
      <c r="I1402" s="4" t="str">
        <f>HYPERLINK("http://141.218.60.56/~jnz1568/getInfo.php?workbook=16_15.xlsx&amp;sheet=A0&amp;row=1402&amp;col=9&amp;number=97565&amp;sourceID=54","97565")</f>
        <v>97565</v>
      </c>
      <c r="J1402" s="4" t="str">
        <f>HYPERLINK("http://141.218.60.56/~jnz1568/getInfo.php?workbook=16_15.xlsx&amp;sheet=A0&amp;row=1402&amp;col=10&amp;number=&amp;sourceID=54","")</f>
        <v/>
      </c>
      <c r="K1402" s="4" t="str">
        <f>HYPERLINK("http://141.218.60.56/~jnz1568/getInfo.php?workbook=16_15.xlsx&amp;sheet=A0&amp;row=1402&amp;col=11&amp;number=&amp;sourceID=54","")</f>
        <v/>
      </c>
      <c r="L1402" s="4" t="str">
        <f>HYPERLINK("http://141.218.60.56/~jnz1568/getInfo.php?workbook=16_15.xlsx&amp;sheet=A0&amp;row=1402&amp;col=12&amp;number=92024.4168987&amp;sourceID=53","92024.4168987")</f>
        <v>92024.4168987</v>
      </c>
      <c r="M1402" s="4" t="str">
        <f>HYPERLINK("http://141.218.60.56/~jnz1568/getInfo.php?workbook=16_15.xlsx&amp;sheet=A0&amp;row=1402&amp;col=13&amp;number=&amp;sourceID=53","")</f>
        <v/>
      </c>
      <c r="N1402" s="4" t="str">
        <f>HYPERLINK("http://141.218.60.56/~jnz1568/getInfo.php?workbook=16_15.xlsx&amp;sheet=A0&amp;row=1402&amp;col=14&amp;number=&amp;sourceID=53","")</f>
        <v/>
      </c>
      <c r="O1402" s="4" t="str">
        <f>HYPERLINK("http://141.218.60.56/~jnz1568/getInfo.php?workbook=16_15.xlsx&amp;sheet=A0&amp;row=1402&amp;col=15&amp;number=&amp;sourceID=55","")</f>
        <v/>
      </c>
      <c r="P1402" s="4" t="str">
        <f>HYPERLINK("http://141.218.60.56/~jnz1568/getInfo.php?workbook=16_15.xlsx&amp;sheet=A0&amp;row=1402&amp;col=16&amp;number=&amp;sourceID=55","")</f>
        <v/>
      </c>
      <c r="Q1402" s="4" t="str">
        <f>HYPERLINK("http://141.218.60.56/~jnz1568/getInfo.php?workbook=16_15.xlsx&amp;sheet=A0&amp;row=1402&amp;col=17&amp;number=&amp;sourceID=56","")</f>
        <v/>
      </c>
      <c r="R1402" s="4" t="str">
        <f>HYPERLINK("http://141.218.60.56/~jnz1568/getInfo.php?workbook=16_15.xlsx&amp;sheet=A0&amp;row=1402&amp;col=18&amp;number=&amp;sourceID=56","")</f>
        <v/>
      </c>
      <c r="S1402" s="4" t="str">
        <f>HYPERLINK("http://141.218.60.56/~jnz1568/getInfo.php?workbook=16_15.xlsx&amp;sheet=A0&amp;row=1402&amp;col=19&amp;number=&amp;sourceID=57","")</f>
        <v/>
      </c>
      <c r="T1402" s="4" t="str">
        <f>HYPERLINK("http://141.218.60.56/~jnz1568/getInfo.php?workbook=16_15.xlsx&amp;sheet=A0&amp;row=1402&amp;col=20&amp;number=&amp;sourceID=57","")</f>
        <v/>
      </c>
      <c r="U1402" s="4" t="str">
        <f>HYPERLINK("http://141.218.60.56/~jnz1568/getInfo.php?workbook=16_15.xlsx&amp;sheet=A0&amp;row=1402&amp;col=21&amp;number=&amp;sourceID=47","")</f>
        <v/>
      </c>
      <c r="V1402" s="4" t="str">
        <f>HYPERLINK("http://141.218.60.56/~jnz1568/getInfo.php?workbook=16_15.xlsx&amp;sheet=A0&amp;row=1402&amp;col=22&amp;number=&amp;sourceID=47","")</f>
        <v/>
      </c>
    </row>
    <row r="1403" spans="1:22">
      <c r="A1403" s="3">
        <v>16</v>
      </c>
      <c r="B1403" s="3">
        <v>15</v>
      </c>
      <c r="C1403" s="3">
        <v>60</v>
      </c>
      <c r="D1403" s="3">
        <v>56</v>
      </c>
      <c r="E1403" s="3">
        <f>((1/(INDEX(E0!J$4:J$73,C1403,1)-INDEX(E0!J$4:J$73,D1403,1))))*100000000</f>
        <v>0</v>
      </c>
      <c r="F1403" s="4" t="str">
        <f>HYPERLINK("http://141.218.60.56/~jnz1568/getInfo.php?workbook=16_15.xlsx&amp;sheet=A0&amp;row=1403&amp;col=6&amp;number=&amp;sourceID=54","")</f>
        <v/>
      </c>
      <c r="G1403" s="4" t="str">
        <f>HYPERLINK("http://141.218.60.56/~jnz1568/getInfo.php?workbook=16_15.xlsx&amp;sheet=A0&amp;row=1403&amp;col=7&amp;number=0.016321&amp;sourceID=54","0.016321")</f>
        <v>0.016321</v>
      </c>
      <c r="H1403" s="4" t="str">
        <f>HYPERLINK("http://141.218.60.56/~jnz1568/getInfo.php?workbook=16_15.xlsx&amp;sheet=A0&amp;row=1403&amp;col=8&amp;number=&amp;sourceID=54","")</f>
        <v/>
      </c>
      <c r="I1403" s="4" t="str">
        <f>HYPERLINK("http://141.218.60.56/~jnz1568/getInfo.php?workbook=16_15.xlsx&amp;sheet=A0&amp;row=1403&amp;col=9&amp;number=&amp;sourceID=54","")</f>
        <v/>
      </c>
      <c r="J1403" s="4" t="str">
        <f>HYPERLINK("http://141.218.60.56/~jnz1568/getInfo.php?workbook=16_15.xlsx&amp;sheet=A0&amp;row=1403&amp;col=10&amp;number=0.014591&amp;sourceID=54","0.014591")</f>
        <v>0.014591</v>
      </c>
      <c r="K1403" s="4" t="str">
        <f>HYPERLINK("http://141.218.60.56/~jnz1568/getInfo.php?workbook=16_15.xlsx&amp;sheet=A0&amp;row=1403&amp;col=11&amp;number=&amp;sourceID=54","")</f>
        <v/>
      </c>
      <c r="L1403" s="4" t="str">
        <f>HYPERLINK("http://141.218.60.56/~jnz1568/getInfo.php?workbook=16_15.xlsx&amp;sheet=A0&amp;row=1403&amp;col=12&amp;number=&amp;sourceID=53","")</f>
        <v/>
      </c>
      <c r="M1403" s="4" t="str">
        <f>HYPERLINK("http://141.218.60.56/~jnz1568/getInfo.php?workbook=16_15.xlsx&amp;sheet=A0&amp;row=1403&amp;col=13&amp;number=&amp;sourceID=53","")</f>
        <v/>
      </c>
      <c r="N1403" s="4" t="str">
        <f>HYPERLINK("http://141.218.60.56/~jnz1568/getInfo.php?workbook=16_15.xlsx&amp;sheet=A0&amp;row=1403&amp;col=14&amp;number=&amp;sourceID=53","")</f>
        <v/>
      </c>
      <c r="O1403" s="4" t="str">
        <f>HYPERLINK("http://141.218.60.56/~jnz1568/getInfo.php?workbook=16_15.xlsx&amp;sheet=A0&amp;row=1403&amp;col=15&amp;number=&amp;sourceID=55","")</f>
        <v/>
      </c>
      <c r="P1403" s="4" t="str">
        <f>HYPERLINK("http://141.218.60.56/~jnz1568/getInfo.php?workbook=16_15.xlsx&amp;sheet=A0&amp;row=1403&amp;col=16&amp;number=&amp;sourceID=55","")</f>
        <v/>
      </c>
      <c r="Q1403" s="4" t="str">
        <f>HYPERLINK("http://141.218.60.56/~jnz1568/getInfo.php?workbook=16_15.xlsx&amp;sheet=A0&amp;row=1403&amp;col=17&amp;number=&amp;sourceID=56","")</f>
        <v/>
      </c>
      <c r="R1403" s="4" t="str">
        <f>HYPERLINK("http://141.218.60.56/~jnz1568/getInfo.php?workbook=16_15.xlsx&amp;sheet=A0&amp;row=1403&amp;col=18&amp;number=&amp;sourceID=56","")</f>
        <v/>
      </c>
      <c r="S1403" s="4" t="str">
        <f>HYPERLINK("http://141.218.60.56/~jnz1568/getInfo.php?workbook=16_15.xlsx&amp;sheet=A0&amp;row=1403&amp;col=19&amp;number=&amp;sourceID=57","")</f>
        <v/>
      </c>
      <c r="T1403" s="4" t="str">
        <f>HYPERLINK("http://141.218.60.56/~jnz1568/getInfo.php?workbook=16_15.xlsx&amp;sheet=A0&amp;row=1403&amp;col=20&amp;number=&amp;sourceID=57","")</f>
        <v/>
      </c>
      <c r="U1403" s="4" t="str">
        <f>HYPERLINK("http://141.218.60.56/~jnz1568/getInfo.php?workbook=16_15.xlsx&amp;sheet=A0&amp;row=1403&amp;col=21&amp;number=&amp;sourceID=47","")</f>
        <v/>
      </c>
      <c r="V1403" s="4" t="str">
        <f>HYPERLINK("http://141.218.60.56/~jnz1568/getInfo.php?workbook=16_15.xlsx&amp;sheet=A0&amp;row=1403&amp;col=22&amp;number=&amp;sourceID=47","")</f>
        <v/>
      </c>
    </row>
    <row r="1404" spans="1:22">
      <c r="A1404" s="3">
        <v>16</v>
      </c>
      <c r="B1404" s="3">
        <v>15</v>
      </c>
      <c r="C1404" s="3">
        <v>60</v>
      </c>
      <c r="D1404" s="3">
        <v>58</v>
      </c>
      <c r="E1404" s="3">
        <f>((1/(INDEX(E0!J$4:J$73,C1404,1)-INDEX(E0!J$4:J$73,D1404,1))))*100000000</f>
        <v>0</v>
      </c>
      <c r="F1404" s="4" t="str">
        <f>HYPERLINK("http://141.218.60.56/~jnz1568/getInfo.php?workbook=16_15.xlsx&amp;sheet=A0&amp;row=1404&amp;col=6&amp;number=&amp;sourceID=54","")</f>
        <v/>
      </c>
      <c r="G1404" s="4" t="str">
        <f>HYPERLINK("http://141.218.60.56/~jnz1568/getInfo.php?workbook=16_15.xlsx&amp;sheet=A0&amp;row=1404&amp;col=7&amp;number=0.00049392&amp;sourceID=54","0.00049392")</f>
        <v>0.00049392</v>
      </c>
      <c r="H1404" s="4" t="str">
        <f>HYPERLINK("http://141.218.60.56/~jnz1568/getInfo.php?workbook=16_15.xlsx&amp;sheet=A0&amp;row=1404&amp;col=8&amp;number=&amp;sourceID=54","")</f>
        <v/>
      </c>
      <c r="I1404" s="4" t="str">
        <f>HYPERLINK("http://141.218.60.56/~jnz1568/getInfo.php?workbook=16_15.xlsx&amp;sheet=A0&amp;row=1404&amp;col=9&amp;number=&amp;sourceID=54","")</f>
        <v/>
      </c>
      <c r="J1404" s="4" t="str">
        <f>HYPERLINK("http://141.218.60.56/~jnz1568/getInfo.php?workbook=16_15.xlsx&amp;sheet=A0&amp;row=1404&amp;col=10&amp;number=0.0004575&amp;sourceID=54","0.0004575")</f>
        <v>0.0004575</v>
      </c>
      <c r="K1404" s="4" t="str">
        <f>HYPERLINK("http://141.218.60.56/~jnz1568/getInfo.php?workbook=16_15.xlsx&amp;sheet=A0&amp;row=1404&amp;col=11&amp;number=&amp;sourceID=54","")</f>
        <v/>
      </c>
      <c r="L1404" s="4" t="str">
        <f>HYPERLINK("http://141.218.60.56/~jnz1568/getInfo.php?workbook=16_15.xlsx&amp;sheet=A0&amp;row=1404&amp;col=12&amp;number=&amp;sourceID=53","")</f>
        <v/>
      </c>
      <c r="M1404" s="4" t="str">
        <f>HYPERLINK("http://141.218.60.56/~jnz1568/getInfo.php?workbook=16_15.xlsx&amp;sheet=A0&amp;row=1404&amp;col=13&amp;number=&amp;sourceID=53","")</f>
        <v/>
      </c>
      <c r="N1404" s="4" t="str">
        <f>HYPERLINK("http://141.218.60.56/~jnz1568/getInfo.php?workbook=16_15.xlsx&amp;sheet=A0&amp;row=1404&amp;col=14&amp;number=&amp;sourceID=53","")</f>
        <v/>
      </c>
      <c r="O1404" s="4" t="str">
        <f>HYPERLINK("http://141.218.60.56/~jnz1568/getInfo.php?workbook=16_15.xlsx&amp;sheet=A0&amp;row=1404&amp;col=15&amp;number=&amp;sourceID=55","")</f>
        <v/>
      </c>
      <c r="P1404" s="4" t="str">
        <f>HYPERLINK("http://141.218.60.56/~jnz1568/getInfo.php?workbook=16_15.xlsx&amp;sheet=A0&amp;row=1404&amp;col=16&amp;number=&amp;sourceID=55","")</f>
        <v/>
      </c>
      <c r="Q1404" s="4" t="str">
        <f>HYPERLINK("http://141.218.60.56/~jnz1568/getInfo.php?workbook=16_15.xlsx&amp;sheet=A0&amp;row=1404&amp;col=17&amp;number=&amp;sourceID=56","")</f>
        <v/>
      </c>
      <c r="R1404" s="4" t="str">
        <f>HYPERLINK("http://141.218.60.56/~jnz1568/getInfo.php?workbook=16_15.xlsx&amp;sheet=A0&amp;row=1404&amp;col=18&amp;number=&amp;sourceID=56","")</f>
        <v/>
      </c>
      <c r="S1404" s="4" t="str">
        <f>HYPERLINK("http://141.218.60.56/~jnz1568/getInfo.php?workbook=16_15.xlsx&amp;sheet=A0&amp;row=1404&amp;col=19&amp;number=&amp;sourceID=57","")</f>
        <v/>
      </c>
      <c r="T1404" s="4" t="str">
        <f>HYPERLINK("http://141.218.60.56/~jnz1568/getInfo.php?workbook=16_15.xlsx&amp;sheet=A0&amp;row=1404&amp;col=20&amp;number=&amp;sourceID=57","")</f>
        <v/>
      </c>
      <c r="U1404" s="4" t="str">
        <f>HYPERLINK("http://141.218.60.56/~jnz1568/getInfo.php?workbook=16_15.xlsx&amp;sheet=A0&amp;row=1404&amp;col=21&amp;number=&amp;sourceID=47","")</f>
        <v/>
      </c>
      <c r="V1404" s="4" t="str">
        <f>HYPERLINK("http://141.218.60.56/~jnz1568/getInfo.php?workbook=16_15.xlsx&amp;sheet=A0&amp;row=1404&amp;col=22&amp;number=&amp;sourceID=47","")</f>
        <v/>
      </c>
    </row>
    <row r="1405" spans="1:22">
      <c r="A1405" s="3">
        <v>16</v>
      </c>
      <c r="B1405" s="3">
        <v>15</v>
      </c>
      <c r="C1405" s="3">
        <v>60</v>
      </c>
      <c r="D1405" s="3">
        <v>59</v>
      </c>
      <c r="E1405" s="3">
        <f>((1/(INDEX(E0!J$4:J$73,C1405,1)-INDEX(E0!J$4:J$73,D1405,1))))*100000000</f>
        <v>0</v>
      </c>
      <c r="F1405" s="4" t="str">
        <f>HYPERLINK("http://141.218.60.56/~jnz1568/getInfo.php?workbook=16_15.xlsx&amp;sheet=A0&amp;row=1405&amp;col=6&amp;number=&amp;sourceID=54","")</f>
        <v/>
      </c>
      <c r="G1405" s="4" t="str">
        <f>HYPERLINK("http://141.218.60.56/~jnz1568/getInfo.php?workbook=16_15.xlsx&amp;sheet=A0&amp;row=1405&amp;col=7&amp;number=0.0014797&amp;sourceID=54","0.0014797")</f>
        <v>0.0014797</v>
      </c>
      <c r="H1405" s="4" t="str">
        <f>HYPERLINK("http://141.218.60.56/~jnz1568/getInfo.php?workbook=16_15.xlsx&amp;sheet=A0&amp;row=1405&amp;col=8&amp;number=0.001124&amp;sourceID=54","0.001124")</f>
        <v>0.001124</v>
      </c>
      <c r="I1405" s="4" t="str">
        <f>HYPERLINK("http://141.218.60.56/~jnz1568/getInfo.php?workbook=16_15.xlsx&amp;sheet=A0&amp;row=1405&amp;col=9&amp;number=&amp;sourceID=54","")</f>
        <v/>
      </c>
      <c r="J1405" s="4" t="str">
        <f>HYPERLINK("http://141.218.60.56/~jnz1568/getInfo.php?workbook=16_15.xlsx&amp;sheet=A0&amp;row=1405&amp;col=10&amp;number=0.0013159&amp;sourceID=54","0.0013159")</f>
        <v>0.0013159</v>
      </c>
      <c r="K1405" s="4" t="str">
        <f>HYPERLINK("http://141.218.60.56/~jnz1568/getInfo.php?workbook=16_15.xlsx&amp;sheet=A0&amp;row=1405&amp;col=11&amp;number=0.0010936&amp;sourceID=54","0.0010936")</f>
        <v>0.0010936</v>
      </c>
      <c r="L1405" s="4" t="str">
        <f>HYPERLINK("http://141.218.60.56/~jnz1568/getInfo.php?workbook=16_15.xlsx&amp;sheet=A0&amp;row=1405&amp;col=12&amp;number=&amp;sourceID=53","")</f>
        <v/>
      </c>
      <c r="M1405" s="4" t="str">
        <f>HYPERLINK("http://141.218.60.56/~jnz1568/getInfo.php?workbook=16_15.xlsx&amp;sheet=A0&amp;row=1405&amp;col=13&amp;number=&amp;sourceID=53","")</f>
        <v/>
      </c>
      <c r="N1405" s="4" t="str">
        <f>HYPERLINK("http://141.218.60.56/~jnz1568/getInfo.php?workbook=16_15.xlsx&amp;sheet=A0&amp;row=1405&amp;col=14&amp;number=&amp;sourceID=53","")</f>
        <v/>
      </c>
      <c r="O1405" s="4" t="str">
        <f>HYPERLINK("http://141.218.60.56/~jnz1568/getInfo.php?workbook=16_15.xlsx&amp;sheet=A0&amp;row=1405&amp;col=15&amp;number=&amp;sourceID=55","")</f>
        <v/>
      </c>
      <c r="P1405" s="4" t="str">
        <f>HYPERLINK("http://141.218.60.56/~jnz1568/getInfo.php?workbook=16_15.xlsx&amp;sheet=A0&amp;row=1405&amp;col=16&amp;number=&amp;sourceID=55","")</f>
        <v/>
      </c>
      <c r="Q1405" s="4" t="str">
        <f>HYPERLINK("http://141.218.60.56/~jnz1568/getInfo.php?workbook=16_15.xlsx&amp;sheet=A0&amp;row=1405&amp;col=17&amp;number=&amp;sourceID=56","")</f>
        <v/>
      </c>
      <c r="R1405" s="4" t="str">
        <f>HYPERLINK("http://141.218.60.56/~jnz1568/getInfo.php?workbook=16_15.xlsx&amp;sheet=A0&amp;row=1405&amp;col=18&amp;number=&amp;sourceID=56","")</f>
        <v/>
      </c>
      <c r="S1405" s="4" t="str">
        <f>HYPERLINK("http://141.218.60.56/~jnz1568/getInfo.php?workbook=16_15.xlsx&amp;sheet=A0&amp;row=1405&amp;col=19&amp;number=&amp;sourceID=57","")</f>
        <v/>
      </c>
      <c r="T1405" s="4" t="str">
        <f>HYPERLINK("http://141.218.60.56/~jnz1568/getInfo.php?workbook=16_15.xlsx&amp;sheet=A0&amp;row=1405&amp;col=20&amp;number=&amp;sourceID=57","")</f>
        <v/>
      </c>
      <c r="U1405" s="4" t="str">
        <f>HYPERLINK("http://141.218.60.56/~jnz1568/getInfo.php?workbook=16_15.xlsx&amp;sheet=A0&amp;row=1405&amp;col=21&amp;number=&amp;sourceID=47","")</f>
        <v/>
      </c>
      <c r="V1405" s="4" t="str">
        <f>HYPERLINK("http://141.218.60.56/~jnz1568/getInfo.php?workbook=16_15.xlsx&amp;sheet=A0&amp;row=1405&amp;col=22&amp;number=&amp;sourceID=47","")</f>
        <v/>
      </c>
    </row>
    <row r="1406" spans="1:22">
      <c r="A1406" s="3">
        <v>16</v>
      </c>
      <c r="B1406" s="3">
        <v>15</v>
      </c>
      <c r="C1406" s="3">
        <v>61</v>
      </c>
      <c r="D1406" s="3">
        <v>1</v>
      </c>
      <c r="E1406" s="3">
        <f>((1/(INDEX(E0!J$4:J$73,C1406,1)-INDEX(E0!J$4:J$73,D1406,1))))*100000000</f>
        <v>0</v>
      </c>
      <c r="F1406" s="4" t="str">
        <f>HYPERLINK("http://141.218.60.56/~jnz1568/getInfo.php?workbook=16_15.xlsx&amp;sheet=A0&amp;row=1406&amp;col=6&amp;number=&amp;sourceID=54","")</f>
        <v/>
      </c>
      <c r="G1406" s="4" t="str">
        <f>HYPERLINK("http://141.218.60.56/~jnz1568/getInfo.php?workbook=16_15.xlsx&amp;sheet=A0&amp;row=1406&amp;col=7&amp;number=0.018854&amp;sourceID=54","0.018854")</f>
        <v>0.018854</v>
      </c>
      <c r="H1406" s="4" t="str">
        <f>HYPERLINK("http://141.218.60.56/~jnz1568/getInfo.php?workbook=16_15.xlsx&amp;sheet=A0&amp;row=1406&amp;col=8&amp;number=2.0165e-05&amp;sourceID=54","2.0165e-05")</f>
        <v>2.0165e-05</v>
      </c>
      <c r="I1406" s="4" t="str">
        <f>HYPERLINK("http://141.218.60.56/~jnz1568/getInfo.php?workbook=16_15.xlsx&amp;sheet=A0&amp;row=1406&amp;col=9&amp;number=&amp;sourceID=54","")</f>
        <v/>
      </c>
      <c r="J1406" s="4" t="str">
        <f>HYPERLINK("http://141.218.60.56/~jnz1568/getInfo.php?workbook=16_15.xlsx&amp;sheet=A0&amp;row=1406&amp;col=10&amp;number=0.020693&amp;sourceID=54","0.020693")</f>
        <v>0.020693</v>
      </c>
      <c r="K1406" s="4" t="str">
        <f>HYPERLINK("http://141.218.60.56/~jnz1568/getInfo.php?workbook=16_15.xlsx&amp;sheet=A0&amp;row=1406&amp;col=11&amp;number=4.5748e-05&amp;sourceID=54","4.5748e-05")</f>
        <v>4.5748e-05</v>
      </c>
      <c r="L1406" s="4" t="str">
        <f>HYPERLINK("http://141.218.60.56/~jnz1568/getInfo.php?workbook=16_15.xlsx&amp;sheet=A0&amp;row=1406&amp;col=12&amp;number=&amp;sourceID=53","")</f>
        <v/>
      </c>
      <c r="M1406" s="4" t="str">
        <f>HYPERLINK("http://141.218.60.56/~jnz1568/getInfo.php?workbook=16_15.xlsx&amp;sheet=A0&amp;row=1406&amp;col=13&amp;number=&amp;sourceID=53","")</f>
        <v/>
      </c>
      <c r="N1406" s="4" t="str">
        <f>HYPERLINK("http://141.218.60.56/~jnz1568/getInfo.php?workbook=16_15.xlsx&amp;sheet=A0&amp;row=1406&amp;col=14&amp;number=&amp;sourceID=53","")</f>
        <v/>
      </c>
      <c r="O1406" s="4" t="str">
        <f>HYPERLINK("http://141.218.60.56/~jnz1568/getInfo.php?workbook=16_15.xlsx&amp;sheet=A0&amp;row=1406&amp;col=15&amp;number=&amp;sourceID=55","")</f>
        <v/>
      </c>
      <c r="P1406" s="4" t="str">
        <f>HYPERLINK("http://141.218.60.56/~jnz1568/getInfo.php?workbook=16_15.xlsx&amp;sheet=A0&amp;row=1406&amp;col=16&amp;number=&amp;sourceID=55","")</f>
        <v/>
      </c>
      <c r="Q1406" s="4" t="str">
        <f>HYPERLINK("http://141.218.60.56/~jnz1568/getInfo.php?workbook=16_15.xlsx&amp;sheet=A0&amp;row=1406&amp;col=17&amp;number=&amp;sourceID=56","")</f>
        <v/>
      </c>
      <c r="R1406" s="4" t="str">
        <f>HYPERLINK("http://141.218.60.56/~jnz1568/getInfo.php?workbook=16_15.xlsx&amp;sheet=A0&amp;row=1406&amp;col=18&amp;number=&amp;sourceID=56","")</f>
        <v/>
      </c>
      <c r="S1406" s="4" t="str">
        <f>HYPERLINK("http://141.218.60.56/~jnz1568/getInfo.php?workbook=16_15.xlsx&amp;sheet=A0&amp;row=1406&amp;col=19&amp;number=&amp;sourceID=57","")</f>
        <v/>
      </c>
      <c r="T1406" s="4" t="str">
        <f>HYPERLINK("http://141.218.60.56/~jnz1568/getInfo.php?workbook=16_15.xlsx&amp;sheet=A0&amp;row=1406&amp;col=20&amp;number=&amp;sourceID=57","")</f>
        <v/>
      </c>
      <c r="U1406" s="4" t="str">
        <f>HYPERLINK("http://141.218.60.56/~jnz1568/getInfo.php?workbook=16_15.xlsx&amp;sheet=A0&amp;row=1406&amp;col=21&amp;number=&amp;sourceID=47","")</f>
        <v/>
      </c>
      <c r="V1406" s="4" t="str">
        <f>HYPERLINK("http://141.218.60.56/~jnz1568/getInfo.php?workbook=16_15.xlsx&amp;sheet=A0&amp;row=1406&amp;col=22&amp;number=&amp;sourceID=47","")</f>
        <v/>
      </c>
    </row>
    <row r="1407" spans="1:22">
      <c r="A1407" s="3">
        <v>16</v>
      </c>
      <c r="B1407" s="3">
        <v>15</v>
      </c>
      <c r="C1407" s="3">
        <v>61</v>
      </c>
      <c r="D1407" s="3">
        <v>2</v>
      </c>
      <c r="E1407" s="3">
        <f>((1/(INDEX(E0!J$4:J$73,C1407,1)-INDEX(E0!J$4:J$73,D1407,1))))*100000000</f>
        <v>0</v>
      </c>
      <c r="F1407" s="4" t="str">
        <f>HYPERLINK("http://141.218.60.56/~jnz1568/getInfo.php?workbook=16_15.xlsx&amp;sheet=A0&amp;row=1407&amp;col=6&amp;number=&amp;sourceID=54","")</f>
        <v/>
      </c>
      <c r="G1407" s="4" t="str">
        <f>HYPERLINK("http://141.218.60.56/~jnz1568/getInfo.php?workbook=16_15.xlsx&amp;sheet=A0&amp;row=1407&amp;col=7&amp;number=1638.9&amp;sourceID=54","1638.9")</f>
        <v>1638.9</v>
      </c>
      <c r="H1407" s="4" t="str">
        <f>HYPERLINK("http://141.218.60.56/~jnz1568/getInfo.php?workbook=16_15.xlsx&amp;sheet=A0&amp;row=1407&amp;col=8&amp;number=0.045499&amp;sourceID=54","0.045499")</f>
        <v>0.045499</v>
      </c>
      <c r="I1407" s="4" t="str">
        <f>HYPERLINK("http://141.218.60.56/~jnz1568/getInfo.php?workbook=16_15.xlsx&amp;sheet=A0&amp;row=1407&amp;col=9&amp;number=&amp;sourceID=54","")</f>
        <v/>
      </c>
      <c r="J1407" s="4" t="str">
        <f>HYPERLINK("http://141.218.60.56/~jnz1568/getInfo.php?workbook=16_15.xlsx&amp;sheet=A0&amp;row=1407&amp;col=10&amp;number=1660&amp;sourceID=54","1660")</f>
        <v>1660</v>
      </c>
      <c r="K1407" s="4" t="str">
        <f>HYPERLINK("http://141.218.60.56/~jnz1568/getInfo.php?workbook=16_15.xlsx&amp;sheet=A0&amp;row=1407&amp;col=11&amp;number=0.044764&amp;sourceID=54","0.044764")</f>
        <v>0.044764</v>
      </c>
      <c r="L1407" s="4" t="str">
        <f>HYPERLINK("http://141.218.60.56/~jnz1568/getInfo.php?workbook=16_15.xlsx&amp;sheet=A0&amp;row=1407&amp;col=12&amp;number=&amp;sourceID=53","")</f>
        <v/>
      </c>
      <c r="M1407" s="4" t="str">
        <f>HYPERLINK("http://141.218.60.56/~jnz1568/getInfo.php?workbook=16_15.xlsx&amp;sheet=A0&amp;row=1407&amp;col=13&amp;number=&amp;sourceID=53","")</f>
        <v/>
      </c>
      <c r="N1407" s="4" t="str">
        <f>HYPERLINK("http://141.218.60.56/~jnz1568/getInfo.php?workbook=16_15.xlsx&amp;sheet=A0&amp;row=1407&amp;col=14&amp;number=&amp;sourceID=53","")</f>
        <v/>
      </c>
      <c r="O1407" s="4" t="str">
        <f>HYPERLINK("http://141.218.60.56/~jnz1568/getInfo.php?workbook=16_15.xlsx&amp;sheet=A0&amp;row=1407&amp;col=15&amp;number=&amp;sourceID=55","")</f>
        <v/>
      </c>
      <c r="P1407" s="4" t="str">
        <f>HYPERLINK("http://141.218.60.56/~jnz1568/getInfo.php?workbook=16_15.xlsx&amp;sheet=A0&amp;row=1407&amp;col=16&amp;number=&amp;sourceID=55","")</f>
        <v/>
      </c>
      <c r="Q1407" s="4" t="str">
        <f>HYPERLINK("http://141.218.60.56/~jnz1568/getInfo.php?workbook=16_15.xlsx&amp;sheet=A0&amp;row=1407&amp;col=17&amp;number=&amp;sourceID=56","")</f>
        <v/>
      </c>
      <c r="R1407" s="4" t="str">
        <f>HYPERLINK("http://141.218.60.56/~jnz1568/getInfo.php?workbook=16_15.xlsx&amp;sheet=A0&amp;row=1407&amp;col=18&amp;number=&amp;sourceID=56","")</f>
        <v/>
      </c>
      <c r="S1407" s="4" t="str">
        <f>HYPERLINK("http://141.218.60.56/~jnz1568/getInfo.php?workbook=16_15.xlsx&amp;sheet=A0&amp;row=1407&amp;col=19&amp;number=&amp;sourceID=57","")</f>
        <v/>
      </c>
      <c r="T1407" s="4" t="str">
        <f>HYPERLINK("http://141.218.60.56/~jnz1568/getInfo.php?workbook=16_15.xlsx&amp;sheet=A0&amp;row=1407&amp;col=20&amp;number=&amp;sourceID=57","")</f>
        <v/>
      </c>
      <c r="U1407" s="4" t="str">
        <f>HYPERLINK("http://141.218.60.56/~jnz1568/getInfo.php?workbook=16_15.xlsx&amp;sheet=A0&amp;row=1407&amp;col=21&amp;number=&amp;sourceID=47","")</f>
        <v/>
      </c>
      <c r="V1407" s="4" t="str">
        <f>HYPERLINK("http://141.218.60.56/~jnz1568/getInfo.php?workbook=16_15.xlsx&amp;sheet=A0&amp;row=1407&amp;col=22&amp;number=&amp;sourceID=47","")</f>
        <v/>
      </c>
    </row>
    <row r="1408" spans="1:22">
      <c r="A1408" s="3">
        <v>16</v>
      </c>
      <c r="B1408" s="3">
        <v>15</v>
      </c>
      <c r="C1408" s="3">
        <v>61</v>
      </c>
      <c r="D1408" s="3">
        <v>3</v>
      </c>
      <c r="E1408" s="3">
        <f>((1/(INDEX(E0!J$4:J$73,C1408,1)-INDEX(E0!J$4:J$73,D1408,1))))*100000000</f>
        <v>0</v>
      </c>
      <c r="F1408" s="4" t="str">
        <f>HYPERLINK("http://141.218.60.56/~jnz1568/getInfo.php?workbook=16_15.xlsx&amp;sheet=A0&amp;row=1408&amp;col=6&amp;number=&amp;sourceID=54","")</f>
        <v/>
      </c>
      <c r="G1408" s="4" t="str">
        <f>HYPERLINK("http://141.218.60.56/~jnz1568/getInfo.php?workbook=16_15.xlsx&amp;sheet=A0&amp;row=1408&amp;col=7&amp;number=3306.9&amp;sourceID=54","3306.9")</f>
        <v>3306.9</v>
      </c>
      <c r="H1408" s="4" t="str">
        <f>HYPERLINK("http://141.218.60.56/~jnz1568/getInfo.php?workbook=16_15.xlsx&amp;sheet=A0&amp;row=1408&amp;col=8&amp;number=0.038428&amp;sourceID=54","0.038428")</f>
        <v>0.038428</v>
      </c>
      <c r="I1408" s="4" t="str">
        <f>HYPERLINK("http://141.218.60.56/~jnz1568/getInfo.php?workbook=16_15.xlsx&amp;sheet=A0&amp;row=1408&amp;col=9&amp;number=&amp;sourceID=54","")</f>
        <v/>
      </c>
      <c r="J1408" s="4" t="str">
        <f>HYPERLINK("http://141.218.60.56/~jnz1568/getInfo.php?workbook=16_15.xlsx&amp;sheet=A0&amp;row=1408&amp;col=10&amp;number=3336.2&amp;sourceID=54","3336.2")</f>
        <v>3336.2</v>
      </c>
      <c r="K1408" s="4" t="str">
        <f>HYPERLINK("http://141.218.60.56/~jnz1568/getInfo.php?workbook=16_15.xlsx&amp;sheet=A0&amp;row=1408&amp;col=11&amp;number=0.038703&amp;sourceID=54","0.038703")</f>
        <v>0.038703</v>
      </c>
      <c r="L1408" s="4" t="str">
        <f>HYPERLINK("http://141.218.60.56/~jnz1568/getInfo.php?workbook=16_15.xlsx&amp;sheet=A0&amp;row=1408&amp;col=12&amp;number=&amp;sourceID=53","")</f>
        <v/>
      </c>
      <c r="M1408" s="4" t="str">
        <f>HYPERLINK("http://141.218.60.56/~jnz1568/getInfo.php?workbook=16_15.xlsx&amp;sheet=A0&amp;row=1408&amp;col=13&amp;number=&amp;sourceID=53","")</f>
        <v/>
      </c>
      <c r="N1408" s="4" t="str">
        <f>HYPERLINK("http://141.218.60.56/~jnz1568/getInfo.php?workbook=16_15.xlsx&amp;sheet=A0&amp;row=1408&amp;col=14&amp;number=&amp;sourceID=53","")</f>
        <v/>
      </c>
      <c r="O1408" s="4" t="str">
        <f>HYPERLINK("http://141.218.60.56/~jnz1568/getInfo.php?workbook=16_15.xlsx&amp;sheet=A0&amp;row=1408&amp;col=15&amp;number=&amp;sourceID=55","")</f>
        <v/>
      </c>
      <c r="P1408" s="4" t="str">
        <f>HYPERLINK("http://141.218.60.56/~jnz1568/getInfo.php?workbook=16_15.xlsx&amp;sheet=A0&amp;row=1408&amp;col=16&amp;number=&amp;sourceID=55","")</f>
        <v/>
      </c>
      <c r="Q1408" s="4" t="str">
        <f>HYPERLINK("http://141.218.60.56/~jnz1568/getInfo.php?workbook=16_15.xlsx&amp;sheet=A0&amp;row=1408&amp;col=17&amp;number=&amp;sourceID=56","")</f>
        <v/>
      </c>
      <c r="R1408" s="4" t="str">
        <f>HYPERLINK("http://141.218.60.56/~jnz1568/getInfo.php?workbook=16_15.xlsx&amp;sheet=A0&amp;row=1408&amp;col=18&amp;number=&amp;sourceID=56","")</f>
        <v/>
      </c>
      <c r="S1408" s="4" t="str">
        <f>HYPERLINK("http://141.218.60.56/~jnz1568/getInfo.php?workbook=16_15.xlsx&amp;sheet=A0&amp;row=1408&amp;col=19&amp;number=&amp;sourceID=57","")</f>
        <v/>
      </c>
      <c r="T1408" s="4" t="str">
        <f>HYPERLINK("http://141.218.60.56/~jnz1568/getInfo.php?workbook=16_15.xlsx&amp;sheet=A0&amp;row=1408&amp;col=20&amp;number=&amp;sourceID=57","")</f>
        <v/>
      </c>
      <c r="U1408" s="4" t="str">
        <f>HYPERLINK("http://141.218.60.56/~jnz1568/getInfo.php?workbook=16_15.xlsx&amp;sheet=A0&amp;row=1408&amp;col=21&amp;number=&amp;sourceID=47","")</f>
        <v/>
      </c>
      <c r="V1408" s="4" t="str">
        <f>HYPERLINK("http://141.218.60.56/~jnz1568/getInfo.php?workbook=16_15.xlsx&amp;sheet=A0&amp;row=1408&amp;col=22&amp;number=&amp;sourceID=47","")</f>
        <v/>
      </c>
    </row>
    <row r="1409" spans="1:22">
      <c r="A1409" s="3">
        <v>16</v>
      </c>
      <c r="B1409" s="3">
        <v>15</v>
      </c>
      <c r="C1409" s="3">
        <v>61</v>
      </c>
      <c r="D1409" s="3">
        <v>4</v>
      </c>
      <c r="E1409" s="3">
        <f>((1/(INDEX(E0!J$4:J$73,C1409,1)-INDEX(E0!J$4:J$73,D1409,1))))*100000000</f>
        <v>0</v>
      </c>
      <c r="F1409" s="4" t="str">
        <f>HYPERLINK("http://141.218.60.56/~jnz1568/getInfo.php?workbook=16_15.xlsx&amp;sheet=A0&amp;row=1409&amp;col=6&amp;number=&amp;sourceID=54","")</f>
        <v/>
      </c>
      <c r="G1409" s="4" t="str">
        <f>HYPERLINK("http://141.218.60.56/~jnz1568/getInfo.php?workbook=16_15.xlsx&amp;sheet=A0&amp;row=1409&amp;col=7&amp;number=30.195&amp;sourceID=54","30.195")</f>
        <v>30.195</v>
      </c>
      <c r="H1409" s="4" t="str">
        <f>HYPERLINK("http://141.218.60.56/~jnz1568/getInfo.php?workbook=16_15.xlsx&amp;sheet=A0&amp;row=1409&amp;col=8&amp;number=0.079166&amp;sourceID=54","0.079166")</f>
        <v>0.079166</v>
      </c>
      <c r="I1409" s="4" t="str">
        <f>HYPERLINK("http://141.218.60.56/~jnz1568/getInfo.php?workbook=16_15.xlsx&amp;sheet=A0&amp;row=1409&amp;col=9&amp;number=&amp;sourceID=54","")</f>
        <v/>
      </c>
      <c r="J1409" s="4" t="str">
        <f>HYPERLINK("http://141.218.60.56/~jnz1568/getInfo.php?workbook=16_15.xlsx&amp;sheet=A0&amp;row=1409&amp;col=10&amp;number=30.737&amp;sourceID=54","30.737")</f>
        <v>30.737</v>
      </c>
      <c r="K1409" s="4" t="str">
        <f>HYPERLINK("http://141.218.60.56/~jnz1568/getInfo.php?workbook=16_15.xlsx&amp;sheet=A0&amp;row=1409&amp;col=11&amp;number=0.079507&amp;sourceID=54","0.079507")</f>
        <v>0.079507</v>
      </c>
      <c r="L1409" s="4" t="str">
        <f>HYPERLINK("http://141.218.60.56/~jnz1568/getInfo.php?workbook=16_15.xlsx&amp;sheet=A0&amp;row=1409&amp;col=12&amp;number=&amp;sourceID=53","")</f>
        <v/>
      </c>
      <c r="M1409" s="4" t="str">
        <f>HYPERLINK("http://141.218.60.56/~jnz1568/getInfo.php?workbook=16_15.xlsx&amp;sheet=A0&amp;row=1409&amp;col=13&amp;number=&amp;sourceID=53","")</f>
        <v/>
      </c>
      <c r="N1409" s="4" t="str">
        <f>HYPERLINK("http://141.218.60.56/~jnz1568/getInfo.php?workbook=16_15.xlsx&amp;sheet=A0&amp;row=1409&amp;col=14&amp;number=&amp;sourceID=53","")</f>
        <v/>
      </c>
      <c r="O1409" s="4" t="str">
        <f>HYPERLINK("http://141.218.60.56/~jnz1568/getInfo.php?workbook=16_15.xlsx&amp;sheet=A0&amp;row=1409&amp;col=15&amp;number=&amp;sourceID=55","")</f>
        <v/>
      </c>
      <c r="P1409" s="4" t="str">
        <f>HYPERLINK("http://141.218.60.56/~jnz1568/getInfo.php?workbook=16_15.xlsx&amp;sheet=A0&amp;row=1409&amp;col=16&amp;number=&amp;sourceID=55","")</f>
        <v/>
      </c>
      <c r="Q1409" s="4" t="str">
        <f>HYPERLINK("http://141.218.60.56/~jnz1568/getInfo.php?workbook=16_15.xlsx&amp;sheet=A0&amp;row=1409&amp;col=17&amp;number=&amp;sourceID=56","")</f>
        <v/>
      </c>
      <c r="R1409" s="4" t="str">
        <f>HYPERLINK("http://141.218.60.56/~jnz1568/getInfo.php?workbook=16_15.xlsx&amp;sheet=A0&amp;row=1409&amp;col=18&amp;number=&amp;sourceID=56","")</f>
        <v/>
      </c>
      <c r="S1409" s="4" t="str">
        <f>HYPERLINK("http://141.218.60.56/~jnz1568/getInfo.php?workbook=16_15.xlsx&amp;sheet=A0&amp;row=1409&amp;col=19&amp;number=&amp;sourceID=57","")</f>
        <v/>
      </c>
      <c r="T1409" s="4" t="str">
        <f>HYPERLINK("http://141.218.60.56/~jnz1568/getInfo.php?workbook=16_15.xlsx&amp;sheet=A0&amp;row=1409&amp;col=20&amp;number=&amp;sourceID=57","")</f>
        <v/>
      </c>
      <c r="U1409" s="4" t="str">
        <f>HYPERLINK("http://141.218.60.56/~jnz1568/getInfo.php?workbook=16_15.xlsx&amp;sheet=A0&amp;row=1409&amp;col=21&amp;number=&amp;sourceID=47","")</f>
        <v/>
      </c>
      <c r="V1409" s="4" t="str">
        <f>HYPERLINK("http://141.218.60.56/~jnz1568/getInfo.php?workbook=16_15.xlsx&amp;sheet=A0&amp;row=1409&amp;col=22&amp;number=&amp;sourceID=47","")</f>
        <v/>
      </c>
    </row>
    <row r="1410" spans="1:22">
      <c r="A1410" s="3">
        <v>16</v>
      </c>
      <c r="B1410" s="3">
        <v>15</v>
      </c>
      <c r="C1410" s="3">
        <v>61</v>
      </c>
      <c r="D1410" s="3">
        <v>5</v>
      </c>
      <c r="E1410" s="3">
        <f>((1/(INDEX(E0!J$4:J$73,C1410,1)-INDEX(E0!J$4:J$73,D1410,1))))*100000000</f>
        <v>0</v>
      </c>
      <c r="F1410" s="4" t="str">
        <f>HYPERLINK("http://141.218.60.56/~jnz1568/getInfo.php?workbook=16_15.xlsx&amp;sheet=A0&amp;row=1410&amp;col=6&amp;number=&amp;sourceID=54","")</f>
        <v/>
      </c>
      <c r="G1410" s="4" t="str">
        <f>HYPERLINK("http://141.218.60.56/~jnz1568/getInfo.php?workbook=16_15.xlsx&amp;sheet=A0&amp;row=1410&amp;col=7&amp;number=0.00047142&amp;sourceID=54","0.00047142")</f>
        <v>0.00047142</v>
      </c>
      <c r="H1410" s="4" t="str">
        <f>HYPERLINK("http://141.218.60.56/~jnz1568/getInfo.php?workbook=16_15.xlsx&amp;sheet=A0&amp;row=1410&amp;col=8&amp;number=2.5642&amp;sourceID=54","2.5642")</f>
        <v>2.5642</v>
      </c>
      <c r="I1410" s="4" t="str">
        <f>HYPERLINK("http://141.218.60.56/~jnz1568/getInfo.php?workbook=16_15.xlsx&amp;sheet=A0&amp;row=1410&amp;col=9&amp;number=&amp;sourceID=54","")</f>
        <v/>
      </c>
      <c r="J1410" s="4" t="str">
        <f>HYPERLINK("http://141.218.60.56/~jnz1568/getInfo.php?workbook=16_15.xlsx&amp;sheet=A0&amp;row=1410&amp;col=10&amp;number=0.0016059&amp;sourceID=54","0.0016059")</f>
        <v>0.0016059</v>
      </c>
      <c r="K1410" s="4" t="str">
        <f>HYPERLINK("http://141.218.60.56/~jnz1568/getInfo.php?workbook=16_15.xlsx&amp;sheet=A0&amp;row=1410&amp;col=11&amp;number=2.5727&amp;sourceID=54","2.5727")</f>
        <v>2.5727</v>
      </c>
      <c r="L1410" s="4" t="str">
        <f>HYPERLINK("http://141.218.60.56/~jnz1568/getInfo.php?workbook=16_15.xlsx&amp;sheet=A0&amp;row=1410&amp;col=12&amp;number=&amp;sourceID=53","")</f>
        <v/>
      </c>
      <c r="M1410" s="4" t="str">
        <f>HYPERLINK("http://141.218.60.56/~jnz1568/getInfo.php?workbook=16_15.xlsx&amp;sheet=A0&amp;row=1410&amp;col=13&amp;number=&amp;sourceID=53","")</f>
        <v/>
      </c>
      <c r="N1410" s="4" t="str">
        <f>HYPERLINK("http://141.218.60.56/~jnz1568/getInfo.php?workbook=16_15.xlsx&amp;sheet=A0&amp;row=1410&amp;col=14&amp;number=&amp;sourceID=53","")</f>
        <v/>
      </c>
      <c r="O1410" s="4" t="str">
        <f>HYPERLINK("http://141.218.60.56/~jnz1568/getInfo.php?workbook=16_15.xlsx&amp;sheet=A0&amp;row=1410&amp;col=15&amp;number=&amp;sourceID=55","")</f>
        <v/>
      </c>
      <c r="P1410" s="4" t="str">
        <f>HYPERLINK("http://141.218.60.56/~jnz1568/getInfo.php?workbook=16_15.xlsx&amp;sheet=A0&amp;row=1410&amp;col=16&amp;number=&amp;sourceID=55","")</f>
        <v/>
      </c>
      <c r="Q1410" s="4" t="str">
        <f>HYPERLINK("http://141.218.60.56/~jnz1568/getInfo.php?workbook=16_15.xlsx&amp;sheet=A0&amp;row=1410&amp;col=17&amp;number=&amp;sourceID=56","")</f>
        <v/>
      </c>
      <c r="R1410" s="4" t="str">
        <f>HYPERLINK("http://141.218.60.56/~jnz1568/getInfo.php?workbook=16_15.xlsx&amp;sheet=A0&amp;row=1410&amp;col=18&amp;number=&amp;sourceID=56","")</f>
        <v/>
      </c>
      <c r="S1410" s="4" t="str">
        <f>HYPERLINK("http://141.218.60.56/~jnz1568/getInfo.php?workbook=16_15.xlsx&amp;sheet=A0&amp;row=1410&amp;col=19&amp;number=&amp;sourceID=57","")</f>
        <v/>
      </c>
      <c r="T1410" s="4" t="str">
        <f>HYPERLINK("http://141.218.60.56/~jnz1568/getInfo.php?workbook=16_15.xlsx&amp;sheet=A0&amp;row=1410&amp;col=20&amp;number=&amp;sourceID=57","")</f>
        <v/>
      </c>
      <c r="U1410" s="4" t="str">
        <f>HYPERLINK("http://141.218.60.56/~jnz1568/getInfo.php?workbook=16_15.xlsx&amp;sheet=A0&amp;row=1410&amp;col=21&amp;number=&amp;sourceID=47","")</f>
        <v/>
      </c>
      <c r="V1410" s="4" t="str">
        <f>HYPERLINK("http://141.218.60.56/~jnz1568/getInfo.php?workbook=16_15.xlsx&amp;sheet=A0&amp;row=1410&amp;col=22&amp;number=&amp;sourceID=47","")</f>
        <v/>
      </c>
    </row>
    <row r="1411" spans="1:22">
      <c r="A1411" s="3">
        <v>16</v>
      </c>
      <c r="B1411" s="3">
        <v>15</v>
      </c>
      <c r="C1411" s="3">
        <v>61</v>
      </c>
      <c r="D1411" s="3">
        <v>6</v>
      </c>
      <c r="E1411" s="3">
        <f>((1/(INDEX(E0!J$4:J$73,C1411,1)-INDEX(E0!J$4:J$73,D1411,1))))*100000000</f>
        <v>0</v>
      </c>
      <c r="F1411" s="4" t="str">
        <f>HYPERLINK("http://141.218.60.56/~jnz1568/getInfo.php?workbook=16_15.xlsx&amp;sheet=A0&amp;row=1411&amp;col=6&amp;number=499.55&amp;sourceID=54","499.55")</f>
        <v>499.55</v>
      </c>
      <c r="G1411" s="4" t="str">
        <f>HYPERLINK("http://141.218.60.56/~jnz1568/getInfo.php?workbook=16_15.xlsx&amp;sheet=A0&amp;row=1411&amp;col=7&amp;number=&amp;sourceID=54","")</f>
        <v/>
      </c>
      <c r="H1411" s="4" t="str">
        <f>HYPERLINK("http://141.218.60.56/~jnz1568/getInfo.php?workbook=16_15.xlsx&amp;sheet=A0&amp;row=1411&amp;col=8&amp;number=&amp;sourceID=54","")</f>
        <v/>
      </c>
      <c r="I1411" s="4" t="str">
        <f>HYPERLINK("http://141.218.60.56/~jnz1568/getInfo.php?workbook=16_15.xlsx&amp;sheet=A0&amp;row=1411&amp;col=9&amp;number=656.57&amp;sourceID=54","656.57")</f>
        <v>656.57</v>
      </c>
      <c r="J1411" s="4" t="str">
        <f>HYPERLINK("http://141.218.60.56/~jnz1568/getInfo.php?workbook=16_15.xlsx&amp;sheet=A0&amp;row=1411&amp;col=10&amp;number=&amp;sourceID=54","")</f>
        <v/>
      </c>
      <c r="K1411" s="4" t="str">
        <f>HYPERLINK("http://141.218.60.56/~jnz1568/getInfo.php?workbook=16_15.xlsx&amp;sheet=A0&amp;row=1411&amp;col=11&amp;number=&amp;sourceID=54","")</f>
        <v/>
      </c>
      <c r="L1411" s="4" t="str">
        <f>HYPERLINK("http://141.218.60.56/~jnz1568/getInfo.php?workbook=16_15.xlsx&amp;sheet=A0&amp;row=1411&amp;col=12&amp;number=1677.61889447&amp;sourceID=53","1677.61889447")</f>
        <v>1677.61889447</v>
      </c>
      <c r="M1411" s="4" t="str">
        <f>HYPERLINK("http://141.218.60.56/~jnz1568/getInfo.php?workbook=16_15.xlsx&amp;sheet=A0&amp;row=1411&amp;col=13&amp;number=&amp;sourceID=53","")</f>
        <v/>
      </c>
      <c r="N1411" s="4" t="str">
        <f>HYPERLINK("http://141.218.60.56/~jnz1568/getInfo.php?workbook=16_15.xlsx&amp;sheet=A0&amp;row=1411&amp;col=14&amp;number=&amp;sourceID=53","")</f>
        <v/>
      </c>
      <c r="O1411" s="4" t="str">
        <f>HYPERLINK("http://141.218.60.56/~jnz1568/getInfo.php?workbook=16_15.xlsx&amp;sheet=A0&amp;row=1411&amp;col=15&amp;number=&amp;sourceID=55","")</f>
        <v/>
      </c>
      <c r="P1411" s="4" t="str">
        <f>HYPERLINK("http://141.218.60.56/~jnz1568/getInfo.php?workbook=16_15.xlsx&amp;sheet=A0&amp;row=1411&amp;col=16&amp;number=&amp;sourceID=55","")</f>
        <v/>
      </c>
      <c r="Q1411" s="4" t="str">
        <f>HYPERLINK("http://141.218.60.56/~jnz1568/getInfo.php?workbook=16_15.xlsx&amp;sheet=A0&amp;row=1411&amp;col=17&amp;number=&amp;sourceID=56","")</f>
        <v/>
      </c>
      <c r="R1411" s="4" t="str">
        <f>HYPERLINK("http://141.218.60.56/~jnz1568/getInfo.php?workbook=16_15.xlsx&amp;sheet=A0&amp;row=1411&amp;col=18&amp;number=&amp;sourceID=56","")</f>
        <v/>
      </c>
      <c r="S1411" s="4" t="str">
        <f>HYPERLINK("http://141.218.60.56/~jnz1568/getInfo.php?workbook=16_15.xlsx&amp;sheet=A0&amp;row=1411&amp;col=19&amp;number=&amp;sourceID=57","")</f>
        <v/>
      </c>
      <c r="T1411" s="4" t="str">
        <f>HYPERLINK("http://141.218.60.56/~jnz1568/getInfo.php?workbook=16_15.xlsx&amp;sheet=A0&amp;row=1411&amp;col=20&amp;number=&amp;sourceID=57","")</f>
        <v/>
      </c>
      <c r="U1411" s="4" t="str">
        <f>HYPERLINK("http://141.218.60.56/~jnz1568/getInfo.php?workbook=16_15.xlsx&amp;sheet=A0&amp;row=1411&amp;col=21&amp;number=&amp;sourceID=47","")</f>
        <v/>
      </c>
      <c r="V1411" s="4" t="str">
        <f>HYPERLINK("http://141.218.60.56/~jnz1568/getInfo.php?workbook=16_15.xlsx&amp;sheet=A0&amp;row=1411&amp;col=22&amp;number=&amp;sourceID=47","")</f>
        <v/>
      </c>
    </row>
    <row r="1412" spans="1:22">
      <c r="A1412" s="3">
        <v>16</v>
      </c>
      <c r="B1412" s="3">
        <v>15</v>
      </c>
      <c r="C1412" s="3">
        <v>61</v>
      </c>
      <c r="D1412" s="3">
        <v>7</v>
      </c>
      <c r="E1412" s="3">
        <f>((1/(INDEX(E0!J$4:J$73,C1412,1)-INDEX(E0!J$4:J$73,D1412,1))))*100000000</f>
        <v>0</v>
      </c>
      <c r="F1412" s="4" t="str">
        <f>HYPERLINK("http://141.218.60.56/~jnz1568/getInfo.php?workbook=16_15.xlsx&amp;sheet=A0&amp;row=1412&amp;col=6&amp;number=19250&amp;sourceID=54","19250")</f>
        <v>19250</v>
      </c>
      <c r="G1412" s="4" t="str">
        <f>HYPERLINK("http://141.218.60.56/~jnz1568/getInfo.php?workbook=16_15.xlsx&amp;sheet=A0&amp;row=1412&amp;col=7&amp;number=&amp;sourceID=54","")</f>
        <v/>
      </c>
      <c r="H1412" s="4" t="str">
        <f>HYPERLINK("http://141.218.60.56/~jnz1568/getInfo.php?workbook=16_15.xlsx&amp;sheet=A0&amp;row=1412&amp;col=8&amp;number=&amp;sourceID=54","")</f>
        <v/>
      </c>
      <c r="I1412" s="4" t="str">
        <f>HYPERLINK("http://141.218.60.56/~jnz1568/getInfo.php?workbook=16_15.xlsx&amp;sheet=A0&amp;row=1412&amp;col=9&amp;number=20404&amp;sourceID=54","20404")</f>
        <v>20404</v>
      </c>
      <c r="J1412" s="4" t="str">
        <f>HYPERLINK("http://141.218.60.56/~jnz1568/getInfo.php?workbook=16_15.xlsx&amp;sheet=A0&amp;row=1412&amp;col=10&amp;number=&amp;sourceID=54","")</f>
        <v/>
      </c>
      <c r="K1412" s="4" t="str">
        <f>HYPERLINK("http://141.218.60.56/~jnz1568/getInfo.php?workbook=16_15.xlsx&amp;sheet=A0&amp;row=1412&amp;col=11&amp;number=&amp;sourceID=54","")</f>
        <v/>
      </c>
      <c r="L1412" s="4" t="str">
        <f>HYPERLINK("http://141.218.60.56/~jnz1568/getInfo.php?workbook=16_15.xlsx&amp;sheet=A0&amp;row=1412&amp;col=12&amp;number=9131.38781147&amp;sourceID=53","9131.38781147")</f>
        <v>9131.38781147</v>
      </c>
      <c r="M1412" s="4" t="str">
        <f>HYPERLINK("http://141.218.60.56/~jnz1568/getInfo.php?workbook=16_15.xlsx&amp;sheet=A0&amp;row=1412&amp;col=13&amp;number=&amp;sourceID=53","")</f>
        <v/>
      </c>
      <c r="N1412" s="4" t="str">
        <f>HYPERLINK("http://141.218.60.56/~jnz1568/getInfo.php?workbook=16_15.xlsx&amp;sheet=A0&amp;row=1412&amp;col=14&amp;number=&amp;sourceID=53","")</f>
        <v/>
      </c>
      <c r="O1412" s="4" t="str">
        <f>HYPERLINK("http://141.218.60.56/~jnz1568/getInfo.php?workbook=16_15.xlsx&amp;sheet=A0&amp;row=1412&amp;col=15&amp;number=&amp;sourceID=55","")</f>
        <v/>
      </c>
      <c r="P1412" s="4" t="str">
        <f>HYPERLINK("http://141.218.60.56/~jnz1568/getInfo.php?workbook=16_15.xlsx&amp;sheet=A0&amp;row=1412&amp;col=16&amp;number=&amp;sourceID=55","")</f>
        <v/>
      </c>
      <c r="Q1412" s="4" t="str">
        <f>HYPERLINK("http://141.218.60.56/~jnz1568/getInfo.php?workbook=16_15.xlsx&amp;sheet=A0&amp;row=1412&amp;col=17&amp;number=&amp;sourceID=56","")</f>
        <v/>
      </c>
      <c r="R1412" s="4" t="str">
        <f>HYPERLINK("http://141.218.60.56/~jnz1568/getInfo.php?workbook=16_15.xlsx&amp;sheet=A0&amp;row=1412&amp;col=18&amp;number=&amp;sourceID=56","")</f>
        <v/>
      </c>
      <c r="S1412" s="4" t="str">
        <f>HYPERLINK("http://141.218.60.56/~jnz1568/getInfo.php?workbook=16_15.xlsx&amp;sheet=A0&amp;row=1412&amp;col=19&amp;number=&amp;sourceID=57","")</f>
        <v/>
      </c>
      <c r="T1412" s="4" t="str">
        <f>HYPERLINK("http://141.218.60.56/~jnz1568/getInfo.php?workbook=16_15.xlsx&amp;sheet=A0&amp;row=1412&amp;col=20&amp;number=&amp;sourceID=57","")</f>
        <v/>
      </c>
      <c r="U1412" s="4" t="str">
        <f>HYPERLINK("http://141.218.60.56/~jnz1568/getInfo.php?workbook=16_15.xlsx&amp;sheet=A0&amp;row=1412&amp;col=21&amp;number=&amp;sourceID=47","")</f>
        <v/>
      </c>
      <c r="V1412" s="4" t="str">
        <f>HYPERLINK("http://141.218.60.56/~jnz1568/getInfo.php?workbook=16_15.xlsx&amp;sheet=A0&amp;row=1412&amp;col=22&amp;number=&amp;sourceID=47","")</f>
        <v/>
      </c>
    </row>
    <row r="1413" spans="1:22">
      <c r="A1413" s="3">
        <v>16</v>
      </c>
      <c r="B1413" s="3">
        <v>15</v>
      </c>
      <c r="C1413" s="3">
        <v>61</v>
      </c>
      <c r="D1413" s="3">
        <v>8</v>
      </c>
      <c r="E1413" s="3">
        <f>((1/(INDEX(E0!J$4:J$73,C1413,1)-INDEX(E0!J$4:J$73,D1413,1))))*100000000</f>
        <v>0</v>
      </c>
      <c r="F1413" s="4" t="str">
        <f>HYPERLINK("http://141.218.60.56/~jnz1568/getInfo.php?workbook=16_15.xlsx&amp;sheet=A0&amp;row=1413&amp;col=6&amp;number=9590.1&amp;sourceID=54","9590.1")</f>
        <v>9590.1</v>
      </c>
      <c r="G1413" s="4" t="str">
        <f>HYPERLINK("http://141.218.60.56/~jnz1568/getInfo.php?workbook=16_15.xlsx&amp;sheet=A0&amp;row=1413&amp;col=7&amp;number=&amp;sourceID=54","")</f>
        <v/>
      </c>
      <c r="H1413" s="4" t="str">
        <f>HYPERLINK("http://141.218.60.56/~jnz1568/getInfo.php?workbook=16_15.xlsx&amp;sheet=A0&amp;row=1413&amp;col=8&amp;number=&amp;sourceID=54","")</f>
        <v/>
      </c>
      <c r="I1413" s="4" t="str">
        <f>HYPERLINK("http://141.218.60.56/~jnz1568/getInfo.php?workbook=16_15.xlsx&amp;sheet=A0&amp;row=1413&amp;col=9&amp;number=10102&amp;sourceID=54","10102")</f>
        <v>10102</v>
      </c>
      <c r="J1413" s="4" t="str">
        <f>HYPERLINK("http://141.218.60.56/~jnz1568/getInfo.php?workbook=16_15.xlsx&amp;sheet=A0&amp;row=1413&amp;col=10&amp;number=&amp;sourceID=54","")</f>
        <v/>
      </c>
      <c r="K1413" s="4" t="str">
        <f>HYPERLINK("http://141.218.60.56/~jnz1568/getInfo.php?workbook=16_15.xlsx&amp;sheet=A0&amp;row=1413&amp;col=11&amp;number=&amp;sourceID=54","")</f>
        <v/>
      </c>
      <c r="L1413" s="4" t="str">
        <f>HYPERLINK("http://141.218.60.56/~jnz1568/getInfo.php?workbook=16_15.xlsx&amp;sheet=A0&amp;row=1413&amp;col=12&amp;number=3763.73020709&amp;sourceID=53","3763.73020709")</f>
        <v>3763.73020709</v>
      </c>
      <c r="M1413" s="4" t="str">
        <f>HYPERLINK("http://141.218.60.56/~jnz1568/getInfo.php?workbook=16_15.xlsx&amp;sheet=A0&amp;row=1413&amp;col=13&amp;number=&amp;sourceID=53","")</f>
        <v/>
      </c>
      <c r="N1413" s="4" t="str">
        <f>HYPERLINK("http://141.218.60.56/~jnz1568/getInfo.php?workbook=16_15.xlsx&amp;sheet=A0&amp;row=1413&amp;col=14&amp;number=&amp;sourceID=53","")</f>
        <v/>
      </c>
      <c r="O1413" s="4" t="str">
        <f>HYPERLINK("http://141.218.60.56/~jnz1568/getInfo.php?workbook=16_15.xlsx&amp;sheet=A0&amp;row=1413&amp;col=15&amp;number=&amp;sourceID=55","")</f>
        <v/>
      </c>
      <c r="P1413" s="4" t="str">
        <f>HYPERLINK("http://141.218.60.56/~jnz1568/getInfo.php?workbook=16_15.xlsx&amp;sheet=A0&amp;row=1413&amp;col=16&amp;number=&amp;sourceID=55","")</f>
        <v/>
      </c>
      <c r="Q1413" s="4" t="str">
        <f>HYPERLINK("http://141.218.60.56/~jnz1568/getInfo.php?workbook=16_15.xlsx&amp;sheet=A0&amp;row=1413&amp;col=17&amp;number=&amp;sourceID=56","")</f>
        <v/>
      </c>
      <c r="R1413" s="4" t="str">
        <f>HYPERLINK("http://141.218.60.56/~jnz1568/getInfo.php?workbook=16_15.xlsx&amp;sheet=A0&amp;row=1413&amp;col=18&amp;number=&amp;sourceID=56","")</f>
        <v/>
      </c>
      <c r="S1413" s="4" t="str">
        <f>HYPERLINK("http://141.218.60.56/~jnz1568/getInfo.php?workbook=16_15.xlsx&amp;sheet=A0&amp;row=1413&amp;col=19&amp;number=&amp;sourceID=57","")</f>
        <v/>
      </c>
      <c r="T1413" s="4" t="str">
        <f>HYPERLINK("http://141.218.60.56/~jnz1568/getInfo.php?workbook=16_15.xlsx&amp;sheet=A0&amp;row=1413&amp;col=20&amp;number=&amp;sourceID=57","")</f>
        <v/>
      </c>
      <c r="U1413" s="4" t="str">
        <f>HYPERLINK("http://141.218.60.56/~jnz1568/getInfo.php?workbook=16_15.xlsx&amp;sheet=A0&amp;row=1413&amp;col=21&amp;number=&amp;sourceID=47","")</f>
        <v/>
      </c>
      <c r="V1413" s="4" t="str">
        <f>HYPERLINK("http://141.218.60.56/~jnz1568/getInfo.php?workbook=16_15.xlsx&amp;sheet=A0&amp;row=1413&amp;col=22&amp;number=&amp;sourceID=47","")</f>
        <v/>
      </c>
    </row>
    <row r="1414" spans="1:22">
      <c r="A1414" s="3">
        <v>16</v>
      </c>
      <c r="B1414" s="3">
        <v>15</v>
      </c>
      <c r="C1414" s="3">
        <v>61</v>
      </c>
      <c r="D1414" s="3">
        <v>9</v>
      </c>
      <c r="E1414" s="3">
        <f>((1/(INDEX(E0!J$4:J$73,C1414,1)-INDEX(E0!J$4:J$73,D1414,1))))*100000000</f>
        <v>0</v>
      </c>
      <c r="F1414" s="4" t="str">
        <f>HYPERLINK("http://141.218.60.56/~jnz1568/getInfo.php?workbook=16_15.xlsx&amp;sheet=A0&amp;row=1414&amp;col=6&amp;number=2924700&amp;sourceID=54","2924700")</f>
        <v>2924700</v>
      </c>
      <c r="G1414" s="4" t="str">
        <f>HYPERLINK("http://141.218.60.56/~jnz1568/getInfo.php?workbook=16_15.xlsx&amp;sheet=A0&amp;row=1414&amp;col=7&amp;number=&amp;sourceID=54","")</f>
        <v/>
      </c>
      <c r="H1414" s="4" t="str">
        <f>HYPERLINK("http://141.218.60.56/~jnz1568/getInfo.php?workbook=16_15.xlsx&amp;sheet=A0&amp;row=1414&amp;col=8&amp;number=&amp;sourceID=54","")</f>
        <v/>
      </c>
      <c r="I1414" s="4" t="str">
        <f>HYPERLINK("http://141.218.60.56/~jnz1568/getInfo.php?workbook=16_15.xlsx&amp;sheet=A0&amp;row=1414&amp;col=9&amp;number=2782200&amp;sourceID=54","2782200")</f>
        <v>2782200</v>
      </c>
      <c r="J1414" s="4" t="str">
        <f>HYPERLINK("http://141.218.60.56/~jnz1568/getInfo.php?workbook=16_15.xlsx&amp;sheet=A0&amp;row=1414&amp;col=10&amp;number=&amp;sourceID=54","")</f>
        <v/>
      </c>
      <c r="K1414" s="4" t="str">
        <f>HYPERLINK("http://141.218.60.56/~jnz1568/getInfo.php?workbook=16_15.xlsx&amp;sheet=A0&amp;row=1414&amp;col=11&amp;number=&amp;sourceID=54","")</f>
        <v/>
      </c>
      <c r="L1414" s="4" t="str">
        <f>HYPERLINK("http://141.218.60.56/~jnz1568/getInfo.php?workbook=16_15.xlsx&amp;sheet=A0&amp;row=1414&amp;col=12&amp;number=3304265.77097&amp;sourceID=53","3304265.77097")</f>
        <v>3304265.77097</v>
      </c>
      <c r="M1414" s="4" t="str">
        <f>HYPERLINK("http://141.218.60.56/~jnz1568/getInfo.php?workbook=16_15.xlsx&amp;sheet=A0&amp;row=1414&amp;col=13&amp;number=&amp;sourceID=53","")</f>
        <v/>
      </c>
      <c r="N1414" s="4" t="str">
        <f>HYPERLINK("http://141.218.60.56/~jnz1568/getInfo.php?workbook=16_15.xlsx&amp;sheet=A0&amp;row=1414&amp;col=14&amp;number=&amp;sourceID=53","")</f>
        <v/>
      </c>
      <c r="O1414" s="4" t="str">
        <f>HYPERLINK("http://141.218.60.56/~jnz1568/getInfo.php?workbook=16_15.xlsx&amp;sheet=A0&amp;row=1414&amp;col=15&amp;number=&amp;sourceID=55","")</f>
        <v/>
      </c>
      <c r="P1414" s="4" t="str">
        <f>HYPERLINK("http://141.218.60.56/~jnz1568/getInfo.php?workbook=16_15.xlsx&amp;sheet=A0&amp;row=1414&amp;col=16&amp;number=&amp;sourceID=55","")</f>
        <v/>
      </c>
      <c r="Q1414" s="4" t="str">
        <f>HYPERLINK("http://141.218.60.56/~jnz1568/getInfo.php?workbook=16_15.xlsx&amp;sheet=A0&amp;row=1414&amp;col=17&amp;number=&amp;sourceID=56","")</f>
        <v/>
      </c>
      <c r="R1414" s="4" t="str">
        <f>HYPERLINK("http://141.218.60.56/~jnz1568/getInfo.php?workbook=16_15.xlsx&amp;sheet=A0&amp;row=1414&amp;col=18&amp;number=&amp;sourceID=56","")</f>
        <v/>
      </c>
      <c r="S1414" s="4" t="str">
        <f>HYPERLINK("http://141.218.60.56/~jnz1568/getInfo.php?workbook=16_15.xlsx&amp;sheet=A0&amp;row=1414&amp;col=19&amp;number=&amp;sourceID=57","")</f>
        <v/>
      </c>
      <c r="T1414" s="4" t="str">
        <f>HYPERLINK("http://141.218.60.56/~jnz1568/getInfo.php?workbook=16_15.xlsx&amp;sheet=A0&amp;row=1414&amp;col=20&amp;number=&amp;sourceID=57","")</f>
        <v/>
      </c>
      <c r="U1414" s="4" t="str">
        <f>HYPERLINK("http://141.218.60.56/~jnz1568/getInfo.php?workbook=16_15.xlsx&amp;sheet=A0&amp;row=1414&amp;col=21&amp;number=&amp;sourceID=47","")</f>
        <v/>
      </c>
      <c r="V1414" s="4" t="str">
        <f>HYPERLINK("http://141.218.60.56/~jnz1568/getInfo.php?workbook=16_15.xlsx&amp;sheet=A0&amp;row=1414&amp;col=22&amp;number=&amp;sourceID=47","")</f>
        <v/>
      </c>
    </row>
    <row r="1415" spans="1:22">
      <c r="A1415" s="3">
        <v>16</v>
      </c>
      <c r="B1415" s="3">
        <v>15</v>
      </c>
      <c r="C1415" s="3">
        <v>61</v>
      </c>
      <c r="D1415" s="3">
        <v>10</v>
      </c>
      <c r="E1415" s="3">
        <f>((1/(INDEX(E0!J$4:J$73,C1415,1)-INDEX(E0!J$4:J$73,D1415,1))))*100000000</f>
        <v>0</v>
      </c>
      <c r="F1415" s="4" t="str">
        <f>HYPERLINK("http://141.218.60.56/~jnz1568/getInfo.php?workbook=16_15.xlsx&amp;sheet=A0&amp;row=1415&amp;col=6&amp;number=36703000&amp;sourceID=54","36703000")</f>
        <v>36703000</v>
      </c>
      <c r="G1415" s="4" t="str">
        <f>HYPERLINK("http://141.218.60.56/~jnz1568/getInfo.php?workbook=16_15.xlsx&amp;sheet=A0&amp;row=1415&amp;col=7&amp;number=&amp;sourceID=54","")</f>
        <v/>
      </c>
      <c r="H1415" s="4" t="str">
        <f>HYPERLINK("http://141.218.60.56/~jnz1568/getInfo.php?workbook=16_15.xlsx&amp;sheet=A0&amp;row=1415&amp;col=8&amp;number=&amp;sourceID=54","")</f>
        <v/>
      </c>
      <c r="I1415" s="4" t="str">
        <f>HYPERLINK("http://141.218.60.56/~jnz1568/getInfo.php?workbook=16_15.xlsx&amp;sheet=A0&amp;row=1415&amp;col=9&amp;number=35355000&amp;sourceID=54","35355000")</f>
        <v>35355000</v>
      </c>
      <c r="J1415" s="4" t="str">
        <f>HYPERLINK("http://141.218.60.56/~jnz1568/getInfo.php?workbook=16_15.xlsx&amp;sheet=A0&amp;row=1415&amp;col=10&amp;number=&amp;sourceID=54","")</f>
        <v/>
      </c>
      <c r="K1415" s="4" t="str">
        <f>HYPERLINK("http://141.218.60.56/~jnz1568/getInfo.php?workbook=16_15.xlsx&amp;sheet=A0&amp;row=1415&amp;col=11&amp;number=&amp;sourceID=54","")</f>
        <v/>
      </c>
      <c r="L1415" s="4" t="str">
        <f>HYPERLINK("http://141.218.60.56/~jnz1568/getInfo.php?workbook=16_15.xlsx&amp;sheet=A0&amp;row=1415&amp;col=12&amp;number=38011217.9244&amp;sourceID=53","38011217.9244")</f>
        <v>38011217.9244</v>
      </c>
      <c r="M1415" s="4" t="str">
        <f>HYPERLINK("http://141.218.60.56/~jnz1568/getInfo.php?workbook=16_15.xlsx&amp;sheet=A0&amp;row=1415&amp;col=13&amp;number=&amp;sourceID=53","")</f>
        <v/>
      </c>
      <c r="N1415" s="4" t="str">
        <f>HYPERLINK("http://141.218.60.56/~jnz1568/getInfo.php?workbook=16_15.xlsx&amp;sheet=A0&amp;row=1415&amp;col=14&amp;number=&amp;sourceID=53","")</f>
        <v/>
      </c>
      <c r="O1415" s="4" t="str">
        <f>HYPERLINK("http://141.218.60.56/~jnz1568/getInfo.php?workbook=16_15.xlsx&amp;sheet=A0&amp;row=1415&amp;col=15&amp;number=&amp;sourceID=55","")</f>
        <v/>
      </c>
      <c r="P1415" s="4" t="str">
        <f>HYPERLINK("http://141.218.60.56/~jnz1568/getInfo.php?workbook=16_15.xlsx&amp;sheet=A0&amp;row=1415&amp;col=16&amp;number=&amp;sourceID=55","")</f>
        <v/>
      </c>
      <c r="Q1415" s="4" t="str">
        <f>HYPERLINK("http://141.218.60.56/~jnz1568/getInfo.php?workbook=16_15.xlsx&amp;sheet=A0&amp;row=1415&amp;col=17&amp;number=&amp;sourceID=56","")</f>
        <v/>
      </c>
      <c r="R1415" s="4" t="str">
        <f>HYPERLINK("http://141.218.60.56/~jnz1568/getInfo.php?workbook=16_15.xlsx&amp;sheet=A0&amp;row=1415&amp;col=18&amp;number=&amp;sourceID=56","")</f>
        <v/>
      </c>
      <c r="S1415" s="4" t="str">
        <f>HYPERLINK("http://141.218.60.56/~jnz1568/getInfo.php?workbook=16_15.xlsx&amp;sheet=A0&amp;row=1415&amp;col=19&amp;number=&amp;sourceID=57","")</f>
        <v/>
      </c>
      <c r="T1415" s="4" t="str">
        <f>HYPERLINK("http://141.218.60.56/~jnz1568/getInfo.php?workbook=16_15.xlsx&amp;sheet=A0&amp;row=1415&amp;col=20&amp;number=&amp;sourceID=57","")</f>
        <v/>
      </c>
      <c r="U1415" s="4" t="str">
        <f>HYPERLINK("http://141.218.60.56/~jnz1568/getInfo.php?workbook=16_15.xlsx&amp;sheet=A0&amp;row=1415&amp;col=21&amp;number=&amp;sourceID=47","")</f>
        <v/>
      </c>
      <c r="V1415" s="4" t="str">
        <f>HYPERLINK("http://141.218.60.56/~jnz1568/getInfo.php?workbook=16_15.xlsx&amp;sheet=A0&amp;row=1415&amp;col=22&amp;number=&amp;sourceID=47","")</f>
        <v/>
      </c>
    </row>
    <row r="1416" spans="1:22">
      <c r="A1416" s="3">
        <v>16</v>
      </c>
      <c r="B1416" s="3">
        <v>15</v>
      </c>
      <c r="C1416" s="3">
        <v>61</v>
      </c>
      <c r="D1416" s="3">
        <v>11</v>
      </c>
      <c r="E1416" s="3">
        <f>((1/(INDEX(E0!J$4:J$73,C1416,1)-INDEX(E0!J$4:J$73,D1416,1))))*100000000</f>
        <v>0</v>
      </c>
      <c r="F1416" s="4" t="str">
        <f>HYPERLINK("http://141.218.60.56/~jnz1568/getInfo.php?workbook=16_15.xlsx&amp;sheet=A0&amp;row=1416&amp;col=6&amp;number=1240000&amp;sourceID=54","1240000")</f>
        <v>1240000</v>
      </c>
      <c r="G1416" s="4" t="str">
        <f>HYPERLINK("http://141.218.60.56/~jnz1568/getInfo.php?workbook=16_15.xlsx&amp;sheet=A0&amp;row=1416&amp;col=7&amp;number=&amp;sourceID=54","")</f>
        <v/>
      </c>
      <c r="H1416" s="4" t="str">
        <f>HYPERLINK("http://141.218.60.56/~jnz1568/getInfo.php?workbook=16_15.xlsx&amp;sheet=A0&amp;row=1416&amp;col=8&amp;number=&amp;sourceID=54","")</f>
        <v/>
      </c>
      <c r="I1416" s="4" t="str">
        <f>HYPERLINK("http://141.218.60.56/~jnz1568/getInfo.php?workbook=16_15.xlsx&amp;sheet=A0&amp;row=1416&amp;col=9&amp;number=1211200&amp;sourceID=54","1211200")</f>
        <v>1211200</v>
      </c>
      <c r="J1416" s="4" t="str">
        <f>HYPERLINK("http://141.218.60.56/~jnz1568/getInfo.php?workbook=16_15.xlsx&amp;sheet=A0&amp;row=1416&amp;col=10&amp;number=&amp;sourceID=54","")</f>
        <v/>
      </c>
      <c r="K1416" s="4" t="str">
        <f>HYPERLINK("http://141.218.60.56/~jnz1568/getInfo.php?workbook=16_15.xlsx&amp;sheet=A0&amp;row=1416&amp;col=11&amp;number=&amp;sourceID=54","")</f>
        <v/>
      </c>
      <c r="L1416" s="4" t="str">
        <f>HYPERLINK("http://141.218.60.56/~jnz1568/getInfo.php?workbook=16_15.xlsx&amp;sheet=A0&amp;row=1416&amp;col=12&amp;number=1303295.93414&amp;sourceID=53","1303295.93414")</f>
        <v>1303295.93414</v>
      </c>
      <c r="M1416" s="4" t="str">
        <f>HYPERLINK("http://141.218.60.56/~jnz1568/getInfo.php?workbook=16_15.xlsx&amp;sheet=A0&amp;row=1416&amp;col=13&amp;number=&amp;sourceID=53","")</f>
        <v/>
      </c>
      <c r="N1416" s="4" t="str">
        <f>HYPERLINK("http://141.218.60.56/~jnz1568/getInfo.php?workbook=16_15.xlsx&amp;sheet=A0&amp;row=1416&amp;col=14&amp;number=&amp;sourceID=53","")</f>
        <v/>
      </c>
      <c r="O1416" s="4" t="str">
        <f>HYPERLINK("http://141.218.60.56/~jnz1568/getInfo.php?workbook=16_15.xlsx&amp;sheet=A0&amp;row=1416&amp;col=15&amp;number=&amp;sourceID=55","")</f>
        <v/>
      </c>
      <c r="P1416" s="4" t="str">
        <f>HYPERLINK("http://141.218.60.56/~jnz1568/getInfo.php?workbook=16_15.xlsx&amp;sheet=A0&amp;row=1416&amp;col=16&amp;number=&amp;sourceID=55","")</f>
        <v/>
      </c>
      <c r="Q1416" s="4" t="str">
        <f>HYPERLINK("http://141.218.60.56/~jnz1568/getInfo.php?workbook=16_15.xlsx&amp;sheet=A0&amp;row=1416&amp;col=17&amp;number=&amp;sourceID=56","")</f>
        <v/>
      </c>
      <c r="R1416" s="4" t="str">
        <f>HYPERLINK("http://141.218.60.56/~jnz1568/getInfo.php?workbook=16_15.xlsx&amp;sheet=A0&amp;row=1416&amp;col=18&amp;number=&amp;sourceID=56","")</f>
        <v/>
      </c>
      <c r="S1416" s="4" t="str">
        <f>HYPERLINK("http://141.218.60.56/~jnz1568/getInfo.php?workbook=16_15.xlsx&amp;sheet=A0&amp;row=1416&amp;col=19&amp;number=&amp;sourceID=57","")</f>
        <v/>
      </c>
      <c r="T1416" s="4" t="str">
        <f>HYPERLINK("http://141.218.60.56/~jnz1568/getInfo.php?workbook=16_15.xlsx&amp;sheet=A0&amp;row=1416&amp;col=20&amp;number=&amp;sourceID=57","")</f>
        <v/>
      </c>
      <c r="U1416" s="4" t="str">
        <f>HYPERLINK("http://141.218.60.56/~jnz1568/getInfo.php?workbook=16_15.xlsx&amp;sheet=A0&amp;row=1416&amp;col=21&amp;number=&amp;sourceID=47","")</f>
        <v/>
      </c>
      <c r="V1416" s="4" t="str">
        <f>HYPERLINK("http://141.218.60.56/~jnz1568/getInfo.php?workbook=16_15.xlsx&amp;sheet=A0&amp;row=1416&amp;col=22&amp;number=&amp;sourceID=47","")</f>
        <v/>
      </c>
    </row>
    <row r="1417" spans="1:22">
      <c r="A1417" s="3">
        <v>16</v>
      </c>
      <c r="B1417" s="3">
        <v>15</v>
      </c>
      <c r="C1417" s="3">
        <v>61</v>
      </c>
      <c r="D1417" s="3">
        <v>12</v>
      </c>
      <c r="E1417" s="3">
        <f>((1/(INDEX(E0!J$4:J$73,C1417,1)-INDEX(E0!J$4:J$73,D1417,1))))*100000000</f>
        <v>0</v>
      </c>
      <c r="F1417" s="4" t="str">
        <f>HYPERLINK("http://141.218.60.56/~jnz1568/getInfo.php?workbook=16_15.xlsx&amp;sheet=A0&amp;row=1417&amp;col=6&amp;number=164730&amp;sourceID=54","164730")</f>
        <v>164730</v>
      </c>
      <c r="G1417" s="4" t="str">
        <f>HYPERLINK("http://141.218.60.56/~jnz1568/getInfo.php?workbook=16_15.xlsx&amp;sheet=A0&amp;row=1417&amp;col=7&amp;number=&amp;sourceID=54","")</f>
        <v/>
      </c>
      <c r="H1417" s="4" t="str">
        <f>HYPERLINK("http://141.218.60.56/~jnz1568/getInfo.php?workbook=16_15.xlsx&amp;sheet=A0&amp;row=1417&amp;col=8&amp;number=&amp;sourceID=54","")</f>
        <v/>
      </c>
      <c r="I1417" s="4" t="str">
        <f>HYPERLINK("http://141.218.60.56/~jnz1568/getInfo.php?workbook=16_15.xlsx&amp;sheet=A0&amp;row=1417&amp;col=9&amp;number=158060&amp;sourceID=54","158060")</f>
        <v>158060</v>
      </c>
      <c r="J1417" s="4" t="str">
        <f>HYPERLINK("http://141.218.60.56/~jnz1568/getInfo.php?workbook=16_15.xlsx&amp;sheet=A0&amp;row=1417&amp;col=10&amp;number=&amp;sourceID=54","")</f>
        <v/>
      </c>
      <c r="K1417" s="4" t="str">
        <f>HYPERLINK("http://141.218.60.56/~jnz1568/getInfo.php?workbook=16_15.xlsx&amp;sheet=A0&amp;row=1417&amp;col=11&amp;number=&amp;sourceID=54","")</f>
        <v/>
      </c>
      <c r="L1417" s="4" t="str">
        <f>HYPERLINK("http://141.218.60.56/~jnz1568/getInfo.php?workbook=16_15.xlsx&amp;sheet=A0&amp;row=1417&amp;col=12&amp;number=183869.419383&amp;sourceID=53","183869.419383")</f>
        <v>183869.419383</v>
      </c>
      <c r="M1417" s="4" t="str">
        <f>HYPERLINK("http://141.218.60.56/~jnz1568/getInfo.php?workbook=16_15.xlsx&amp;sheet=A0&amp;row=1417&amp;col=13&amp;number=&amp;sourceID=53","")</f>
        <v/>
      </c>
      <c r="N1417" s="4" t="str">
        <f>HYPERLINK("http://141.218.60.56/~jnz1568/getInfo.php?workbook=16_15.xlsx&amp;sheet=A0&amp;row=1417&amp;col=14&amp;number=&amp;sourceID=53","")</f>
        <v/>
      </c>
      <c r="O1417" s="4" t="str">
        <f>HYPERLINK("http://141.218.60.56/~jnz1568/getInfo.php?workbook=16_15.xlsx&amp;sheet=A0&amp;row=1417&amp;col=15&amp;number=&amp;sourceID=55","")</f>
        <v/>
      </c>
      <c r="P1417" s="4" t="str">
        <f>HYPERLINK("http://141.218.60.56/~jnz1568/getInfo.php?workbook=16_15.xlsx&amp;sheet=A0&amp;row=1417&amp;col=16&amp;number=&amp;sourceID=55","")</f>
        <v/>
      </c>
      <c r="Q1417" s="4" t="str">
        <f>HYPERLINK("http://141.218.60.56/~jnz1568/getInfo.php?workbook=16_15.xlsx&amp;sheet=A0&amp;row=1417&amp;col=17&amp;number=&amp;sourceID=56","")</f>
        <v/>
      </c>
      <c r="R1417" s="4" t="str">
        <f>HYPERLINK("http://141.218.60.56/~jnz1568/getInfo.php?workbook=16_15.xlsx&amp;sheet=A0&amp;row=1417&amp;col=18&amp;number=&amp;sourceID=56","")</f>
        <v/>
      </c>
      <c r="S1417" s="4" t="str">
        <f>HYPERLINK("http://141.218.60.56/~jnz1568/getInfo.php?workbook=16_15.xlsx&amp;sheet=A0&amp;row=1417&amp;col=19&amp;number=&amp;sourceID=57","")</f>
        <v/>
      </c>
      <c r="T1417" s="4" t="str">
        <f>HYPERLINK("http://141.218.60.56/~jnz1568/getInfo.php?workbook=16_15.xlsx&amp;sheet=A0&amp;row=1417&amp;col=20&amp;number=&amp;sourceID=57","")</f>
        <v/>
      </c>
      <c r="U1417" s="4" t="str">
        <f>HYPERLINK("http://141.218.60.56/~jnz1568/getInfo.php?workbook=16_15.xlsx&amp;sheet=A0&amp;row=1417&amp;col=21&amp;number=&amp;sourceID=47","")</f>
        <v/>
      </c>
      <c r="V1417" s="4" t="str">
        <f>HYPERLINK("http://141.218.60.56/~jnz1568/getInfo.php?workbook=16_15.xlsx&amp;sheet=A0&amp;row=1417&amp;col=22&amp;number=&amp;sourceID=47","")</f>
        <v/>
      </c>
    </row>
    <row r="1418" spans="1:22">
      <c r="A1418" s="3">
        <v>16</v>
      </c>
      <c r="B1418" s="3">
        <v>15</v>
      </c>
      <c r="C1418" s="3">
        <v>61</v>
      </c>
      <c r="D1418" s="3">
        <v>13</v>
      </c>
      <c r="E1418" s="3">
        <f>((1/(INDEX(E0!J$4:J$73,C1418,1)-INDEX(E0!J$4:J$73,D1418,1))))*100000000</f>
        <v>0</v>
      </c>
      <c r="F1418" s="4" t="str">
        <f>HYPERLINK("http://141.218.60.56/~jnz1568/getInfo.php?workbook=16_15.xlsx&amp;sheet=A0&amp;row=1418&amp;col=6&amp;number=165.47&amp;sourceID=54","165.47")</f>
        <v>165.47</v>
      </c>
      <c r="G1418" s="4" t="str">
        <f>HYPERLINK("http://141.218.60.56/~jnz1568/getInfo.php?workbook=16_15.xlsx&amp;sheet=A0&amp;row=1418&amp;col=7&amp;number=&amp;sourceID=54","")</f>
        <v/>
      </c>
      <c r="H1418" s="4" t="str">
        <f>HYPERLINK("http://141.218.60.56/~jnz1568/getInfo.php?workbook=16_15.xlsx&amp;sheet=A0&amp;row=1418&amp;col=8&amp;number=&amp;sourceID=54","")</f>
        <v/>
      </c>
      <c r="I1418" s="4" t="str">
        <f>HYPERLINK("http://141.218.60.56/~jnz1568/getInfo.php?workbook=16_15.xlsx&amp;sheet=A0&amp;row=1418&amp;col=9&amp;number=357.69&amp;sourceID=54","357.69")</f>
        <v>357.69</v>
      </c>
      <c r="J1418" s="4" t="str">
        <f>HYPERLINK("http://141.218.60.56/~jnz1568/getInfo.php?workbook=16_15.xlsx&amp;sheet=A0&amp;row=1418&amp;col=10&amp;number=&amp;sourceID=54","")</f>
        <v/>
      </c>
      <c r="K1418" s="4" t="str">
        <f>HYPERLINK("http://141.218.60.56/~jnz1568/getInfo.php?workbook=16_15.xlsx&amp;sheet=A0&amp;row=1418&amp;col=11&amp;number=&amp;sourceID=54","")</f>
        <v/>
      </c>
      <c r="L1418" s="4" t="str">
        <f>HYPERLINK("http://141.218.60.56/~jnz1568/getInfo.php?workbook=16_15.xlsx&amp;sheet=A0&amp;row=1418&amp;col=12&amp;number=232.224668519&amp;sourceID=53","232.224668519")</f>
        <v>232.224668519</v>
      </c>
      <c r="M1418" s="4" t="str">
        <f>HYPERLINK("http://141.218.60.56/~jnz1568/getInfo.php?workbook=16_15.xlsx&amp;sheet=A0&amp;row=1418&amp;col=13&amp;number=&amp;sourceID=53","")</f>
        <v/>
      </c>
      <c r="N1418" s="4" t="str">
        <f>HYPERLINK("http://141.218.60.56/~jnz1568/getInfo.php?workbook=16_15.xlsx&amp;sheet=A0&amp;row=1418&amp;col=14&amp;number=&amp;sourceID=53","")</f>
        <v/>
      </c>
      <c r="O1418" s="4" t="str">
        <f>HYPERLINK("http://141.218.60.56/~jnz1568/getInfo.php?workbook=16_15.xlsx&amp;sheet=A0&amp;row=1418&amp;col=15&amp;number=&amp;sourceID=55","")</f>
        <v/>
      </c>
      <c r="P1418" s="4" t="str">
        <f>HYPERLINK("http://141.218.60.56/~jnz1568/getInfo.php?workbook=16_15.xlsx&amp;sheet=A0&amp;row=1418&amp;col=16&amp;number=&amp;sourceID=55","")</f>
        <v/>
      </c>
      <c r="Q1418" s="4" t="str">
        <f>HYPERLINK("http://141.218.60.56/~jnz1568/getInfo.php?workbook=16_15.xlsx&amp;sheet=A0&amp;row=1418&amp;col=17&amp;number=&amp;sourceID=56","")</f>
        <v/>
      </c>
      <c r="R1418" s="4" t="str">
        <f>HYPERLINK("http://141.218.60.56/~jnz1568/getInfo.php?workbook=16_15.xlsx&amp;sheet=A0&amp;row=1418&amp;col=18&amp;number=&amp;sourceID=56","")</f>
        <v/>
      </c>
      <c r="S1418" s="4" t="str">
        <f>HYPERLINK("http://141.218.60.56/~jnz1568/getInfo.php?workbook=16_15.xlsx&amp;sheet=A0&amp;row=1418&amp;col=19&amp;number=&amp;sourceID=57","")</f>
        <v/>
      </c>
      <c r="T1418" s="4" t="str">
        <f>HYPERLINK("http://141.218.60.56/~jnz1568/getInfo.php?workbook=16_15.xlsx&amp;sheet=A0&amp;row=1418&amp;col=20&amp;number=&amp;sourceID=57","")</f>
        <v/>
      </c>
      <c r="U1418" s="4" t="str">
        <f>HYPERLINK("http://141.218.60.56/~jnz1568/getInfo.php?workbook=16_15.xlsx&amp;sheet=A0&amp;row=1418&amp;col=21&amp;number=&amp;sourceID=47","")</f>
        <v/>
      </c>
      <c r="V1418" s="4" t="str">
        <f>HYPERLINK("http://141.218.60.56/~jnz1568/getInfo.php?workbook=16_15.xlsx&amp;sheet=A0&amp;row=1418&amp;col=22&amp;number=&amp;sourceID=47","")</f>
        <v/>
      </c>
    </row>
    <row r="1419" spans="1:22">
      <c r="A1419" s="3">
        <v>16</v>
      </c>
      <c r="B1419" s="3">
        <v>15</v>
      </c>
      <c r="C1419" s="3">
        <v>61</v>
      </c>
      <c r="D1419" s="3">
        <v>14</v>
      </c>
      <c r="E1419" s="3">
        <f>((1/(INDEX(E0!J$4:J$73,C1419,1)-INDEX(E0!J$4:J$73,D1419,1))))*100000000</f>
        <v>0</v>
      </c>
      <c r="F1419" s="4" t="str">
        <f>HYPERLINK("http://141.218.60.56/~jnz1568/getInfo.php?workbook=16_15.xlsx&amp;sheet=A0&amp;row=1419&amp;col=6&amp;number=20144&amp;sourceID=54","20144")</f>
        <v>20144</v>
      </c>
      <c r="G1419" s="4" t="str">
        <f>HYPERLINK("http://141.218.60.56/~jnz1568/getInfo.php?workbook=16_15.xlsx&amp;sheet=A0&amp;row=1419&amp;col=7&amp;number=&amp;sourceID=54","")</f>
        <v/>
      </c>
      <c r="H1419" s="4" t="str">
        <f>HYPERLINK("http://141.218.60.56/~jnz1568/getInfo.php?workbook=16_15.xlsx&amp;sheet=A0&amp;row=1419&amp;col=8&amp;number=&amp;sourceID=54","")</f>
        <v/>
      </c>
      <c r="I1419" s="4" t="str">
        <f>HYPERLINK("http://141.218.60.56/~jnz1568/getInfo.php?workbook=16_15.xlsx&amp;sheet=A0&amp;row=1419&amp;col=9&amp;number=28363&amp;sourceID=54","28363")</f>
        <v>28363</v>
      </c>
      <c r="J1419" s="4" t="str">
        <f>HYPERLINK("http://141.218.60.56/~jnz1568/getInfo.php?workbook=16_15.xlsx&amp;sheet=A0&amp;row=1419&amp;col=10&amp;number=&amp;sourceID=54","")</f>
        <v/>
      </c>
      <c r="K1419" s="4" t="str">
        <f>HYPERLINK("http://141.218.60.56/~jnz1568/getInfo.php?workbook=16_15.xlsx&amp;sheet=A0&amp;row=1419&amp;col=11&amp;number=&amp;sourceID=54","")</f>
        <v/>
      </c>
      <c r="L1419" s="4" t="str">
        <f>HYPERLINK("http://141.218.60.56/~jnz1568/getInfo.php?workbook=16_15.xlsx&amp;sheet=A0&amp;row=1419&amp;col=12&amp;number=21500.0697691&amp;sourceID=53","21500.0697691")</f>
        <v>21500.0697691</v>
      </c>
      <c r="M1419" s="4" t="str">
        <f>HYPERLINK("http://141.218.60.56/~jnz1568/getInfo.php?workbook=16_15.xlsx&amp;sheet=A0&amp;row=1419&amp;col=13&amp;number=&amp;sourceID=53","")</f>
        <v/>
      </c>
      <c r="N1419" s="4" t="str">
        <f>HYPERLINK("http://141.218.60.56/~jnz1568/getInfo.php?workbook=16_15.xlsx&amp;sheet=A0&amp;row=1419&amp;col=14&amp;number=&amp;sourceID=53","")</f>
        <v/>
      </c>
      <c r="O1419" s="4" t="str">
        <f>HYPERLINK("http://141.218.60.56/~jnz1568/getInfo.php?workbook=16_15.xlsx&amp;sheet=A0&amp;row=1419&amp;col=15&amp;number=&amp;sourceID=55","")</f>
        <v/>
      </c>
      <c r="P1419" s="4" t="str">
        <f>HYPERLINK("http://141.218.60.56/~jnz1568/getInfo.php?workbook=16_15.xlsx&amp;sheet=A0&amp;row=1419&amp;col=16&amp;number=&amp;sourceID=55","")</f>
        <v/>
      </c>
      <c r="Q1419" s="4" t="str">
        <f>HYPERLINK("http://141.218.60.56/~jnz1568/getInfo.php?workbook=16_15.xlsx&amp;sheet=A0&amp;row=1419&amp;col=17&amp;number=&amp;sourceID=56","")</f>
        <v/>
      </c>
      <c r="R1419" s="4" t="str">
        <f>HYPERLINK("http://141.218.60.56/~jnz1568/getInfo.php?workbook=16_15.xlsx&amp;sheet=A0&amp;row=1419&amp;col=18&amp;number=&amp;sourceID=56","")</f>
        <v/>
      </c>
      <c r="S1419" s="4" t="str">
        <f>HYPERLINK("http://141.218.60.56/~jnz1568/getInfo.php?workbook=16_15.xlsx&amp;sheet=A0&amp;row=1419&amp;col=19&amp;number=&amp;sourceID=57","")</f>
        <v/>
      </c>
      <c r="T1419" s="4" t="str">
        <f>HYPERLINK("http://141.218.60.56/~jnz1568/getInfo.php?workbook=16_15.xlsx&amp;sheet=A0&amp;row=1419&amp;col=20&amp;number=&amp;sourceID=57","")</f>
        <v/>
      </c>
      <c r="U1419" s="4" t="str">
        <f>HYPERLINK("http://141.218.60.56/~jnz1568/getInfo.php?workbook=16_15.xlsx&amp;sheet=A0&amp;row=1419&amp;col=21&amp;number=&amp;sourceID=47","")</f>
        <v/>
      </c>
      <c r="V1419" s="4" t="str">
        <f>HYPERLINK("http://141.218.60.56/~jnz1568/getInfo.php?workbook=16_15.xlsx&amp;sheet=A0&amp;row=1419&amp;col=22&amp;number=&amp;sourceID=47","")</f>
        <v/>
      </c>
    </row>
    <row r="1420" spans="1:22">
      <c r="A1420" s="3">
        <v>16</v>
      </c>
      <c r="B1420" s="3">
        <v>15</v>
      </c>
      <c r="C1420" s="3">
        <v>61</v>
      </c>
      <c r="D1420" s="3">
        <v>15</v>
      </c>
      <c r="E1420" s="3">
        <f>((1/(INDEX(E0!J$4:J$73,C1420,1)-INDEX(E0!J$4:J$73,D1420,1))))*100000000</f>
        <v>0</v>
      </c>
      <c r="F1420" s="4" t="str">
        <f>HYPERLINK("http://141.218.60.56/~jnz1568/getInfo.php?workbook=16_15.xlsx&amp;sheet=A0&amp;row=1420&amp;col=6&amp;number=871.17&amp;sourceID=54","871.17")</f>
        <v>871.17</v>
      </c>
      <c r="G1420" s="4" t="str">
        <f>HYPERLINK("http://141.218.60.56/~jnz1568/getInfo.php?workbook=16_15.xlsx&amp;sheet=A0&amp;row=1420&amp;col=7&amp;number=&amp;sourceID=54","")</f>
        <v/>
      </c>
      <c r="H1420" s="4" t="str">
        <f>HYPERLINK("http://141.218.60.56/~jnz1568/getInfo.php?workbook=16_15.xlsx&amp;sheet=A0&amp;row=1420&amp;col=8&amp;number=&amp;sourceID=54","")</f>
        <v/>
      </c>
      <c r="I1420" s="4" t="str">
        <f>HYPERLINK("http://141.218.60.56/~jnz1568/getInfo.php?workbook=16_15.xlsx&amp;sheet=A0&amp;row=1420&amp;col=9&amp;number=893.59&amp;sourceID=54","893.59")</f>
        <v>893.59</v>
      </c>
      <c r="J1420" s="4" t="str">
        <f>HYPERLINK("http://141.218.60.56/~jnz1568/getInfo.php?workbook=16_15.xlsx&amp;sheet=A0&amp;row=1420&amp;col=10&amp;number=&amp;sourceID=54","")</f>
        <v/>
      </c>
      <c r="K1420" s="4" t="str">
        <f>HYPERLINK("http://141.218.60.56/~jnz1568/getInfo.php?workbook=16_15.xlsx&amp;sheet=A0&amp;row=1420&amp;col=11&amp;number=&amp;sourceID=54","")</f>
        <v/>
      </c>
      <c r="L1420" s="4" t="str">
        <f>HYPERLINK("http://141.218.60.56/~jnz1568/getInfo.php?workbook=16_15.xlsx&amp;sheet=A0&amp;row=1420&amp;col=12&amp;number=868.011983456&amp;sourceID=53","868.011983456")</f>
        <v>868.011983456</v>
      </c>
      <c r="M1420" s="4" t="str">
        <f>HYPERLINK("http://141.218.60.56/~jnz1568/getInfo.php?workbook=16_15.xlsx&amp;sheet=A0&amp;row=1420&amp;col=13&amp;number=&amp;sourceID=53","")</f>
        <v/>
      </c>
      <c r="N1420" s="4" t="str">
        <f>HYPERLINK("http://141.218.60.56/~jnz1568/getInfo.php?workbook=16_15.xlsx&amp;sheet=A0&amp;row=1420&amp;col=14&amp;number=&amp;sourceID=53","")</f>
        <v/>
      </c>
      <c r="O1420" s="4" t="str">
        <f>HYPERLINK("http://141.218.60.56/~jnz1568/getInfo.php?workbook=16_15.xlsx&amp;sheet=A0&amp;row=1420&amp;col=15&amp;number=&amp;sourceID=55","")</f>
        <v/>
      </c>
      <c r="P1420" s="4" t="str">
        <f>HYPERLINK("http://141.218.60.56/~jnz1568/getInfo.php?workbook=16_15.xlsx&amp;sheet=A0&amp;row=1420&amp;col=16&amp;number=&amp;sourceID=55","")</f>
        <v/>
      </c>
      <c r="Q1420" s="4" t="str">
        <f>HYPERLINK("http://141.218.60.56/~jnz1568/getInfo.php?workbook=16_15.xlsx&amp;sheet=A0&amp;row=1420&amp;col=17&amp;number=&amp;sourceID=56","")</f>
        <v/>
      </c>
      <c r="R1420" s="4" t="str">
        <f>HYPERLINK("http://141.218.60.56/~jnz1568/getInfo.php?workbook=16_15.xlsx&amp;sheet=A0&amp;row=1420&amp;col=18&amp;number=&amp;sourceID=56","")</f>
        <v/>
      </c>
      <c r="S1420" s="4" t="str">
        <f>HYPERLINK("http://141.218.60.56/~jnz1568/getInfo.php?workbook=16_15.xlsx&amp;sheet=A0&amp;row=1420&amp;col=19&amp;number=&amp;sourceID=57","")</f>
        <v/>
      </c>
      <c r="T1420" s="4" t="str">
        <f>HYPERLINK("http://141.218.60.56/~jnz1568/getInfo.php?workbook=16_15.xlsx&amp;sheet=A0&amp;row=1420&amp;col=20&amp;number=&amp;sourceID=57","")</f>
        <v/>
      </c>
      <c r="U1420" s="4" t="str">
        <f>HYPERLINK("http://141.218.60.56/~jnz1568/getInfo.php?workbook=16_15.xlsx&amp;sheet=A0&amp;row=1420&amp;col=21&amp;number=&amp;sourceID=47","")</f>
        <v/>
      </c>
      <c r="V1420" s="4" t="str">
        <f>HYPERLINK("http://141.218.60.56/~jnz1568/getInfo.php?workbook=16_15.xlsx&amp;sheet=A0&amp;row=1420&amp;col=22&amp;number=&amp;sourceID=47","")</f>
        <v/>
      </c>
    </row>
    <row r="1421" spans="1:22">
      <c r="A1421" s="3">
        <v>16</v>
      </c>
      <c r="B1421" s="3">
        <v>15</v>
      </c>
      <c r="C1421" s="3">
        <v>61</v>
      </c>
      <c r="D1421" s="3">
        <v>16</v>
      </c>
      <c r="E1421" s="3">
        <f>((1/(INDEX(E0!J$4:J$73,C1421,1)-INDEX(E0!J$4:J$73,D1421,1))))*100000000</f>
        <v>0</v>
      </c>
      <c r="F1421" s="4" t="str">
        <f>HYPERLINK("http://141.218.60.56/~jnz1568/getInfo.php?workbook=16_15.xlsx&amp;sheet=A0&amp;row=1421&amp;col=6&amp;number=231.62&amp;sourceID=54","231.62")</f>
        <v>231.62</v>
      </c>
      <c r="G1421" s="4" t="str">
        <f>HYPERLINK("http://141.218.60.56/~jnz1568/getInfo.php?workbook=16_15.xlsx&amp;sheet=A0&amp;row=1421&amp;col=7&amp;number=&amp;sourceID=54","")</f>
        <v/>
      </c>
      <c r="H1421" s="4" t="str">
        <f>HYPERLINK("http://141.218.60.56/~jnz1568/getInfo.php?workbook=16_15.xlsx&amp;sheet=A0&amp;row=1421&amp;col=8&amp;number=&amp;sourceID=54","")</f>
        <v/>
      </c>
      <c r="I1421" s="4" t="str">
        <f>HYPERLINK("http://141.218.60.56/~jnz1568/getInfo.php?workbook=16_15.xlsx&amp;sheet=A0&amp;row=1421&amp;col=9&amp;number=89.621&amp;sourceID=54","89.621")</f>
        <v>89.621</v>
      </c>
      <c r="J1421" s="4" t="str">
        <f>HYPERLINK("http://141.218.60.56/~jnz1568/getInfo.php?workbook=16_15.xlsx&amp;sheet=A0&amp;row=1421&amp;col=10&amp;number=&amp;sourceID=54","")</f>
        <v/>
      </c>
      <c r="K1421" s="4" t="str">
        <f>HYPERLINK("http://141.218.60.56/~jnz1568/getInfo.php?workbook=16_15.xlsx&amp;sheet=A0&amp;row=1421&amp;col=11&amp;number=&amp;sourceID=54","")</f>
        <v/>
      </c>
      <c r="L1421" s="4" t="str">
        <f>HYPERLINK("http://141.218.60.56/~jnz1568/getInfo.php?workbook=16_15.xlsx&amp;sheet=A0&amp;row=1421&amp;col=12&amp;number=46.0525844987&amp;sourceID=53","46.0525844987")</f>
        <v>46.0525844987</v>
      </c>
      <c r="M1421" s="4" t="str">
        <f>HYPERLINK("http://141.218.60.56/~jnz1568/getInfo.php?workbook=16_15.xlsx&amp;sheet=A0&amp;row=1421&amp;col=13&amp;number=&amp;sourceID=53","")</f>
        <v/>
      </c>
      <c r="N1421" s="4" t="str">
        <f>HYPERLINK("http://141.218.60.56/~jnz1568/getInfo.php?workbook=16_15.xlsx&amp;sheet=A0&amp;row=1421&amp;col=14&amp;number=&amp;sourceID=53","")</f>
        <v/>
      </c>
      <c r="O1421" s="4" t="str">
        <f>HYPERLINK("http://141.218.60.56/~jnz1568/getInfo.php?workbook=16_15.xlsx&amp;sheet=A0&amp;row=1421&amp;col=15&amp;number=&amp;sourceID=55","")</f>
        <v/>
      </c>
      <c r="P1421" s="4" t="str">
        <f>HYPERLINK("http://141.218.60.56/~jnz1568/getInfo.php?workbook=16_15.xlsx&amp;sheet=A0&amp;row=1421&amp;col=16&amp;number=&amp;sourceID=55","")</f>
        <v/>
      </c>
      <c r="Q1421" s="4" t="str">
        <f>HYPERLINK("http://141.218.60.56/~jnz1568/getInfo.php?workbook=16_15.xlsx&amp;sheet=A0&amp;row=1421&amp;col=17&amp;number=&amp;sourceID=56","")</f>
        <v/>
      </c>
      <c r="R1421" s="4" t="str">
        <f>HYPERLINK("http://141.218.60.56/~jnz1568/getInfo.php?workbook=16_15.xlsx&amp;sheet=A0&amp;row=1421&amp;col=18&amp;number=&amp;sourceID=56","")</f>
        <v/>
      </c>
      <c r="S1421" s="4" t="str">
        <f>HYPERLINK("http://141.218.60.56/~jnz1568/getInfo.php?workbook=16_15.xlsx&amp;sheet=A0&amp;row=1421&amp;col=19&amp;number=&amp;sourceID=57","")</f>
        <v/>
      </c>
      <c r="T1421" s="4" t="str">
        <f>HYPERLINK("http://141.218.60.56/~jnz1568/getInfo.php?workbook=16_15.xlsx&amp;sheet=A0&amp;row=1421&amp;col=20&amp;number=&amp;sourceID=57","")</f>
        <v/>
      </c>
      <c r="U1421" s="4" t="str">
        <f>HYPERLINK("http://141.218.60.56/~jnz1568/getInfo.php?workbook=16_15.xlsx&amp;sheet=A0&amp;row=1421&amp;col=21&amp;number=&amp;sourceID=47","")</f>
        <v/>
      </c>
      <c r="V1421" s="4" t="str">
        <f>HYPERLINK("http://141.218.60.56/~jnz1568/getInfo.php?workbook=16_15.xlsx&amp;sheet=A0&amp;row=1421&amp;col=22&amp;number=&amp;sourceID=47","")</f>
        <v/>
      </c>
    </row>
    <row r="1422" spans="1:22">
      <c r="A1422" s="3">
        <v>16</v>
      </c>
      <c r="B1422" s="3">
        <v>15</v>
      </c>
      <c r="C1422" s="3">
        <v>61</v>
      </c>
      <c r="D1422" s="3">
        <v>17</v>
      </c>
      <c r="E1422" s="3">
        <f>((1/(INDEX(E0!J$4:J$73,C1422,1)-INDEX(E0!J$4:J$73,D1422,1))))*100000000</f>
        <v>0</v>
      </c>
      <c r="F1422" s="4" t="str">
        <f>HYPERLINK("http://141.218.60.56/~jnz1568/getInfo.php?workbook=16_15.xlsx&amp;sheet=A0&amp;row=1422&amp;col=6&amp;number=4359&amp;sourceID=54","4359")</f>
        <v>4359</v>
      </c>
      <c r="G1422" s="4" t="str">
        <f>HYPERLINK("http://141.218.60.56/~jnz1568/getInfo.php?workbook=16_15.xlsx&amp;sheet=A0&amp;row=1422&amp;col=7&amp;number=&amp;sourceID=54","")</f>
        <v/>
      </c>
      <c r="H1422" s="4" t="str">
        <f>HYPERLINK("http://141.218.60.56/~jnz1568/getInfo.php?workbook=16_15.xlsx&amp;sheet=A0&amp;row=1422&amp;col=8&amp;number=&amp;sourceID=54","")</f>
        <v/>
      </c>
      <c r="I1422" s="4" t="str">
        <f>HYPERLINK("http://141.218.60.56/~jnz1568/getInfo.php?workbook=16_15.xlsx&amp;sheet=A0&amp;row=1422&amp;col=9&amp;number=4461.2&amp;sourceID=54","4461.2")</f>
        <v>4461.2</v>
      </c>
      <c r="J1422" s="4" t="str">
        <f>HYPERLINK("http://141.218.60.56/~jnz1568/getInfo.php?workbook=16_15.xlsx&amp;sheet=A0&amp;row=1422&amp;col=10&amp;number=&amp;sourceID=54","")</f>
        <v/>
      </c>
      <c r="K1422" s="4" t="str">
        <f>HYPERLINK("http://141.218.60.56/~jnz1568/getInfo.php?workbook=16_15.xlsx&amp;sheet=A0&amp;row=1422&amp;col=11&amp;number=&amp;sourceID=54","")</f>
        <v/>
      </c>
      <c r="L1422" s="4" t="str">
        <f>HYPERLINK("http://141.218.60.56/~jnz1568/getInfo.php?workbook=16_15.xlsx&amp;sheet=A0&amp;row=1422&amp;col=12&amp;number=4081.2509629&amp;sourceID=53","4081.2509629")</f>
        <v>4081.2509629</v>
      </c>
      <c r="M1422" s="4" t="str">
        <f>HYPERLINK("http://141.218.60.56/~jnz1568/getInfo.php?workbook=16_15.xlsx&amp;sheet=A0&amp;row=1422&amp;col=13&amp;number=&amp;sourceID=53","")</f>
        <v/>
      </c>
      <c r="N1422" s="4" t="str">
        <f>HYPERLINK("http://141.218.60.56/~jnz1568/getInfo.php?workbook=16_15.xlsx&amp;sheet=A0&amp;row=1422&amp;col=14&amp;number=&amp;sourceID=53","")</f>
        <v/>
      </c>
      <c r="O1422" s="4" t="str">
        <f>HYPERLINK("http://141.218.60.56/~jnz1568/getInfo.php?workbook=16_15.xlsx&amp;sheet=A0&amp;row=1422&amp;col=15&amp;number=&amp;sourceID=55","")</f>
        <v/>
      </c>
      <c r="P1422" s="4" t="str">
        <f>HYPERLINK("http://141.218.60.56/~jnz1568/getInfo.php?workbook=16_15.xlsx&amp;sheet=A0&amp;row=1422&amp;col=16&amp;number=&amp;sourceID=55","")</f>
        <v/>
      </c>
      <c r="Q1422" s="4" t="str">
        <f>HYPERLINK("http://141.218.60.56/~jnz1568/getInfo.php?workbook=16_15.xlsx&amp;sheet=A0&amp;row=1422&amp;col=17&amp;number=&amp;sourceID=56","")</f>
        <v/>
      </c>
      <c r="R1422" s="4" t="str">
        <f>HYPERLINK("http://141.218.60.56/~jnz1568/getInfo.php?workbook=16_15.xlsx&amp;sheet=A0&amp;row=1422&amp;col=18&amp;number=&amp;sourceID=56","")</f>
        <v/>
      </c>
      <c r="S1422" s="4" t="str">
        <f>HYPERLINK("http://141.218.60.56/~jnz1568/getInfo.php?workbook=16_15.xlsx&amp;sheet=A0&amp;row=1422&amp;col=19&amp;number=&amp;sourceID=57","")</f>
        <v/>
      </c>
      <c r="T1422" s="4" t="str">
        <f>HYPERLINK("http://141.218.60.56/~jnz1568/getInfo.php?workbook=16_15.xlsx&amp;sheet=A0&amp;row=1422&amp;col=20&amp;number=&amp;sourceID=57","")</f>
        <v/>
      </c>
      <c r="U1422" s="4" t="str">
        <f>HYPERLINK("http://141.218.60.56/~jnz1568/getInfo.php?workbook=16_15.xlsx&amp;sheet=A0&amp;row=1422&amp;col=21&amp;number=&amp;sourceID=47","")</f>
        <v/>
      </c>
      <c r="V1422" s="4" t="str">
        <f>HYPERLINK("http://141.218.60.56/~jnz1568/getInfo.php?workbook=16_15.xlsx&amp;sheet=A0&amp;row=1422&amp;col=22&amp;number=&amp;sourceID=47","")</f>
        <v/>
      </c>
    </row>
    <row r="1423" spans="1:22">
      <c r="A1423" s="3">
        <v>16</v>
      </c>
      <c r="B1423" s="3">
        <v>15</v>
      </c>
      <c r="C1423" s="3">
        <v>61</v>
      </c>
      <c r="D1423" s="3">
        <v>20</v>
      </c>
      <c r="E1423" s="3">
        <f>((1/(INDEX(E0!J$4:J$73,C1423,1)-INDEX(E0!J$4:J$73,D1423,1))))*100000000</f>
        <v>0</v>
      </c>
      <c r="F1423" s="4" t="str">
        <f>HYPERLINK("http://141.218.60.56/~jnz1568/getInfo.php?workbook=16_15.xlsx&amp;sheet=A0&amp;row=1423&amp;col=6&amp;number=2987400&amp;sourceID=54","2987400")</f>
        <v>2987400</v>
      </c>
      <c r="G1423" s="4" t="str">
        <f>HYPERLINK("http://141.218.60.56/~jnz1568/getInfo.php?workbook=16_15.xlsx&amp;sheet=A0&amp;row=1423&amp;col=7&amp;number=&amp;sourceID=54","")</f>
        <v/>
      </c>
      <c r="H1423" s="4" t="str">
        <f>HYPERLINK("http://141.218.60.56/~jnz1568/getInfo.php?workbook=16_15.xlsx&amp;sheet=A0&amp;row=1423&amp;col=8&amp;number=&amp;sourceID=54","")</f>
        <v/>
      </c>
      <c r="I1423" s="4" t="str">
        <f>HYPERLINK("http://141.218.60.56/~jnz1568/getInfo.php?workbook=16_15.xlsx&amp;sheet=A0&amp;row=1423&amp;col=9&amp;number=2778600&amp;sourceID=54","2778600")</f>
        <v>2778600</v>
      </c>
      <c r="J1423" s="4" t="str">
        <f>HYPERLINK("http://141.218.60.56/~jnz1568/getInfo.php?workbook=16_15.xlsx&amp;sheet=A0&amp;row=1423&amp;col=10&amp;number=&amp;sourceID=54","")</f>
        <v/>
      </c>
      <c r="K1423" s="4" t="str">
        <f>HYPERLINK("http://141.218.60.56/~jnz1568/getInfo.php?workbook=16_15.xlsx&amp;sheet=A0&amp;row=1423&amp;col=11&amp;number=&amp;sourceID=54","")</f>
        <v/>
      </c>
      <c r="L1423" s="4" t="str">
        <f>HYPERLINK("http://141.218.60.56/~jnz1568/getInfo.php?workbook=16_15.xlsx&amp;sheet=A0&amp;row=1423&amp;col=12&amp;number=3951762.47437&amp;sourceID=53","3951762.47437")</f>
        <v>3951762.47437</v>
      </c>
      <c r="M1423" s="4" t="str">
        <f>HYPERLINK("http://141.218.60.56/~jnz1568/getInfo.php?workbook=16_15.xlsx&amp;sheet=A0&amp;row=1423&amp;col=13&amp;number=&amp;sourceID=53","")</f>
        <v/>
      </c>
      <c r="N1423" s="4" t="str">
        <f>HYPERLINK("http://141.218.60.56/~jnz1568/getInfo.php?workbook=16_15.xlsx&amp;sheet=A0&amp;row=1423&amp;col=14&amp;number=&amp;sourceID=53","")</f>
        <v/>
      </c>
      <c r="O1423" s="4" t="str">
        <f>HYPERLINK("http://141.218.60.56/~jnz1568/getInfo.php?workbook=16_15.xlsx&amp;sheet=A0&amp;row=1423&amp;col=15&amp;number=&amp;sourceID=55","")</f>
        <v/>
      </c>
      <c r="P1423" s="4" t="str">
        <f>HYPERLINK("http://141.218.60.56/~jnz1568/getInfo.php?workbook=16_15.xlsx&amp;sheet=A0&amp;row=1423&amp;col=16&amp;number=&amp;sourceID=55","")</f>
        <v/>
      </c>
      <c r="Q1423" s="4" t="str">
        <f>HYPERLINK("http://141.218.60.56/~jnz1568/getInfo.php?workbook=16_15.xlsx&amp;sheet=A0&amp;row=1423&amp;col=17&amp;number=&amp;sourceID=56","")</f>
        <v/>
      </c>
      <c r="R1423" s="4" t="str">
        <f>HYPERLINK("http://141.218.60.56/~jnz1568/getInfo.php?workbook=16_15.xlsx&amp;sheet=A0&amp;row=1423&amp;col=18&amp;number=&amp;sourceID=56","")</f>
        <v/>
      </c>
      <c r="S1423" s="4" t="str">
        <f>HYPERLINK("http://141.218.60.56/~jnz1568/getInfo.php?workbook=16_15.xlsx&amp;sheet=A0&amp;row=1423&amp;col=19&amp;number=&amp;sourceID=57","")</f>
        <v/>
      </c>
      <c r="T1423" s="4" t="str">
        <f>HYPERLINK("http://141.218.60.56/~jnz1568/getInfo.php?workbook=16_15.xlsx&amp;sheet=A0&amp;row=1423&amp;col=20&amp;number=&amp;sourceID=57","")</f>
        <v/>
      </c>
      <c r="U1423" s="4" t="str">
        <f>HYPERLINK("http://141.218.60.56/~jnz1568/getInfo.php?workbook=16_15.xlsx&amp;sheet=A0&amp;row=1423&amp;col=21&amp;number=&amp;sourceID=47","")</f>
        <v/>
      </c>
      <c r="V1423" s="4" t="str">
        <f>HYPERLINK("http://141.218.60.56/~jnz1568/getInfo.php?workbook=16_15.xlsx&amp;sheet=A0&amp;row=1423&amp;col=22&amp;number=&amp;sourceID=47","")</f>
        <v/>
      </c>
    </row>
    <row r="1424" spans="1:22">
      <c r="A1424" s="3">
        <v>16</v>
      </c>
      <c r="B1424" s="3">
        <v>15</v>
      </c>
      <c r="C1424" s="3">
        <v>61</v>
      </c>
      <c r="D1424" s="3">
        <v>21</v>
      </c>
      <c r="E1424" s="3">
        <f>((1/(INDEX(E0!J$4:J$73,C1424,1)-INDEX(E0!J$4:J$73,D1424,1))))*100000000</f>
        <v>0</v>
      </c>
      <c r="F1424" s="4" t="str">
        <f>HYPERLINK("http://141.218.60.56/~jnz1568/getInfo.php?workbook=16_15.xlsx&amp;sheet=A0&amp;row=1424&amp;col=6&amp;number=20103000&amp;sourceID=54","20103000")</f>
        <v>20103000</v>
      </c>
      <c r="G1424" s="4" t="str">
        <f>HYPERLINK("http://141.218.60.56/~jnz1568/getInfo.php?workbook=16_15.xlsx&amp;sheet=A0&amp;row=1424&amp;col=7&amp;number=&amp;sourceID=54","")</f>
        <v/>
      </c>
      <c r="H1424" s="4" t="str">
        <f>HYPERLINK("http://141.218.60.56/~jnz1568/getInfo.php?workbook=16_15.xlsx&amp;sheet=A0&amp;row=1424&amp;col=8&amp;number=&amp;sourceID=54","")</f>
        <v/>
      </c>
      <c r="I1424" s="4" t="str">
        <f>HYPERLINK("http://141.218.60.56/~jnz1568/getInfo.php?workbook=16_15.xlsx&amp;sheet=A0&amp;row=1424&amp;col=9&amp;number=18574000&amp;sourceID=54","18574000")</f>
        <v>18574000</v>
      </c>
      <c r="J1424" s="4" t="str">
        <f>HYPERLINK("http://141.218.60.56/~jnz1568/getInfo.php?workbook=16_15.xlsx&amp;sheet=A0&amp;row=1424&amp;col=10&amp;number=&amp;sourceID=54","")</f>
        <v/>
      </c>
      <c r="K1424" s="4" t="str">
        <f>HYPERLINK("http://141.218.60.56/~jnz1568/getInfo.php?workbook=16_15.xlsx&amp;sheet=A0&amp;row=1424&amp;col=11&amp;number=&amp;sourceID=54","")</f>
        <v/>
      </c>
      <c r="L1424" s="4" t="str">
        <f>HYPERLINK("http://141.218.60.56/~jnz1568/getInfo.php?workbook=16_15.xlsx&amp;sheet=A0&amp;row=1424&amp;col=12&amp;number=20709718.2449&amp;sourceID=53","20709718.2449")</f>
        <v>20709718.2449</v>
      </c>
      <c r="M1424" s="4" t="str">
        <f>HYPERLINK("http://141.218.60.56/~jnz1568/getInfo.php?workbook=16_15.xlsx&amp;sheet=A0&amp;row=1424&amp;col=13&amp;number=&amp;sourceID=53","")</f>
        <v/>
      </c>
      <c r="N1424" s="4" t="str">
        <f>HYPERLINK("http://141.218.60.56/~jnz1568/getInfo.php?workbook=16_15.xlsx&amp;sheet=A0&amp;row=1424&amp;col=14&amp;number=&amp;sourceID=53","")</f>
        <v/>
      </c>
      <c r="O1424" s="4" t="str">
        <f>HYPERLINK("http://141.218.60.56/~jnz1568/getInfo.php?workbook=16_15.xlsx&amp;sheet=A0&amp;row=1424&amp;col=15&amp;number=&amp;sourceID=55","")</f>
        <v/>
      </c>
      <c r="P1424" s="4" t="str">
        <f>HYPERLINK("http://141.218.60.56/~jnz1568/getInfo.php?workbook=16_15.xlsx&amp;sheet=A0&amp;row=1424&amp;col=16&amp;number=&amp;sourceID=55","")</f>
        <v/>
      </c>
      <c r="Q1424" s="4" t="str">
        <f>HYPERLINK("http://141.218.60.56/~jnz1568/getInfo.php?workbook=16_15.xlsx&amp;sheet=A0&amp;row=1424&amp;col=17&amp;number=&amp;sourceID=56","")</f>
        <v/>
      </c>
      <c r="R1424" s="4" t="str">
        <f>HYPERLINK("http://141.218.60.56/~jnz1568/getInfo.php?workbook=16_15.xlsx&amp;sheet=A0&amp;row=1424&amp;col=18&amp;number=&amp;sourceID=56","")</f>
        <v/>
      </c>
      <c r="S1424" s="4" t="str">
        <f>HYPERLINK("http://141.218.60.56/~jnz1568/getInfo.php?workbook=16_15.xlsx&amp;sheet=A0&amp;row=1424&amp;col=19&amp;number=&amp;sourceID=57","")</f>
        <v/>
      </c>
      <c r="T1424" s="4" t="str">
        <f>HYPERLINK("http://141.218.60.56/~jnz1568/getInfo.php?workbook=16_15.xlsx&amp;sheet=A0&amp;row=1424&amp;col=20&amp;number=&amp;sourceID=57","")</f>
        <v/>
      </c>
      <c r="U1424" s="4" t="str">
        <f>HYPERLINK("http://141.218.60.56/~jnz1568/getInfo.php?workbook=16_15.xlsx&amp;sheet=A0&amp;row=1424&amp;col=21&amp;number=&amp;sourceID=47","")</f>
        <v/>
      </c>
      <c r="V1424" s="4" t="str">
        <f>HYPERLINK("http://141.218.60.56/~jnz1568/getInfo.php?workbook=16_15.xlsx&amp;sheet=A0&amp;row=1424&amp;col=22&amp;number=&amp;sourceID=47","")</f>
        <v/>
      </c>
    </row>
    <row r="1425" spans="1:22">
      <c r="A1425" s="3">
        <v>16</v>
      </c>
      <c r="B1425" s="3">
        <v>15</v>
      </c>
      <c r="C1425" s="3">
        <v>61</v>
      </c>
      <c r="D1425" s="3">
        <v>22</v>
      </c>
      <c r="E1425" s="3">
        <f>((1/(INDEX(E0!J$4:J$73,C1425,1)-INDEX(E0!J$4:J$73,D1425,1))))*100000000</f>
        <v>0</v>
      </c>
      <c r="F1425" s="4" t="str">
        <f>HYPERLINK("http://141.218.60.56/~jnz1568/getInfo.php?workbook=16_15.xlsx&amp;sheet=A0&amp;row=1425&amp;col=6&amp;number=435.76&amp;sourceID=54","435.76")</f>
        <v>435.76</v>
      </c>
      <c r="G1425" s="4" t="str">
        <f>HYPERLINK("http://141.218.60.56/~jnz1568/getInfo.php?workbook=16_15.xlsx&amp;sheet=A0&amp;row=1425&amp;col=7&amp;number=&amp;sourceID=54","")</f>
        <v/>
      </c>
      <c r="H1425" s="4" t="str">
        <f>HYPERLINK("http://141.218.60.56/~jnz1568/getInfo.php?workbook=16_15.xlsx&amp;sheet=A0&amp;row=1425&amp;col=8&amp;number=&amp;sourceID=54","")</f>
        <v/>
      </c>
      <c r="I1425" s="4" t="str">
        <f>HYPERLINK("http://141.218.60.56/~jnz1568/getInfo.php?workbook=16_15.xlsx&amp;sheet=A0&amp;row=1425&amp;col=9&amp;number=477.7&amp;sourceID=54","477.7")</f>
        <v>477.7</v>
      </c>
      <c r="J1425" s="4" t="str">
        <f>HYPERLINK("http://141.218.60.56/~jnz1568/getInfo.php?workbook=16_15.xlsx&amp;sheet=A0&amp;row=1425&amp;col=10&amp;number=&amp;sourceID=54","")</f>
        <v/>
      </c>
      <c r="K1425" s="4" t="str">
        <f>HYPERLINK("http://141.218.60.56/~jnz1568/getInfo.php?workbook=16_15.xlsx&amp;sheet=A0&amp;row=1425&amp;col=11&amp;number=&amp;sourceID=54","")</f>
        <v/>
      </c>
      <c r="L1425" s="4" t="str">
        <f>HYPERLINK("http://141.218.60.56/~jnz1568/getInfo.php?workbook=16_15.xlsx&amp;sheet=A0&amp;row=1425&amp;col=12&amp;number=821.201737438&amp;sourceID=53","821.201737438")</f>
        <v>821.201737438</v>
      </c>
      <c r="M1425" s="4" t="str">
        <f>HYPERLINK("http://141.218.60.56/~jnz1568/getInfo.php?workbook=16_15.xlsx&amp;sheet=A0&amp;row=1425&amp;col=13&amp;number=&amp;sourceID=53","")</f>
        <v/>
      </c>
      <c r="N1425" s="4" t="str">
        <f>HYPERLINK("http://141.218.60.56/~jnz1568/getInfo.php?workbook=16_15.xlsx&amp;sheet=A0&amp;row=1425&amp;col=14&amp;number=&amp;sourceID=53","")</f>
        <v/>
      </c>
      <c r="O1425" s="4" t="str">
        <f>HYPERLINK("http://141.218.60.56/~jnz1568/getInfo.php?workbook=16_15.xlsx&amp;sheet=A0&amp;row=1425&amp;col=15&amp;number=&amp;sourceID=55","")</f>
        <v/>
      </c>
      <c r="P1425" s="4" t="str">
        <f>HYPERLINK("http://141.218.60.56/~jnz1568/getInfo.php?workbook=16_15.xlsx&amp;sheet=A0&amp;row=1425&amp;col=16&amp;number=&amp;sourceID=55","")</f>
        <v/>
      </c>
      <c r="Q1425" s="4" t="str">
        <f>HYPERLINK("http://141.218.60.56/~jnz1568/getInfo.php?workbook=16_15.xlsx&amp;sheet=A0&amp;row=1425&amp;col=17&amp;number=&amp;sourceID=56","")</f>
        <v/>
      </c>
      <c r="R1425" s="4" t="str">
        <f>HYPERLINK("http://141.218.60.56/~jnz1568/getInfo.php?workbook=16_15.xlsx&amp;sheet=A0&amp;row=1425&amp;col=18&amp;number=&amp;sourceID=56","")</f>
        <v/>
      </c>
      <c r="S1425" s="4" t="str">
        <f>HYPERLINK("http://141.218.60.56/~jnz1568/getInfo.php?workbook=16_15.xlsx&amp;sheet=A0&amp;row=1425&amp;col=19&amp;number=&amp;sourceID=57","")</f>
        <v/>
      </c>
      <c r="T1425" s="4" t="str">
        <f>HYPERLINK("http://141.218.60.56/~jnz1568/getInfo.php?workbook=16_15.xlsx&amp;sheet=A0&amp;row=1425&amp;col=20&amp;number=&amp;sourceID=57","")</f>
        <v/>
      </c>
      <c r="U1425" s="4" t="str">
        <f>HYPERLINK("http://141.218.60.56/~jnz1568/getInfo.php?workbook=16_15.xlsx&amp;sheet=A0&amp;row=1425&amp;col=21&amp;number=&amp;sourceID=47","")</f>
        <v/>
      </c>
      <c r="V1425" s="4" t="str">
        <f>HYPERLINK("http://141.218.60.56/~jnz1568/getInfo.php?workbook=16_15.xlsx&amp;sheet=A0&amp;row=1425&amp;col=22&amp;number=&amp;sourceID=47","")</f>
        <v/>
      </c>
    </row>
    <row r="1426" spans="1:22">
      <c r="A1426" s="3">
        <v>16</v>
      </c>
      <c r="B1426" s="3">
        <v>15</v>
      </c>
      <c r="C1426" s="3">
        <v>61</v>
      </c>
      <c r="D1426" s="3">
        <v>23</v>
      </c>
      <c r="E1426" s="3">
        <f>((1/(INDEX(E0!J$4:J$73,C1426,1)-INDEX(E0!J$4:J$73,D1426,1))))*100000000</f>
        <v>0</v>
      </c>
      <c r="F1426" s="4" t="str">
        <f>HYPERLINK("http://141.218.60.56/~jnz1568/getInfo.php?workbook=16_15.xlsx&amp;sheet=A0&amp;row=1426&amp;col=6&amp;number=3818.2&amp;sourceID=54","3818.2")</f>
        <v>3818.2</v>
      </c>
      <c r="G1426" s="4" t="str">
        <f>HYPERLINK("http://141.218.60.56/~jnz1568/getInfo.php?workbook=16_15.xlsx&amp;sheet=A0&amp;row=1426&amp;col=7&amp;number=&amp;sourceID=54","")</f>
        <v/>
      </c>
      <c r="H1426" s="4" t="str">
        <f>HYPERLINK("http://141.218.60.56/~jnz1568/getInfo.php?workbook=16_15.xlsx&amp;sheet=A0&amp;row=1426&amp;col=8&amp;number=&amp;sourceID=54","")</f>
        <v/>
      </c>
      <c r="I1426" s="4" t="str">
        <f>HYPERLINK("http://141.218.60.56/~jnz1568/getInfo.php?workbook=16_15.xlsx&amp;sheet=A0&amp;row=1426&amp;col=9&amp;number=4124.4&amp;sourceID=54","4124.4")</f>
        <v>4124.4</v>
      </c>
      <c r="J1426" s="4" t="str">
        <f>HYPERLINK("http://141.218.60.56/~jnz1568/getInfo.php?workbook=16_15.xlsx&amp;sheet=A0&amp;row=1426&amp;col=10&amp;number=&amp;sourceID=54","")</f>
        <v/>
      </c>
      <c r="K1426" s="4" t="str">
        <f>HYPERLINK("http://141.218.60.56/~jnz1568/getInfo.php?workbook=16_15.xlsx&amp;sheet=A0&amp;row=1426&amp;col=11&amp;number=&amp;sourceID=54","")</f>
        <v/>
      </c>
      <c r="L1426" s="4" t="str">
        <f>HYPERLINK("http://141.218.60.56/~jnz1568/getInfo.php?workbook=16_15.xlsx&amp;sheet=A0&amp;row=1426&amp;col=12&amp;number=7483.35564885&amp;sourceID=53","7483.35564885")</f>
        <v>7483.35564885</v>
      </c>
      <c r="M1426" s="4" t="str">
        <f>HYPERLINK("http://141.218.60.56/~jnz1568/getInfo.php?workbook=16_15.xlsx&amp;sheet=A0&amp;row=1426&amp;col=13&amp;number=&amp;sourceID=53","")</f>
        <v/>
      </c>
      <c r="N1426" s="4" t="str">
        <f>HYPERLINK("http://141.218.60.56/~jnz1568/getInfo.php?workbook=16_15.xlsx&amp;sheet=A0&amp;row=1426&amp;col=14&amp;number=&amp;sourceID=53","")</f>
        <v/>
      </c>
      <c r="O1426" s="4" t="str">
        <f>HYPERLINK("http://141.218.60.56/~jnz1568/getInfo.php?workbook=16_15.xlsx&amp;sheet=A0&amp;row=1426&amp;col=15&amp;number=&amp;sourceID=55","")</f>
        <v/>
      </c>
      <c r="P1426" s="4" t="str">
        <f>HYPERLINK("http://141.218.60.56/~jnz1568/getInfo.php?workbook=16_15.xlsx&amp;sheet=A0&amp;row=1426&amp;col=16&amp;number=&amp;sourceID=55","")</f>
        <v/>
      </c>
      <c r="Q1426" s="4" t="str">
        <f>HYPERLINK("http://141.218.60.56/~jnz1568/getInfo.php?workbook=16_15.xlsx&amp;sheet=A0&amp;row=1426&amp;col=17&amp;number=&amp;sourceID=56","")</f>
        <v/>
      </c>
      <c r="R1426" s="4" t="str">
        <f>HYPERLINK("http://141.218.60.56/~jnz1568/getInfo.php?workbook=16_15.xlsx&amp;sheet=A0&amp;row=1426&amp;col=18&amp;number=&amp;sourceID=56","")</f>
        <v/>
      </c>
      <c r="S1426" s="4" t="str">
        <f>HYPERLINK("http://141.218.60.56/~jnz1568/getInfo.php?workbook=16_15.xlsx&amp;sheet=A0&amp;row=1426&amp;col=19&amp;number=&amp;sourceID=57","")</f>
        <v/>
      </c>
      <c r="T1426" s="4" t="str">
        <f>HYPERLINK("http://141.218.60.56/~jnz1568/getInfo.php?workbook=16_15.xlsx&amp;sheet=A0&amp;row=1426&amp;col=20&amp;number=&amp;sourceID=57","")</f>
        <v/>
      </c>
      <c r="U1426" s="4" t="str">
        <f>HYPERLINK("http://141.218.60.56/~jnz1568/getInfo.php?workbook=16_15.xlsx&amp;sheet=A0&amp;row=1426&amp;col=21&amp;number=&amp;sourceID=47","")</f>
        <v/>
      </c>
      <c r="V1426" s="4" t="str">
        <f>HYPERLINK("http://141.218.60.56/~jnz1568/getInfo.php?workbook=16_15.xlsx&amp;sheet=A0&amp;row=1426&amp;col=22&amp;number=&amp;sourceID=47","")</f>
        <v/>
      </c>
    </row>
    <row r="1427" spans="1:22">
      <c r="A1427" s="3">
        <v>16</v>
      </c>
      <c r="B1427" s="3">
        <v>15</v>
      </c>
      <c r="C1427" s="3">
        <v>61</v>
      </c>
      <c r="D1427" s="3">
        <v>24</v>
      </c>
      <c r="E1427" s="3">
        <f>((1/(INDEX(E0!J$4:J$73,C1427,1)-INDEX(E0!J$4:J$73,D1427,1))))*100000000</f>
        <v>0</v>
      </c>
      <c r="F1427" s="4" t="str">
        <f>HYPERLINK("http://141.218.60.56/~jnz1568/getInfo.php?workbook=16_15.xlsx&amp;sheet=A0&amp;row=1427&amp;col=6&amp;number=10960&amp;sourceID=54","10960")</f>
        <v>10960</v>
      </c>
      <c r="G1427" s="4" t="str">
        <f>HYPERLINK("http://141.218.60.56/~jnz1568/getInfo.php?workbook=16_15.xlsx&amp;sheet=A0&amp;row=1427&amp;col=7&amp;number=&amp;sourceID=54","")</f>
        <v/>
      </c>
      <c r="H1427" s="4" t="str">
        <f>HYPERLINK("http://141.218.60.56/~jnz1568/getInfo.php?workbook=16_15.xlsx&amp;sheet=A0&amp;row=1427&amp;col=8&amp;number=&amp;sourceID=54","")</f>
        <v/>
      </c>
      <c r="I1427" s="4" t="str">
        <f>HYPERLINK("http://141.218.60.56/~jnz1568/getInfo.php?workbook=16_15.xlsx&amp;sheet=A0&amp;row=1427&amp;col=9&amp;number=13266&amp;sourceID=54","13266")</f>
        <v>13266</v>
      </c>
      <c r="J1427" s="4" t="str">
        <f>HYPERLINK("http://141.218.60.56/~jnz1568/getInfo.php?workbook=16_15.xlsx&amp;sheet=A0&amp;row=1427&amp;col=10&amp;number=&amp;sourceID=54","")</f>
        <v/>
      </c>
      <c r="K1427" s="4" t="str">
        <f>HYPERLINK("http://141.218.60.56/~jnz1568/getInfo.php?workbook=16_15.xlsx&amp;sheet=A0&amp;row=1427&amp;col=11&amp;number=&amp;sourceID=54","")</f>
        <v/>
      </c>
      <c r="L1427" s="4" t="str">
        <f>HYPERLINK("http://141.218.60.56/~jnz1568/getInfo.php?workbook=16_15.xlsx&amp;sheet=A0&amp;row=1427&amp;col=12&amp;number=12617.8722402&amp;sourceID=53","12617.8722402")</f>
        <v>12617.8722402</v>
      </c>
      <c r="M1427" s="4" t="str">
        <f>HYPERLINK("http://141.218.60.56/~jnz1568/getInfo.php?workbook=16_15.xlsx&amp;sheet=A0&amp;row=1427&amp;col=13&amp;number=&amp;sourceID=53","")</f>
        <v/>
      </c>
      <c r="N1427" s="4" t="str">
        <f>HYPERLINK("http://141.218.60.56/~jnz1568/getInfo.php?workbook=16_15.xlsx&amp;sheet=A0&amp;row=1427&amp;col=14&amp;number=&amp;sourceID=53","")</f>
        <v/>
      </c>
      <c r="O1427" s="4" t="str">
        <f>HYPERLINK("http://141.218.60.56/~jnz1568/getInfo.php?workbook=16_15.xlsx&amp;sheet=A0&amp;row=1427&amp;col=15&amp;number=&amp;sourceID=55","")</f>
        <v/>
      </c>
      <c r="P1427" s="4" t="str">
        <f>HYPERLINK("http://141.218.60.56/~jnz1568/getInfo.php?workbook=16_15.xlsx&amp;sheet=A0&amp;row=1427&amp;col=16&amp;number=&amp;sourceID=55","")</f>
        <v/>
      </c>
      <c r="Q1427" s="4" t="str">
        <f>HYPERLINK("http://141.218.60.56/~jnz1568/getInfo.php?workbook=16_15.xlsx&amp;sheet=A0&amp;row=1427&amp;col=17&amp;number=&amp;sourceID=56","")</f>
        <v/>
      </c>
      <c r="R1427" s="4" t="str">
        <f>HYPERLINK("http://141.218.60.56/~jnz1568/getInfo.php?workbook=16_15.xlsx&amp;sheet=A0&amp;row=1427&amp;col=18&amp;number=&amp;sourceID=56","")</f>
        <v/>
      </c>
      <c r="S1427" s="4" t="str">
        <f>HYPERLINK("http://141.218.60.56/~jnz1568/getInfo.php?workbook=16_15.xlsx&amp;sheet=A0&amp;row=1427&amp;col=19&amp;number=&amp;sourceID=57","")</f>
        <v/>
      </c>
      <c r="T1427" s="4" t="str">
        <f>HYPERLINK("http://141.218.60.56/~jnz1568/getInfo.php?workbook=16_15.xlsx&amp;sheet=A0&amp;row=1427&amp;col=20&amp;number=&amp;sourceID=57","")</f>
        <v/>
      </c>
      <c r="U1427" s="4" t="str">
        <f>HYPERLINK("http://141.218.60.56/~jnz1568/getInfo.php?workbook=16_15.xlsx&amp;sheet=A0&amp;row=1427&amp;col=21&amp;number=&amp;sourceID=47","")</f>
        <v/>
      </c>
      <c r="V1427" s="4" t="str">
        <f>HYPERLINK("http://141.218.60.56/~jnz1568/getInfo.php?workbook=16_15.xlsx&amp;sheet=A0&amp;row=1427&amp;col=22&amp;number=&amp;sourceID=47","")</f>
        <v/>
      </c>
    </row>
    <row r="1428" spans="1:22">
      <c r="A1428" s="3">
        <v>16</v>
      </c>
      <c r="B1428" s="3">
        <v>15</v>
      </c>
      <c r="C1428" s="3">
        <v>61</v>
      </c>
      <c r="D1428" s="3">
        <v>26</v>
      </c>
      <c r="E1428" s="3">
        <f>((1/(INDEX(E0!J$4:J$73,C1428,1)-INDEX(E0!J$4:J$73,D1428,1))))*100000000</f>
        <v>0</v>
      </c>
      <c r="F1428" s="4" t="str">
        <f>HYPERLINK("http://141.218.60.56/~jnz1568/getInfo.php?workbook=16_15.xlsx&amp;sheet=A0&amp;row=1428&amp;col=6&amp;number=10463&amp;sourceID=54","10463")</f>
        <v>10463</v>
      </c>
      <c r="G1428" s="4" t="str">
        <f>HYPERLINK("http://141.218.60.56/~jnz1568/getInfo.php?workbook=16_15.xlsx&amp;sheet=A0&amp;row=1428&amp;col=7&amp;number=&amp;sourceID=54","")</f>
        <v/>
      </c>
      <c r="H1428" s="4" t="str">
        <f>HYPERLINK("http://141.218.60.56/~jnz1568/getInfo.php?workbook=16_15.xlsx&amp;sheet=A0&amp;row=1428&amp;col=8&amp;number=&amp;sourceID=54","")</f>
        <v/>
      </c>
      <c r="I1428" s="4" t="str">
        <f>HYPERLINK("http://141.218.60.56/~jnz1568/getInfo.php?workbook=16_15.xlsx&amp;sheet=A0&amp;row=1428&amp;col=9&amp;number=9378.7&amp;sourceID=54","9378.7")</f>
        <v>9378.7</v>
      </c>
      <c r="J1428" s="4" t="str">
        <f>HYPERLINK("http://141.218.60.56/~jnz1568/getInfo.php?workbook=16_15.xlsx&amp;sheet=A0&amp;row=1428&amp;col=10&amp;number=&amp;sourceID=54","")</f>
        <v/>
      </c>
      <c r="K1428" s="4" t="str">
        <f>HYPERLINK("http://141.218.60.56/~jnz1568/getInfo.php?workbook=16_15.xlsx&amp;sheet=A0&amp;row=1428&amp;col=11&amp;number=&amp;sourceID=54","")</f>
        <v/>
      </c>
      <c r="L1428" s="4" t="str">
        <f>HYPERLINK("http://141.218.60.56/~jnz1568/getInfo.php?workbook=16_15.xlsx&amp;sheet=A0&amp;row=1428&amp;col=12&amp;number=7880.70949685&amp;sourceID=53","7880.70949685")</f>
        <v>7880.70949685</v>
      </c>
      <c r="M1428" s="4" t="str">
        <f>HYPERLINK("http://141.218.60.56/~jnz1568/getInfo.php?workbook=16_15.xlsx&amp;sheet=A0&amp;row=1428&amp;col=13&amp;number=&amp;sourceID=53","")</f>
        <v/>
      </c>
      <c r="N1428" s="4" t="str">
        <f>HYPERLINK("http://141.218.60.56/~jnz1568/getInfo.php?workbook=16_15.xlsx&amp;sheet=A0&amp;row=1428&amp;col=14&amp;number=&amp;sourceID=53","")</f>
        <v/>
      </c>
      <c r="O1428" s="4" t="str">
        <f>HYPERLINK("http://141.218.60.56/~jnz1568/getInfo.php?workbook=16_15.xlsx&amp;sheet=A0&amp;row=1428&amp;col=15&amp;number=&amp;sourceID=55","")</f>
        <v/>
      </c>
      <c r="P1428" s="4" t="str">
        <f>HYPERLINK("http://141.218.60.56/~jnz1568/getInfo.php?workbook=16_15.xlsx&amp;sheet=A0&amp;row=1428&amp;col=16&amp;number=&amp;sourceID=55","")</f>
        <v/>
      </c>
      <c r="Q1428" s="4" t="str">
        <f>HYPERLINK("http://141.218.60.56/~jnz1568/getInfo.php?workbook=16_15.xlsx&amp;sheet=A0&amp;row=1428&amp;col=17&amp;number=&amp;sourceID=56","")</f>
        <v/>
      </c>
      <c r="R1428" s="4" t="str">
        <f>HYPERLINK("http://141.218.60.56/~jnz1568/getInfo.php?workbook=16_15.xlsx&amp;sheet=A0&amp;row=1428&amp;col=18&amp;number=&amp;sourceID=56","")</f>
        <v/>
      </c>
      <c r="S1428" s="4" t="str">
        <f>HYPERLINK("http://141.218.60.56/~jnz1568/getInfo.php?workbook=16_15.xlsx&amp;sheet=A0&amp;row=1428&amp;col=19&amp;number=&amp;sourceID=57","")</f>
        <v/>
      </c>
      <c r="T1428" s="4" t="str">
        <f>HYPERLINK("http://141.218.60.56/~jnz1568/getInfo.php?workbook=16_15.xlsx&amp;sheet=A0&amp;row=1428&amp;col=20&amp;number=&amp;sourceID=57","")</f>
        <v/>
      </c>
      <c r="U1428" s="4" t="str">
        <f>HYPERLINK("http://141.218.60.56/~jnz1568/getInfo.php?workbook=16_15.xlsx&amp;sheet=A0&amp;row=1428&amp;col=21&amp;number=&amp;sourceID=47","")</f>
        <v/>
      </c>
      <c r="V1428" s="4" t="str">
        <f>HYPERLINK("http://141.218.60.56/~jnz1568/getInfo.php?workbook=16_15.xlsx&amp;sheet=A0&amp;row=1428&amp;col=22&amp;number=&amp;sourceID=47","")</f>
        <v/>
      </c>
    </row>
    <row r="1429" spans="1:22">
      <c r="A1429" s="3">
        <v>16</v>
      </c>
      <c r="B1429" s="3">
        <v>15</v>
      </c>
      <c r="C1429" s="3">
        <v>61</v>
      </c>
      <c r="D1429" s="3">
        <v>28</v>
      </c>
      <c r="E1429" s="3">
        <f>((1/(INDEX(E0!J$4:J$73,C1429,1)-INDEX(E0!J$4:J$73,D1429,1))))*100000000</f>
        <v>0</v>
      </c>
      <c r="F1429" s="4" t="str">
        <f>HYPERLINK("http://141.218.60.56/~jnz1568/getInfo.php?workbook=16_15.xlsx&amp;sheet=A0&amp;row=1429&amp;col=6&amp;number=6772000&amp;sourceID=54","6772000")</f>
        <v>6772000</v>
      </c>
      <c r="G1429" s="4" t="str">
        <f>HYPERLINK("http://141.218.60.56/~jnz1568/getInfo.php?workbook=16_15.xlsx&amp;sheet=A0&amp;row=1429&amp;col=7&amp;number=&amp;sourceID=54","")</f>
        <v/>
      </c>
      <c r="H1429" s="4" t="str">
        <f>HYPERLINK("http://141.218.60.56/~jnz1568/getInfo.php?workbook=16_15.xlsx&amp;sheet=A0&amp;row=1429&amp;col=8&amp;number=&amp;sourceID=54","")</f>
        <v/>
      </c>
      <c r="I1429" s="4" t="str">
        <f>HYPERLINK("http://141.218.60.56/~jnz1568/getInfo.php?workbook=16_15.xlsx&amp;sheet=A0&amp;row=1429&amp;col=9&amp;number=6091300&amp;sourceID=54","6091300")</f>
        <v>6091300</v>
      </c>
      <c r="J1429" s="4" t="str">
        <f>HYPERLINK("http://141.218.60.56/~jnz1568/getInfo.php?workbook=16_15.xlsx&amp;sheet=A0&amp;row=1429&amp;col=10&amp;number=&amp;sourceID=54","")</f>
        <v/>
      </c>
      <c r="K1429" s="4" t="str">
        <f>HYPERLINK("http://141.218.60.56/~jnz1568/getInfo.php?workbook=16_15.xlsx&amp;sheet=A0&amp;row=1429&amp;col=11&amp;number=&amp;sourceID=54","")</f>
        <v/>
      </c>
      <c r="L1429" s="4" t="str">
        <f>HYPERLINK("http://141.218.60.56/~jnz1568/getInfo.php?workbook=16_15.xlsx&amp;sheet=A0&amp;row=1429&amp;col=12&amp;number=6773779.88824&amp;sourceID=53","6773779.88824")</f>
        <v>6773779.88824</v>
      </c>
      <c r="M1429" s="4" t="str">
        <f>HYPERLINK("http://141.218.60.56/~jnz1568/getInfo.php?workbook=16_15.xlsx&amp;sheet=A0&amp;row=1429&amp;col=13&amp;number=&amp;sourceID=53","")</f>
        <v/>
      </c>
      <c r="N1429" s="4" t="str">
        <f>HYPERLINK("http://141.218.60.56/~jnz1568/getInfo.php?workbook=16_15.xlsx&amp;sheet=A0&amp;row=1429&amp;col=14&amp;number=&amp;sourceID=53","")</f>
        <v/>
      </c>
      <c r="O1429" s="4" t="str">
        <f>HYPERLINK("http://141.218.60.56/~jnz1568/getInfo.php?workbook=16_15.xlsx&amp;sheet=A0&amp;row=1429&amp;col=15&amp;number=&amp;sourceID=55","")</f>
        <v/>
      </c>
      <c r="P1429" s="4" t="str">
        <f>HYPERLINK("http://141.218.60.56/~jnz1568/getInfo.php?workbook=16_15.xlsx&amp;sheet=A0&amp;row=1429&amp;col=16&amp;number=&amp;sourceID=55","")</f>
        <v/>
      </c>
      <c r="Q1429" s="4" t="str">
        <f>HYPERLINK("http://141.218.60.56/~jnz1568/getInfo.php?workbook=16_15.xlsx&amp;sheet=A0&amp;row=1429&amp;col=17&amp;number=&amp;sourceID=56","")</f>
        <v/>
      </c>
      <c r="R1429" s="4" t="str">
        <f>HYPERLINK("http://141.218.60.56/~jnz1568/getInfo.php?workbook=16_15.xlsx&amp;sheet=A0&amp;row=1429&amp;col=18&amp;number=&amp;sourceID=56","")</f>
        <v/>
      </c>
      <c r="S1429" s="4" t="str">
        <f>HYPERLINK("http://141.218.60.56/~jnz1568/getInfo.php?workbook=16_15.xlsx&amp;sheet=A0&amp;row=1429&amp;col=19&amp;number=&amp;sourceID=57","")</f>
        <v/>
      </c>
      <c r="T1429" s="4" t="str">
        <f>HYPERLINK("http://141.218.60.56/~jnz1568/getInfo.php?workbook=16_15.xlsx&amp;sheet=A0&amp;row=1429&amp;col=20&amp;number=&amp;sourceID=57","")</f>
        <v/>
      </c>
      <c r="U1429" s="4" t="str">
        <f>HYPERLINK("http://141.218.60.56/~jnz1568/getInfo.php?workbook=16_15.xlsx&amp;sheet=A0&amp;row=1429&amp;col=21&amp;number=&amp;sourceID=47","")</f>
        <v/>
      </c>
      <c r="V1429" s="4" t="str">
        <f>HYPERLINK("http://141.218.60.56/~jnz1568/getInfo.php?workbook=16_15.xlsx&amp;sheet=A0&amp;row=1429&amp;col=22&amp;number=&amp;sourceID=47","")</f>
        <v/>
      </c>
    </row>
    <row r="1430" spans="1:22">
      <c r="A1430" s="3">
        <v>16</v>
      </c>
      <c r="B1430" s="3">
        <v>15</v>
      </c>
      <c r="C1430" s="3">
        <v>61</v>
      </c>
      <c r="D1430" s="3">
        <v>29</v>
      </c>
      <c r="E1430" s="3">
        <f>((1/(INDEX(E0!J$4:J$73,C1430,1)-INDEX(E0!J$4:J$73,D1430,1))))*100000000</f>
        <v>0</v>
      </c>
      <c r="F1430" s="4" t="str">
        <f>HYPERLINK("http://141.218.60.56/~jnz1568/getInfo.php?workbook=16_15.xlsx&amp;sheet=A0&amp;row=1430&amp;col=6&amp;number=15329000&amp;sourceID=54","15329000")</f>
        <v>15329000</v>
      </c>
      <c r="G1430" s="4" t="str">
        <f>HYPERLINK("http://141.218.60.56/~jnz1568/getInfo.php?workbook=16_15.xlsx&amp;sheet=A0&amp;row=1430&amp;col=7&amp;number=&amp;sourceID=54","")</f>
        <v/>
      </c>
      <c r="H1430" s="4" t="str">
        <f>HYPERLINK("http://141.218.60.56/~jnz1568/getInfo.php?workbook=16_15.xlsx&amp;sheet=A0&amp;row=1430&amp;col=8&amp;number=&amp;sourceID=54","")</f>
        <v/>
      </c>
      <c r="I1430" s="4" t="str">
        <f>HYPERLINK("http://141.218.60.56/~jnz1568/getInfo.php?workbook=16_15.xlsx&amp;sheet=A0&amp;row=1430&amp;col=9&amp;number=14628000&amp;sourceID=54","14628000")</f>
        <v>14628000</v>
      </c>
      <c r="J1430" s="4" t="str">
        <f>HYPERLINK("http://141.218.60.56/~jnz1568/getInfo.php?workbook=16_15.xlsx&amp;sheet=A0&amp;row=1430&amp;col=10&amp;number=&amp;sourceID=54","")</f>
        <v/>
      </c>
      <c r="K1430" s="4" t="str">
        <f>HYPERLINK("http://141.218.60.56/~jnz1568/getInfo.php?workbook=16_15.xlsx&amp;sheet=A0&amp;row=1430&amp;col=11&amp;number=&amp;sourceID=54","")</f>
        <v/>
      </c>
      <c r="L1430" s="4" t="str">
        <f>HYPERLINK("http://141.218.60.56/~jnz1568/getInfo.php?workbook=16_15.xlsx&amp;sheet=A0&amp;row=1430&amp;col=12&amp;number=14915639.5991&amp;sourceID=53","14915639.5991")</f>
        <v>14915639.5991</v>
      </c>
      <c r="M1430" s="4" t="str">
        <f>HYPERLINK("http://141.218.60.56/~jnz1568/getInfo.php?workbook=16_15.xlsx&amp;sheet=A0&amp;row=1430&amp;col=13&amp;number=&amp;sourceID=53","")</f>
        <v/>
      </c>
      <c r="N1430" s="4" t="str">
        <f>HYPERLINK("http://141.218.60.56/~jnz1568/getInfo.php?workbook=16_15.xlsx&amp;sheet=A0&amp;row=1430&amp;col=14&amp;number=&amp;sourceID=53","")</f>
        <v/>
      </c>
      <c r="O1430" s="4" t="str">
        <f>HYPERLINK("http://141.218.60.56/~jnz1568/getInfo.php?workbook=16_15.xlsx&amp;sheet=A0&amp;row=1430&amp;col=15&amp;number=&amp;sourceID=55","")</f>
        <v/>
      </c>
      <c r="P1430" s="4" t="str">
        <f>HYPERLINK("http://141.218.60.56/~jnz1568/getInfo.php?workbook=16_15.xlsx&amp;sheet=A0&amp;row=1430&amp;col=16&amp;number=&amp;sourceID=55","")</f>
        <v/>
      </c>
      <c r="Q1430" s="4" t="str">
        <f>HYPERLINK("http://141.218.60.56/~jnz1568/getInfo.php?workbook=16_15.xlsx&amp;sheet=A0&amp;row=1430&amp;col=17&amp;number=&amp;sourceID=56","")</f>
        <v/>
      </c>
      <c r="R1430" s="4" t="str">
        <f>HYPERLINK("http://141.218.60.56/~jnz1568/getInfo.php?workbook=16_15.xlsx&amp;sheet=A0&amp;row=1430&amp;col=18&amp;number=&amp;sourceID=56","")</f>
        <v/>
      </c>
      <c r="S1430" s="4" t="str">
        <f>HYPERLINK("http://141.218.60.56/~jnz1568/getInfo.php?workbook=16_15.xlsx&amp;sheet=A0&amp;row=1430&amp;col=19&amp;number=&amp;sourceID=57","")</f>
        <v/>
      </c>
      <c r="T1430" s="4" t="str">
        <f>HYPERLINK("http://141.218.60.56/~jnz1568/getInfo.php?workbook=16_15.xlsx&amp;sheet=A0&amp;row=1430&amp;col=20&amp;number=&amp;sourceID=57","")</f>
        <v/>
      </c>
      <c r="U1430" s="4" t="str">
        <f>HYPERLINK("http://141.218.60.56/~jnz1568/getInfo.php?workbook=16_15.xlsx&amp;sheet=A0&amp;row=1430&amp;col=21&amp;number=&amp;sourceID=47","")</f>
        <v/>
      </c>
      <c r="V1430" s="4" t="str">
        <f>HYPERLINK("http://141.218.60.56/~jnz1568/getInfo.php?workbook=16_15.xlsx&amp;sheet=A0&amp;row=1430&amp;col=22&amp;number=&amp;sourceID=47","")</f>
        <v/>
      </c>
    </row>
    <row r="1431" spans="1:22">
      <c r="A1431" s="3">
        <v>16</v>
      </c>
      <c r="B1431" s="3">
        <v>15</v>
      </c>
      <c r="C1431" s="3">
        <v>61</v>
      </c>
      <c r="D1431" s="3">
        <v>30</v>
      </c>
      <c r="E1431" s="3">
        <f>((1/(INDEX(E0!J$4:J$73,C1431,1)-INDEX(E0!J$4:J$73,D1431,1))))*100000000</f>
        <v>0</v>
      </c>
      <c r="F1431" s="4" t="str">
        <f>HYPERLINK("http://141.218.60.56/~jnz1568/getInfo.php?workbook=16_15.xlsx&amp;sheet=A0&amp;row=1431&amp;col=6&amp;number=92533000&amp;sourceID=54","92533000")</f>
        <v>92533000</v>
      </c>
      <c r="G1431" s="4" t="str">
        <f>HYPERLINK("http://141.218.60.56/~jnz1568/getInfo.php?workbook=16_15.xlsx&amp;sheet=A0&amp;row=1431&amp;col=7&amp;number=&amp;sourceID=54","")</f>
        <v/>
      </c>
      <c r="H1431" s="4" t="str">
        <f>HYPERLINK("http://141.218.60.56/~jnz1568/getInfo.php?workbook=16_15.xlsx&amp;sheet=A0&amp;row=1431&amp;col=8&amp;number=&amp;sourceID=54","")</f>
        <v/>
      </c>
      <c r="I1431" s="4" t="str">
        <f>HYPERLINK("http://141.218.60.56/~jnz1568/getInfo.php?workbook=16_15.xlsx&amp;sheet=A0&amp;row=1431&amp;col=9&amp;number=87681000&amp;sourceID=54","87681000")</f>
        <v>87681000</v>
      </c>
      <c r="J1431" s="4" t="str">
        <f>HYPERLINK("http://141.218.60.56/~jnz1568/getInfo.php?workbook=16_15.xlsx&amp;sheet=A0&amp;row=1431&amp;col=10&amp;number=&amp;sourceID=54","")</f>
        <v/>
      </c>
      <c r="K1431" s="4" t="str">
        <f>HYPERLINK("http://141.218.60.56/~jnz1568/getInfo.php?workbook=16_15.xlsx&amp;sheet=A0&amp;row=1431&amp;col=11&amp;number=&amp;sourceID=54","")</f>
        <v/>
      </c>
      <c r="L1431" s="4" t="str">
        <f>HYPERLINK("http://141.218.60.56/~jnz1568/getInfo.php?workbook=16_15.xlsx&amp;sheet=A0&amp;row=1431&amp;col=12&amp;number=89041030.6126&amp;sourceID=53","89041030.6126")</f>
        <v>89041030.6126</v>
      </c>
      <c r="M1431" s="4" t="str">
        <f>HYPERLINK("http://141.218.60.56/~jnz1568/getInfo.php?workbook=16_15.xlsx&amp;sheet=A0&amp;row=1431&amp;col=13&amp;number=&amp;sourceID=53","")</f>
        <v/>
      </c>
      <c r="N1431" s="4" t="str">
        <f>HYPERLINK("http://141.218.60.56/~jnz1568/getInfo.php?workbook=16_15.xlsx&amp;sheet=A0&amp;row=1431&amp;col=14&amp;number=&amp;sourceID=53","")</f>
        <v/>
      </c>
      <c r="O1431" s="4" t="str">
        <f>HYPERLINK("http://141.218.60.56/~jnz1568/getInfo.php?workbook=16_15.xlsx&amp;sheet=A0&amp;row=1431&amp;col=15&amp;number=&amp;sourceID=55","")</f>
        <v/>
      </c>
      <c r="P1431" s="4" t="str">
        <f>HYPERLINK("http://141.218.60.56/~jnz1568/getInfo.php?workbook=16_15.xlsx&amp;sheet=A0&amp;row=1431&amp;col=16&amp;number=&amp;sourceID=55","")</f>
        <v/>
      </c>
      <c r="Q1431" s="4" t="str">
        <f>HYPERLINK("http://141.218.60.56/~jnz1568/getInfo.php?workbook=16_15.xlsx&amp;sheet=A0&amp;row=1431&amp;col=17&amp;number=&amp;sourceID=56","")</f>
        <v/>
      </c>
      <c r="R1431" s="4" t="str">
        <f>HYPERLINK("http://141.218.60.56/~jnz1568/getInfo.php?workbook=16_15.xlsx&amp;sheet=A0&amp;row=1431&amp;col=18&amp;number=&amp;sourceID=56","")</f>
        <v/>
      </c>
      <c r="S1431" s="4" t="str">
        <f>HYPERLINK("http://141.218.60.56/~jnz1568/getInfo.php?workbook=16_15.xlsx&amp;sheet=A0&amp;row=1431&amp;col=19&amp;number=&amp;sourceID=57","")</f>
        <v/>
      </c>
      <c r="T1431" s="4" t="str">
        <f>HYPERLINK("http://141.218.60.56/~jnz1568/getInfo.php?workbook=16_15.xlsx&amp;sheet=A0&amp;row=1431&amp;col=20&amp;number=&amp;sourceID=57","")</f>
        <v/>
      </c>
      <c r="U1431" s="4" t="str">
        <f>HYPERLINK("http://141.218.60.56/~jnz1568/getInfo.php?workbook=16_15.xlsx&amp;sheet=A0&amp;row=1431&amp;col=21&amp;number=&amp;sourceID=47","")</f>
        <v/>
      </c>
      <c r="V1431" s="4" t="str">
        <f>HYPERLINK("http://141.218.60.56/~jnz1568/getInfo.php?workbook=16_15.xlsx&amp;sheet=A0&amp;row=1431&amp;col=22&amp;number=&amp;sourceID=47","")</f>
        <v/>
      </c>
    </row>
    <row r="1432" spans="1:22">
      <c r="A1432" s="3">
        <v>16</v>
      </c>
      <c r="B1432" s="3">
        <v>15</v>
      </c>
      <c r="C1432" s="3">
        <v>61</v>
      </c>
      <c r="D1432" s="3">
        <v>31</v>
      </c>
      <c r="E1432" s="3">
        <f>((1/(INDEX(E0!J$4:J$73,C1432,1)-INDEX(E0!J$4:J$73,D1432,1))))*100000000</f>
        <v>0</v>
      </c>
      <c r="F1432" s="4" t="str">
        <f>HYPERLINK("http://141.218.60.56/~jnz1568/getInfo.php?workbook=16_15.xlsx&amp;sheet=A0&amp;row=1432&amp;col=6&amp;number=&amp;sourceID=54","")</f>
        <v/>
      </c>
      <c r="G1432" s="4" t="str">
        <f>HYPERLINK("http://141.218.60.56/~jnz1568/getInfo.php?workbook=16_15.xlsx&amp;sheet=A0&amp;row=1432&amp;col=7&amp;number=0.0012244&amp;sourceID=54","0.0012244")</f>
        <v>0.0012244</v>
      </c>
      <c r="H1432" s="4" t="str">
        <f>HYPERLINK("http://141.218.60.56/~jnz1568/getInfo.php?workbook=16_15.xlsx&amp;sheet=A0&amp;row=1432&amp;col=8&amp;number=0.006029&amp;sourceID=54","0.006029")</f>
        <v>0.006029</v>
      </c>
      <c r="I1432" s="4" t="str">
        <f>HYPERLINK("http://141.218.60.56/~jnz1568/getInfo.php?workbook=16_15.xlsx&amp;sheet=A0&amp;row=1432&amp;col=9&amp;number=&amp;sourceID=54","")</f>
        <v/>
      </c>
      <c r="J1432" s="4" t="str">
        <f>HYPERLINK("http://141.218.60.56/~jnz1568/getInfo.php?workbook=16_15.xlsx&amp;sheet=A0&amp;row=1432&amp;col=10&amp;number=0.0010902&amp;sourceID=54","0.0010902")</f>
        <v>0.0010902</v>
      </c>
      <c r="K1432" s="4" t="str">
        <f>HYPERLINK("http://141.218.60.56/~jnz1568/getInfo.php?workbook=16_15.xlsx&amp;sheet=A0&amp;row=1432&amp;col=11&amp;number=0.0055681&amp;sourceID=54","0.0055681")</f>
        <v>0.0055681</v>
      </c>
      <c r="L1432" s="4" t="str">
        <f>HYPERLINK("http://141.218.60.56/~jnz1568/getInfo.php?workbook=16_15.xlsx&amp;sheet=A0&amp;row=1432&amp;col=12&amp;number=&amp;sourceID=53","")</f>
        <v/>
      </c>
      <c r="M1432" s="4" t="str">
        <f>HYPERLINK("http://141.218.60.56/~jnz1568/getInfo.php?workbook=16_15.xlsx&amp;sheet=A0&amp;row=1432&amp;col=13&amp;number=&amp;sourceID=53","")</f>
        <v/>
      </c>
      <c r="N1432" s="4" t="str">
        <f>HYPERLINK("http://141.218.60.56/~jnz1568/getInfo.php?workbook=16_15.xlsx&amp;sheet=A0&amp;row=1432&amp;col=14&amp;number=&amp;sourceID=53","")</f>
        <v/>
      </c>
      <c r="O1432" s="4" t="str">
        <f>HYPERLINK("http://141.218.60.56/~jnz1568/getInfo.php?workbook=16_15.xlsx&amp;sheet=A0&amp;row=1432&amp;col=15&amp;number=&amp;sourceID=55","")</f>
        <v/>
      </c>
      <c r="P1432" s="4" t="str">
        <f>HYPERLINK("http://141.218.60.56/~jnz1568/getInfo.php?workbook=16_15.xlsx&amp;sheet=A0&amp;row=1432&amp;col=16&amp;number=&amp;sourceID=55","")</f>
        <v/>
      </c>
      <c r="Q1432" s="4" t="str">
        <f>HYPERLINK("http://141.218.60.56/~jnz1568/getInfo.php?workbook=16_15.xlsx&amp;sheet=A0&amp;row=1432&amp;col=17&amp;number=&amp;sourceID=56","")</f>
        <v/>
      </c>
      <c r="R1432" s="4" t="str">
        <f>HYPERLINK("http://141.218.60.56/~jnz1568/getInfo.php?workbook=16_15.xlsx&amp;sheet=A0&amp;row=1432&amp;col=18&amp;number=&amp;sourceID=56","")</f>
        <v/>
      </c>
      <c r="S1432" s="4" t="str">
        <f>HYPERLINK("http://141.218.60.56/~jnz1568/getInfo.php?workbook=16_15.xlsx&amp;sheet=A0&amp;row=1432&amp;col=19&amp;number=&amp;sourceID=57","")</f>
        <v/>
      </c>
      <c r="T1432" s="4" t="str">
        <f>HYPERLINK("http://141.218.60.56/~jnz1568/getInfo.php?workbook=16_15.xlsx&amp;sheet=A0&amp;row=1432&amp;col=20&amp;number=&amp;sourceID=57","")</f>
        <v/>
      </c>
      <c r="U1432" s="4" t="str">
        <f>HYPERLINK("http://141.218.60.56/~jnz1568/getInfo.php?workbook=16_15.xlsx&amp;sheet=A0&amp;row=1432&amp;col=21&amp;number=&amp;sourceID=47","")</f>
        <v/>
      </c>
      <c r="V1432" s="4" t="str">
        <f>HYPERLINK("http://141.218.60.56/~jnz1568/getInfo.php?workbook=16_15.xlsx&amp;sheet=A0&amp;row=1432&amp;col=22&amp;number=&amp;sourceID=47","")</f>
        <v/>
      </c>
    </row>
    <row r="1433" spans="1:22">
      <c r="A1433" s="3">
        <v>16</v>
      </c>
      <c r="B1433" s="3">
        <v>15</v>
      </c>
      <c r="C1433" s="3">
        <v>61</v>
      </c>
      <c r="D1433" s="3">
        <v>34</v>
      </c>
      <c r="E1433" s="3">
        <f>((1/(INDEX(E0!J$4:J$73,C1433,1)-INDEX(E0!J$4:J$73,D1433,1))))*100000000</f>
        <v>0</v>
      </c>
      <c r="F1433" s="4" t="str">
        <f>HYPERLINK("http://141.218.60.56/~jnz1568/getInfo.php?workbook=16_15.xlsx&amp;sheet=A0&amp;row=1433&amp;col=6&amp;number=&amp;sourceID=54","")</f>
        <v/>
      </c>
      <c r="G1433" s="4" t="str">
        <f>HYPERLINK("http://141.218.60.56/~jnz1568/getInfo.php?workbook=16_15.xlsx&amp;sheet=A0&amp;row=1433&amp;col=7&amp;number=0.00034271&amp;sourceID=54","0.00034271")</f>
        <v>0.00034271</v>
      </c>
      <c r="H1433" s="4" t="str">
        <f>HYPERLINK("http://141.218.60.56/~jnz1568/getInfo.php?workbook=16_15.xlsx&amp;sheet=A0&amp;row=1433&amp;col=8&amp;number=6.8045e-05&amp;sourceID=54","6.8045e-05")</f>
        <v>6.8045e-05</v>
      </c>
      <c r="I1433" s="4" t="str">
        <f>HYPERLINK("http://141.218.60.56/~jnz1568/getInfo.php?workbook=16_15.xlsx&amp;sheet=A0&amp;row=1433&amp;col=9&amp;number=&amp;sourceID=54","")</f>
        <v/>
      </c>
      <c r="J1433" s="4" t="str">
        <f>HYPERLINK("http://141.218.60.56/~jnz1568/getInfo.php?workbook=16_15.xlsx&amp;sheet=A0&amp;row=1433&amp;col=10&amp;number=0.0002747&amp;sourceID=54","0.0002747")</f>
        <v>0.0002747</v>
      </c>
      <c r="K1433" s="4" t="str">
        <f>HYPERLINK("http://141.218.60.56/~jnz1568/getInfo.php?workbook=16_15.xlsx&amp;sheet=A0&amp;row=1433&amp;col=11&amp;number=7.2386e-05&amp;sourceID=54","7.2386e-05")</f>
        <v>7.2386e-05</v>
      </c>
      <c r="L1433" s="4" t="str">
        <f>HYPERLINK("http://141.218.60.56/~jnz1568/getInfo.php?workbook=16_15.xlsx&amp;sheet=A0&amp;row=1433&amp;col=12&amp;number=&amp;sourceID=53","")</f>
        <v/>
      </c>
      <c r="M1433" s="4" t="str">
        <f>HYPERLINK("http://141.218.60.56/~jnz1568/getInfo.php?workbook=16_15.xlsx&amp;sheet=A0&amp;row=1433&amp;col=13&amp;number=&amp;sourceID=53","")</f>
        <v/>
      </c>
      <c r="N1433" s="4" t="str">
        <f>HYPERLINK("http://141.218.60.56/~jnz1568/getInfo.php?workbook=16_15.xlsx&amp;sheet=A0&amp;row=1433&amp;col=14&amp;number=&amp;sourceID=53","")</f>
        <v/>
      </c>
      <c r="O1433" s="4" t="str">
        <f>HYPERLINK("http://141.218.60.56/~jnz1568/getInfo.php?workbook=16_15.xlsx&amp;sheet=A0&amp;row=1433&amp;col=15&amp;number=&amp;sourceID=55","")</f>
        <v/>
      </c>
      <c r="P1433" s="4" t="str">
        <f>HYPERLINK("http://141.218.60.56/~jnz1568/getInfo.php?workbook=16_15.xlsx&amp;sheet=A0&amp;row=1433&amp;col=16&amp;number=&amp;sourceID=55","")</f>
        <v/>
      </c>
      <c r="Q1433" s="4" t="str">
        <f>HYPERLINK("http://141.218.60.56/~jnz1568/getInfo.php?workbook=16_15.xlsx&amp;sheet=A0&amp;row=1433&amp;col=17&amp;number=&amp;sourceID=56","")</f>
        <v/>
      </c>
      <c r="R1433" s="4" t="str">
        <f>HYPERLINK("http://141.218.60.56/~jnz1568/getInfo.php?workbook=16_15.xlsx&amp;sheet=A0&amp;row=1433&amp;col=18&amp;number=&amp;sourceID=56","")</f>
        <v/>
      </c>
      <c r="S1433" s="4" t="str">
        <f>HYPERLINK("http://141.218.60.56/~jnz1568/getInfo.php?workbook=16_15.xlsx&amp;sheet=A0&amp;row=1433&amp;col=19&amp;number=&amp;sourceID=57","")</f>
        <v/>
      </c>
      <c r="T1433" s="4" t="str">
        <f>HYPERLINK("http://141.218.60.56/~jnz1568/getInfo.php?workbook=16_15.xlsx&amp;sheet=A0&amp;row=1433&amp;col=20&amp;number=&amp;sourceID=57","")</f>
        <v/>
      </c>
      <c r="U1433" s="4" t="str">
        <f>HYPERLINK("http://141.218.60.56/~jnz1568/getInfo.php?workbook=16_15.xlsx&amp;sheet=A0&amp;row=1433&amp;col=21&amp;number=&amp;sourceID=47","")</f>
        <v/>
      </c>
      <c r="V1433" s="4" t="str">
        <f>HYPERLINK("http://141.218.60.56/~jnz1568/getInfo.php?workbook=16_15.xlsx&amp;sheet=A0&amp;row=1433&amp;col=22&amp;number=&amp;sourceID=47","")</f>
        <v/>
      </c>
    </row>
    <row r="1434" spans="1:22">
      <c r="A1434" s="3">
        <v>16</v>
      </c>
      <c r="B1434" s="3">
        <v>15</v>
      </c>
      <c r="C1434" s="3">
        <v>61</v>
      </c>
      <c r="D1434" s="3">
        <v>35</v>
      </c>
      <c r="E1434" s="3">
        <f>((1/(INDEX(E0!J$4:J$73,C1434,1)-INDEX(E0!J$4:J$73,D1434,1))))*100000000</f>
        <v>0</v>
      </c>
      <c r="F1434" s="4" t="str">
        <f>HYPERLINK("http://141.218.60.56/~jnz1568/getInfo.php?workbook=16_15.xlsx&amp;sheet=A0&amp;row=1434&amp;col=6&amp;number=&amp;sourceID=54","")</f>
        <v/>
      </c>
      <c r="G1434" s="4" t="str">
        <f>HYPERLINK("http://141.218.60.56/~jnz1568/getInfo.php?workbook=16_15.xlsx&amp;sheet=A0&amp;row=1434&amp;col=7&amp;number=0.00065144&amp;sourceID=54","0.00065144")</f>
        <v>0.00065144</v>
      </c>
      <c r="H1434" s="4" t="str">
        <f>HYPERLINK("http://141.218.60.56/~jnz1568/getInfo.php?workbook=16_15.xlsx&amp;sheet=A0&amp;row=1434&amp;col=8&amp;number=0.00026551&amp;sourceID=54","0.00026551")</f>
        <v>0.00026551</v>
      </c>
      <c r="I1434" s="4" t="str">
        <f>HYPERLINK("http://141.218.60.56/~jnz1568/getInfo.php?workbook=16_15.xlsx&amp;sheet=A0&amp;row=1434&amp;col=9&amp;number=&amp;sourceID=54","")</f>
        <v/>
      </c>
      <c r="J1434" s="4" t="str">
        <f>HYPERLINK("http://141.218.60.56/~jnz1568/getInfo.php?workbook=16_15.xlsx&amp;sheet=A0&amp;row=1434&amp;col=10&amp;number=0.00049577&amp;sourceID=54","0.00049577")</f>
        <v>0.00049577</v>
      </c>
      <c r="K1434" s="4" t="str">
        <f>HYPERLINK("http://141.218.60.56/~jnz1568/getInfo.php?workbook=16_15.xlsx&amp;sheet=A0&amp;row=1434&amp;col=11&amp;number=0.00022131&amp;sourceID=54","0.00022131")</f>
        <v>0.00022131</v>
      </c>
      <c r="L1434" s="4" t="str">
        <f>HYPERLINK("http://141.218.60.56/~jnz1568/getInfo.php?workbook=16_15.xlsx&amp;sheet=A0&amp;row=1434&amp;col=12&amp;number=&amp;sourceID=53","")</f>
        <v/>
      </c>
      <c r="M1434" s="4" t="str">
        <f>HYPERLINK("http://141.218.60.56/~jnz1568/getInfo.php?workbook=16_15.xlsx&amp;sheet=A0&amp;row=1434&amp;col=13&amp;number=&amp;sourceID=53","")</f>
        <v/>
      </c>
      <c r="N1434" s="4" t="str">
        <f>HYPERLINK("http://141.218.60.56/~jnz1568/getInfo.php?workbook=16_15.xlsx&amp;sheet=A0&amp;row=1434&amp;col=14&amp;number=&amp;sourceID=53","")</f>
        <v/>
      </c>
      <c r="O1434" s="4" t="str">
        <f>HYPERLINK("http://141.218.60.56/~jnz1568/getInfo.php?workbook=16_15.xlsx&amp;sheet=A0&amp;row=1434&amp;col=15&amp;number=&amp;sourceID=55","")</f>
        <v/>
      </c>
      <c r="P1434" s="4" t="str">
        <f>HYPERLINK("http://141.218.60.56/~jnz1568/getInfo.php?workbook=16_15.xlsx&amp;sheet=A0&amp;row=1434&amp;col=16&amp;number=&amp;sourceID=55","")</f>
        <v/>
      </c>
      <c r="Q1434" s="4" t="str">
        <f>HYPERLINK("http://141.218.60.56/~jnz1568/getInfo.php?workbook=16_15.xlsx&amp;sheet=A0&amp;row=1434&amp;col=17&amp;number=&amp;sourceID=56","")</f>
        <v/>
      </c>
      <c r="R1434" s="4" t="str">
        <f>HYPERLINK("http://141.218.60.56/~jnz1568/getInfo.php?workbook=16_15.xlsx&amp;sheet=A0&amp;row=1434&amp;col=18&amp;number=&amp;sourceID=56","")</f>
        <v/>
      </c>
      <c r="S1434" s="4" t="str">
        <f>HYPERLINK("http://141.218.60.56/~jnz1568/getInfo.php?workbook=16_15.xlsx&amp;sheet=A0&amp;row=1434&amp;col=19&amp;number=&amp;sourceID=57","")</f>
        <v/>
      </c>
      <c r="T1434" s="4" t="str">
        <f>HYPERLINK("http://141.218.60.56/~jnz1568/getInfo.php?workbook=16_15.xlsx&amp;sheet=A0&amp;row=1434&amp;col=20&amp;number=&amp;sourceID=57","")</f>
        <v/>
      </c>
      <c r="U1434" s="4" t="str">
        <f>HYPERLINK("http://141.218.60.56/~jnz1568/getInfo.php?workbook=16_15.xlsx&amp;sheet=A0&amp;row=1434&amp;col=21&amp;number=&amp;sourceID=47","")</f>
        <v/>
      </c>
      <c r="V1434" s="4" t="str">
        <f>HYPERLINK("http://141.218.60.56/~jnz1568/getInfo.php?workbook=16_15.xlsx&amp;sheet=A0&amp;row=1434&amp;col=22&amp;number=&amp;sourceID=47","")</f>
        <v/>
      </c>
    </row>
    <row r="1435" spans="1:22">
      <c r="A1435" s="3">
        <v>16</v>
      </c>
      <c r="B1435" s="3">
        <v>15</v>
      </c>
      <c r="C1435" s="3">
        <v>61</v>
      </c>
      <c r="D1435" s="3">
        <v>36</v>
      </c>
      <c r="E1435" s="3">
        <f>((1/(INDEX(E0!J$4:J$73,C1435,1)-INDEX(E0!J$4:J$73,D1435,1))))*100000000</f>
        <v>0</v>
      </c>
      <c r="F1435" s="4" t="str">
        <f>HYPERLINK("http://141.218.60.56/~jnz1568/getInfo.php?workbook=16_15.xlsx&amp;sheet=A0&amp;row=1435&amp;col=6&amp;number=&amp;sourceID=54","")</f>
        <v/>
      </c>
      <c r="G1435" s="4" t="str">
        <f>HYPERLINK("http://141.218.60.56/~jnz1568/getInfo.php?workbook=16_15.xlsx&amp;sheet=A0&amp;row=1435&amp;col=7&amp;number=0.0010311&amp;sourceID=54","0.0010311")</f>
        <v>0.0010311</v>
      </c>
      <c r="H1435" s="4" t="str">
        <f>HYPERLINK("http://141.218.60.56/~jnz1568/getInfo.php?workbook=16_15.xlsx&amp;sheet=A0&amp;row=1435&amp;col=8&amp;number=0.00073272&amp;sourceID=54","0.00073272")</f>
        <v>0.00073272</v>
      </c>
      <c r="I1435" s="4" t="str">
        <f>HYPERLINK("http://141.218.60.56/~jnz1568/getInfo.php?workbook=16_15.xlsx&amp;sheet=A0&amp;row=1435&amp;col=9&amp;number=&amp;sourceID=54","")</f>
        <v/>
      </c>
      <c r="J1435" s="4" t="str">
        <f>HYPERLINK("http://141.218.60.56/~jnz1568/getInfo.php?workbook=16_15.xlsx&amp;sheet=A0&amp;row=1435&amp;col=10&amp;number=0.00077635&amp;sourceID=54","0.00077635")</f>
        <v>0.00077635</v>
      </c>
      <c r="K1435" s="4" t="str">
        <f>HYPERLINK("http://141.218.60.56/~jnz1568/getInfo.php?workbook=16_15.xlsx&amp;sheet=A0&amp;row=1435&amp;col=11&amp;number=0.00070339&amp;sourceID=54","0.00070339")</f>
        <v>0.00070339</v>
      </c>
      <c r="L1435" s="4" t="str">
        <f>HYPERLINK("http://141.218.60.56/~jnz1568/getInfo.php?workbook=16_15.xlsx&amp;sheet=A0&amp;row=1435&amp;col=12&amp;number=&amp;sourceID=53","")</f>
        <v/>
      </c>
      <c r="M1435" s="4" t="str">
        <f>HYPERLINK("http://141.218.60.56/~jnz1568/getInfo.php?workbook=16_15.xlsx&amp;sheet=A0&amp;row=1435&amp;col=13&amp;number=&amp;sourceID=53","")</f>
        <v/>
      </c>
      <c r="N1435" s="4" t="str">
        <f>HYPERLINK("http://141.218.60.56/~jnz1568/getInfo.php?workbook=16_15.xlsx&amp;sheet=A0&amp;row=1435&amp;col=14&amp;number=&amp;sourceID=53","")</f>
        <v/>
      </c>
      <c r="O1435" s="4" t="str">
        <f>HYPERLINK("http://141.218.60.56/~jnz1568/getInfo.php?workbook=16_15.xlsx&amp;sheet=A0&amp;row=1435&amp;col=15&amp;number=&amp;sourceID=55","")</f>
        <v/>
      </c>
      <c r="P1435" s="4" t="str">
        <f>HYPERLINK("http://141.218.60.56/~jnz1568/getInfo.php?workbook=16_15.xlsx&amp;sheet=A0&amp;row=1435&amp;col=16&amp;number=&amp;sourceID=55","")</f>
        <v/>
      </c>
      <c r="Q1435" s="4" t="str">
        <f>HYPERLINK("http://141.218.60.56/~jnz1568/getInfo.php?workbook=16_15.xlsx&amp;sheet=A0&amp;row=1435&amp;col=17&amp;number=&amp;sourceID=56","")</f>
        <v/>
      </c>
      <c r="R1435" s="4" t="str">
        <f>HYPERLINK("http://141.218.60.56/~jnz1568/getInfo.php?workbook=16_15.xlsx&amp;sheet=A0&amp;row=1435&amp;col=18&amp;number=&amp;sourceID=56","")</f>
        <v/>
      </c>
      <c r="S1435" s="4" t="str">
        <f>HYPERLINK("http://141.218.60.56/~jnz1568/getInfo.php?workbook=16_15.xlsx&amp;sheet=A0&amp;row=1435&amp;col=19&amp;number=&amp;sourceID=57","")</f>
        <v/>
      </c>
      <c r="T1435" s="4" t="str">
        <f>HYPERLINK("http://141.218.60.56/~jnz1568/getInfo.php?workbook=16_15.xlsx&amp;sheet=A0&amp;row=1435&amp;col=20&amp;number=&amp;sourceID=57","")</f>
        <v/>
      </c>
      <c r="U1435" s="4" t="str">
        <f>HYPERLINK("http://141.218.60.56/~jnz1568/getInfo.php?workbook=16_15.xlsx&amp;sheet=A0&amp;row=1435&amp;col=21&amp;number=&amp;sourceID=47","")</f>
        <v/>
      </c>
      <c r="V1435" s="4" t="str">
        <f>HYPERLINK("http://141.218.60.56/~jnz1568/getInfo.php?workbook=16_15.xlsx&amp;sheet=A0&amp;row=1435&amp;col=22&amp;number=&amp;sourceID=47","")</f>
        <v/>
      </c>
    </row>
    <row r="1436" spans="1:22">
      <c r="A1436" s="3">
        <v>16</v>
      </c>
      <c r="B1436" s="3">
        <v>15</v>
      </c>
      <c r="C1436" s="3">
        <v>61</v>
      </c>
      <c r="D1436" s="3">
        <v>37</v>
      </c>
      <c r="E1436" s="3">
        <f>((1/(INDEX(E0!J$4:J$73,C1436,1)-INDEX(E0!J$4:J$73,D1436,1))))*100000000</f>
        <v>0</v>
      </c>
      <c r="F1436" s="4" t="str">
        <f>HYPERLINK("http://141.218.60.56/~jnz1568/getInfo.php?workbook=16_15.xlsx&amp;sheet=A0&amp;row=1436&amp;col=6&amp;number=&amp;sourceID=54","")</f>
        <v/>
      </c>
      <c r="G1436" s="4" t="str">
        <f>HYPERLINK("http://141.218.60.56/~jnz1568/getInfo.php?workbook=16_15.xlsx&amp;sheet=A0&amp;row=1436&amp;col=7&amp;number=0.00039942&amp;sourceID=54","0.00039942")</f>
        <v>0.00039942</v>
      </c>
      <c r="H1436" s="4" t="str">
        <f>HYPERLINK("http://141.218.60.56/~jnz1568/getInfo.php?workbook=16_15.xlsx&amp;sheet=A0&amp;row=1436&amp;col=8&amp;number=&amp;sourceID=54","")</f>
        <v/>
      </c>
      <c r="I1436" s="4" t="str">
        <f>HYPERLINK("http://141.218.60.56/~jnz1568/getInfo.php?workbook=16_15.xlsx&amp;sheet=A0&amp;row=1436&amp;col=9&amp;number=&amp;sourceID=54","")</f>
        <v/>
      </c>
      <c r="J1436" s="4" t="str">
        <f>HYPERLINK("http://141.218.60.56/~jnz1568/getInfo.php?workbook=16_15.xlsx&amp;sheet=A0&amp;row=1436&amp;col=10&amp;number=0.00033373&amp;sourceID=54","0.00033373")</f>
        <v>0.00033373</v>
      </c>
      <c r="K1436" s="4" t="str">
        <f>HYPERLINK("http://141.218.60.56/~jnz1568/getInfo.php?workbook=16_15.xlsx&amp;sheet=A0&amp;row=1436&amp;col=11&amp;number=&amp;sourceID=54","")</f>
        <v/>
      </c>
      <c r="L1436" s="4" t="str">
        <f>HYPERLINK("http://141.218.60.56/~jnz1568/getInfo.php?workbook=16_15.xlsx&amp;sheet=A0&amp;row=1436&amp;col=12&amp;number=&amp;sourceID=53","")</f>
        <v/>
      </c>
      <c r="M1436" s="4" t="str">
        <f>HYPERLINK("http://141.218.60.56/~jnz1568/getInfo.php?workbook=16_15.xlsx&amp;sheet=A0&amp;row=1436&amp;col=13&amp;number=&amp;sourceID=53","")</f>
        <v/>
      </c>
      <c r="N1436" s="4" t="str">
        <f>HYPERLINK("http://141.218.60.56/~jnz1568/getInfo.php?workbook=16_15.xlsx&amp;sheet=A0&amp;row=1436&amp;col=14&amp;number=&amp;sourceID=53","")</f>
        <v/>
      </c>
      <c r="O1436" s="4" t="str">
        <f>HYPERLINK("http://141.218.60.56/~jnz1568/getInfo.php?workbook=16_15.xlsx&amp;sheet=A0&amp;row=1436&amp;col=15&amp;number=&amp;sourceID=55","")</f>
        <v/>
      </c>
      <c r="P1436" s="4" t="str">
        <f>HYPERLINK("http://141.218.60.56/~jnz1568/getInfo.php?workbook=16_15.xlsx&amp;sheet=A0&amp;row=1436&amp;col=16&amp;number=&amp;sourceID=55","")</f>
        <v/>
      </c>
      <c r="Q1436" s="4" t="str">
        <f>HYPERLINK("http://141.218.60.56/~jnz1568/getInfo.php?workbook=16_15.xlsx&amp;sheet=A0&amp;row=1436&amp;col=17&amp;number=&amp;sourceID=56","")</f>
        <v/>
      </c>
      <c r="R1436" s="4" t="str">
        <f>HYPERLINK("http://141.218.60.56/~jnz1568/getInfo.php?workbook=16_15.xlsx&amp;sheet=A0&amp;row=1436&amp;col=18&amp;number=&amp;sourceID=56","")</f>
        <v/>
      </c>
      <c r="S1436" s="4" t="str">
        <f>HYPERLINK("http://141.218.60.56/~jnz1568/getInfo.php?workbook=16_15.xlsx&amp;sheet=A0&amp;row=1436&amp;col=19&amp;number=&amp;sourceID=57","")</f>
        <v/>
      </c>
      <c r="T1436" s="4" t="str">
        <f>HYPERLINK("http://141.218.60.56/~jnz1568/getInfo.php?workbook=16_15.xlsx&amp;sheet=A0&amp;row=1436&amp;col=20&amp;number=&amp;sourceID=57","")</f>
        <v/>
      </c>
      <c r="U1436" s="4" t="str">
        <f>HYPERLINK("http://141.218.60.56/~jnz1568/getInfo.php?workbook=16_15.xlsx&amp;sheet=A0&amp;row=1436&amp;col=21&amp;number=&amp;sourceID=47","")</f>
        <v/>
      </c>
      <c r="V1436" s="4" t="str">
        <f>HYPERLINK("http://141.218.60.56/~jnz1568/getInfo.php?workbook=16_15.xlsx&amp;sheet=A0&amp;row=1436&amp;col=22&amp;number=&amp;sourceID=47","")</f>
        <v/>
      </c>
    </row>
    <row r="1437" spans="1:22">
      <c r="A1437" s="3">
        <v>16</v>
      </c>
      <c r="B1437" s="3">
        <v>15</v>
      </c>
      <c r="C1437" s="3">
        <v>61</v>
      </c>
      <c r="D1437" s="3">
        <v>38</v>
      </c>
      <c r="E1437" s="3">
        <f>((1/(INDEX(E0!J$4:J$73,C1437,1)-INDEX(E0!J$4:J$73,D1437,1))))*100000000</f>
        <v>0</v>
      </c>
      <c r="F1437" s="4" t="str">
        <f>HYPERLINK("http://141.218.60.56/~jnz1568/getInfo.php?workbook=16_15.xlsx&amp;sheet=A0&amp;row=1437&amp;col=6&amp;number=&amp;sourceID=54","")</f>
        <v/>
      </c>
      <c r="G1437" s="4" t="str">
        <f>HYPERLINK("http://141.218.60.56/~jnz1568/getInfo.php?workbook=16_15.xlsx&amp;sheet=A0&amp;row=1437&amp;col=7&amp;number=0.0001978&amp;sourceID=54","0.0001978")</f>
        <v>0.0001978</v>
      </c>
      <c r="H1437" s="4" t="str">
        <f>HYPERLINK("http://141.218.60.56/~jnz1568/getInfo.php?workbook=16_15.xlsx&amp;sheet=A0&amp;row=1437&amp;col=8&amp;number=0.0021521&amp;sourceID=54","0.0021521")</f>
        <v>0.0021521</v>
      </c>
      <c r="I1437" s="4" t="str">
        <f>HYPERLINK("http://141.218.60.56/~jnz1568/getInfo.php?workbook=16_15.xlsx&amp;sheet=A0&amp;row=1437&amp;col=9&amp;number=&amp;sourceID=54","")</f>
        <v/>
      </c>
      <c r="J1437" s="4" t="str">
        <f>HYPERLINK("http://141.218.60.56/~jnz1568/getInfo.php?workbook=16_15.xlsx&amp;sheet=A0&amp;row=1437&amp;col=10&amp;number=0.00016909&amp;sourceID=54","0.00016909")</f>
        <v>0.00016909</v>
      </c>
      <c r="K1437" s="4" t="str">
        <f>HYPERLINK("http://141.218.60.56/~jnz1568/getInfo.php?workbook=16_15.xlsx&amp;sheet=A0&amp;row=1437&amp;col=11&amp;number=0.0021755&amp;sourceID=54","0.0021755")</f>
        <v>0.0021755</v>
      </c>
      <c r="L1437" s="4" t="str">
        <f>HYPERLINK("http://141.218.60.56/~jnz1568/getInfo.php?workbook=16_15.xlsx&amp;sheet=A0&amp;row=1437&amp;col=12&amp;number=&amp;sourceID=53","")</f>
        <v/>
      </c>
      <c r="M1437" s="4" t="str">
        <f>HYPERLINK("http://141.218.60.56/~jnz1568/getInfo.php?workbook=16_15.xlsx&amp;sheet=A0&amp;row=1437&amp;col=13&amp;number=&amp;sourceID=53","")</f>
        <v/>
      </c>
      <c r="N1437" s="4" t="str">
        <f>HYPERLINK("http://141.218.60.56/~jnz1568/getInfo.php?workbook=16_15.xlsx&amp;sheet=A0&amp;row=1437&amp;col=14&amp;number=&amp;sourceID=53","")</f>
        <v/>
      </c>
      <c r="O1437" s="4" t="str">
        <f>HYPERLINK("http://141.218.60.56/~jnz1568/getInfo.php?workbook=16_15.xlsx&amp;sheet=A0&amp;row=1437&amp;col=15&amp;number=&amp;sourceID=55","")</f>
        <v/>
      </c>
      <c r="P1437" s="4" t="str">
        <f>HYPERLINK("http://141.218.60.56/~jnz1568/getInfo.php?workbook=16_15.xlsx&amp;sheet=A0&amp;row=1437&amp;col=16&amp;number=&amp;sourceID=55","")</f>
        <v/>
      </c>
      <c r="Q1437" s="4" t="str">
        <f>HYPERLINK("http://141.218.60.56/~jnz1568/getInfo.php?workbook=16_15.xlsx&amp;sheet=A0&amp;row=1437&amp;col=17&amp;number=&amp;sourceID=56","")</f>
        <v/>
      </c>
      <c r="R1437" s="4" t="str">
        <f>HYPERLINK("http://141.218.60.56/~jnz1568/getInfo.php?workbook=16_15.xlsx&amp;sheet=A0&amp;row=1437&amp;col=18&amp;number=&amp;sourceID=56","")</f>
        <v/>
      </c>
      <c r="S1437" s="4" t="str">
        <f>HYPERLINK("http://141.218.60.56/~jnz1568/getInfo.php?workbook=16_15.xlsx&amp;sheet=A0&amp;row=1437&amp;col=19&amp;number=&amp;sourceID=57","")</f>
        <v/>
      </c>
      <c r="T1437" s="4" t="str">
        <f>HYPERLINK("http://141.218.60.56/~jnz1568/getInfo.php?workbook=16_15.xlsx&amp;sheet=A0&amp;row=1437&amp;col=20&amp;number=&amp;sourceID=57","")</f>
        <v/>
      </c>
      <c r="U1437" s="4" t="str">
        <f>HYPERLINK("http://141.218.60.56/~jnz1568/getInfo.php?workbook=16_15.xlsx&amp;sheet=A0&amp;row=1437&amp;col=21&amp;number=&amp;sourceID=47","")</f>
        <v/>
      </c>
      <c r="V1437" s="4" t="str">
        <f>HYPERLINK("http://141.218.60.56/~jnz1568/getInfo.php?workbook=16_15.xlsx&amp;sheet=A0&amp;row=1437&amp;col=22&amp;number=&amp;sourceID=47","")</f>
        <v/>
      </c>
    </row>
    <row r="1438" spans="1:22">
      <c r="A1438" s="3">
        <v>16</v>
      </c>
      <c r="B1438" s="3">
        <v>15</v>
      </c>
      <c r="C1438" s="3">
        <v>61</v>
      </c>
      <c r="D1438" s="3">
        <v>39</v>
      </c>
      <c r="E1438" s="3">
        <f>((1/(INDEX(E0!J$4:J$73,C1438,1)-INDEX(E0!J$4:J$73,D1438,1))))*100000000</f>
        <v>0</v>
      </c>
      <c r="F1438" s="4" t="str">
        <f>HYPERLINK("http://141.218.60.56/~jnz1568/getInfo.php?workbook=16_15.xlsx&amp;sheet=A0&amp;row=1438&amp;col=6&amp;number=&amp;sourceID=54","")</f>
        <v/>
      </c>
      <c r="G1438" s="4" t="str">
        <f>HYPERLINK("http://141.218.60.56/~jnz1568/getInfo.php?workbook=16_15.xlsx&amp;sheet=A0&amp;row=1438&amp;col=7&amp;number=2.8093e-05&amp;sourceID=54","2.8093e-05")</f>
        <v>2.8093e-05</v>
      </c>
      <c r="H1438" s="4" t="str">
        <f>HYPERLINK("http://141.218.60.56/~jnz1568/getInfo.php?workbook=16_15.xlsx&amp;sheet=A0&amp;row=1438&amp;col=8&amp;number=0.00012388&amp;sourceID=54","0.00012388")</f>
        <v>0.00012388</v>
      </c>
      <c r="I1438" s="4" t="str">
        <f>HYPERLINK("http://141.218.60.56/~jnz1568/getInfo.php?workbook=16_15.xlsx&amp;sheet=A0&amp;row=1438&amp;col=9&amp;number=&amp;sourceID=54","")</f>
        <v/>
      </c>
      <c r="J1438" s="4" t="str">
        <f>HYPERLINK("http://141.218.60.56/~jnz1568/getInfo.php?workbook=16_15.xlsx&amp;sheet=A0&amp;row=1438&amp;col=10&amp;number=6.7653e-05&amp;sourceID=54","6.7653e-05")</f>
        <v>6.7653e-05</v>
      </c>
      <c r="K1438" s="4" t="str">
        <f>HYPERLINK("http://141.218.60.56/~jnz1568/getInfo.php?workbook=16_15.xlsx&amp;sheet=A0&amp;row=1438&amp;col=11&amp;number=0.0003055&amp;sourceID=54","0.0003055")</f>
        <v>0.0003055</v>
      </c>
      <c r="L1438" s="4" t="str">
        <f>HYPERLINK("http://141.218.60.56/~jnz1568/getInfo.php?workbook=16_15.xlsx&amp;sheet=A0&amp;row=1438&amp;col=12&amp;number=&amp;sourceID=53","")</f>
        <v/>
      </c>
      <c r="M1438" s="4" t="str">
        <f>HYPERLINK("http://141.218.60.56/~jnz1568/getInfo.php?workbook=16_15.xlsx&amp;sheet=A0&amp;row=1438&amp;col=13&amp;number=&amp;sourceID=53","")</f>
        <v/>
      </c>
      <c r="N1438" s="4" t="str">
        <f>HYPERLINK("http://141.218.60.56/~jnz1568/getInfo.php?workbook=16_15.xlsx&amp;sheet=A0&amp;row=1438&amp;col=14&amp;number=&amp;sourceID=53","")</f>
        <v/>
      </c>
      <c r="O1438" s="4" t="str">
        <f>HYPERLINK("http://141.218.60.56/~jnz1568/getInfo.php?workbook=16_15.xlsx&amp;sheet=A0&amp;row=1438&amp;col=15&amp;number=&amp;sourceID=55","")</f>
        <v/>
      </c>
      <c r="P1438" s="4" t="str">
        <f>HYPERLINK("http://141.218.60.56/~jnz1568/getInfo.php?workbook=16_15.xlsx&amp;sheet=A0&amp;row=1438&amp;col=16&amp;number=&amp;sourceID=55","")</f>
        <v/>
      </c>
      <c r="Q1438" s="4" t="str">
        <f>HYPERLINK("http://141.218.60.56/~jnz1568/getInfo.php?workbook=16_15.xlsx&amp;sheet=A0&amp;row=1438&amp;col=17&amp;number=&amp;sourceID=56","")</f>
        <v/>
      </c>
      <c r="R1438" s="4" t="str">
        <f>HYPERLINK("http://141.218.60.56/~jnz1568/getInfo.php?workbook=16_15.xlsx&amp;sheet=A0&amp;row=1438&amp;col=18&amp;number=&amp;sourceID=56","")</f>
        <v/>
      </c>
      <c r="S1438" s="4" t="str">
        <f>HYPERLINK("http://141.218.60.56/~jnz1568/getInfo.php?workbook=16_15.xlsx&amp;sheet=A0&amp;row=1438&amp;col=19&amp;number=&amp;sourceID=57","")</f>
        <v/>
      </c>
      <c r="T1438" s="4" t="str">
        <f>HYPERLINK("http://141.218.60.56/~jnz1568/getInfo.php?workbook=16_15.xlsx&amp;sheet=A0&amp;row=1438&amp;col=20&amp;number=&amp;sourceID=57","")</f>
        <v/>
      </c>
      <c r="U1438" s="4" t="str">
        <f>HYPERLINK("http://141.218.60.56/~jnz1568/getInfo.php?workbook=16_15.xlsx&amp;sheet=A0&amp;row=1438&amp;col=21&amp;number=&amp;sourceID=47","")</f>
        <v/>
      </c>
      <c r="V1438" s="4" t="str">
        <f>HYPERLINK("http://141.218.60.56/~jnz1568/getInfo.php?workbook=16_15.xlsx&amp;sheet=A0&amp;row=1438&amp;col=22&amp;number=&amp;sourceID=47","")</f>
        <v/>
      </c>
    </row>
    <row r="1439" spans="1:22">
      <c r="A1439" s="3">
        <v>16</v>
      </c>
      <c r="B1439" s="3">
        <v>15</v>
      </c>
      <c r="C1439" s="3">
        <v>61</v>
      </c>
      <c r="D1439" s="3">
        <v>40</v>
      </c>
      <c r="E1439" s="3">
        <f>((1/(INDEX(E0!J$4:J$73,C1439,1)-INDEX(E0!J$4:J$73,D1439,1))))*100000000</f>
        <v>0</v>
      </c>
      <c r="F1439" s="4" t="str">
        <f>HYPERLINK("http://141.218.60.56/~jnz1568/getInfo.php?workbook=16_15.xlsx&amp;sheet=A0&amp;row=1439&amp;col=6&amp;number=&amp;sourceID=54","")</f>
        <v/>
      </c>
      <c r="G1439" s="4" t="str">
        <f>HYPERLINK("http://141.218.60.56/~jnz1568/getInfo.php?workbook=16_15.xlsx&amp;sheet=A0&amp;row=1439&amp;col=7&amp;number=0.01016&amp;sourceID=54","0.01016")</f>
        <v>0.01016</v>
      </c>
      <c r="H1439" s="4" t="str">
        <f>HYPERLINK("http://141.218.60.56/~jnz1568/getInfo.php?workbook=16_15.xlsx&amp;sheet=A0&amp;row=1439&amp;col=8&amp;number=0.0065043&amp;sourceID=54","0.0065043")</f>
        <v>0.0065043</v>
      </c>
      <c r="I1439" s="4" t="str">
        <f>HYPERLINK("http://141.218.60.56/~jnz1568/getInfo.php?workbook=16_15.xlsx&amp;sheet=A0&amp;row=1439&amp;col=9&amp;number=&amp;sourceID=54","")</f>
        <v/>
      </c>
      <c r="J1439" s="4" t="str">
        <f>HYPERLINK("http://141.218.60.56/~jnz1568/getInfo.php?workbook=16_15.xlsx&amp;sheet=A0&amp;row=1439&amp;col=10&amp;number=0.010261&amp;sourceID=54","0.010261")</f>
        <v>0.010261</v>
      </c>
      <c r="K1439" s="4" t="str">
        <f>HYPERLINK("http://141.218.60.56/~jnz1568/getInfo.php?workbook=16_15.xlsx&amp;sheet=A0&amp;row=1439&amp;col=11&amp;number=0.006113&amp;sourceID=54","0.006113")</f>
        <v>0.006113</v>
      </c>
      <c r="L1439" s="4" t="str">
        <f>HYPERLINK("http://141.218.60.56/~jnz1568/getInfo.php?workbook=16_15.xlsx&amp;sheet=A0&amp;row=1439&amp;col=12&amp;number=&amp;sourceID=53","")</f>
        <v/>
      </c>
      <c r="M1439" s="4" t="str">
        <f>HYPERLINK("http://141.218.60.56/~jnz1568/getInfo.php?workbook=16_15.xlsx&amp;sheet=A0&amp;row=1439&amp;col=13&amp;number=&amp;sourceID=53","")</f>
        <v/>
      </c>
      <c r="N1439" s="4" t="str">
        <f>HYPERLINK("http://141.218.60.56/~jnz1568/getInfo.php?workbook=16_15.xlsx&amp;sheet=A0&amp;row=1439&amp;col=14&amp;number=&amp;sourceID=53","")</f>
        <v/>
      </c>
      <c r="O1439" s="4" t="str">
        <f>HYPERLINK("http://141.218.60.56/~jnz1568/getInfo.php?workbook=16_15.xlsx&amp;sheet=A0&amp;row=1439&amp;col=15&amp;number=&amp;sourceID=55","")</f>
        <v/>
      </c>
      <c r="P1439" s="4" t="str">
        <f>HYPERLINK("http://141.218.60.56/~jnz1568/getInfo.php?workbook=16_15.xlsx&amp;sheet=A0&amp;row=1439&amp;col=16&amp;number=&amp;sourceID=55","")</f>
        <v/>
      </c>
      <c r="Q1439" s="4" t="str">
        <f>HYPERLINK("http://141.218.60.56/~jnz1568/getInfo.php?workbook=16_15.xlsx&amp;sheet=A0&amp;row=1439&amp;col=17&amp;number=&amp;sourceID=56","")</f>
        <v/>
      </c>
      <c r="R1439" s="4" t="str">
        <f>HYPERLINK("http://141.218.60.56/~jnz1568/getInfo.php?workbook=16_15.xlsx&amp;sheet=A0&amp;row=1439&amp;col=18&amp;number=&amp;sourceID=56","")</f>
        <v/>
      </c>
      <c r="S1439" s="4" t="str">
        <f>HYPERLINK("http://141.218.60.56/~jnz1568/getInfo.php?workbook=16_15.xlsx&amp;sheet=A0&amp;row=1439&amp;col=19&amp;number=&amp;sourceID=57","")</f>
        <v/>
      </c>
      <c r="T1439" s="4" t="str">
        <f>HYPERLINK("http://141.218.60.56/~jnz1568/getInfo.php?workbook=16_15.xlsx&amp;sheet=A0&amp;row=1439&amp;col=20&amp;number=&amp;sourceID=57","")</f>
        <v/>
      </c>
      <c r="U1439" s="4" t="str">
        <f>HYPERLINK("http://141.218.60.56/~jnz1568/getInfo.php?workbook=16_15.xlsx&amp;sheet=A0&amp;row=1439&amp;col=21&amp;number=&amp;sourceID=47","")</f>
        <v/>
      </c>
      <c r="V1439" s="4" t="str">
        <f>HYPERLINK("http://141.218.60.56/~jnz1568/getInfo.php?workbook=16_15.xlsx&amp;sheet=A0&amp;row=1439&amp;col=22&amp;number=&amp;sourceID=47","")</f>
        <v/>
      </c>
    </row>
    <row r="1440" spans="1:22">
      <c r="A1440" s="3">
        <v>16</v>
      </c>
      <c r="B1440" s="3">
        <v>15</v>
      </c>
      <c r="C1440" s="3">
        <v>61</v>
      </c>
      <c r="D1440" s="3">
        <v>41</v>
      </c>
      <c r="E1440" s="3">
        <f>((1/(INDEX(E0!J$4:J$73,C1440,1)-INDEX(E0!J$4:J$73,D1440,1))))*100000000</f>
        <v>0</v>
      </c>
      <c r="F1440" s="4" t="str">
        <f>HYPERLINK("http://141.218.60.56/~jnz1568/getInfo.php?workbook=16_15.xlsx&amp;sheet=A0&amp;row=1440&amp;col=6&amp;number=618.74&amp;sourceID=54","618.74")</f>
        <v>618.74</v>
      </c>
      <c r="G1440" s="4" t="str">
        <f>HYPERLINK("http://141.218.60.56/~jnz1568/getInfo.php?workbook=16_15.xlsx&amp;sheet=A0&amp;row=1440&amp;col=7&amp;number=&amp;sourceID=54","")</f>
        <v/>
      </c>
      <c r="H1440" s="4" t="str">
        <f>HYPERLINK("http://141.218.60.56/~jnz1568/getInfo.php?workbook=16_15.xlsx&amp;sheet=A0&amp;row=1440&amp;col=8&amp;number=&amp;sourceID=54","")</f>
        <v/>
      </c>
      <c r="I1440" s="4" t="str">
        <f>HYPERLINK("http://141.218.60.56/~jnz1568/getInfo.php?workbook=16_15.xlsx&amp;sheet=A0&amp;row=1440&amp;col=9&amp;number=511.3&amp;sourceID=54","511.3")</f>
        <v>511.3</v>
      </c>
      <c r="J1440" s="4" t="str">
        <f>HYPERLINK("http://141.218.60.56/~jnz1568/getInfo.php?workbook=16_15.xlsx&amp;sheet=A0&amp;row=1440&amp;col=10&amp;number=&amp;sourceID=54","")</f>
        <v/>
      </c>
      <c r="K1440" s="4" t="str">
        <f>HYPERLINK("http://141.218.60.56/~jnz1568/getInfo.php?workbook=16_15.xlsx&amp;sheet=A0&amp;row=1440&amp;col=11&amp;number=&amp;sourceID=54","")</f>
        <v/>
      </c>
      <c r="L1440" s="4" t="str">
        <f>HYPERLINK("http://141.218.60.56/~jnz1568/getInfo.php?workbook=16_15.xlsx&amp;sheet=A0&amp;row=1440&amp;col=12&amp;number=1465.02819913&amp;sourceID=53","1465.02819913")</f>
        <v>1465.02819913</v>
      </c>
      <c r="M1440" s="4" t="str">
        <f>HYPERLINK("http://141.218.60.56/~jnz1568/getInfo.php?workbook=16_15.xlsx&amp;sheet=A0&amp;row=1440&amp;col=13&amp;number=&amp;sourceID=53","")</f>
        <v/>
      </c>
      <c r="N1440" s="4" t="str">
        <f>HYPERLINK("http://141.218.60.56/~jnz1568/getInfo.php?workbook=16_15.xlsx&amp;sheet=A0&amp;row=1440&amp;col=14&amp;number=&amp;sourceID=53","")</f>
        <v/>
      </c>
      <c r="O1440" s="4" t="str">
        <f>HYPERLINK("http://141.218.60.56/~jnz1568/getInfo.php?workbook=16_15.xlsx&amp;sheet=A0&amp;row=1440&amp;col=15&amp;number=&amp;sourceID=55","")</f>
        <v/>
      </c>
      <c r="P1440" s="4" t="str">
        <f>HYPERLINK("http://141.218.60.56/~jnz1568/getInfo.php?workbook=16_15.xlsx&amp;sheet=A0&amp;row=1440&amp;col=16&amp;number=&amp;sourceID=55","")</f>
        <v/>
      </c>
      <c r="Q1440" s="4" t="str">
        <f>HYPERLINK("http://141.218.60.56/~jnz1568/getInfo.php?workbook=16_15.xlsx&amp;sheet=A0&amp;row=1440&amp;col=17&amp;number=&amp;sourceID=56","")</f>
        <v/>
      </c>
      <c r="R1440" s="4" t="str">
        <f>HYPERLINK("http://141.218.60.56/~jnz1568/getInfo.php?workbook=16_15.xlsx&amp;sheet=A0&amp;row=1440&amp;col=18&amp;number=&amp;sourceID=56","")</f>
        <v/>
      </c>
      <c r="S1440" s="4" t="str">
        <f>HYPERLINK("http://141.218.60.56/~jnz1568/getInfo.php?workbook=16_15.xlsx&amp;sheet=A0&amp;row=1440&amp;col=19&amp;number=&amp;sourceID=57","")</f>
        <v/>
      </c>
      <c r="T1440" s="4" t="str">
        <f>HYPERLINK("http://141.218.60.56/~jnz1568/getInfo.php?workbook=16_15.xlsx&amp;sheet=A0&amp;row=1440&amp;col=20&amp;number=&amp;sourceID=57","")</f>
        <v/>
      </c>
      <c r="U1440" s="4" t="str">
        <f>HYPERLINK("http://141.218.60.56/~jnz1568/getInfo.php?workbook=16_15.xlsx&amp;sheet=A0&amp;row=1440&amp;col=21&amp;number=&amp;sourceID=47","")</f>
        <v/>
      </c>
      <c r="V1440" s="4" t="str">
        <f>HYPERLINK("http://141.218.60.56/~jnz1568/getInfo.php?workbook=16_15.xlsx&amp;sheet=A0&amp;row=1440&amp;col=22&amp;number=&amp;sourceID=47","")</f>
        <v/>
      </c>
    </row>
    <row r="1441" spans="1:22">
      <c r="A1441" s="3">
        <v>16</v>
      </c>
      <c r="B1441" s="3">
        <v>15</v>
      </c>
      <c r="C1441" s="3">
        <v>61</v>
      </c>
      <c r="D1441" s="3">
        <v>42</v>
      </c>
      <c r="E1441" s="3">
        <f>((1/(INDEX(E0!J$4:J$73,C1441,1)-INDEX(E0!J$4:J$73,D1441,1))))*100000000</f>
        <v>0</v>
      </c>
      <c r="F1441" s="4" t="str">
        <f>HYPERLINK("http://141.218.60.56/~jnz1568/getInfo.php?workbook=16_15.xlsx&amp;sheet=A0&amp;row=1441&amp;col=6&amp;number=&amp;sourceID=54","")</f>
        <v/>
      </c>
      <c r="G1441" s="4" t="str">
        <f>HYPERLINK("http://141.218.60.56/~jnz1568/getInfo.php?workbook=16_15.xlsx&amp;sheet=A0&amp;row=1441&amp;col=7&amp;number=0.10859&amp;sourceID=54","0.10859")</f>
        <v>0.10859</v>
      </c>
      <c r="H1441" s="4" t="str">
        <f>HYPERLINK("http://141.218.60.56/~jnz1568/getInfo.php?workbook=16_15.xlsx&amp;sheet=A0&amp;row=1441&amp;col=8&amp;number=0.0046003&amp;sourceID=54","0.0046003")</f>
        <v>0.0046003</v>
      </c>
      <c r="I1441" s="4" t="str">
        <f>HYPERLINK("http://141.218.60.56/~jnz1568/getInfo.php?workbook=16_15.xlsx&amp;sheet=A0&amp;row=1441&amp;col=9&amp;number=&amp;sourceID=54","")</f>
        <v/>
      </c>
      <c r="J1441" s="4" t="str">
        <f>HYPERLINK("http://141.218.60.56/~jnz1568/getInfo.php?workbook=16_15.xlsx&amp;sheet=A0&amp;row=1441&amp;col=10&amp;number=0.089142&amp;sourceID=54","0.089142")</f>
        <v>0.089142</v>
      </c>
      <c r="K1441" s="4" t="str">
        <f>HYPERLINK("http://141.218.60.56/~jnz1568/getInfo.php?workbook=16_15.xlsx&amp;sheet=A0&amp;row=1441&amp;col=11&amp;number=0.0031154&amp;sourceID=54","0.0031154")</f>
        <v>0.0031154</v>
      </c>
      <c r="L1441" s="4" t="str">
        <f>HYPERLINK("http://141.218.60.56/~jnz1568/getInfo.php?workbook=16_15.xlsx&amp;sheet=A0&amp;row=1441&amp;col=12&amp;number=&amp;sourceID=53","")</f>
        <v/>
      </c>
      <c r="M1441" s="4" t="str">
        <f>HYPERLINK("http://141.218.60.56/~jnz1568/getInfo.php?workbook=16_15.xlsx&amp;sheet=A0&amp;row=1441&amp;col=13&amp;number=&amp;sourceID=53","")</f>
        <v/>
      </c>
      <c r="N1441" s="4" t="str">
        <f>HYPERLINK("http://141.218.60.56/~jnz1568/getInfo.php?workbook=16_15.xlsx&amp;sheet=A0&amp;row=1441&amp;col=14&amp;number=&amp;sourceID=53","")</f>
        <v/>
      </c>
      <c r="O1441" s="4" t="str">
        <f>HYPERLINK("http://141.218.60.56/~jnz1568/getInfo.php?workbook=16_15.xlsx&amp;sheet=A0&amp;row=1441&amp;col=15&amp;number=&amp;sourceID=55","")</f>
        <v/>
      </c>
      <c r="P1441" s="4" t="str">
        <f>HYPERLINK("http://141.218.60.56/~jnz1568/getInfo.php?workbook=16_15.xlsx&amp;sheet=A0&amp;row=1441&amp;col=16&amp;number=&amp;sourceID=55","")</f>
        <v/>
      </c>
      <c r="Q1441" s="4" t="str">
        <f>HYPERLINK("http://141.218.60.56/~jnz1568/getInfo.php?workbook=16_15.xlsx&amp;sheet=A0&amp;row=1441&amp;col=17&amp;number=&amp;sourceID=56","")</f>
        <v/>
      </c>
      <c r="R1441" s="4" t="str">
        <f>HYPERLINK("http://141.218.60.56/~jnz1568/getInfo.php?workbook=16_15.xlsx&amp;sheet=A0&amp;row=1441&amp;col=18&amp;number=&amp;sourceID=56","")</f>
        <v/>
      </c>
      <c r="S1441" s="4" t="str">
        <f>HYPERLINK("http://141.218.60.56/~jnz1568/getInfo.php?workbook=16_15.xlsx&amp;sheet=A0&amp;row=1441&amp;col=19&amp;number=&amp;sourceID=57","")</f>
        <v/>
      </c>
      <c r="T1441" s="4" t="str">
        <f>HYPERLINK("http://141.218.60.56/~jnz1568/getInfo.php?workbook=16_15.xlsx&amp;sheet=A0&amp;row=1441&amp;col=20&amp;number=&amp;sourceID=57","")</f>
        <v/>
      </c>
      <c r="U1441" s="4" t="str">
        <f>HYPERLINK("http://141.218.60.56/~jnz1568/getInfo.php?workbook=16_15.xlsx&amp;sheet=A0&amp;row=1441&amp;col=21&amp;number=&amp;sourceID=47","")</f>
        <v/>
      </c>
      <c r="V1441" s="4" t="str">
        <f>HYPERLINK("http://141.218.60.56/~jnz1568/getInfo.php?workbook=16_15.xlsx&amp;sheet=A0&amp;row=1441&amp;col=22&amp;number=&amp;sourceID=47","")</f>
        <v/>
      </c>
    </row>
    <row r="1442" spans="1:22">
      <c r="A1442" s="3">
        <v>16</v>
      </c>
      <c r="B1442" s="3">
        <v>15</v>
      </c>
      <c r="C1442" s="3">
        <v>61</v>
      </c>
      <c r="D1442" s="3">
        <v>43</v>
      </c>
      <c r="E1442" s="3">
        <f>((1/(INDEX(E0!J$4:J$73,C1442,1)-INDEX(E0!J$4:J$73,D1442,1))))*100000000</f>
        <v>0</v>
      </c>
      <c r="F1442" s="4" t="str">
        <f>HYPERLINK("http://141.218.60.56/~jnz1568/getInfo.php?workbook=16_15.xlsx&amp;sheet=A0&amp;row=1442&amp;col=6&amp;number=907.39&amp;sourceID=54","907.39")</f>
        <v>907.39</v>
      </c>
      <c r="G1442" s="4" t="str">
        <f>HYPERLINK("http://141.218.60.56/~jnz1568/getInfo.php?workbook=16_15.xlsx&amp;sheet=A0&amp;row=1442&amp;col=7&amp;number=&amp;sourceID=54","")</f>
        <v/>
      </c>
      <c r="H1442" s="4" t="str">
        <f>HYPERLINK("http://141.218.60.56/~jnz1568/getInfo.php?workbook=16_15.xlsx&amp;sheet=A0&amp;row=1442&amp;col=8&amp;number=&amp;sourceID=54","")</f>
        <v/>
      </c>
      <c r="I1442" s="4" t="str">
        <f>HYPERLINK("http://141.218.60.56/~jnz1568/getInfo.php?workbook=16_15.xlsx&amp;sheet=A0&amp;row=1442&amp;col=9&amp;number=327.29&amp;sourceID=54","327.29")</f>
        <v>327.29</v>
      </c>
      <c r="J1442" s="4" t="str">
        <f>HYPERLINK("http://141.218.60.56/~jnz1568/getInfo.php?workbook=16_15.xlsx&amp;sheet=A0&amp;row=1442&amp;col=10&amp;number=&amp;sourceID=54","")</f>
        <v/>
      </c>
      <c r="K1442" s="4" t="str">
        <f>HYPERLINK("http://141.218.60.56/~jnz1568/getInfo.php?workbook=16_15.xlsx&amp;sheet=A0&amp;row=1442&amp;col=11&amp;number=&amp;sourceID=54","")</f>
        <v/>
      </c>
      <c r="L1442" s="4" t="str">
        <f>HYPERLINK("http://141.218.60.56/~jnz1568/getInfo.php?workbook=16_15.xlsx&amp;sheet=A0&amp;row=1442&amp;col=12&amp;number=826.298398743&amp;sourceID=53","826.298398743")</f>
        <v>826.298398743</v>
      </c>
      <c r="M1442" s="4" t="str">
        <f>HYPERLINK("http://141.218.60.56/~jnz1568/getInfo.php?workbook=16_15.xlsx&amp;sheet=A0&amp;row=1442&amp;col=13&amp;number=&amp;sourceID=53","")</f>
        <v/>
      </c>
      <c r="N1442" s="4" t="str">
        <f>HYPERLINK("http://141.218.60.56/~jnz1568/getInfo.php?workbook=16_15.xlsx&amp;sheet=A0&amp;row=1442&amp;col=14&amp;number=&amp;sourceID=53","")</f>
        <v/>
      </c>
      <c r="O1442" s="4" t="str">
        <f>HYPERLINK("http://141.218.60.56/~jnz1568/getInfo.php?workbook=16_15.xlsx&amp;sheet=A0&amp;row=1442&amp;col=15&amp;number=&amp;sourceID=55","")</f>
        <v/>
      </c>
      <c r="P1442" s="4" t="str">
        <f>HYPERLINK("http://141.218.60.56/~jnz1568/getInfo.php?workbook=16_15.xlsx&amp;sheet=A0&amp;row=1442&amp;col=16&amp;number=&amp;sourceID=55","")</f>
        <v/>
      </c>
      <c r="Q1442" s="4" t="str">
        <f>HYPERLINK("http://141.218.60.56/~jnz1568/getInfo.php?workbook=16_15.xlsx&amp;sheet=A0&amp;row=1442&amp;col=17&amp;number=&amp;sourceID=56","")</f>
        <v/>
      </c>
      <c r="R1442" s="4" t="str">
        <f>HYPERLINK("http://141.218.60.56/~jnz1568/getInfo.php?workbook=16_15.xlsx&amp;sheet=A0&amp;row=1442&amp;col=18&amp;number=&amp;sourceID=56","")</f>
        <v/>
      </c>
      <c r="S1442" s="4" t="str">
        <f>HYPERLINK("http://141.218.60.56/~jnz1568/getInfo.php?workbook=16_15.xlsx&amp;sheet=A0&amp;row=1442&amp;col=19&amp;number=&amp;sourceID=57","")</f>
        <v/>
      </c>
      <c r="T1442" s="4" t="str">
        <f>HYPERLINK("http://141.218.60.56/~jnz1568/getInfo.php?workbook=16_15.xlsx&amp;sheet=A0&amp;row=1442&amp;col=20&amp;number=&amp;sourceID=57","")</f>
        <v/>
      </c>
      <c r="U1442" s="4" t="str">
        <f>HYPERLINK("http://141.218.60.56/~jnz1568/getInfo.php?workbook=16_15.xlsx&amp;sheet=A0&amp;row=1442&amp;col=21&amp;number=&amp;sourceID=47","")</f>
        <v/>
      </c>
      <c r="V1442" s="4" t="str">
        <f>HYPERLINK("http://141.218.60.56/~jnz1568/getInfo.php?workbook=16_15.xlsx&amp;sheet=A0&amp;row=1442&amp;col=22&amp;number=&amp;sourceID=47","")</f>
        <v/>
      </c>
    </row>
    <row r="1443" spans="1:22">
      <c r="A1443" s="3">
        <v>16</v>
      </c>
      <c r="B1443" s="3">
        <v>15</v>
      </c>
      <c r="C1443" s="3">
        <v>61</v>
      </c>
      <c r="D1443" s="3">
        <v>44</v>
      </c>
      <c r="E1443" s="3">
        <f>((1/(INDEX(E0!J$4:J$73,C1443,1)-INDEX(E0!J$4:J$73,D1443,1))))*100000000</f>
        <v>0</v>
      </c>
      <c r="F1443" s="4" t="str">
        <f>HYPERLINK("http://141.218.60.56/~jnz1568/getInfo.php?workbook=16_15.xlsx&amp;sheet=A0&amp;row=1443&amp;col=6&amp;number=5.0264&amp;sourceID=54","5.0264")</f>
        <v>5.0264</v>
      </c>
      <c r="G1443" s="4" t="str">
        <f>HYPERLINK("http://141.218.60.56/~jnz1568/getInfo.php?workbook=16_15.xlsx&amp;sheet=A0&amp;row=1443&amp;col=7&amp;number=&amp;sourceID=54","")</f>
        <v/>
      </c>
      <c r="H1443" s="4" t="str">
        <f>HYPERLINK("http://141.218.60.56/~jnz1568/getInfo.php?workbook=16_15.xlsx&amp;sheet=A0&amp;row=1443&amp;col=8&amp;number=&amp;sourceID=54","")</f>
        <v/>
      </c>
      <c r="I1443" s="4" t="str">
        <f>HYPERLINK("http://141.218.60.56/~jnz1568/getInfo.php?workbook=16_15.xlsx&amp;sheet=A0&amp;row=1443&amp;col=9&amp;number=102.53&amp;sourceID=54","102.53")</f>
        <v>102.53</v>
      </c>
      <c r="J1443" s="4" t="str">
        <f>HYPERLINK("http://141.218.60.56/~jnz1568/getInfo.php?workbook=16_15.xlsx&amp;sheet=A0&amp;row=1443&amp;col=10&amp;number=&amp;sourceID=54","")</f>
        <v/>
      </c>
      <c r="K1443" s="4" t="str">
        <f>HYPERLINK("http://141.218.60.56/~jnz1568/getInfo.php?workbook=16_15.xlsx&amp;sheet=A0&amp;row=1443&amp;col=11&amp;number=&amp;sourceID=54","")</f>
        <v/>
      </c>
      <c r="L1443" s="4" t="str">
        <f>HYPERLINK("http://141.218.60.56/~jnz1568/getInfo.php?workbook=16_15.xlsx&amp;sheet=A0&amp;row=1443&amp;col=12&amp;number=4.5586239008&amp;sourceID=53","4.5586239008")</f>
        <v>4.5586239008</v>
      </c>
      <c r="M1443" s="4" t="str">
        <f>HYPERLINK("http://141.218.60.56/~jnz1568/getInfo.php?workbook=16_15.xlsx&amp;sheet=A0&amp;row=1443&amp;col=13&amp;number=&amp;sourceID=53","")</f>
        <v/>
      </c>
      <c r="N1443" s="4" t="str">
        <f>HYPERLINK("http://141.218.60.56/~jnz1568/getInfo.php?workbook=16_15.xlsx&amp;sheet=A0&amp;row=1443&amp;col=14&amp;number=&amp;sourceID=53","")</f>
        <v/>
      </c>
      <c r="O1443" s="4" t="str">
        <f>HYPERLINK("http://141.218.60.56/~jnz1568/getInfo.php?workbook=16_15.xlsx&amp;sheet=A0&amp;row=1443&amp;col=15&amp;number=&amp;sourceID=55","")</f>
        <v/>
      </c>
      <c r="P1443" s="4" t="str">
        <f>HYPERLINK("http://141.218.60.56/~jnz1568/getInfo.php?workbook=16_15.xlsx&amp;sheet=A0&amp;row=1443&amp;col=16&amp;number=&amp;sourceID=55","")</f>
        <v/>
      </c>
      <c r="Q1443" s="4" t="str">
        <f>HYPERLINK("http://141.218.60.56/~jnz1568/getInfo.php?workbook=16_15.xlsx&amp;sheet=A0&amp;row=1443&amp;col=17&amp;number=&amp;sourceID=56","")</f>
        <v/>
      </c>
      <c r="R1443" s="4" t="str">
        <f>HYPERLINK("http://141.218.60.56/~jnz1568/getInfo.php?workbook=16_15.xlsx&amp;sheet=A0&amp;row=1443&amp;col=18&amp;number=&amp;sourceID=56","")</f>
        <v/>
      </c>
      <c r="S1443" s="4" t="str">
        <f>HYPERLINK("http://141.218.60.56/~jnz1568/getInfo.php?workbook=16_15.xlsx&amp;sheet=A0&amp;row=1443&amp;col=19&amp;number=&amp;sourceID=57","")</f>
        <v/>
      </c>
      <c r="T1443" s="4" t="str">
        <f>HYPERLINK("http://141.218.60.56/~jnz1568/getInfo.php?workbook=16_15.xlsx&amp;sheet=A0&amp;row=1443&amp;col=20&amp;number=&amp;sourceID=57","")</f>
        <v/>
      </c>
      <c r="U1443" s="4" t="str">
        <f>HYPERLINK("http://141.218.60.56/~jnz1568/getInfo.php?workbook=16_15.xlsx&amp;sheet=A0&amp;row=1443&amp;col=21&amp;number=&amp;sourceID=47","")</f>
        <v/>
      </c>
      <c r="V1443" s="4" t="str">
        <f>HYPERLINK("http://141.218.60.56/~jnz1568/getInfo.php?workbook=16_15.xlsx&amp;sheet=A0&amp;row=1443&amp;col=22&amp;number=&amp;sourceID=47","")</f>
        <v/>
      </c>
    </row>
    <row r="1444" spans="1:22">
      <c r="A1444" s="3">
        <v>16</v>
      </c>
      <c r="B1444" s="3">
        <v>15</v>
      </c>
      <c r="C1444" s="3">
        <v>61</v>
      </c>
      <c r="D1444" s="3">
        <v>45</v>
      </c>
      <c r="E1444" s="3">
        <f>((1/(INDEX(E0!J$4:J$73,C1444,1)-INDEX(E0!J$4:J$73,D1444,1))))*100000000</f>
        <v>0</v>
      </c>
      <c r="F1444" s="4" t="str">
        <f>HYPERLINK("http://141.218.60.56/~jnz1568/getInfo.php?workbook=16_15.xlsx&amp;sheet=A0&amp;row=1444&amp;col=6&amp;number=&amp;sourceID=54","")</f>
        <v/>
      </c>
      <c r="G1444" s="4" t="str">
        <f>HYPERLINK("http://141.218.60.56/~jnz1568/getInfo.php?workbook=16_15.xlsx&amp;sheet=A0&amp;row=1444&amp;col=7&amp;number=0.0005278&amp;sourceID=54","0.0005278")</f>
        <v>0.0005278</v>
      </c>
      <c r="H1444" s="4" t="str">
        <f>HYPERLINK("http://141.218.60.56/~jnz1568/getInfo.php?workbook=16_15.xlsx&amp;sheet=A0&amp;row=1444&amp;col=8&amp;number=0.054535&amp;sourceID=54","0.054535")</f>
        <v>0.054535</v>
      </c>
      <c r="I1444" s="4" t="str">
        <f>HYPERLINK("http://141.218.60.56/~jnz1568/getInfo.php?workbook=16_15.xlsx&amp;sheet=A0&amp;row=1444&amp;col=9&amp;number=&amp;sourceID=54","")</f>
        <v/>
      </c>
      <c r="J1444" s="4" t="str">
        <f>HYPERLINK("http://141.218.60.56/~jnz1568/getInfo.php?workbook=16_15.xlsx&amp;sheet=A0&amp;row=1444&amp;col=10&amp;number=7.4131e-05&amp;sourceID=54","7.4131e-05")</f>
        <v>7.4131e-05</v>
      </c>
      <c r="K1444" s="4" t="str">
        <f>HYPERLINK("http://141.218.60.56/~jnz1568/getInfo.php?workbook=16_15.xlsx&amp;sheet=A0&amp;row=1444&amp;col=11&amp;number=0.060884&amp;sourceID=54","0.060884")</f>
        <v>0.060884</v>
      </c>
      <c r="L1444" s="4" t="str">
        <f>HYPERLINK("http://141.218.60.56/~jnz1568/getInfo.php?workbook=16_15.xlsx&amp;sheet=A0&amp;row=1444&amp;col=12&amp;number=&amp;sourceID=53","")</f>
        <v/>
      </c>
      <c r="M1444" s="4" t="str">
        <f>HYPERLINK("http://141.218.60.56/~jnz1568/getInfo.php?workbook=16_15.xlsx&amp;sheet=A0&amp;row=1444&amp;col=13&amp;number=&amp;sourceID=53","")</f>
        <v/>
      </c>
      <c r="N1444" s="4" t="str">
        <f>HYPERLINK("http://141.218.60.56/~jnz1568/getInfo.php?workbook=16_15.xlsx&amp;sheet=A0&amp;row=1444&amp;col=14&amp;number=&amp;sourceID=53","")</f>
        <v/>
      </c>
      <c r="O1444" s="4" t="str">
        <f>HYPERLINK("http://141.218.60.56/~jnz1568/getInfo.php?workbook=16_15.xlsx&amp;sheet=A0&amp;row=1444&amp;col=15&amp;number=&amp;sourceID=55","")</f>
        <v/>
      </c>
      <c r="P1444" s="4" t="str">
        <f>HYPERLINK("http://141.218.60.56/~jnz1568/getInfo.php?workbook=16_15.xlsx&amp;sheet=A0&amp;row=1444&amp;col=16&amp;number=&amp;sourceID=55","")</f>
        <v/>
      </c>
      <c r="Q1444" s="4" t="str">
        <f>HYPERLINK("http://141.218.60.56/~jnz1568/getInfo.php?workbook=16_15.xlsx&amp;sheet=A0&amp;row=1444&amp;col=17&amp;number=&amp;sourceID=56","")</f>
        <v/>
      </c>
      <c r="R1444" s="4" t="str">
        <f>HYPERLINK("http://141.218.60.56/~jnz1568/getInfo.php?workbook=16_15.xlsx&amp;sheet=A0&amp;row=1444&amp;col=18&amp;number=&amp;sourceID=56","")</f>
        <v/>
      </c>
      <c r="S1444" s="4" t="str">
        <f>HYPERLINK("http://141.218.60.56/~jnz1568/getInfo.php?workbook=16_15.xlsx&amp;sheet=A0&amp;row=1444&amp;col=19&amp;number=&amp;sourceID=57","")</f>
        <v/>
      </c>
      <c r="T1444" s="4" t="str">
        <f>HYPERLINK("http://141.218.60.56/~jnz1568/getInfo.php?workbook=16_15.xlsx&amp;sheet=A0&amp;row=1444&amp;col=20&amp;number=&amp;sourceID=57","")</f>
        <v/>
      </c>
      <c r="U1444" s="4" t="str">
        <f>HYPERLINK("http://141.218.60.56/~jnz1568/getInfo.php?workbook=16_15.xlsx&amp;sheet=A0&amp;row=1444&amp;col=21&amp;number=&amp;sourceID=47","")</f>
        <v/>
      </c>
      <c r="V1444" s="4" t="str">
        <f>HYPERLINK("http://141.218.60.56/~jnz1568/getInfo.php?workbook=16_15.xlsx&amp;sheet=A0&amp;row=1444&amp;col=22&amp;number=&amp;sourceID=47","")</f>
        <v/>
      </c>
    </row>
    <row r="1445" spans="1:22">
      <c r="A1445" s="3">
        <v>16</v>
      </c>
      <c r="B1445" s="3">
        <v>15</v>
      </c>
      <c r="C1445" s="3">
        <v>61</v>
      </c>
      <c r="D1445" s="3">
        <v>46</v>
      </c>
      <c r="E1445" s="3">
        <f>((1/(INDEX(E0!J$4:J$73,C1445,1)-INDEX(E0!J$4:J$73,D1445,1))))*100000000</f>
        <v>0</v>
      </c>
      <c r="F1445" s="4" t="str">
        <f>HYPERLINK("http://141.218.60.56/~jnz1568/getInfo.php?workbook=16_15.xlsx&amp;sheet=A0&amp;row=1445&amp;col=6&amp;number=&amp;sourceID=54","")</f>
        <v/>
      </c>
      <c r="G1445" s="4" t="str">
        <f>HYPERLINK("http://141.218.60.56/~jnz1568/getInfo.php?workbook=16_15.xlsx&amp;sheet=A0&amp;row=1445&amp;col=7&amp;number=0.34304&amp;sourceID=54","0.34304")</f>
        <v>0.34304</v>
      </c>
      <c r="H1445" s="4" t="str">
        <f>HYPERLINK("http://141.218.60.56/~jnz1568/getInfo.php?workbook=16_15.xlsx&amp;sheet=A0&amp;row=1445&amp;col=8&amp;number=0.0025693&amp;sourceID=54","0.0025693")</f>
        <v>0.0025693</v>
      </c>
      <c r="I1445" s="4" t="str">
        <f>HYPERLINK("http://141.218.60.56/~jnz1568/getInfo.php?workbook=16_15.xlsx&amp;sheet=A0&amp;row=1445&amp;col=9&amp;number=&amp;sourceID=54","")</f>
        <v/>
      </c>
      <c r="J1445" s="4" t="str">
        <f>HYPERLINK("http://141.218.60.56/~jnz1568/getInfo.php?workbook=16_15.xlsx&amp;sheet=A0&amp;row=1445&amp;col=10&amp;number=0.27826&amp;sourceID=54","0.27826")</f>
        <v>0.27826</v>
      </c>
      <c r="K1445" s="4" t="str">
        <f>HYPERLINK("http://141.218.60.56/~jnz1568/getInfo.php?workbook=16_15.xlsx&amp;sheet=A0&amp;row=1445&amp;col=11&amp;number=0.0024637&amp;sourceID=54","0.0024637")</f>
        <v>0.0024637</v>
      </c>
      <c r="L1445" s="4" t="str">
        <f>HYPERLINK("http://141.218.60.56/~jnz1568/getInfo.php?workbook=16_15.xlsx&amp;sheet=A0&amp;row=1445&amp;col=12&amp;number=&amp;sourceID=53","")</f>
        <v/>
      </c>
      <c r="M1445" s="4" t="str">
        <f>HYPERLINK("http://141.218.60.56/~jnz1568/getInfo.php?workbook=16_15.xlsx&amp;sheet=A0&amp;row=1445&amp;col=13&amp;number=&amp;sourceID=53","")</f>
        <v/>
      </c>
      <c r="N1445" s="4" t="str">
        <f>HYPERLINK("http://141.218.60.56/~jnz1568/getInfo.php?workbook=16_15.xlsx&amp;sheet=A0&amp;row=1445&amp;col=14&amp;number=&amp;sourceID=53","")</f>
        <v/>
      </c>
      <c r="O1445" s="4" t="str">
        <f>HYPERLINK("http://141.218.60.56/~jnz1568/getInfo.php?workbook=16_15.xlsx&amp;sheet=A0&amp;row=1445&amp;col=15&amp;number=&amp;sourceID=55","")</f>
        <v/>
      </c>
      <c r="P1445" s="4" t="str">
        <f>HYPERLINK("http://141.218.60.56/~jnz1568/getInfo.php?workbook=16_15.xlsx&amp;sheet=A0&amp;row=1445&amp;col=16&amp;number=&amp;sourceID=55","")</f>
        <v/>
      </c>
      <c r="Q1445" s="4" t="str">
        <f>HYPERLINK("http://141.218.60.56/~jnz1568/getInfo.php?workbook=16_15.xlsx&amp;sheet=A0&amp;row=1445&amp;col=17&amp;number=&amp;sourceID=56","")</f>
        <v/>
      </c>
      <c r="R1445" s="4" t="str">
        <f>HYPERLINK("http://141.218.60.56/~jnz1568/getInfo.php?workbook=16_15.xlsx&amp;sheet=A0&amp;row=1445&amp;col=18&amp;number=&amp;sourceID=56","")</f>
        <v/>
      </c>
      <c r="S1445" s="4" t="str">
        <f>HYPERLINK("http://141.218.60.56/~jnz1568/getInfo.php?workbook=16_15.xlsx&amp;sheet=A0&amp;row=1445&amp;col=19&amp;number=&amp;sourceID=57","")</f>
        <v/>
      </c>
      <c r="T1445" s="4" t="str">
        <f>HYPERLINK("http://141.218.60.56/~jnz1568/getInfo.php?workbook=16_15.xlsx&amp;sheet=A0&amp;row=1445&amp;col=20&amp;number=&amp;sourceID=57","")</f>
        <v/>
      </c>
      <c r="U1445" s="4" t="str">
        <f>HYPERLINK("http://141.218.60.56/~jnz1568/getInfo.php?workbook=16_15.xlsx&amp;sheet=A0&amp;row=1445&amp;col=21&amp;number=&amp;sourceID=47","")</f>
        <v/>
      </c>
      <c r="V1445" s="4" t="str">
        <f>HYPERLINK("http://141.218.60.56/~jnz1568/getInfo.php?workbook=16_15.xlsx&amp;sheet=A0&amp;row=1445&amp;col=22&amp;number=&amp;sourceID=47","")</f>
        <v/>
      </c>
    </row>
    <row r="1446" spans="1:22">
      <c r="A1446" s="3">
        <v>16</v>
      </c>
      <c r="B1446" s="3">
        <v>15</v>
      </c>
      <c r="C1446" s="3">
        <v>61</v>
      </c>
      <c r="D1446" s="3">
        <v>47</v>
      </c>
      <c r="E1446" s="3">
        <f>((1/(INDEX(E0!J$4:J$73,C1446,1)-INDEX(E0!J$4:J$73,D1446,1))))*100000000</f>
        <v>0</v>
      </c>
      <c r="F1446" s="4" t="str">
        <f>HYPERLINK("http://141.218.60.56/~jnz1568/getInfo.php?workbook=16_15.xlsx&amp;sheet=A0&amp;row=1446&amp;col=6&amp;number=&amp;sourceID=54","")</f>
        <v/>
      </c>
      <c r="G1446" s="4" t="str">
        <f>HYPERLINK("http://141.218.60.56/~jnz1568/getInfo.php?workbook=16_15.xlsx&amp;sheet=A0&amp;row=1446&amp;col=7&amp;number=0.11351&amp;sourceID=54","0.11351")</f>
        <v>0.11351</v>
      </c>
      <c r="H1446" s="4" t="str">
        <f>HYPERLINK("http://141.218.60.56/~jnz1568/getInfo.php?workbook=16_15.xlsx&amp;sheet=A0&amp;row=1446&amp;col=8&amp;number=0.0082659&amp;sourceID=54","0.0082659")</f>
        <v>0.0082659</v>
      </c>
      <c r="I1446" s="4" t="str">
        <f>HYPERLINK("http://141.218.60.56/~jnz1568/getInfo.php?workbook=16_15.xlsx&amp;sheet=A0&amp;row=1446&amp;col=9&amp;number=&amp;sourceID=54","")</f>
        <v/>
      </c>
      <c r="J1446" s="4" t="str">
        <f>HYPERLINK("http://141.218.60.56/~jnz1568/getInfo.php?workbook=16_15.xlsx&amp;sheet=A0&amp;row=1446&amp;col=10&amp;number=0.091213&amp;sourceID=54","0.091213")</f>
        <v>0.091213</v>
      </c>
      <c r="K1446" s="4" t="str">
        <f>HYPERLINK("http://141.218.60.56/~jnz1568/getInfo.php?workbook=16_15.xlsx&amp;sheet=A0&amp;row=1446&amp;col=11&amp;number=0.0072688&amp;sourceID=54","0.0072688")</f>
        <v>0.0072688</v>
      </c>
      <c r="L1446" s="4" t="str">
        <f>HYPERLINK("http://141.218.60.56/~jnz1568/getInfo.php?workbook=16_15.xlsx&amp;sheet=A0&amp;row=1446&amp;col=12&amp;number=&amp;sourceID=53","")</f>
        <v/>
      </c>
      <c r="M1446" s="4" t="str">
        <f>HYPERLINK("http://141.218.60.56/~jnz1568/getInfo.php?workbook=16_15.xlsx&amp;sheet=A0&amp;row=1446&amp;col=13&amp;number=&amp;sourceID=53","")</f>
        <v/>
      </c>
      <c r="N1446" s="4" t="str">
        <f>HYPERLINK("http://141.218.60.56/~jnz1568/getInfo.php?workbook=16_15.xlsx&amp;sheet=A0&amp;row=1446&amp;col=14&amp;number=&amp;sourceID=53","")</f>
        <v/>
      </c>
      <c r="O1446" s="4" t="str">
        <f>HYPERLINK("http://141.218.60.56/~jnz1568/getInfo.php?workbook=16_15.xlsx&amp;sheet=A0&amp;row=1446&amp;col=15&amp;number=&amp;sourceID=55","")</f>
        <v/>
      </c>
      <c r="P1446" s="4" t="str">
        <f>HYPERLINK("http://141.218.60.56/~jnz1568/getInfo.php?workbook=16_15.xlsx&amp;sheet=A0&amp;row=1446&amp;col=16&amp;number=&amp;sourceID=55","")</f>
        <v/>
      </c>
      <c r="Q1446" s="4" t="str">
        <f>HYPERLINK("http://141.218.60.56/~jnz1568/getInfo.php?workbook=16_15.xlsx&amp;sheet=A0&amp;row=1446&amp;col=17&amp;number=&amp;sourceID=56","")</f>
        <v/>
      </c>
      <c r="R1446" s="4" t="str">
        <f>HYPERLINK("http://141.218.60.56/~jnz1568/getInfo.php?workbook=16_15.xlsx&amp;sheet=A0&amp;row=1446&amp;col=18&amp;number=&amp;sourceID=56","")</f>
        <v/>
      </c>
      <c r="S1446" s="4" t="str">
        <f>HYPERLINK("http://141.218.60.56/~jnz1568/getInfo.php?workbook=16_15.xlsx&amp;sheet=A0&amp;row=1446&amp;col=19&amp;number=&amp;sourceID=57","")</f>
        <v/>
      </c>
      <c r="T1446" s="4" t="str">
        <f>HYPERLINK("http://141.218.60.56/~jnz1568/getInfo.php?workbook=16_15.xlsx&amp;sheet=A0&amp;row=1446&amp;col=20&amp;number=&amp;sourceID=57","")</f>
        <v/>
      </c>
      <c r="U1446" s="4" t="str">
        <f>HYPERLINK("http://141.218.60.56/~jnz1568/getInfo.php?workbook=16_15.xlsx&amp;sheet=A0&amp;row=1446&amp;col=21&amp;number=&amp;sourceID=47","")</f>
        <v/>
      </c>
      <c r="V1446" s="4" t="str">
        <f>HYPERLINK("http://141.218.60.56/~jnz1568/getInfo.php?workbook=16_15.xlsx&amp;sheet=A0&amp;row=1446&amp;col=22&amp;number=&amp;sourceID=47","")</f>
        <v/>
      </c>
    </row>
    <row r="1447" spans="1:22">
      <c r="A1447" s="3">
        <v>16</v>
      </c>
      <c r="B1447" s="3">
        <v>15</v>
      </c>
      <c r="C1447" s="3">
        <v>61</v>
      </c>
      <c r="D1447" s="3">
        <v>48</v>
      </c>
      <c r="E1447" s="3">
        <f>((1/(INDEX(E0!J$4:J$73,C1447,1)-INDEX(E0!J$4:J$73,D1447,1))))*100000000</f>
        <v>0</v>
      </c>
      <c r="F1447" s="4" t="str">
        <f>HYPERLINK("http://141.218.60.56/~jnz1568/getInfo.php?workbook=16_15.xlsx&amp;sheet=A0&amp;row=1447&amp;col=6&amp;number=156370&amp;sourceID=54","156370")</f>
        <v>156370</v>
      </c>
      <c r="G1447" s="4" t="str">
        <f>HYPERLINK("http://141.218.60.56/~jnz1568/getInfo.php?workbook=16_15.xlsx&amp;sheet=A0&amp;row=1447&amp;col=7&amp;number=&amp;sourceID=54","")</f>
        <v/>
      </c>
      <c r="H1447" s="4" t="str">
        <f>HYPERLINK("http://141.218.60.56/~jnz1568/getInfo.php?workbook=16_15.xlsx&amp;sheet=A0&amp;row=1447&amp;col=8&amp;number=&amp;sourceID=54","")</f>
        <v/>
      </c>
      <c r="I1447" s="4" t="str">
        <f>HYPERLINK("http://141.218.60.56/~jnz1568/getInfo.php?workbook=16_15.xlsx&amp;sheet=A0&amp;row=1447&amp;col=9&amp;number=182880&amp;sourceID=54","182880")</f>
        <v>182880</v>
      </c>
      <c r="J1447" s="4" t="str">
        <f>HYPERLINK("http://141.218.60.56/~jnz1568/getInfo.php?workbook=16_15.xlsx&amp;sheet=A0&amp;row=1447&amp;col=10&amp;number=&amp;sourceID=54","")</f>
        <v/>
      </c>
      <c r="K1447" s="4" t="str">
        <f>HYPERLINK("http://141.218.60.56/~jnz1568/getInfo.php?workbook=16_15.xlsx&amp;sheet=A0&amp;row=1447&amp;col=11&amp;number=&amp;sourceID=54","")</f>
        <v/>
      </c>
      <c r="L1447" s="4" t="str">
        <f>HYPERLINK("http://141.218.60.56/~jnz1568/getInfo.php?workbook=16_15.xlsx&amp;sheet=A0&amp;row=1447&amp;col=12&amp;number=252401.817509&amp;sourceID=53","252401.817509")</f>
        <v>252401.817509</v>
      </c>
      <c r="M1447" s="4" t="str">
        <f>HYPERLINK("http://141.218.60.56/~jnz1568/getInfo.php?workbook=16_15.xlsx&amp;sheet=A0&amp;row=1447&amp;col=13&amp;number=&amp;sourceID=53","")</f>
        <v/>
      </c>
      <c r="N1447" s="4" t="str">
        <f>HYPERLINK("http://141.218.60.56/~jnz1568/getInfo.php?workbook=16_15.xlsx&amp;sheet=A0&amp;row=1447&amp;col=14&amp;number=&amp;sourceID=53","")</f>
        <v/>
      </c>
      <c r="O1447" s="4" t="str">
        <f>HYPERLINK("http://141.218.60.56/~jnz1568/getInfo.php?workbook=16_15.xlsx&amp;sheet=A0&amp;row=1447&amp;col=15&amp;number=&amp;sourceID=55","")</f>
        <v/>
      </c>
      <c r="P1447" s="4" t="str">
        <f>HYPERLINK("http://141.218.60.56/~jnz1568/getInfo.php?workbook=16_15.xlsx&amp;sheet=A0&amp;row=1447&amp;col=16&amp;number=&amp;sourceID=55","")</f>
        <v/>
      </c>
      <c r="Q1447" s="4" t="str">
        <f>HYPERLINK("http://141.218.60.56/~jnz1568/getInfo.php?workbook=16_15.xlsx&amp;sheet=A0&amp;row=1447&amp;col=17&amp;number=&amp;sourceID=56","")</f>
        <v/>
      </c>
      <c r="R1447" s="4" t="str">
        <f>HYPERLINK("http://141.218.60.56/~jnz1568/getInfo.php?workbook=16_15.xlsx&amp;sheet=A0&amp;row=1447&amp;col=18&amp;number=&amp;sourceID=56","")</f>
        <v/>
      </c>
      <c r="S1447" s="4" t="str">
        <f>HYPERLINK("http://141.218.60.56/~jnz1568/getInfo.php?workbook=16_15.xlsx&amp;sheet=A0&amp;row=1447&amp;col=19&amp;number=&amp;sourceID=57","")</f>
        <v/>
      </c>
      <c r="T1447" s="4" t="str">
        <f>HYPERLINK("http://141.218.60.56/~jnz1568/getInfo.php?workbook=16_15.xlsx&amp;sheet=A0&amp;row=1447&amp;col=20&amp;number=&amp;sourceID=57","")</f>
        <v/>
      </c>
      <c r="U1447" s="4" t="str">
        <f>HYPERLINK("http://141.218.60.56/~jnz1568/getInfo.php?workbook=16_15.xlsx&amp;sheet=A0&amp;row=1447&amp;col=21&amp;number=&amp;sourceID=47","")</f>
        <v/>
      </c>
      <c r="V1447" s="4" t="str">
        <f>HYPERLINK("http://141.218.60.56/~jnz1568/getInfo.php?workbook=16_15.xlsx&amp;sheet=A0&amp;row=1447&amp;col=22&amp;number=&amp;sourceID=47","")</f>
        <v/>
      </c>
    </row>
    <row r="1448" spans="1:22">
      <c r="A1448" s="3">
        <v>16</v>
      </c>
      <c r="B1448" s="3">
        <v>15</v>
      </c>
      <c r="C1448" s="3">
        <v>61</v>
      </c>
      <c r="D1448" s="3">
        <v>49</v>
      </c>
      <c r="E1448" s="3">
        <f>((1/(INDEX(E0!J$4:J$73,C1448,1)-INDEX(E0!J$4:J$73,D1448,1))))*100000000</f>
        <v>0</v>
      </c>
      <c r="F1448" s="4" t="str">
        <f>HYPERLINK("http://141.218.60.56/~jnz1568/getInfo.php?workbook=16_15.xlsx&amp;sheet=A0&amp;row=1448&amp;col=6&amp;number=&amp;sourceID=54","")</f>
        <v/>
      </c>
      <c r="G1448" s="4" t="str">
        <f>HYPERLINK("http://141.218.60.56/~jnz1568/getInfo.php?workbook=16_15.xlsx&amp;sheet=A0&amp;row=1448&amp;col=7&amp;number=0.12268&amp;sourceID=54","0.12268")</f>
        <v>0.12268</v>
      </c>
      <c r="H1448" s="4" t="str">
        <f>HYPERLINK("http://141.218.60.56/~jnz1568/getInfo.php?workbook=16_15.xlsx&amp;sheet=A0&amp;row=1448&amp;col=8&amp;number=0.00014227&amp;sourceID=54","0.00014227")</f>
        <v>0.00014227</v>
      </c>
      <c r="I1448" s="4" t="str">
        <f>HYPERLINK("http://141.218.60.56/~jnz1568/getInfo.php?workbook=16_15.xlsx&amp;sheet=A0&amp;row=1448&amp;col=9&amp;number=&amp;sourceID=54","")</f>
        <v/>
      </c>
      <c r="J1448" s="4" t="str">
        <f>HYPERLINK("http://141.218.60.56/~jnz1568/getInfo.php?workbook=16_15.xlsx&amp;sheet=A0&amp;row=1448&amp;col=10&amp;number=0.098865&amp;sourceID=54","0.098865")</f>
        <v>0.098865</v>
      </c>
      <c r="K1448" s="4" t="str">
        <f>HYPERLINK("http://141.218.60.56/~jnz1568/getInfo.php?workbook=16_15.xlsx&amp;sheet=A0&amp;row=1448&amp;col=11&amp;number=0.00013363&amp;sourceID=54","0.00013363")</f>
        <v>0.00013363</v>
      </c>
      <c r="L1448" s="4" t="str">
        <f>HYPERLINK("http://141.218.60.56/~jnz1568/getInfo.php?workbook=16_15.xlsx&amp;sheet=A0&amp;row=1448&amp;col=12&amp;number=&amp;sourceID=53","")</f>
        <v/>
      </c>
      <c r="M1448" s="4" t="str">
        <f>HYPERLINK("http://141.218.60.56/~jnz1568/getInfo.php?workbook=16_15.xlsx&amp;sheet=A0&amp;row=1448&amp;col=13&amp;number=&amp;sourceID=53","")</f>
        <v/>
      </c>
      <c r="N1448" s="4" t="str">
        <f>HYPERLINK("http://141.218.60.56/~jnz1568/getInfo.php?workbook=16_15.xlsx&amp;sheet=A0&amp;row=1448&amp;col=14&amp;number=&amp;sourceID=53","")</f>
        <v/>
      </c>
      <c r="O1448" s="4" t="str">
        <f>HYPERLINK("http://141.218.60.56/~jnz1568/getInfo.php?workbook=16_15.xlsx&amp;sheet=A0&amp;row=1448&amp;col=15&amp;number=&amp;sourceID=55","")</f>
        <v/>
      </c>
      <c r="P1448" s="4" t="str">
        <f>HYPERLINK("http://141.218.60.56/~jnz1568/getInfo.php?workbook=16_15.xlsx&amp;sheet=A0&amp;row=1448&amp;col=16&amp;number=&amp;sourceID=55","")</f>
        <v/>
      </c>
      <c r="Q1448" s="4" t="str">
        <f>HYPERLINK("http://141.218.60.56/~jnz1568/getInfo.php?workbook=16_15.xlsx&amp;sheet=A0&amp;row=1448&amp;col=17&amp;number=&amp;sourceID=56","")</f>
        <v/>
      </c>
      <c r="R1448" s="4" t="str">
        <f>HYPERLINK("http://141.218.60.56/~jnz1568/getInfo.php?workbook=16_15.xlsx&amp;sheet=A0&amp;row=1448&amp;col=18&amp;number=&amp;sourceID=56","")</f>
        <v/>
      </c>
      <c r="S1448" s="4" t="str">
        <f>HYPERLINK("http://141.218.60.56/~jnz1568/getInfo.php?workbook=16_15.xlsx&amp;sheet=A0&amp;row=1448&amp;col=19&amp;number=&amp;sourceID=57","")</f>
        <v/>
      </c>
      <c r="T1448" s="4" t="str">
        <f>HYPERLINK("http://141.218.60.56/~jnz1568/getInfo.php?workbook=16_15.xlsx&amp;sheet=A0&amp;row=1448&amp;col=20&amp;number=&amp;sourceID=57","")</f>
        <v/>
      </c>
      <c r="U1448" s="4" t="str">
        <f>HYPERLINK("http://141.218.60.56/~jnz1568/getInfo.php?workbook=16_15.xlsx&amp;sheet=A0&amp;row=1448&amp;col=21&amp;number=&amp;sourceID=47","")</f>
        <v/>
      </c>
      <c r="V1448" s="4" t="str">
        <f>HYPERLINK("http://141.218.60.56/~jnz1568/getInfo.php?workbook=16_15.xlsx&amp;sheet=A0&amp;row=1448&amp;col=22&amp;number=&amp;sourceID=47","")</f>
        <v/>
      </c>
    </row>
    <row r="1449" spans="1:22">
      <c r="A1449" s="3">
        <v>16</v>
      </c>
      <c r="B1449" s="3">
        <v>15</v>
      </c>
      <c r="C1449" s="3">
        <v>61</v>
      </c>
      <c r="D1449" s="3">
        <v>50</v>
      </c>
      <c r="E1449" s="3">
        <f>((1/(INDEX(E0!J$4:J$73,C1449,1)-INDEX(E0!J$4:J$73,D1449,1))))*100000000</f>
        <v>0</v>
      </c>
      <c r="F1449" s="4" t="str">
        <f>HYPERLINK("http://141.218.60.56/~jnz1568/getInfo.php?workbook=16_15.xlsx&amp;sheet=A0&amp;row=1449&amp;col=6&amp;number=1306400&amp;sourceID=54","1306400")</f>
        <v>1306400</v>
      </c>
      <c r="G1449" s="4" t="str">
        <f>HYPERLINK("http://141.218.60.56/~jnz1568/getInfo.php?workbook=16_15.xlsx&amp;sheet=A0&amp;row=1449&amp;col=7&amp;number=&amp;sourceID=54","")</f>
        <v/>
      </c>
      <c r="H1449" s="4" t="str">
        <f>HYPERLINK("http://141.218.60.56/~jnz1568/getInfo.php?workbook=16_15.xlsx&amp;sheet=A0&amp;row=1449&amp;col=8&amp;number=&amp;sourceID=54","")</f>
        <v/>
      </c>
      <c r="I1449" s="4" t="str">
        <f>HYPERLINK("http://141.218.60.56/~jnz1568/getInfo.php?workbook=16_15.xlsx&amp;sheet=A0&amp;row=1449&amp;col=9&amp;number=1461300&amp;sourceID=54","1461300")</f>
        <v>1461300</v>
      </c>
      <c r="J1449" s="4" t="str">
        <f>HYPERLINK("http://141.218.60.56/~jnz1568/getInfo.php?workbook=16_15.xlsx&amp;sheet=A0&amp;row=1449&amp;col=10&amp;number=&amp;sourceID=54","")</f>
        <v/>
      </c>
      <c r="K1449" s="4" t="str">
        <f>HYPERLINK("http://141.218.60.56/~jnz1568/getInfo.php?workbook=16_15.xlsx&amp;sheet=A0&amp;row=1449&amp;col=11&amp;number=&amp;sourceID=54","")</f>
        <v/>
      </c>
      <c r="L1449" s="4" t="str">
        <f>HYPERLINK("http://141.218.60.56/~jnz1568/getInfo.php?workbook=16_15.xlsx&amp;sheet=A0&amp;row=1449&amp;col=12&amp;number=2079375.48801&amp;sourceID=53","2079375.48801")</f>
        <v>2079375.48801</v>
      </c>
      <c r="M1449" s="4" t="str">
        <f>HYPERLINK("http://141.218.60.56/~jnz1568/getInfo.php?workbook=16_15.xlsx&amp;sheet=A0&amp;row=1449&amp;col=13&amp;number=&amp;sourceID=53","")</f>
        <v/>
      </c>
      <c r="N1449" s="4" t="str">
        <f>HYPERLINK("http://141.218.60.56/~jnz1568/getInfo.php?workbook=16_15.xlsx&amp;sheet=A0&amp;row=1449&amp;col=14&amp;number=&amp;sourceID=53","")</f>
        <v/>
      </c>
      <c r="O1449" s="4" t="str">
        <f>HYPERLINK("http://141.218.60.56/~jnz1568/getInfo.php?workbook=16_15.xlsx&amp;sheet=A0&amp;row=1449&amp;col=15&amp;number=&amp;sourceID=55","")</f>
        <v/>
      </c>
      <c r="P1449" s="4" t="str">
        <f>HYPERLINK("http://141.218.60.56/~jnz1568/getInfo.php?workbook=16_15.xlsx&amp;sheet=A0&amp;row=1449&amp;col=16&amp;number=&amp;sourceID=55","")</f>
        <v/>
      </c>
      <c r="Q1449" s="4" t="str">
        <f>HYPERLINK("http://141.218.60.56/~jnz1568/getInfo.php?workbook=16_15.xlsx&amp;sheet=A0&amp;row=1449&amp;col=17&amp;number=&amp;sourceID=56","")</f>
        <v/>
      </c>
      <c r="R1449" s="4" t="str">
        <f>HYPERLINK("http://141.218.60.56/~jnz1568/getInfo.php?workbook=16_15.xlsx&amp;sheet=A0&amp;row=1449&amp;col=18&amp;number=&amp;sourceID=56","")</f>
        <v/>
      </c>
      <c r="S1449" s="4" t="str">
        <f>HYPERLINK("http://141.218.60.56/~jnz1568/getInfo.php?workbook=16_15.xlsx&amp;sheet=A0&amp;row=1449&amp;col=19&amp;number=&amp;sourceID=57","")</f>
        <v/>
      </c>
      <c r="T1449" s="4" t="str">
        <f>HYPERLINK("http://141.218.60.56/~jnz1568/getInfo.php?workbook=16_15.xlsx&amp;sheet=A0&amp;row=1449&amp;col=20&amp;number=&amp;sourceID=57","")</f>
        <v/>
      </c>
      <c r="U1449" s="4" t="str">
        <f>HYPERLINK("http://141.218.60.56/~jnz1568/getInfo.php?workbook=16_15.xlsx&amp;sheet=A0&amp;row=1449&amp;col=21&amp;number=&amp;sourceID=47","")</f>
        <v/>
      </c>
      <c r="V1449" s="4" t="str">
        <f>HYPERLINK("http://141.218.60.56/~jnz1568/getInfo.php?workbook=16_15.xlsx&amp;sheet=A0&amp;row=1449&amp;col=22&amp;number=&amp;sourceID=47","")</f>
        <v/>
      </c>
    </row>
    <row r="1450" spans="1:22">
      <c r="A1450" s="3">
        <v>16</v>
      </c>
      <c r="B1450" s="3">
        <v>15</v>
      </c>
      <c r="C1450" s="3">
        <v>61</v>
      </c>
      <c r="D1450" s="3">
        <v>51</v>
      </c>
      <c r="E1450" s="3">
        <f>((1/(INDEX(E0!J$4:J$73,C1450,1)-INDEX(E0!J$4:J$73,D1450,1))))*100000000</f>
        <v>0</v>
      </c>
      <c r="F1450" s="4" t="str">
        <f>HYPERLINK("http://141.218.60.56/~jnz1568/getInfo.php?workbook=16_15.xlsx&amp;sheet=A0&amp;row=1450&amp;col=6&amp;number=230840&amp;sourceID=54","230840")</f>
        <v>230840</v>
      </c>
      <c r="G1450" s="4" t="str">
        <f>HYPERLINK("http://141.218.60.56/~jnz1568/getInfo.php?workbook=16_15.xlsx&amp;sheet=A0&amp;row=1450&amp;col=7&amp;number=&amp;sourceID=54","")</f>
        <v/>
      </c>
      <c r="H1450" s="4" t="str">
        <f>HYPERLINK("http://141.218.60.56/~jnz1568/getInfo.php?workbook=16_15.xlsx&amp;sheet=A0&amp;row=1450&amp;col=8&amp;number=&amp;sourceID=54","")</f>
        <v/>
      </c>
      <c r="I1450" s="4" t="str">
        <f>HYPERLINK("http://141.218.60.56/~jnz1568/getInfo.php?workbook=16_15.xlsx&amp;sheet=A0&amp;row=1450&amp;col=9&amp;number=191720&amp;sourceID=54","191720")</f>
        <v>191720</v>
      </c>
      <c r="J1450" s="4" t="str">
        <f>HYPERLINK("http://141.218.60.56/~jnz1568/getInfo.php?workbook=16_15.xlsx&amp;sheet=A0&amp;row=1450&amp;col=10&amp;number=&amp;sourceID=54","")</f>
        <v/>
      </c>
      <c r="K1450" s="4" t="str">
        <f>HYPERLINK("http://141.218.60.56/~jnz1568/getInfo.php?workbook=16_15.xlsx&amp;sheet=A0&amp;row=1450&amp;col=11&amp;number=&amp;sourceID=54","")</f>
        <v/>
      </c>
      <c r="L1450" s="4" t="str">
        <f>HYPERLINK("http://141.218.60.56/~jnz1568/getInfo.php?workbook=16_15.xlsx&amp;sheet=A0&amp;row=1450&amp;col=12&amp;number=233985.218534&amp;sourceID=53","233985.218534")</f>
        <v>233985.218534</v>
      </c>
      <c r="M1450" s="4" t="str">
        <f>HYPERLINK("http://141.218.60.56/~jnz1568/getInfo.php?workbook=16_15.xlsx&amp;sheet=A0&amp;row=1450&amp;col=13&amp;number=&amp;sourceID=53","")</f>
        <v/>
      </c>
      <c r="N1450" s="4" t="str">
        <f>HYPERLINK("http://141.218.60.56/~jnz1568/getInfo.php?workbook=16_15.xlsx&amp;sheet=A0&amp;row=1450&amp;col=14&amp;number=&amp;sourceID=53","")</f>
        <v/>
      </c>
      <c r="O1450" s="4" t="str">
        <f>HYPERLINK("http://141.218.60.56/~jnz1568/getInfo.php?workbook=16_15.xlsx&amp;sheet=A0&amp;row=1450&amp;col=15&amp;number=&amp;sourceID=55","")</f>
        <v/>
      </c>
      <c r="P1450" s="4" t="str">
        <f>HYPERLINK("http://141.218.60.56/~jnz1568/getInfo.php?workbook=16_15.xlsx&amp;sheet=A0&amp;row=1450&amp;col=16&amp;number=&amp;sourceID=55","")</f>
        <v/>
      </c>
      <c r="Q1450" s="4" t="str">
        <f>HYPERLINK("http://141.218.60.56/~jnz1568/getInfo.php?workbook=16_15.xlsx&amp;sheet=A0&amp;row=1450&amp;col=17&amp;number=&amp;sourceID=56","")</f>
        <v/>
      </c>
      <c r="R1450" s="4" t="str">
        <f>HYPERLINK("http://141.218.60.56/~jnz1568/getInfo.php?workbook=16_15.xlsx&amp;sheet=A0&amp;row=1450&amp;col=18&amp;number=&amp;sourceID=56","")</f>
        <v/>
      </c>
      <c r="S1450" s="4" t="str">
        <f>HYPERLINK("http://141.218.60.56/~jnz1568/getInfo.php?workbook=16_15.xlsx&amp;sheet=A0&amp;row=1450&amp;col=19&amp;number=&amp;sourceID=57","")</f>
        <v/>
      </c>
      <c r="T1450" s="4" t="str">
        <f>HYPERLINK("http://141.218.60.56/~jnz1568/getInfo.php?workbook=16_15.xlsx&amp;sheet=A0&amp;row=1450&amp;col=20&amp;number=&amp;sourceID=57","")</f>
        <v/>
      </c>
      <c r="U1450" s="4" t="str">
        <f>HYPERLINK("http://141.218.60.56/~jnz1568/getInfo.php?workbook=16_15.xlsx&amp;sheet=A0&amp;row=1450&amp;col=21&amp;number=&amp;sourceID=47","")</f>
        <v/>
      </c>
      <c r="V1450" s="4" t="str">
        <f>HYPERLINK("http://141.218.60.56/~jnz1568/getInfo.php?workbook=16_15.xlsx&amp;sheet=A0&amp;row=1450&amp;col=22&amp;number=&amp;sourceID=47","")</f>
        <v/>
      </c>
    </row>
    <row r="1451" spans="1:22">
      <c r="A1451" s="3">
        <v>16</v>
      </c>
      <c r="B1451" s="3">
        <v>15</v>
      </c>
      <c r="C1451" s="3">
        <v>61</v>
      </c>
      <c r="D1451" s="3">
        <v>52</v>
      </c>
      <c r="E1451" s="3">
        <f>((1/(INDEX(E0!J$4:J$73,C1451,1)-INDEX(E0!J$4:J$73,D1451,1))))*100000000</f>
        <v>0</v>
      </c>
      <c r="F1451" s="4" t="str">
        <f>HYPERLINK("http://141.218.60.56/~jnz1568/getInfo.php?workbook=16_15.xlsx&amp;sheet=A0&amp;row=1451&amp;col=6&amp;number=2296.8&amp;sourceID=54","2296.8")</f>
        <v>2296.8</v>
      </c>
      <c r="G1451" s="4" t="str">
        <f>HYPERLINK("http://141.218.60.56/~jnz1568/getInfo.php?workbook=16_15.xlsx&amp;sheet=A0&amp;row=1451&amp;col=7&amp;number=&amp;sourceID=54","")</f>
        <v/>
      </c>
      <c r="H1451" s="4" t="str">
        <f>HYPERLINK("http://141.218.60.56/~jnz1568/getInfo.php?workbook=16_15.xlsx&amp;sheet=A0&amp;row=1451&amp;col=8&amp;number=&amp;sourceID=54","")</f>
        <v/>
      </c>
      <c r="I1451" s="4" t="str">
        <f>HYPERLINK("http://141.218.60.56/~jnz1568/getInfo.php?workbook=16_15.xlsx&amp;sheet=A0&amp;row=1451&amp;col=9&amp;number=5952.7&amp;sourceID=54","5952.7")</f>
        <v>5952.7</v>
      </c>
      <c r="J1451" s="4" t="str">
        <f>HYPERLINK("http://141.218.60.56/~jnz1568/getInfo.php?workbook=16_15.xlsx&amp;sheet=A0&amp;row=1451&amp;col=10&amp;number=&amp;sourceID=54","")</f>
        <v/>
      </c>
      <c r="K1451" s="4" t="str">
        <f>HYPERLINK("http://141.218.60.56/~jnz1568/getInfo.php?workbook=16_15.xlsx&amp;sheet=A0&amp;row=1451&amp;col=11&amp;number=&amp;sourceID=54","")</f>
        <v/>
      </c>
      <c r="L1451" s="4" t="str">
        <f>HYPERLINK("http://141.218.60.56/~jnz1568/getInfo.php?workbook=16_15.xlsx&amp;sheet=A0&amp;row=1451&amp;col=12&amp;number=4167.38182922&amp;sourceID=53","4167.38182922")</f>
        <v>4167.38182922</v>
      </c>
      <c r="M1451" s="4" t="str">
        <f>HYPERLINK("http://141.218.60.56/~jnz1568/getInfo.php?workbook=16_15.xlsx&amp;sheet=A0&amp;row=1451&amp;col=13&amp;number=&amp;sourceID=53","")</f>
        <v/>
      </c>
      <c r="N1451" s="4" t="str">
        <f>HYPERLINK("http://141.218.60.56/~jnz1568/getInfo.php?workbook=16_15.xlsx&amp;sheet=A0&amp;row=1451&amp;col=14&amp;number=&amp;sourceID=53","")</f>
        <v/>
      </c>
      <c r="O1451" s="4" t="str">
        <f>HYPERLINK("http://141.218.60.56/~jnz1568/getInfo.php?workbook=16_15.xlsx&amp;sheet=A0&amp;row=1451&amp;col=15&amp;number=&amp;sourceID=55","")</f>
        <v/>
      </c>
      <c r="P1451" s="4" t="str">
        <f>HYPERLINK("http://141.218.60.56/~jnz1568/getInfo.php?workbook=16_15.xlsx&amp;sheet=A0&amp;row=1451&amp;col=16&amp;number=&amp;sourceID=55","")</f>
        <v/>
      </c>
      <c r="Q1451" s="4" t="str">
        <f>HYPERLINK("http://141.218.60.56/~jnz1568/getInfo.php?workbook=16_15.xlsx&amp;sheet=A0&amp;row=1451&amp;col=17&amp;number=&amp;sourceID=56","")</f>
        <v/>
      </c>
      <c r="R1451" s="4" t="str">
        <f>HYPERLINK("http://141.218.60.56/~jnz1568/getInfo.php?workbook=16_15.xlsx&amp;sheet=A0&amp;row=1451&amp;col=18&amp;number=&amp;sourceID=56","")</f>
        <v/>
      </c>
      <c r="S1451" s="4" t="str">
        <f>HYPERLINK("http://141.218.60.56/~jnz1568/getInfo.php?workbook=16_15.xlsx&amp;sheet=A0&amp;row=1451&amp;col=19&amp;number=&amp;sourceID=57","")</f>
        <v/>
      </c>
      <c r="T1451" s="4" t="str">
        <f>HYPERLINK("http://141.218.60.56/~jnz1568/getInfo.php?workbook=16_15.xlsx&amp;sheet=A0&amp;row=1451&amp;col=20&amp;number=&amp;sourceID=57","")</f>
        <v/>
      </c>
      <c r="U1451" s="4" t="str">
        <f>HYPERLINK("http://141.218.60.56/~jnz1568/getInfo.php?workbook=16_15.xlsx&amp;sheet=A0&amp;row=1451&amp;col=21&amp;number=&amp;sourceID=47","")</f>
        <v/>
      </c>
      <c r="V1451" s="4" t="str">
        <f>HYPERLINK("http://141.218.60.56/~jnz1568/getInfo.php?workbook=16_15.xlsx&amp;sheet=A0&amp;row=1451&amp;col=22&amp;number=&amp;sourceID=47","")</f>
        <v/>
      </c>
    </row>
    <row r="1452" spans="1:22">
      <c r="A1452" s="3">
        <v>16</v>
      </c>
      <c r="B1452" s="3">
        <v>15</v>
      </c>
      <c r="C1452" s="3">
        <v>61</v>
      </c>
      <c r="D1452" s="3">
        <v>54</v>
      </c>
      <c r="E1452" s="3">
        <f>((1/(INDEX(E0!J$4:J$73,C1452,1)-INDEX(E0!J$4:J$73,D1452,1))))*100000000</f>
        <v>0</v>
      </c>
      <c r="F1452" s="4" t="str">
        <f>HYPERLINK("http://141.218.60.56/~jnz1568/getInfo.php?workbook=16_15.xlsx&amp;sheet=A0&amp;row=1452&amp;col=6&amp;number=40303&amp;sourceID=54","40303")</f>
        <v>40303</v>
      </c>
      <c r="G1452" s="4" t="str">
        <f>HYPERLINK("http://141.218.60.56/~jnz1568/getInfo.php?workbook=16_15.xlsx&amp;sheet=A0&amp;row=1452&amp;col=7&amp;number=&amp;sourceID=54","")</f>
        <v/>
      </c>
      <c r="H1452" s="4" t="str">
        <f>HYPERLINK("http://141.218.60.56/~jnz1568/getInfo.php?workbook=16_15.xlsx&amp;sheet=A0&amp;row=1452&amp;col=8&amp;number=&amp;sourceID=54","")</f>
        <v/>
      </c>
      <c r="I1452" s="4" t="str">
        <f>HYPERLINK("http://141.218.60.56/~jnz1568/getInfo.php?workbook=16_15.xlsx&amp;sheet=A0&amp;row=1452&amp;col=9&amp;number=59769&amp;sourceID=54","59769")</f>
        <v>59769</v>
      </c>
      <c r="J1452" s="4" t="str">
        <f>HYPERLINK("http://141.218.60.56/~jnz1568/getInfo.php?workbook=16_15.xlsx&amp;sheet=A0&amp;row=1452&amp;col=10&amp;number=&amp;sourceID=54","")</f>
        <v/>
      </c>
      <c r="K1452" s="4" t="str">
        <f>HYPERLINK("http://141.218.60.56/~jnz1568/getInfo.php?workbook=16_15.xlsx&amp;sheet=A0&amp;row=1452&amp;col=11&amp;number=&amp;sourceID=54","")</f>
        <v/>
      </c>
      <c r="L1452" s="4" t="str">
        <f>HYPERLINK("http://141.218.60.56/~jnz1568/getInfo.php?workbook=16_15.xlsx&amp;sheet=A0&amp;row=1452&amp;col=12&amp;number=56566.5136946&amp;sourceID=53","56566.5136946")</f>
        <v>56566.5136946</v>
      </c>
      <c r="M1452" s="4" t="str">
        <f>HYPERLINK("http://141.218.60.56/~jnz1568/getInfo.php?workbook=16_15.xlsx&amp;sheet=A0&amp;row=1452&amp;col=13&amp;number=&amp;sourceID=53","")</f>
        <v/>
      </c>
      <c r="N1452" s="4" t="str">
        <f>HYPERLINK("http://141.218.60.56/~jnz1568/getInfo.php?workbook=16_15.xlsx&amp;sheet=A0&amp;row=1452&amp;col=14&amp;number=&amp;sourceID=53","")</f>
        <v/>
      </c>
      <c r="O1452" s="4" t="str">
        <f>HYPERLINK("http://141.218.60.56/~jnz1568/getInfo.php?workbook=16_15.xlsx&amp;sheet=A0&amp;row=1452&amp;col=15&amp;number=&amp;sourceID=55","")</f>
        <v/>
      </c>
      <c r="P1452" s="4" t="str">
        <f>HYPERLINK("http://141.218.60.56/~jnz1568/getInfo.php?workbook=16_15.xlsx&amp;sheet=A0&amp;row=1452&amp;col=16&amp;number=&amp;sourceID=55","")</f>
        <v/>
      </c>
      <c r="Q1452" s="4" t="str">
        <f>HYPERLINK("http://141.218.60.56/~jnz1568/getInfo.php?workbook=16_15.xlsx&amp;sheet=A0&amp;row=1452&amp;col=17&amp;number=&amp;sourceID=56","")</f>
        <v/>
      </c>
      <c r="R1452" s="4" t="str">
        <f>HYPERLINK("http://141.218.60.56/~jnz1568/getInfo.php?workbook=16_15.xlsx&amp;sheet=A0&amp;row=1452&amp;col=18&amp;number=&amp;sourceID=56","")</f>
        <v/>
      </c>
      <c r="S1452" s="4" t="str">
        <f>HYPERLINK("http://141.218.60.56/~jnz1568/getInfo.php?workbook=16_15.xlsx&amp;sheet=A0&amp;row=1452&amp;col=19&amp;number=&amp;sourceID=57","")</f>
        <v/>
      </c>
      <c r="T1452" s="4" t="str">
        <f>HYPERLINK("http://141.218.60.56/~jnz1568/getInfo.php?workbook=16_15.xlsx&amp;sheet=A0&amp;row=1452&amp;col=20&amp;number=&amp;sourceID=57","")</f>
        <v/>
      </c>
      <c r="U1452" s="4" t="str">
        <f>HYPERLINK("http://141.218.60.56/~jnz1568/getInfo.php?workbook=16_15.xlsx&amp;sheet=A0&amp;row=1452&amp;col=21&amp;number=&amp;sourceID=47","")</f>
        <v/>
      </c>
      <c r="V1452" s="4" t="str">
        <f>HYPERLINK("http://141.218.60.56/~jnz1568/getInfo.php?workbook=16_15.xlsx&amp;sheet=A0&amp;row=1452&amp;col=22&amp;number=&amp;sourceID=47","")</f>
        <v/>
      </c>
    </row>
    <row r="1453" spans="1:22">
      <c r="A1453" s="3">
        <v>16</v>
      </c>
      <c r="B1453" s="3">
        <v>15</v>
      </c>
      <c r="C1453" s="3">
        <v>61</v>
      </c>
      <c r="D1453" s="3">
        <v>55</v>
      </c>
      <c r="E1453" s="3">
        <f>((1/(INDEX(E0!J$4:J$73,C1453,1)-INDEX(E0!J$4:J$73,D1453,1))))*100000000</f>
        <v>0</v>
      </c>
      <c r="F1453" s="4" t="str">
        <f>HYPERLINK("http://141.218.60.56/~jnz1568/getInfo.php?workbook=16_15.xlsx&amp;sheet=A0&amp;row=1453&amp;col=6&amp;number=181250&amp;sourceID=54","181250")</f>
        <v>181250</v>
      </c>
      <c r="G1453" s="4" t="str">
        <f>HYPERLINK("http://141.218.60.56/~jnz1568/getInfo.php?workbook=16_15.xlsx&amp;sheet=A0&amp;row=1453&amp;col=7&amp;number=&amp;sourceID=54","")</f>
        <v/>
      </c>
      <c r="H1453" s="4" t="str">
        <f>HYPERLINK("http://141.218.60.56/~jnz1568/getInfo.php?workbook=16_15.xlsx&amp;sheet=A0&amp;row=1453&amp;col=8&amp;number=&amp;sourceID=54","")</f>
        <v/>
      </c>
      <c r="I1453" s="4" t="str">
        <f>HYPERLINK("http://141.218.60.56/~jnz1568/getInfo.php?workbook=16_15.xlsx&amp;sheet=A0&amp;row=1453&amp;col=9&amp;number=291540&amp;sourceID=54","291540")</f>
        <v>291540</v>
      </c>
      <c r="J1453" s="4" t="str">
        <f>HYPERLINK("http://141.218.60.56/~jnz1568/getInfo.php?workbook=16_15.xlsx&amp;sheet=A0&amp;row=1453&amp;col=10&amp;number=&amp;sourceID=54","")</f>
        <v/>
      </c>
      <c r="K1453" s="4" t="str">
        <f>HYPERLINK("http://141.218.60.56/~jnz1568/getInfo.php?workbook=16_15.xlsx&amp;sheet=A0&amp;row=1453&amp;col=11&amp;number=&amp;sourceID=54","")</f>
        <v/>
      </c>
      <c r="L1453" s="4" t="str">
        <f>HYPERLINK("http://141.218.60.56/~jnz1568/getInfo.php?workbook=16_15.xlsx&amp;sheet=A0&amp;row=1453&amp;col=12&amp;number=282823.949896&amp;sourceID=53","282823.949896")</f>
        <v>282823.949896</v>
      </c>
      <c r="M1453" s="4" t="str">
        <f>HYPERLINK("http://141.218.60.56/~jnz1568/getInfo.php?workbook=16_15.xlsx&amp;sheet=A0&amp;row=1453&amp;col=13&amp;number=&amp;sourceID=53","")</f>
        <v/>
      </c>
      <c r="N1453" s="4" t="str">
        <f>HYPERLINK("http://141.218.60.56/~jnz1568/getInfo.php?workbook=16_15.xlsx&amp;sheet=A0&amp;row=1453&amp;col=14&amp;number=&amp;sourceID=53","")</f>
        <v/>
      </c>
      <c r="O1453" s="4" t="str">
        <f>HYPERLINK("http://141.218.60.56/~jnz1568/getInfo.php?workbook=16_15.xlsx&amp;sheet=A0&amp;row=1453&amp;col=15&amp;number=&amp;sourceID=55","")</f>
        <v/>
      </c>
      <c r="P1453" s="4" t="str">
        <f>HYPERLINK("http://141.218.60.56/~jnz1568/getInfo.php?workbook=16_15.xlsx&amp;sheet=A0&amp;row=1453&amp;col=16&amp;number=&amp;sourceID=55","")</f>
        <v/>
      </c>
      <c r="Q1453" s="4" t="str">
        <f>HYPERLINK("http://141.218.60.56/~jnz1568/getInfo.php?workbook=16_15.xlsx&amp;sheet=A0&amp;row=1453&amp;col=17&amp;number=&amp;sourceID=56","")</f>
        <v/>
      </c>
      <c r="R1453" s="4" t="str">
        <f>HYPERLINK("http://141.218.60.56/~jnz1568/getInfo.php?workbook=16_15.xlsx&amp;sheet=A0&amp;row=1453&amp;col=18&amp;number=&amp;sourceID=56","")</f>
        <v/>
      </c>
      <c r="S1453" s="4" t="str">
        <f>HYPERLINK("http://141.218.60.56/~jnz1568/getInfo.php?workbook=16_15.xlsx&amp;sheet=A0&amp;row=1453&amp;col=19&amp;number=&amp;sourceID=57","")</f>
        <v/>
      </c>
      <c r="T1453" s="4" t="str">
        <f>HYPERLINK("http://141.218.60.56/~jnz1568/getInfo.php?workbook=16_15.xlsx&amp;sheet=A0&amp;row=1453&amp;col=20&amp;number=&amp;sourceID=57","")</f>
        <v/>
      </c>
      <c r="U1453" s="4" t="str">
        <f>HYPERLINK("http://141.218.60.56/~jnz1568/getInfo.php?workbook=16_15.xlsx&amp;sheet=A0&amp;row=1453&amp;col=21&amp;number=&amp;sourceID=47","")</f>
        <v/>
      </c>
      <c r="V1453" s="4" t="str">
        <f>HYPERLINK("http://141.218.60.56/~jnz1568/getInfo.php?workbook=16_15.xlsx&amp;sheet=A0&amp;row=1453&amp;col=22&amp;number=&amp;sourceID=47","")</f>
        <v/>
      </c>
    </row>
    <row r="1454" spans="1:22">
      <c r="A1454" s="3">
        <v>16</v>
      </c>
      <c r="B1454" s="3">
        <v>15</v>
      </c>
      <c r="C1454" s="3">
        <v>61</v>
      </c>
      <c r="D1454" s="3">
        <v>56</v>
      </c>
      <c r="E1454" s="3">
        <f>((1/(INDEX(E0!J$4:J$73,C1454,1)-INDEX(E0!J$4:J$73,D1454,1))))*100000000</f>
        <v>0</v>
      </c>
      <c r="F1454" s="4" t="str">
        <f>HYPERLINK("http://141.218.60.56/~jnz1568/getInfo.php?workbook=16_15.xlsx&amp;sheet=A0&amp;row=1454&amp;col=6&amp;number=&amp;sourceID=54","")</f>
        <v/>
      </c>
      <c r="G1454" s="4" t="str">
        <f>HYPERLINK("http://141.218.60.56/~jnz1568/getInfo.php?workbook=16_15.xlsx&amp;sheet=A0&amp;row=1454&amp;col=7&amp;number=0.002152&amp;sourceID=54","0.002152")</f>
        <v>0.002152</v>
      </c>
      <c r="H1454" s="4" t="str">
        <f>HYPERLINK("http://141.218.60.56/~jnz1568/getInfo.php?workbook=16_15.xlsx&amp;sheet=A0&amp;row=1454&amp;col=8&amp;number=2.5921e-05&amp;sourceID=54","2.5921e-05")</f>
        <v>2.5921e-05</v>
      </c>
      <c r="I1454" s="4" t="str">
        <f>HYPERLINK("http://141.218.60.56/~jnz1568/getInfo.php?workbook=16_15.xlsx&amp;sheet=A0&amp;row=1454&amp;col=9&amp;number=&amp;sourceID=54","")</f>
        <v/>
      </c>
      <c r="J1454" s="4" t="str">
        <f>HYPERLINK("http://141.218.60.56/~jnz1568/getInfo.php?workbook=16_15.xlsx&amp;sheet=A0&amp;row=1454&amp;col=10&amp;number=0.0024336&amp;sourceID=54","0.0024336")</f>
        <v>0.0024336</v>
      </c>
      <c r="K1454" s="4" t="str">
        <f>HYPERLINK("http://141.218.60.56/~jnz1568/getInfo.php?workbook=16_15.xlsx&amp;sheet=A0&amp;row=1454&amp;col=11&amp;number=6.0677e-06&amp;sourceID=54","6.0677e-06")</f>
        <v>6.0677e-06</v>
      </c>
      <c r="L1454" s="4" t="str">
        <f>HYPERLINK("http://141.218.60.56/~jnz1568/getInfo.php?workbook=16_15.xlsx&amp;sheet=A0&amp;row=1454&amp;col=12&amp;number=&amp;sourceID=53","")</f>
        <v/>
      </c>
      <c r="M1454" s="4" t="str">
        <f>HYPERLINK("http://141.218.60.56/~jnz1568/getInfo.php?workbook=16_15.xlsx&amp;sheet=A0&amp;row=1454&amp;col=13&amp;number=&amp;sourceID=53","")</f>
        <v/>
      </c>
      <c r="N1454" s="4" t="str">
        <f>HYPERLINK("http://141.218.60.56/~jnz1568/getInfo.php?workbook=16_15.xlsx&amp;sheet=A0&amp;row=1454&amp;col=14&amp;number=&amp;sourceID=53","")</f>
        <v/>
      </c>
      <c r="O1454" s="4" t="str">
        <f>HYPERLINK("http://141.218.60.56/~jnz1568/getInfo.php?workbook=16_15.xlsx&amp;sheet=A0&amp;row=1454&amp;col=15&amp;number=&amp;sourceID=55","")</f>
        <v/>
      </c>
      <c r="P1454" s="4" t="str">
        <f>HYPERLINK("http://141.218.60.56/~jnz1568/getInfo.php?workbook=16_15.xlsx&amp;sheet=A0&amp;row=1454&amp;col=16&amp;number=&amp;sourceID=55","")</f>
        <v/>
      </c>
      <c r="Q1454" s="4" t="str">
        <f>HYPERLINK("http://141.218.60.56/~jnz1568/getInfo.php?workbook=16_15.xlsx&amp;sheet=A0&amp;row=1454&amp;col=17&amp;number=&amp;sourceID=56","")</f>
        <v/>
      </c>
      <c r="R1454" s="4" t="str">
        <f>HYPERLINK("http://141.218.60.56/~jnz1568/getInfo.php?workbook=16_15.xlsx&amp;sheet=A0&amp;row=1454&amp;col=18&amp;number=&amp;sourceID=56","")</f>
        <v/>
      </c>
      <c r="S1454" s="4" t="str">
        <f>HYPERLINK("http://141.218.60.56/~jnz1568/getInfo.php?workbook=16_15.xlsx&amp;sheet=A0&amp;row=1454&amp;col=19&amp;number=&amp;sourceID=57","")</f>
        <v/>
      </c>
      <c r="T1454" s="4" t="str">
        <f>HYPERLINK("http://141.218.60.56/~jnz1568/getInfo.php?workbook=16_15.xlsx&amp;sheet=A0&amp;row=1454&amp;col=20&amp;number=&amp;sourceID=57","")</f>
        <v/>
      </c>
      <c r="U1454" s="4" t="str">
        <f>HYPERLINK("http://141.218.60.56/~jnz1568/getInfo.php?workbook=16_15.xlsx&amp;sheet=A0&amp;row=1454&amp;col=21&amp;number=&amp;sourceID=47","")</f>
        <v/>
      </c>
      <c r="V1454" s="4" t="str">
        <f>HYPERLINK("http://141.218.60.56/~jnz1568/getInfo.php?workbook=16_15.xlsx&amp;sheet=A0&amp;row=1454&amp;col=22&amp;number=&amp;sourceID=47","")</f>
        <v/>
      </c>
    </row>
    <row r="1455" spans="1:22">
      <c r="A1455" s="3">
        <v>16</v>
      </c>
      <c r="B1455" s="3">
        <v>15</v>
      </c>
      <c r="C1455" s="3">
        <v>61</v>
      </c>
      <c r="D1455" s="3">
        <v>57</v>
      </c>
      <c r="E1455" s="3">
        <f>((1/(INDEX(E0!J$4:J$73,C1455,1)-INDEX(E0!J$4:J$73,D1455,1))))*100000000</f>
        <v>0</v>
      </c>
      <c r="F1455" s="4" t="str">
        <f>HYPERLINK("http://141.218.60.56/~jnz1568/getInfo.php?workbook=16_15.xlsx&amp;sheet=A0&amp;row=1455&amp;col=6&amp;number=&amp;sourceID=54","")</f>
        <v/>
      </c>
      <c r="G1455" s="4" t="str">
        <f>HYPERLINK("http://141.218.60.56/~jnz1568/getInfo.php?workbook=16_15.xlsx&amp;sheet=A0&amp;row=1455&amp;col=7&amp;number=0.013113&amp;sourceID=54","0.013113")</f>
        <v>0.013113</v>
      </c>
      <c r="H1455" s="4" t="str">
        <f>HYPERLINK("http://141.218.60.56/~jnz1568/getInfo.php?workbook=16_15.xlsx&amp;sheet=A0&amp;row=1455&amp;col=8&amp;number=&amp;sourceID=54","")</f>
        <v/>
      </c>
      <c r="I1455" s="4" t="str">
        <f>HYPERLINK("http://141.218.60.56/~jnz1568/getInfo.php?workbook=16_15.xlsx&amp;sheet=A0&amp;row=1455&amp;col=9&amp;number=&amp;sourceID=54","")</f>
        <v/>
      </c>
      <c r="J1455" s="4" t="str">
        <f>HYPERLINK("http://141.218.60.56/~jnz1568/getInfo.php?workbook=16_15.xlsx&amp;sheet=A0&amp;row=1455&amp;col=10&amp;number=0.012236&amp;sourceID=54","0.012236")</f>
        <v>0.012236</v>
      </c>
      <c r="K1455" s="4" t="str">
        <f>HYPERLINK("http://141.218.60.56/~jnz1568/getInfo.php?workbook=16_15.xlsx&amp;sheet=A0&amp;row=1455&amp;col=11&amp;number=&amp;sourceID=54","")</f>
        <v/>
      </c>
      <c r="L1455" s="4" t="str">
        <f>HYPERLINK("http://141.218.60.56/~jnz1568/getInfo.php?workbook=16_15.xlsx&amp;sheet=A0&amp;row=1455&amp;col=12&amp;number=&amp;sourceID=53","")</f>
        <v/>
      </c>
      <c r="M1455" s="4" t="str">
        <f>HYPERLINK("http://141.218.60.56/~jnz1568/getInfo.php?workbook=16_15.xlsx&amp;sheet=A0&amp;row=1455&amp;col=13&amp;number=&amp;sourceID=53","")</f>
        <v/>
      </c>
      <c r="N1455" s="4" t="str">
        <f>HYPERLINK("http://141.218.60.56/~jnz1568/getInfo.php?workbook=16_15.xlsx&amp;sheet=A0&amp;row=1455&amp;col=14&amp;number=&amp;sourceID=53","")</f>
        <v/>
      </c>
      <c r="O1455" s="4" t="str">
        <f>HYPERLINK("http://141.218.60.56/~jnz1568/getInfo.php?workbook=16_15.xlsx&amp;sheet=A0&amp;row=1455&amp;col=15&amp;number=&amp;sourceID=55","")</f>
        <v/>
      </c>
      <c r="P1455" s="4" t="str">
        <f>HYPERLINK("http://141.218.60.56/~jnz1568/getInfo.php?workbook=16_15.xlsx&amp;sheet=A0&amp;row=1455&amp;col=16&amp;number=&amp;sourceID=55","")</f>
        <v/>
      </c>
      <c r="Q1455" s="4" t="str">
        <f>HYPERLINK("http://141.218.60.56/~jnz1568/getInfo.php?workbook=16_15.xlsx&amp;sheet=A0&amp;row=1455&amp;col=17&amp;number=&amp;sourceID=56","")</f>
        <v/>
      </c>
      <c r="R1455" s="4" t="str">
        <f>HYPERLINK("http://141.218.60.56/~jnz1568/getInfo.php?workbook=16_15.xlsx&amp;sheet=A0&amp;row=1455&amp;col=18&amp;number=&amp;sourceID=56","")</f>
        <v/>
      </c>
      <c r="S1455" s="4" t="str">
        <f>HYPERLINK("http://141.218.60.56/~jnz1568/getInfo.php?workbook=16_15.xlsx&amp;sheet=A0&amp;row=1455&amp;col=19&amp;number=&amp;sourceID=57","")</f>
        <v/>
      </c>
      <c r="T1455" s="4" t="str">
        <f>HYPERLINK("http://141.218.60.56/~jnz1568/getInfo.php?workbook=16_15.xlsx&amp;sheet=A0&amp;row=1455&amp;col=20&amp;number=&amp;sourceID=57","")</f>
        <v/>
      </c>
      <c r="U1455" s="4" t="str">
        <f>HYPERLINK("http://141.218.60.56/~jnz1568/getInfo.php?workbook=16_15.xlsx&amp;sheet=A0&amp;row=1455&amp;col=21&amp;number=&amp;sourceID=47","")</f>
        <v/>
      </c>
      <c r="V1455" s="4" t="str">
        <f>HYPERLINK("http://141.218.60.56/~jnz1568/getInfo.php?workbook=16_15.xlsx&amp;sheet=A0&amp;row=1455&amp;col=22&amp;number=&amp;sourceID=47","")</f>
        <v/>
      </c>
    </row>
    <row r="1456" spans="1:22">
      <c r="A1456" s="3">
        <v>16</v>
      </c>
      <c r="B1456" s="3">
        <v>15</v>
      </c>
      <c r="C1456" s="3">
        <v>61</v>
      </c>
      <c r="D1456" s="3">
        <v>58</v>
      </c>
      <c r="E1456" s="3">
        <f>((1/(INDEX(E0!J$4:J$73,C1456,1)-INDEX(E0!J$4:J$73,D1456,1))))*100000000</f>
        <v>0</v>
      </c>
      <c r="F1456" s="4" t="str">
        <f>HYPERLINK("http://141.218.60.56/~jnz1568/getInfo.php?workbook=16_15.xlsx&amp;sheet=A0&amp;row=1456&amp;col=6&amp;number=&amp;sourceID=54","")</f>
        <v/>
      </c>
      <c r="G1456" s="4" t="str">
        <f>HYPERLINK("http://141.218.60.56/~jnz1568/getInfo.php?workbook=16_15.xlsx&amp;sheet=A0&amp;row=1456&amp;col=7&amp;number=0.0027553&amp;sourceID=54","0.0027553")</f>
        <v>0.0027553</v>
      </c>
      <c r="H1456" s="4" t="str">
        <f>HYPERLINK("http://141.218.60.56/~jnz1568/getInfo.php?workbook=16_15.xlsx&amp;sheet=A0&amp;row=1456&amp;col=8&amp;number=0.0011195&amp;sourceID=54","0.0011195")</f>
        <v>0.0011195</v>
      </c>
      <c r="I1456" s="4" t="str">
        <f>HYPERLINK("http://141.218.60.56/~jnz1568/getInfo.php?workbook=16_15.xlsx&amp;sheet=A0&amp;row=1456&amp;col=9&amp;number=&amp;sourceID=54","")</f>
        <v/>
      </c>
      <c r="J1456" s="4" t="str">
        <f>HYPERLINK("http://141.218.60.56/~jnz1568/getInfo.php?workbook=16_15.xlsx&amp;sheet=A0&amp;row=1456&amp;col=10&amp;number=0.0024493&amp;sourceID=54","0.0024493")</f>
        <v>0.0024493</v>
      </c>
      <c r="K1456" s="4" t="str">
        <f>HYPERLINK("http://141.218.60.56/~jnz1568/getInfo.php?workbook=16_15.xlsx&amp;sheet=A0&amp;row=1456&amp;col=11&amp;number=0.0010951&amp;sourceID=54","0.0010951")</f>
        <v>0.0010951</v>
      </c>
      <c r="L1456" s="4" t="str">
        <f>HYPERLINK("http://141.218.60.56/~jnz1568/getInfo.php?workbook=16_15.xlsx&amp;sheet=A0&amp;row=1456&amp;col=12&amp;number=&amp;sourceID=53","")</f>
        <v/>
      </c>
      <c r="M1456" s="4" t="str">
        <f>HYPERLINK("http://141.218.60.56/~jnz1568/getInfo.php?workbook=16_15.xlsx&amp;sheet=A0&amp;row=1456&amp;col=13&amp;number=&amp;sourceID=53","")</f>
        <v/>
      </c>
      <c r="N1456" s="4" t="str">
        <f>HYPERLINK("http://141.218.60.56/~jnz1568/getInfo.php?workbook=16_15.xlsx&amp;sheet=A0&amp;row=1456&amp;col=14&amp;number=&amp;sourceID=53","")</f>
        <v/>
      </c>
      <c r="O1456" s="4" t="str">
        <f>HYPERLINK("http://141.218.60.56/~jnz1568/getInfo.php?workbook=16_15.xlsx&amp;sheet=A0&amp;row=1456&amp;col=15&amp;number=&amp;sourceID=55","")</f>
        <v/>
      </c>
      <c r="P1456" s="4" t="str">
        <f>HYPERLINK("http://141.218.60.56/~jnz1568/getInfo.php?workbook=16_15.xlsx&amp;sheet=A0&amp;row=1456&amp;col=16&amp;number=&amp;sourceID=55","")</f>
        <v/>
      </c>
      <c r="Q1456" s="4" t="str">
        <f>HYPERLINK("http://141.218.60.56/~jnz1568/getInfo.php?workbook=16_15.xlsx&amp;sheet=A0&amp;row=1456&amp;col=17&amp;number=&amp;sourceID=56","")</f>
        <v/>
      </c>
      <c r="R1456" s="4" t="str">
        <f>HYPERLINK("http://141.218.60.56/~jnz1568/getInfo.php?workbook=16_15.xlsx&amp;sheet=A0&amp;row=1456&amp;col=18&amp;number=&amp;sourceID=56","")</f>
        <v/>
      </c>
      <c r="S1456" s="4" t="str">
        <f>HYPERLINK("http://141.218.60.56/~jnz1568/getInfo.php?workbook=16_15.xlsx&amp;sheet=A0&amp;row=1456&amp;col=19&amp;number=&amp;sourceID=57","")</f>
        <v/>
      </c>
      <c r="T1456" s="4" t="str">
        <f>HYPERLINK("http://141.218.60.56/~jnz1568/getInfo.php?workbook=16_15.xlsx&amp;sheet=A0&amp;row=1456&amp;col=20&amp;number=&amp;sourceID=57","")</f>
        <v/>
      </c>
      <c r="U1456" s="4" t="str">
        <f>HYPERLINK("http://141.218.60.56/~jnz1568/getInfo.php?workbook=16_15.xlsx&amp;sheet=A0&amp;row=1456&amp;col=21&amp;number=&amp;sourceID=47","")</f>
        <v/>
      </c>
      <c r="V1456" s="4" t="str">
        <f>HYPERLINK("http://141.218.60.56/~jnz1568/getInfo.php?workbook=16_15.xlsx&amp;sheet=A0&amp;row=1456&amp;col=22&amp;number=&amp;sourceID=47","")</f>
        <v/>
      </c>
    </row>
    <row r="1457" spans="1:22">
      <c r="A1457" s="3">
        <v>16</v>
      </c>
      <c r="B1457" s="3">
        <v>15</v>
      </c>
      <c r="C1457" s="3">
        <v>61</v>
      </c>
      <c r="D1457" s="3">
        <v>59</v>
      </c>
      <c r="E1457" s="3">
        <f>((1/(INDEX(E0!J$4:J$73,C1457,1)-INDEX(E0!J$4:J$73,D1457,1))))*100000000</f>
        <v>0</v>
      </c>
      <c r="F1457" s="4" t="str">
        <f>HYPERLINK("http://141.218.60.56/~jnz1568/getInfo.php?workbook=16_15.xlsx&amp;sheet=A0&amp;row=1457&amp;col=6&amp;number=&amp;sourceID=54","")</f>
        <v/>
      </c>
      <c r="G1457" s="4" t="str">
        <f>HYPERLINK("http://141.218.60.56/~jnz1568/getInfo.php?workbook=16_15.xlsx&amp;sheet=A0&amp;row=1457&amp;col=7&amp;number=0.0011225&amp;sourceID=54","0.0011225")</f>
        <v>0.0011225</v>
      </c>
      <c r="H1457" s="4" t="str">
        <f>HYPERLINK("http://141.218.60.56/~jnz1568/getInfo.php?workbook=16_15.xlsx&amp;sheet=A0&amp;row=1457&amp;col=8&amp;number=0.0019628&amp;sourceID=54","0.0019628")</f>
        <v>0.0019628</v>
      </c>
      <c r="I1457" s="4" t="str">
        <f>HYPERLINK("http://141.218.60.56/~jnz1568/getInfo.php?workbook=16_15.xlsx&amp;sheet=A0&amp;row=1457&amp;col=9&amp;number=&amp;sourceID=54","")</f>
        <v/>
      </c>
      <c r="J1457" s="4" t="str">
        <f>HYPERLINK("http://141.218.60.56/~jnz1568/getInfo.php?workbook=16_15.xlsx&amp;sheet=A0&amp;row=1457&amp;col=10&amp;number=0.001006&amp;sourceID=54","0.001006")</f>
        <v>0.001006</v>
      </c>
      <c r="K1457" s="4" t="str">
        <f>HYPERLINK("http://141.218.60.56/~jnz1568/getInfo.php?workbook=16_15.xlsx&amp;sheet=A0&amp;row=1457&amp;col=11&amp;number=0.0019186&amp;sourceID=54","0.0019186")</f>
        <v>0.0019186</v>
      </c>
      <c r="L1457" s="4" t="str">
        <f>HYPERLINK("http://141.218.60.56/~jnz1568/getInfo.php?workbook=16_15.xlsx&amp;sheet=A0&amp;row=1457&amp;col=12&amp;number=&amp;sourceID=53","")</f>
        <v/>
      </c>
      <c r="M1457" s="4" t="str">
        <f>HYPERLINK("http://141.218.60.56/~jnz1568/getInfo.php?workbook=16_15.xlsx&amp;sheet=A0&amp;row=1457&amp;col=13&amp;number=&amp;sourceID=53","")</f>
        <v/>
      </c>
      <c r="N1457" s="4" t="str">
        <f>HYPERLINK("http://141.218.60.56/~jnz1568/getInfo.php?workbook=16_15.xlsx&amp;sheet=A0&amp;row=1457&amp;col=14&amp;number=&amp;sourceID=53","")</f>
        <v/>
      </c>
      <c r="O1457" s="4" t="str">
        <f>HYPERLINK("http://141.218.60.56/~jnz1568/getInfo.php?workbook=16_15.xlsx&amp;sheet=A0&amp;row=1457&amp;col=15&amp;number=&amp;sourceID=55","")</f>
        <v/>
      </c>
      <c r="P1457" s="4" t="str">
        <f>HYPERLINK("http://141.218.60.56/~jnz1568/getInfo.php?workbook=16_15.xlsx&amp;sheet=A0&amp;row=1457&amp;col=16&amp;number=&amp;sourceID=55","")</f>
        <v/>
      </c>
      <c r="Q1457" s="4" t="str">
        <f>HYPERLINK("http://141.218.60.56/~jnz1568/getInfo.php?workbook=16_15.xlsx&amp;sheet=A0&amp;row=1457&amp;col=17&amp;number=&amp;sourceID=56","")</f>
        <v/>
      </c>
      <c r="R1457" s="4" t="str">
        <f>HYPERLINK("http://141.218.60.56/~jnz1568/getInfo.php?workbook=16_15.xlsx&amp;sheet=A0&amp;row=1457&amp;col=18&amp;number=&amp;sourceID=56","")</f>
        <v/>
      </c>
      <c r="S1457" s="4" t="str">
        <f>HYPERLINK("http://141.218.60.56/~jnz1568/getInfo.php?workbook=16_15.xlsx&amp;sheet=A0&amp;row=1457&amp;col=19&amp;number=&amp;sourceID=57","")</f>
        <v/>
      </c>
      <c r="T1457" s="4" t="str">
        <f>HYPERLINK("http://141.218.60.56/~jnz1568/getInfo.php?workbook=16_15.xlsx&amp;sheet=A0&amp;row=1457&amp;col=20&amp;number=&amp;sourceID=57","")</f>
        <v/>
      </c>
      <c r="U1457" s="4" t="str">
        <f>HYPERLINK("http://141.218.60.56/~jnz1568/getInfo.php?workbook=16_15.xlsx&amp;sheet=A0&amp;row=1457&amp;col=21&amp;number=&amp;sourceID=47","")</f>
        <v/>
      </c>
      <c r="V1457" s="4" t="str">
        <f>HYPERLINK("http://141.218.60.56/~jnz1568/getInfo.php?workbook=16_15.xlsx&amp;sheet=A0&amp;row=1457&amp;col=22&amp;number=&amp;sourceID=47","")</f>
        <v/>
      </c>
    </row>
    <row r="1458" spans="1:22">
      <c r="A1458" s="3">
        <v>16</v>
      </c>
      <c r="B1458" s="3">
        <v>15</v>
      </c>
      <c r="C1458" s="3">
        <v>61</v>
      </c>
      <c r="D1458" s="3">
        <v>60</v>
      </c>
      <c r="E1458" s="3">
        <f>((1/(INDEX(E0!J$4:J$73,C1458,1)-INDEX(E0!J$4:J$73,D1458,1))))*100000000</f>
        <v>0</v>
      </c>
      <c r="F1458" s="4" t="str">
        <f>HYPERLINK("http://141.218.60.56/~jnz1568/getInfo.php?workbook=16_15.xlsx&amp;sheet=A0&amp;row=1458&amp;col=6&amp;number=&amp;sourceID=54","")</f>
        <v/>
      </c>
      <c r="G1458" s="4" t="str">
        <f>HYPERLINK("http://141.218.60.56/~jnz1568/getInfo.php?workbook=16_15.xlsx&amp;sheet=A0&amp;row=1458&amp;col=7&amp;number=7.085e-12&amp;sourceID=54","7.085e-12")</f>
        <v>7.085e-12</v>
      </c>
      <c r="H1458" s="4" t="str">
        <f>HYPERLINK("http://141.218.60.56/~jnz1568/getInfo.php?workbook=16_15.xlsx&amp;sheet=A0&amp;row=1458&amp;col=8&amp;number=1.4212e-05&amp;sourceID=54","1.4212e-05")</f>
        <v>1.4212e-05</v>
      </c>
      <c r="I1458" s="4" t="str">
        <f>HYPERLINK("http://141.218.60.56/~jnz1568/getInfo.php?workbook=16_15.xlsx&amp;sheet=A0&amp;row=1458&amp;col=9&amp;number=&amp;sourceID=54","")</f>
        <v/>
      </c>
      <c r="J1458" s="4" t="str">
        <f>HYPERLINK("http://141.218.60.56/~jnz1568/getInfo.php?workbook=16_15.xlsx&amp;sheet=A0&amp;row=1458&amp;col=10&amp;number=7.298e-12&amp;sourceID=54","7.298e-12")</f>
        <v>7.298e-12</v>
      </c>
      <c r="K1458" s="4" t="str">
        <f>HYPERLINK("http://141.218.60.56/~jnz1568/getInfo.php?workbook=16_15.xlsx&amp;sheet=A0&amp;row=1458&amp;col=11&amp;number=1.4391e-05&amp;sourceID=54","1.4391e-05")</f>
        <v>1.4391e-05</v>
      </c>
      <c r="L1458" s="4" t="str">
        <f>HYPERLINK("http://141.218.60.56/~jnz1568/getInfo.php?workbook=16_15.xlsx&amp;sheet=A0&amp;row=1458&amp;col=12&amp;number=&amp;sourceID=53","")</f>
        <v/>
      </c>
      <c r="M1458" s="4" t="str">
        <f>HYPERLINK("http://141.218.60.56/~jnz1568/getInfo.php?workbook=16_15.xlsx&amp;sheet=A0&amp;row=1458&amp;col=13&amp;number=&amp;sourceID=53","")</f>
        <v/>
      </c>
      <c r="N1458" s="4" t="str">
        <f>HYPERLINK("http://141.218.60.56/~jnz1568/getInfo.php?workbook=16_15.xlsx&amp;sheet=A0&amp;row=1458&amp;col=14&amp;number=&amp;sourceID=53","")</f>
        <v/>
      </c>
      <c r="O1458" s="4" t="str">
        <f>HYPERLINK("http://141.218.60.56/~jnz1568/getInfo.php?workbook=16_15.xlsx&amp;sheet=A0&amp;row=1458&amp;col=15&amp;number=&amp;sourceID=55","")</f>
        <v/>
      </c>
      <c r="P1458" s="4" t="str">
        <f>HYPERLINK("http://141.218.60.56/~jnz1568/getInfo.php?workbook=16_15.xlsx&amp;sheet=A0&amp;row=1458&amp;col=16&amp;number=&amp;sourceID=55","")</f>
        <v/>
      </c>
      <c r="Q1458" s="4" t="str">
        <f>HYPERLINK("http://141.218.60.56/~jnz1568/getInfo.php?workbook=16_15.xlsx&amp;sheet=A0&amp;row=1458&amp;col=17&amp;number=&amp;sourceID=56","")</f>
        <v/>
      </c>
      <c r="R1458" s="4" t="str">
        <f>HYPERLINK("http://141.218.60.56/~jnz1568/getInfo.php?workbook=16_15.xlsx&amp;sheet=A0&amp;row=1458&amp;col=18&amp;number=&amp;sourceID=56","")</f>
        <v/>
      </c>
      <c r="S1458" s="4" t="str">
        <f>HYPERLINK("http://141.218.60.56/~jnz1568/getInfo.php?workbook=16_15.xlsx&amp;sheet=A0&amp;row=1458&amp;col=19&amp;number=&amp;sourceID=57","")</f>
        <v/>
      </c>
      <c r="T1458" s="4" t="str">
        <f>HYPERLINK("http://141.218.60.56/~jnz1568/getInfo.php?workbook=16_15.xlsx&amp;sheet=A0&amp;row=1458&amp;col=20&amp;number=&amp;sourceID=57","")</f>
        <v/>
      </c>
      <c r="U1458" s="4" t="str">
        <f>HYPERLINK("http://141.218.60.56/~jnz1568/getInfo.php?workbook=16_15.xlsx&amp;sheet=A0&amp;row=1458&amp;col=21&amp;number=&amp;sourceID=47","")</f>
        <v/>
      </c>
      <c r="V1458" s="4" t="str">
        <f>HYPERLINK("http://141.218.60.56/~jnz1568/getInfo.php?workbook=16_15.xlsx&amp;sheet=A0&amp;row=1458&amp;col=22&amp;number=&amp;sourceID=47","")</f>
        <v/>
      </c>
    </row>
    <row r="1459" spans="1:22">
      <c r="A1459" s="3">
        <v>16</v>
      </c>
      <c r="B1459" s="3">
        <v>15</v>
      </c>
      <c r="C1459" s="3">
        <v>62</v>
      </c>
      <c r="D1459" s="3">
        <v>1</v>
      </c>
      <c r="E1459" s="3">
        <f>((1/(INDEX(E0!J$4:J$73,C1459,1)-INDEX(E0!J$4:J$73,D1459,1))))*100000000</f>
        <v>0</v>
      </c>
      <c r="F1459" s="4" t="str">
        <f>HYPERLINK("http://141.218.60.56/~jnz1568/getInfo.php?workbook=16_15.xlsx&amp;sheet=A0&amp;row=1459&amp;col=6&amp;number=60195&amp;sourceID=54","60195")</f>
        <v>60195</v>
      </c>
      <c r="G1459" s="4" t="str">
        <f>HYPERLINK("http://141.218.60.56/~jnz1568/getInfo.php?workbook=16_15.xlsx&amp;sheet=A0&amp;row=1459&amp;col=7&amp;number=&amp;sourceID=54","")</f>
        <v/>
      </c>
      <c r="H1459" s="4" t="str">
        <f>HYPERLINK("http://141.218.60.56/~jnz1568/getInfo.php?workbook=16_15.xlsx&amp;sheet=A0&amp;row=1459&amp;col=8&amp;number=&amp;sourceID=54","")</f>
        <v/>
      </c>
      <c r="I1459" s="4" t="str">
        <f>HYPERLINK("http://141.218.60.56/~jnz1568/getInfo.php?workbook=16_15.xlsx&amp;sheet=A0&amp;row=1459&amp;col=9&amp;number=63200&amp;sourceID=54","63200")</f>
        <v>63200</v>
      </c>
      <c r="J1459" s="4" t="str">
        <f>HYPERLINK("http://141.218.60.56/~jnz1568/getInfo.php?workbook=16_15.xlsx&amp;sheet=A0&amp;row=1459&amp;col=10&amp;number=&amp;sourceID=54","")</f>
        <v/>
      </c>
      <c r="K1459" s="4" t="str">
        <f>HYPERLINK("http://141.218.60.56/~jnz1568/getInfo.php?workbook=16_15.xlsx&amp;sheet=A0&amp;row=1459&amp;col=11&amp;number=&amp;sourceID=54","")</f>
        <v/>
      </c>
      <c r="L1459" s="4" t="str">
        <f>HYPERLINK("http://141.218.60.56/~jnz1568/getInfo.php?workbook=16_15.xlsx&amp;sheet=A0&amp;row=1459&amp;col=12&amp;number=79270.3255866&amp;sourceID=53","79270.3255866")</f>
        <v>79270.3255866</v>
      </c>
      <c r="M1459" s="4" t="str">
        <f>HYPERLINK("http://141.218.60.56/~jnz1568/getInfo.php?workbook=16_15.xlsx&amp;sheet=A0&amp;row=1459&amp;col=13&amp;number=&amp;sourceID=53","")</f>
        <v/>
      </c>
      <c r="N1459" s="4" t="str">
        <f>HYPERLINK("http://141.218.60.56/~jnz1568/getInfo.php?workbook=16_15.xlsx&amp;sheet=A0&amp;row=1459&amp;col=14&amp;number=&amp;sourceID=53","")</f>
        <v/>
      </c>
      <c r="O1459" s="4" t="str">
        <f>HYPERLINK("http://141.218.60.56/~jnz1568/getInfo.php?workbook=16_15.xlsx&amp;sheet=A0&amp;row=1459&amp;col=15&amp;number=&amp;sourceID=55","")</f>
        <v/>
      </c>
      <c r="P1459" s="4" t="str">
        <f>HYPERLINK("http://141.218.60.56/~jnz1568/getInfo.php?workbook=16_15.xlsx&amp;sheet=A0&amp;row=1459&amp;col=16&amp;number=&amp;sourceID=55","")</f>
        <v/>
      </c>
      <c r="Q1459" s="4" t="str">
        <f>HYPERLINK("http://141.218.60.56/~jnz1568/getInfo.php?workbook=16_15.xlsx&amp;sheet=A0&amp;row=1459&amp;col=17&amp;number=&amp;sourceID=56","")</f>
        <v/>
      </c>
      <c r="R1459" s="4" t="str">
        <f>HYPERLINK("http://141.218.60.56/~jnz1568/getInfo.php?workbook=16_15.xlsx&amp;sheet=A0&amp;row=1459&amp;col=18&amp;number=&amp;sourceID=56","")</f>
        <v/>
      </c>
      <c r="S1459" s="4" t="str">
        <f>HYPERLINK("http://141.218.60.56/~jnz1568/getInfo.php?workbook=16_15.xlsx&amp;sheet=A0&amp;row=1459&amp;col=19&amp;number=&amp;sourceID=57","")</f>
        <v/>
      </c>
      <c r="T1459" s="4" t="str">
        <f>HYPERLINK("http://141.218.60.56/~jnz1568/getInfo.php?workbook=16_15.xlsx&amp;sheet=A0&amp;row=1459&amp;col=20&amp;number=&amp;sourceID=57","")</f>
        <v/>
      </c>
      <c r="U1459" s="4" t="str">
        <f>HYPERLINK("http://141.218.60.56/~jnz1568/getInfo.php?workbook=16_15.xlsx&amp;sheet=A0&amp;row=1459&amp;col=21&amp;number=&amp;sourceID=47","")</f>
        <v/>
      </c>
      <c r="V1459" s="4" t="str">
        <f>HYPERLINK("http://141.218.60.56/~jnz1568/getInfo.php?workbook=16_15.xlsx&amp;sheet=A0&amp;row=1459&amp;col=22&amp;number=&amp;sourceID=47","")</f>
        <v/>
      </c>
    </row>
    <row r="1460" spans="1:22">
      <c r="A1460" s="3">
        <v>16</v>
      </c>
      <c r="B1460" s="3">
        <v>15</v>
      </c>
      <c r="C1460" s="3">
        <v>62</v>
      </c>
      <c r="D1460" s="3">
        <v>2</v>
      </c>
      <c r="E1460" s="3">
        <f>((1/(INDEX(E0!J$4:J$73,C1460,1)-INDEX(E0!J$4:J$73,D1460,1))))*100000000</f>
        <v>0</v>
      </c>
      <c r="F1460" s="4" t="str">
        <f>HYPERLINK("http://141.218.60.56/~jnz1568/getInfo.php?workbook=16_15.xlsx&amp;sheet=A0&amp;row=1460&amp;col=6&amp;number=276710000&amp;sourceID=54","276710000")</f>
        <v>276710000</v>
      </c>
      <c r="G1460" s="4" t="str">
        <f>HYPERLINK("http://141.218.60.56/~jnz1568/getInfo.php?workbook=16_15.xlsx&amp;sheet=A0&amp;row=1460&amp;col=7&amp;number=&amp;sourceID=54","")</f>
        <v/>
      </c>
      <c r="H1460" s="4" t="str">
        <f>HYPERLINK("http://141.218.60.56/~jnz1568/getInfo.php?workbook=16_15.xlsx&amp;sheet=A0&amp;row=1460&amp;col=8&amp;number=&amp;sourceID=54","")</f>
        <v/>
      </c>
      <c r="I1460" s="4" t="str">
        <f>HYPERLINK("http://141.218.60.56/~jnz1568/getInfo.php?workbook=16_15.xlsx&amp;sheet=A0&amp;row=1460&amp;col=9&amp;number=279870000&amp;sourceID=54","279870000")</f>
        <v>279870000</v>
      </c>
      <c r="J1460" s="4" t="str">
        <f>HYPERLINK("http://141.218.60.56/~jnz1568/getInfo.php?workbook=16_15.xlsx&amp;sheet=A0&amp;row=1460&amp;col=10&amp;number=&amp;sourceID=54","")</f>
        <v/>
      </c>
      <c r="K1460" s="4" t="str">
        <f>HYPERLINK("http://141.218.60.56/~jnz1568/getInfo.php?workbook=16_15.xlsx&amp;sheet=A0&amp;row=1460&amp;col=11&amp;number=&amp;sourceID=54","")</f>
        <v/>
      </c>
      <c r="L1460" s="4" t="str">
        <f>HYPERLINK("http://141.218.60.56/~jnz1568/getInfo.php?workbook=16_15.xlsx&amp;sheet=A0&amp;row=1460&amp;col=12&amp;number=254643173.195&amp;sourceID=53","254643173.195")</f>
        <v>254643173.195</v>
      </c>
      <c r="M1460" s="4" t="str">
        <f>HYPERLINK("http://141.218.60.56/~jnz1568/getInfo.php?workbook=16_15.xlsx&amp;sheet=A0&amp;row=1460&amp;col=13&amp;number=&amp;sourceID=53","")</f>
        <v/>
      </c>
      <c r="N1460" s="4" t="str">
        <f>HYPERLINK("http://141.218.60.56/~jnz1568/getInfo.php?workbook=16_15.xlsx&amp;sheet=A0&amp;row=1460&amp;col=14&amp;number=&amp;sourceID=53","")</f>
        <v/>
      </c>
      <c r="O1460" s="4" t="str">
        <f>HYPERLINK("http://141.218.60.56/~jnz1568/getInfo.php?workbook=16_15.xlsx&amp;sheet=A0&amp;row=1460&amp;col=15&amp;number=&amp;sourceID=55","")</f>
        <v/>
      </c>
      <c r="P1460" s="4" t="str">
        <f>HYPERLINK("http://141.218.60.56/~jnz1568/getInfo.php?workbook=16_15.xlsx&amp;sheet=A0&amp;row=1460&amp;col=16&amp;number=&amp;sourceID=55","")</f>
        <v/>
      </c>
      <c r="Q1460" s="4" t="str">
        <f>HYPERLINK("http://141.218.60.56/~jnz1568/getInfo.php?workbook=16_15.xlsx&amp;sheet=A0&amp;row=1460&amp;col=17&amp;number=&amp;sourceID=56","")</f>
        <v/>
      </c>
      <c r="R1460" s="4" t="str">
        <f>HYPERLINK("http://141.218.60.56/~jnz1568/getInfo.php?workbook=16_15.xlsx&amp;sheet=A0&amp;row=1460&amp;col=18&amp;number=&amp;sourceID=56","")</f>
        <v/>
      </c>
      <c r="S1460" s="4" t="str">
        <f>HYPERLINK("http://141.218.60.56/~jnz1568/getInfo.php?workbook=16_15.xlsx&amp;sheet=A0&amp;row=1460&amp;col=19&amp;number=&amp;sourceID=57","")</f>
        <v/>
      </c>
      <c r="T1460" s="4" t="str">
        <f>HYPERLINK("http://141.218.60.56/~jnz1568/getInfo.php?workbook=16_15.xlsx&amp;sheet=A0&amp;row=1460&amp;col=20&amp;number=&amp;sourceID=57","")</f>
        <v/>
      </c>
      <c r="U1460" s="4" t="str">
        <f>HYPERLINK("http://141.218.60.56/~jnz1568/getInfo.php?workbook=16_15.xlsx&amp;sheet=A0&amp;row=1460&amp;col=21&amp;number=&amp;sourceID=47","")</f>
        <v/>
      </c>
      <c r="V1460" s="4" t="str">
        <f>HYPERLINK("http://141.218.60.56/~jnz1568/getInfo.php?workbook=16_15.xlsx&amp;sheet=A0&amp;row=1460&amp;col=22&amp;number=&amp;sourceID=47","")</f>
        <v/>
      </c>
    </row>
    <row r="1461" spans="1:22">
      <c r="A1461" s="3">
        <v>16</v>
      </c>
      <c r="B1461" s="3">
        <v>15</v>
      </c>
      <c r="C1461" s="3">
        <v>62</v>
      </c>
      <c r="D1461" s="3">
        <v>3</v>
      </c>
      <c r="E1461" s="3">
        <f>((1/(INDEX(E0!J$4:J$73,C1461,1)-INDEX(E0!J$4:J$73,D1461,1))))*100000000</f>
        <v>0</v>
      </c>
      <c r="F1461" s="4" t="str">
        <f>HYPERLINK("http://141.218.60.56/~jnz1568/getInfo.php?workbook=16_15.xlsx&amp;sheet=A0&amp;row=1461&amp;col=6&amp;number=5195500000&amp;sourceID=54","5195500000")</f>
        <v>5195500000</v>
      </c>
      <c r="G1461" s="4" t="str">
        <f>HYPERLINK("http://141.218.60.56/~jnz1568/getInfo.php?workbook=16_15.xlsx&amp;sheet=A0&amp;row=1461&amp;col=7&amp;number=&amp;sourceID=54","")</f>
        <v/>
      </c>
      <c r="H1461" s="4" t="str">
        <f>HYPERLINK("http://141.218.60.56/~jnz1568/getInfo.php?workbook=16_15.xlsx&amp;sheet=A0&amp;row=1461&amp;col=8&amp;number=&amp;sourceID=54","")</f>
        <v/>
      </c>
      <c r="I1461" s="4" t="str">
        <f>HYPERLINK("http://141.218.60.56/~jnz1568/getInfo.php?workbook=16_15.xlsx&amp;sheet=A0&amp;row=1461&amp;col=9&amp;number=5122200000&amp;sourceID=54","5122200000")</f>
        <v>5122200000</v>
      </c>
      <c r="J1461" s="4" t="str">
        <f>HYPERLINK("http://141.218.60.56/~jnz1568/getInfo.php?workbook=16_15.xlsx&amp;sheet=A0&amp;row=1461&amp;col=10&amp;number=&amp;sourceID=54","")</f>
        <v/>
      </c>
      <c r="K1461" s="4" t="str">
        <f>HYPERLINK("http://141.218.60.56/~jnz1568/getInfo.php?workbook=16_15.xlsx&amp;sheet=A0&amp;row=1461&amp;col=11&amp;number=&amp;sourceID=54","")</f>
        <v/>
      </c>
      <c r="L1461" s="4" t="str">
        <f>HYPERLINK("http://141.218.60.56/~jnz1568/getInfo.php?workbook=16_15.xlsx&amp;sheet=A0&amp;row=1461&amp;col=12&amp;number=4478411331.09&amp;sourceID=53","4478411331.09")</f>
        <v>4478411331.09</v>
      </c>
      <c r="M1461" s="4" t="str">
        <f>HYPERLINK("http://141.218.60.56/~jnz1568/getInfo.php?workbook=16_15.xlsx&amp;sheet=A0&amp;row=1461&amp;col=13&amp;number=&amp;sourceID=53","")</f>
        <v/>
      </c>
      <c r="N1461" s="4" t="str">
        <f>HYPERLINK("http://141.218.60.56/~jnz1568/getInfo.php?workbook=16_15.xlsx&amp;sheet=A0&amp;row=1461&amp;col=14&amp;number=&amp;sourceID=53","")</f>
        <v/>
      </c>
      <c r="O1461" s="4" t="str">
        <f>HYPERLINK("http://141.218.60.56/~jnz1568/getInfo.php?workbook=16_15.xlsx&amp;sheet=A0&amp;row=1461&amp;col=15&amp;number=&amp;sourceID=55","")</f>
        <v/>
      </c>
      <c r="P1461" s="4" t="str">
        <f>HYPERLINK("http://141.218.60.56/~jnz1568/getInfo.php?workbook=16_15.xlsx&amp;sheet=A0&amp;row=1461&amp;col=16&amp;number=&amp;sourceID=55","")</f>
        <v/>
      </c>
      <c r="Q1461" s="4" t="str">
        <f>HYPERLINK("http://141.218.60.56/~jnz1568/getInfo.php?workbook=16_15.xlsx&amp;sheet=A0&amp;row=1461&amp;col=17&amp;number=&amp;sourceID=56","")</f>
        <v/>
      </c>
      <c r="R1461" s="4" t="str">
        <f>HYPERLINK("http://141.218.60.56/~jnz1568/getInfo.php?workbook=16_15.xlsx&amp;sheet=A0&amp;row=1461&amp;col=18&amp;number=&amp;sourceID=56","")</f>
        <v/>
      </c>
      <c r="S1461" s="4" t="str">
        <f>HYPERLINK("http://141.218.60.56/~jnz1568/getInfo.php?workbook=16_15.xlsx&amp;sheet=A0&amp;row=1461&amp;col=19&amp;number=&amp;sourceID=57","")</f>
        <v/>
      </c>
      <c r="T1461" s="4" t="str">
        <f>HYPERLINK("http://141.218.60.56/~jnz1568/getInfo.php?workbook=16_15.xlsx&amp;sheet=A0&amp;row=1461&amp;col=20&amp;number=&amp;sourceID=57","")</f>
        <v/>
      </c>
      <c r="U1461" s="4" t="str">
        <f>HYPERLINK("http://141.218.60.56/~jnz1568/getInfo.php?workbook=16_15.xlsx&amp;sheet=A0&amp;row=1461&amp;col=21&amp;number=&amp;sourceID=47","")</f>
        <v/>
      </c>
      <c r="V1461" s="4" t="str">
        <f>HYPERLINK("http://141.218.60.56/~jnz1568/getInfo.php?workbook=16_15.xlsx&amp;sheet=A0&amp;row=1461&amp;col=22&amp;number=&amp;sourceID=47","")</f>
        <v/>
      </c>
    </row>
    <row r="1462" spans="1:22">
      <c r="A1462" s="3">
        <v>16</v>
      </c>
      <c r="B1462" s="3">
        <v>15</v>
      </c>
      <c r="C1462" s="3">
        <v>62</v>
      </c>
      <c r="D1462" s="3">
        <v>5</v>
      </c>
      <c r="E1462" s="3">
        <f>((1/(INDEX(E0!J$4:J$73,C1462,1)-INDEX(E0!J$4:J$73,D1462,1))))*100000000</f>
        <v>0</v>
      </c>
      <c r="F1462" s="4" t="str">
        <f>HYPERLINK("http://141.218.60.56/~jnz1568/getInfo.php?workbook=16_15.xlsx&amp;sheet=A0&amp;row=1462&amp;col=6&amp;number=8810500&amp;sourceID=54","8810500")</f>
        <v>8810500</v>
      </c>
      <c r="G1462" s="4" t="str">
        <f>HYPERLINK("http://141.218.60.56/~jnz1568/getInfo.php?workbook=16_15.xlsx&amp;sheet=A0&amp;row=1462&amp;col=7&amp;number=&amp;sourceID=54","")</f>
        <v/>
      </c>
      <c r="H1462" s="4" t="str">
        <f>HYPERLINK("http://141.218.60.56/~jnz1568/getInfo.php?workbook=16_15.xlsx&amp;sheet=A0&amp;row=1462&amp;col=8&amp;number=&amp;sourceID=54","")</f>
        <v/>
      </c>
      <c r="I1462" s="4" t="str">
        <f>HYPERLINK("http://141.218.60.56/~jnz1568/getInfo.php?workbook=16_15.xlsx&amp;sheet=A0&amp;row=1462&amp;col=9&amp;number=8617400&amp;sourceID=54","8617400")</f>
        <v>8617400</v>
      </c>
      <c r="J1462" s="4" t="str">
        <f>HYPERLINK("http://141.218.60.56/~jnz1568/getInfo.php?workbook=16_15.xlsx&amp;sheet=A0&amp;row=1462&amp;col=10&amp;number=&amp;sourceID=54","")</f>
        <v/>
      </c>
      <c r="K1462" s="4" t="str">
        <f>HYPERLINK("http://141.218.60.56/~jnz1568/getInfo.php?workbook=16_15.xlsx&amp;sheet=A0&amp;row=1462&amp;col=11&amp;number=&amp;sourceID=54","")</f>
        <v/>
      </c>
      <c r="L1462" s="4" t="str">
        <f>HYPERLINK("http://141.218.60.56/~jnz1568/getInfo.php?workbook=16_15.xlsx&amp;sheet=A0&amp;row=1462&amp;col=12&amp;number=32968278.6737&amp;sourceID=53","32968278.6737")</f>
        <v>32968278.6737</v>
      </c>
      <c r="M1462" s="4" t="str">
        <f>HYPERLINK("http://141.218.60.56/~jnz1568/getInfo.php?workbook=16_15.xlsx&amp;sheet=A0&amp;row=1462&amp;col=13&amp;number=&amp;sourceID=53","")</f>
        <v/>
      </c>
      <c r="N1462" s="4" t="str">
        <f>HYPERLINK("http://141.218.60.56/~jnz1568/getInfo.php?workbook=16_15.xlsx&amp;sheet=A0&amp;row=1462&amp;col=14&amp;number=&amp;sourceID=53","")</f>
        <v/>
      </c>
      <c r="O1462" s="4" t="str">
        <f>HYPERLINK("http://141.218.60.56/~jnz1568/getInfo.php?workbook=16_15.xlsx&amp;sheet=A0&amp;row=1462&amp;col=15&amp;number=&amp;sourceID=55","")</f>
        <v/>
      </c>
      <c r="P1462" s="4" t="str">
        <f>HYPERLINK("http://141.218.60.56/~jnz1568/getInfo.php?workbook=16_15.xlsx&amp;sheet=A0&amp;row=1462&amp;col=16&amp;number=&amp;sourceID=55","")</f>
        <v/>
      </c>
      <c r="Q1462" s="4" t="str">
        <f>HYPERLINK("http://141.218.60.56/~jnz1568/getInfo.php?workbook=16_15.xlsx&amp;sheet=A0&amp;row=1462&amp;col=17&amp;number=&amp;sourceID=56","")</f>
        <v/>
      </c>
      <c r="R1462" s="4" t="str">
        <f>HYPERLINK("http://141.218.60.56/~jnz1568/getInfo.php?workbook=16_15.xlsx&amp;sheet=A0&amp;row=1462&amp;col=18&amp;number=&amp;sourceID=56","")</f>
        <v/>
      </c>
      <c r="S1462" s="4" t="str">
        <f>HYPERLINK("http://141.218.60.56/~jnz1568/getInfo.php?workbook=16_15.xlsx&amp;sheet=A0&amp;row=1462&amp;col=19&amp;number=&amp;sourceID=57","")</f>
        <v/>
      </c>
      <c r="T1462" s="4" t="str">
        <f>HYPERLINK("http://141.218.60.56/~jnz1568/getInfo.php?workbook=16_15.xlsx&amp;sheet=A0&amp;row=1462&amp;col=20&amp;number=&amp;sourceID=57","")</f>
        <v/>
      </c>
      <c r="U1462" s="4" t="str">
        <f>HYPERLINK("http://141.218.60.56/~jnz1568/getInfo.php?workbook=16_15.xlsx&amp;sheet=A0&amp;row=1462&amp;col=21&amp;number=&amp;sourceID=47","")</f>
        <v/>
      </c>
      <c r="V1462" s="4" t="str">
        <f>HYPERLINK("http://141.218.60.56/~jnz1568/getInfo.php?workbook=16_15.xlsx&amp;sheet=A0&amp;row=1462&amp;col=22&amp;number=&amp;sourceID=47","")</f>
        <v/>
      </c>
    </row>
    <row r="1463" spans="1:22">
      <c r="A1463" s="3">
        <v>16</v>
      </c>
      <c r="B1463" s="3">
        <v>15</v>
      </c>
      <c r="C1463" s="3">
        <v>62</v>
      </c>
      <c r="D1463" s="3">
        <v>6</v>
      </c>
      <c r="E1463" s="3">
        <f>((1/(INDEX(E0!J$4:J$73,C1463,1)-INDEX(E0!J$4:J$73,D1463,1))))*100000000</f>
        <v>0</v>
      </c>
      <c r="F1463" s="4" t="str">
        <f>HYPERLINK("http://141.218.60.56/~jnz1568/getInfo.php?workbook=16_15.xlsx&amp;sheet=A0&amp;row=1463&amp;col=6&amp;number=&amp;sourceID=54","")</f>
        <v/>
      </c>
      <c r="G1463" s="4" t="str">
        <f>HYPERLINK("http://141.218.60.56/~jnz1568/getInfo.php?workbook=16_15.xlsx&amp;sheet=A0&amp;row=1463&amp;col=7&amp;number=0.014324&amp;sourceID=54","0.014324")</f>
        <v>0.014324</v>
      </c>
      <c r="H1463" s="4" t="str">
        <f>HYPERLINK("http://141.218.60.56/~jnz1568/getInfo.php?workbook=16_15.xlsx&amp;sheet=A0&amp;row=1463&amp;col=8&amp;number=0.030392&amp;sourceID=54","0.030392")</f>
        <v>0.030392</v>
      </c>
      <c r="I1463" s="4" t="str">
        <f>HYPERLINK("http://141.218.60.56/~jnz1568/getInfo.php?workbook=16_15.xlsx&amp;sheet=A0&amp;row=1463&amp;col=9&amp;number=&amp;sourceID=54","")</f>
        <v/>
      </c>
      <c r="J1463" s="4" t="str">
        <f>HYPERLINK("http://141.218.60.56/~jnz1568/getInfo.php?workbook=16_15.xlsx&amp;sheet=A0&amp;row=1463&amp;col=10&amp;number=0.013757&amp;sourceID=54","0.013757")</f>
        <v>0.013757</v>
      </c>
      <c r="K1463" s="4" t="str">
        <f>HYPERLINK("http://141.218.60.56/~jnz1568/getInfo.php?workbook=16_15.xlsx&amp;sheet=A0&amp;row=1463&amp;col=11&amp;number=0.027901&amp;sourceID=54","0.027901")</f>
        <v>0.027901</v>
      </c>
      <c r="L1463" s="4" t="str">
        <f>HYPERLINK("http://141.218.60.56/~jnz1568/getInfo.php?workbook=16_15.xlsx&amp;sheet=A0&amp;row=1463&amp;col=12&amp;number=&amp;sourceID=53","")</f>
        <v/>
      </c>
      <c r="M1463" s="4" t="str">
        <f>HYPERLINK("http://141.218.60.56/~jnz1568/getInfo.php?workbook=16_15.xlsx&amp;sheet=A0&amp;row=1463&amp;col=13&amp;number=&amp;sourceID=53","")</f>
        <v/>
      </c>
      <c r="N1463" s="4" t="str">
        <f>HYPERLINK("http://141.218.60.56/~jnz1568/getInfo.php?workbook=16_15.xlsx&amp;sheet=A0&amp;row=1463&amp;col=14&amp;number=&amp;sourceID=53","")</f>
        <v/>
      </c>
      <c r="O1463" s="4" t="str">
        <f>HYPERLINK("http://141.218.60.56/~jnz1568/getInfo.php?workbook=16_15.xlsx&amp;sheet=A0&amp;row=1463&amp;col=15&amp;number=&amp;sourceID=55","")</f>
        <v/>
      </c>
      <c r="P1463" s="4" t="str">
        <f>HYPERLINK("http://141.218.60.56/~jnz1568/getInfo.php?workbook=16_15.xlsx&amp;sheet=A0&amp;row=1463&amp;col=16&amp;number=&amp;sourceID=55","")</f>
        <v/>
      </c>
      <c r="Q1463" s="4" t="str">
        <f>HYPERLINK("http://141.218.60.56/~jnz1568/getInfo.php?workbook=16_15.xlsx&amp;sheet=A0&amp;row=1463&amp;col=17&amp;number=&amp;sourceID=56","")</f>
        <v/>
      </c>
      <c r="R1463" s="4" t="str">
        <f>HYPERLINK("http://141.218.60.56/~jnz1568/getInfo.php?workbook=16_15.xlsx&amp;sheet=A0&amp;row=1463&amp;col=18&amp;number=&amp;sourceID=56","")</f>
        <v/>
      </c>
      <c r="S1463" s="4" t="str">
        <f>HYPERLINK("http://141.218.60.56/~jnz1568/getInfo.php?workbook=16_15.xlsx&amp;sheet=A0&amp;row=1463&amp;col=19&amp;number=&amp;sourceID=57","")</f>
        <v/>
      </c>
      <c r="T1463" s="4" t="str">
        <f>HYPERLINK("http://141.218.60.56/~jnz1568/getInfo.php?workbook=16_15.xlsx&amp;sheet=A0&amp;row=1463&amp;col=20&amp;number=&amp;sourceID=57","")</f>
        <v/>
      </c>
      <c r="U1463" s="4" t="str">
        <f>HYPERLINK("http://141.218.60.56/~jnz1568/getInfo.php?workbook=16_15.xlsx&amp;sheet=A0&amp;row=1463&amp;col=21&amp;number=&amp;sourceID=47","")</f>
        <v/>
      </c>
      <c r="V1463" s="4" t="str">
        <f>HYPERLINK("http://141.218.60.56/~jnz1568/getInfo.php?workbook=16_15.xlsx&amp;sheet=A0&amp;row=1463&amp;col=22&amp;number=&amp;sourceID=47","")</f>
        <v/>
      </c>
    </row>
    <row r="1464" spans="1:22">
      <c r="A1464" s="3">
        <v>16</v>
      </c>
      <c r="B1464" s="3">
        <v>15</v>
      </c>
      <c r="C1464" s="3">
        <v>62</v>
      </c>
      <c r="D1464" s="3">
        <v>7</v>
      </c>
      <c r="E1464" s="3">
        <f>((1/(INDEX(E0!J$4:J$73,C1464,1)-INDEX(E0!J$4:J$73,D1464,1))))*100000000</f>
        <v>0</v>
      </c>
      <c r="F1464" s="4" t="str">
        <f>HYPERLINK("http://141.218.60.56/~jnz1568/getInfo.php?workbook=16_15.xlsx&amp;sheet=A0&amp;row=1464&amp;col=6&amp;number=&amp;sourceID=54","")</f>
        <v/>
      </c>
      <c r="G1464" s="4" t="str">
        <f>HYPERLINK("http://141.218.60.56/~jnz1568/getInfo.php?workbook=16_15.xlsx&amp;sheet=A0&amp;row=1464&amp;col=7&amp;number=0.0012189&amp;sourceID=54","0.0012189")</f>
        <v>0.0012189</v>
      </c>
      <c r="H1464" s="4" t="str">
        <f>HYPERLINK("http://141.218.60.56/~jnz1568/getInfo.php?workbook=16_15.xlsx&amp;sheet=A0&amp;row=1464&amp;col=8&amp;number=0.0046214&amp;sourceID=54","0.0046214")</f>
        <v>0.0046214</v>
      </c>
      <c r="I1464" s="4" t="str">
        <f>HYPERLINK("http://141.218.60.56/~jnz1568/getInfo.php?workbook=16_15.xlsx&amp;sheet=A0&amp;row=1464&amp;col=9&amp;number=&amp;sourceID=54","")</f>
        <v/>
      </c>
      <c r="J1464" s="4" t="str">
        <f>HYPERLINK("http://141.218.60.56/~jnz1568/getInfo.php?workbook=16_15.xlsx&amp;sheet=A0&amp;row=1464&amp;col=10&amp;number=0.0010315&amp;sourceID=54","0.0010315")</f>
        <v>0.0010315</v>
      </c>
      <c r="K1464" s="4" t="str">
        <f>HYPERLINK("http://141.218.60.56/~jnz1568/getInfo.php?workbook=16_15.xlsx&amp;sheet=A0&amp;row=1464&amp;col=11&amp;number=0.0042817&amp;sourceID=54","0.0042817")</f>
        <v>0.0042817</v>
      </c>
      <c r="L1464" s="4" t="str">
        <f>HYPERLINK("http://141.218.60.56/~jnz1568/getInfo.php?workbook=16_15.xlsx&amp;sheet=A0&amp;row=1464&amp;col=12&amp;number=&amp;sourceID=53","")</f>
        <v/>
      </c>
      <c r="M1464" s="4" t="str">
        <f>HYPERLINK("http://141.218.60.56/~jnz1568/getInfo.php?workbook=16_15.xlsx&amp;sheet=A0&amp;row=1464&amp;col=13&amp;number=&amp;sourceID=53","")</f>
        <v/>
      </c>
      <c r="N1464" s="4" t="str">
        <f>HYPERLINK("http://141.218.60.56/~jnz1568/getInfo.php?workbook=16_15.xlsx&amp;sheet=A0&amp;row=1464&amp;col=14&amp;number=&amp;sourceID=53","")</f>
        <v/>
      </c>
      <c r="O1464" s="4" t="str">
        <f>HYPERLINK("http://141.218.60.56/~jnz1568/getInfo.php?workbook=16_15.xlsx&amp;sheet=A0&amp;row=1464&amp;col=15&amp;number=&amp;sourceID=55","")</f>
        <v/>
      </c>
      <c r="P1464" s="4" t="str">
        <f>HYPERLINK("http://141.218.60.56/~jnz1568/getInfo.php?workbook=16_15.xlsx&amp;sheet=A0&amp;row=1464&amp;col=16&amp;number=&amp;sourceID=55","")</f>
        <v/>
      </c>
      <c r="Q1464" s="4" t="str">
        <f>HYPERLINK("http://141.218.60.56/~jnz1568/getInfo.php?workbook=16_15.xlsx&amp;sheet=A0&amp;row=1464&amp;col=17&amp;number=&amp;sourceID=56","")</f>
        <v/>
      </c>
      <c r="R1464" s="4" t="str">
        <f>HYPERLINK("http://141.218.60.56/~jnz1568/getInfo.php?workbook=16_15.xlsx&amp;sheet=A0&amp;row=1464&amp;col=18&amp;number=&amp;sourceID=56","")</f>
        <v/>
      </c>
      <c r="S1464" s="4" t="str">
        <f>HYPERLINK("http://141.218.60.56/~jnz1568/getInfo.php?workbook=16_15.xlsx&amp;sheet=A0&amp;row=1464&amp;col=19&amp;number=&amp;sourceID=57","")</f>
        <v/>
      </c>
      <c r="T1464" s="4" t="str">
        <f>HYPERLINK("http://141.218.60.56/~jnz1568/getInfo.php?workbook=16_15.xlsx&amp;sheet=A0&amp;row=1464&amp;col=20&amp;number=&amp;sourceID=57","")</f>
        <v/>
      </c>
      <c r="U1464" s="4" t="str">
        <f>HYPERLINK("http://141.218.60.56/~jnz1568/getInfo.php?workbook=16_15.xlsx&amp;sheet=A0&amp;row=1464&amp;col=21&amp;number=&amp;sourceID=47","")</f>
        <v/>
      </c>
      <c r="V1464" s="4" t="str">
        <f>HYPERLINK("http://141.218.60.56/~jnz1568/getInfo.php?workbook=16_15.xlsx&amp;sheet=A0&amp;row=1464&amp;col=22&amp;number=&amp;sourceID=47","")</f>
        <v/>
      </c>
    </row>
    <row r="1465" spans="1:22">
      <c r="A1465" s="3">
        <v>16</v>
      </c>
      <c r="B1465" s="3">
        <v>15</v>
      </c>
      <c r="C1465" s="3">
        <v>62</v>
      </c>
      <c r="D1465" s="3">
        <v>8</v>
      </c>
      <c r="E1465" s="3">
        <f>((1/(INDEX(E0!J$4:J$73,C1465,1)-INDEX(E0!J$4:J$73,D1465,1))))*100000000</f>
        <v>0</v>
      </c>
      <c r="F1465" s="4" t="str">
        <f>HYPERLINK("http://141.218.60.56/~jnz1568/getInfo.php?workbook=16_15.xlsx&amp;sheet=A0&amp;row=1465&amp;col=6&amp;number=&amp;sourceID=54","")</f>
        <v/>
      </c>
      <c r="G1465" s="4" t="str">
        <f>HYPERLINK("http://141.218.60.56/~jnz1568/getInfo.php?workbook=16_15.xlsx&amp;sheet=A0&amp;row=1465&amp;col=7&amp;number=0.0027752&amp;sourceID=54","0.0027752")</f>
        <v>0.0027752</v>
      </c>
      <c r="H1465" s="4" t="str">
        <f>HYPERLINK("http://141.218.60.56/~jnz1568/getInfo.php?workbook=16_15.xlsx&amp;sheet=A0&amp;row=1465&amp;col=8&amp;number=&amp;sourceID=54","")</f>
        <v/>
      </c>
      <c r="I1465" s="4" t="str">
        <f>HYPERLINK("http://141.218.60.56/~jnz1568/getInfo.php?workbook=16_15.xlsx&amp;sheet=A0&amp;row=1465&amp;col=9&amp;number=&amp;sourceID=54","")</f>
        <v/>
      </c>
      <c r="J1465" s="4" t="str">
        <f>HYPERLINK("http://141.218.60.56/~jnz1568/getInfo.php?workbook=16_15.xlsx&amp;sheet=A0&amp;row=1465&amp;col=10&amp;number=0.0024591&amp;sourceID=54","0.0024591")</f>
        <v>0.0024591</v>
      </c>
      <c r="K1465" s="4" t="str">
        <f>HYPERLINK("http://141.218.60.56/~jnz1568/getInfo.php?workbook=16_15.xlsx&amp;sheet=A0&amp;row=1465&amp;col=11&amp;number=&amp;sourceID=54","")</f>
        <v/>
      </c>
      <c r="L1465" s="4" t="str">
        <f>HYPERLINK("http://141.218.60.56/~jnz1568/getInfo.php?workbook=16_15.xlsx&amp;sheet=A0&amp;row=1465&amp;col=12&amp;number=&amp;sourceID=53","")</f>
        <v/>
      </c>
      <c r="M1465" s="4" t="str">
        <f>HYPERLINK("http://141.218.60.56/~jnz1568/getInfo.php?workbook=16_15.xlsx&amp;sheet=A0&amp;row=1465&amp;col=13&amp;number=&amp;sourceID=53","")</f>
        <v/>
      </c>
      <c r="N1465" s="4" t="str">
        <f>HYPERLINK("http://141.218.60.56/~jnz1568/getInfo.php?workbook=16_15.xlsx&amp;sheet=A0&amp;row=1465&amp;col=14&amp;number=&amp;sourceID=53","")</f>
        <v/>
      </c>
      <c r="O1465" s="4" t="str">
        <f>HYPERLINK("http://141.218.60.56/~jnz1568/getInfo.php?workbook=16_15.xlsx&amp;sheet=A0&amp;row=1465&amp;col=15&amp;number=&amp;sourceID=55","")</f>
        <v/>
      </c>
      <c r="P1465" s="4" t="str">
        <f>HYPERLINK("http://141.218.60.56/~jnz1568/getInfo.php?workbook=16_15.xlsx&amp;sheet=A0&amp;row=1465&amp;col=16&amp;number=&amp;sourceID=55","")</f>
        <v/>
      </c>
      <c r="Q1465" s="4" t="str">
        <f>HYPERLINK("http://141.218.60.56/~jnz1568/getInfo.php?workbook=16_15.xlsx&amp;sheet=A0&amp;row=1465&amp;col=17&amp;number=&amp;sourceID=56","")</f>
        <v/>
      </c>
      <c r="R1465" s="4" t="str">
        <f>HYPERLINK("http://141.218.60.56/~jnz1568/getInfo.php?workbook=16_15.xlsx&amp;sheet=A0&amp;row=1465&amp;col=18&amp;number=&amp;sourceID=56","")</f>
        <v/>
      </c>
      <c r="S1465" s="4" t="str">
        <f>HYPERLINK("http://141.218.60.56/~jnz1568/getInfo.php?workbook=16_15.xlsx&amp;sheet=A0&amp;row=1465&amp;col=19&amp;number=&amp;sourceID=57","")</f>
        <v/>
      </c>
      <c r="T1465" s="4" t="str">
        <f>HYPERLINK("http://141.218.60.56/~jnz1568/getInfo.php?workbook=16_15.xlsx&amp;sheet=A0&amp;row=1465&amp;col=20&amp;number=&amp;sourceID=57","")</f>
        <v/>
      </c>
      <c r="U1465" s="4" t="str">
        <f>HYPERLINK("http://141.218.60.56/~jnz1568/getInfo.php?workbook=16_15.xlsx&amp;sheet=A0&amp;row=1465&amp;col=21&amp;number=&amp;sourceID=47","")</f>
        <v/>
      </c>
      <c r="V1465" s="4" t="str">
        <f>HYPERLINK("http://141.218.60.56/~jnz1568/getInfo.php?workbook=16_15.xlsx&amp;sheet=A0&amp;row=1465&amp;col=22&amp;number=&amp;sourceID=47","")</f>
        <v/>
      </c>
    </row>
    <row r="1466" spans="1:22">
      <c r="A1466" s="3">
        <v>16</v>
      </c>
      <c r="B1466" s="3">
        <v>15</v>
      </c>
      <c r="C1466" s="3">
        <v>62</v>
      </c>
      <c r="D1466" s="3">
        <v>9</v>
      </c>
      <c r="E1466" s="3">
        <f>((1/(INDEX(E0!J$4:J$73,C1466,1)-INDEX(E0!J$4:J$73,D1466,1))))*100000000</f>
        <v>0</v>
      </c>
      <c r="F1466" s="4" t="str">
        <f>HYPERLINK("http://141.218.60.56/~jnz1568/getInfo.php?workbook=16_15.xlsx&amp;sheet=A0&amp;row=1466&amp;col=6&amp;number=&amp;sourceID=54","")</f>
        <v/>
      </c>
      <c r="G1466" s="4" t="str">
        <f>HYPERLINK("http://141.218.60.56/~jnz1568/getInfo.php?workbook=16_15.xlsx&amp;sheet=A0&amp;row=1466&amp;col=7&amp;number=1.5412&amp;sourceID=54","1.5412")</f>
        <v>1.5412</v>
      </c>
      <c r="H1466" s="4" t="str">
        <f>HYPERLINK("http://141.218.60.56/~jnz1568/getInfo.php?workbook=16_15.xlsx&amp;sheet=A0&amp;row=1466&amp;col=8&amp;number=0.13424&amp;sourceID=54","0.13424")</f>
        <v>0.13424</v>
      </c>
      <c r="I1466" s="4" t="str">
        <f>HYPERLINK("http://141.218.60.56/~jnz1568/getInfo.php?workbook=16_15.xlsx&amp;sheet=A0&amp;row=1466&amp;col=9&amp;number=&amp;sourceID=54","")</f>
        <v/>
      </c>
      <c r="J1466" s="4" t="str">
        <f>HYPERLINK("http://141.218.60.56/~jnz1568/getInfo.php?workbook=16_15.xlsx&amp;sheet=A0&amp;row=1466&amp;col=10&amp;number=1.2913&amp;sourceID=54","1.2913")</f>
        <v>1.2913</v>
      </c>
      <c r="K1466" s="4" t="str">
        <f>HYPERLINK("http://141.218.60.56/~jnz1568/getInfo.php?workbook=16_15.xlsx&amp;sheet=A0&amp;row=1466&amp;col=11&amp;number=0.12276&amp;sourceID=54","0.12276")</f>
        <v>0.12276</v>
      </c>
      <c r="L1466" s="4" t="str">
        <f>HYPERLINK("http://141.218.60.56/~jnz1568/getInfo.php?workbook=16_15.xlsx&amp;sheet=A0&amp;row=1466&amp;col=12&amp;number=&amp;sourceID=53","")</f>
        <v/>
      </c>
      <c r="M1466" s="4" t="str">
        <f>HYPERLINK("http://141.218.60.56/~jnz1568/getInfo.php?workbook=16_15.xlsx&amp;sheet=A0&amp;row=1466&amp;col=13&amp;number=&amp;sourceID=53","")</f>
        <v/>
      </c>
      <c r="N1466" s="4" t="str">
        <f>HYPERLINK("http://141.218.60.56/~jnz1568/getInfo.php?workbook=16_15.xlsx&amp;sheet=A0&amp;row=1466&amp;col=14&amp;number=&amp;sourceID=53","")</f>
        <v/>
      </c>
      <c r="O1466" s="4" t="str">
        <f>HYPERLINK("http://141.218.60.56/~jnz1568/getInfo.php?workbook=16_15.xlsx&amp;sheet=A0&amp;row=1466&amp;col=15&amp;number=&amp;sourceID=55","")</f>
        <v/>
      </c>
      <c r="P1466" s="4" t="str">
        <f>HYPERLINK("http://141.218.60.56/~jnz1568/getInfo.php?workbook=16_15.xlsx&amp;sheet=A0&amp;row=1466&amp;col=16&amp;number=&amp;sourceID=55","")</f>
        <v/>
      </c>
      <c r="Q1466" s="4" t="str">
        <f>HYPERLINK("http://141.218.60.56/~jnz1568/getInfo.php?workbook=16_15.xlsx&amp;sheet=A0&amp;row=1466&amp;col=17&amp;number=&amp;sourceID=56","")</f>
        <v/>
      </c>
      <c r="R1466" s="4" t="str">
        <f>HYPERLINK("http://141.218.60.56/~jnz1568/getInfo.php?workbook=16_15.xlsx&amp;sheet=A0&amp;row=1466&amp;col=18&amp;number=&amp;sourceID=56","")</f>
        <v/>
      </c>
      <c r="S1466" s="4" t="str">
        <f>HYPERLINK("http://141.218.60.56/~jnz1568/getInfo.php?workbook=16_15.xlsx&amp;sheet=A0&amp;row=1466&amp;col=19&amp;number=&amp;sourceID=57","")</f>
        <v/>
      </c>
      <c r="T1466" s="4" t="str">
        <f>HYPERLINK("http://141.218.60.56/~jnz1568/getInfo.php?workbook=16_15.xlsx&amp;sheet=A0&amp;row=1466&amp;col=20&amp;number=&amp;sourceID=57","")</f>
        <v/>
      </c>
      <c r="U1466" s="4" t="str">
        <f>HYPERLINK("http://141.218.60.56/~jnz1568/getInfo.php?workbook=16_15.xlsx&amp;sheet=A0&amp;row=1466&amp;col=21&amp;number=&amp;sourceID=47","")</f>
        <v/>
      </c>
      <c r="V1466" s="4" t="str">
        <f>HYPERLINK("http://141.218.60.56/~jnz1568/getInfo.php?workbook=16_15.xlsx&amp;sheet=A0&amp;row=1466&amp;col=22&amp;number=&amp;sourceID=47","")</f>
        <v/>
      </c>
    </row>
    <row r="1467" spans="1:22">
      <c r="A1467" s="3">
        <v>16</v>
      </c>
      <c r="B1467" s="3">
        <v>15</v>
      </c>
      <c r="C1467" s="3">
        <v>62</v>
      </c>
      <c r="D1467" s="3">
        <v>10</v>
      </c>
      <c r="E1467" s="3">
        <f>((1/(INDEX(E0!J$4:J$73,C1467,1)-INDEX(E0!J$4:J$73,D1467,1))))*100000000</f>
        <v>0</v>
      </c>
      <c r="F1467" s="4" t="str">
        <f>HYPERLINK("http://141.218.60.56/~jnz1568/getInfo.php?workbook=16_15.xlsx&amp;sheet=A0&amp;row=1467&amp;col=6&amp;number=&amp;sourceID=54","")</f>
        <v/>
      </c>
      <c r="G1467" s="4" t="str">
        <f>HYPERLINK("http://141.218.60.56/~jnz1568/getInfo.php?workbook=16_15.xlsx&amp;sheet=A0&amp;row=1467&amp;col=7&amp;number=6.7036&amp;sourceID=54","6.7036")</f>
        <v>6.7036</v>
      </c>
      <c r="H1467" s="4" t="str">
        <f>HYPERLINK("http://141.218.60.56/~jnz1568/getInfo.php?workbook=16_15.xlsx&amp;sheet=A0&amp;row=1467&amp;col=8&amp;number=3.3772&amp;sourceID=54","3.3772")</f>
        <v>3.3772</v>
      </c>
      <c r="I1467" s="4" t="str">
        <f>HYPERLINK("http://141.218.60.56/~jnz1568/getInfo.php?workbook=16_15.xlsx&amp;sheet=A0&amp;row=1467&amp;col=9&amp;number=&amp;sourceID=54","")</f>
        <v/>
      </c>
      <c r="J1467" s="4" t="str">
        <f>HYPERLINK("http://141.218.60.56/~jnz1568/getInfo.php?workbook=16_15.xlsx&amp;sheet=A0&amp;row=1467&amp;col=10&amp;number=5.7847&amp;sourceID=54","5.7847")</f>
        <v>5.7847</v>
      </c>
      <c r="K1467" s="4" t="str">
        <f>HYPERLINK("http://141.218.60.56/~jnz1568/getInfo.php?workbook=16_15.xlsx&amp;sheet=A0&amp;row=1467&amp;col=11&amp;number=3.0882&amp;sourceID=54","3.0882")</f>
        <v>3.0882</v>
      </c>
      <c r="L1467" s="4" t="str">
        <f>HYPERLINK("http://141.218.60.56/~jnz1568/getInfo.php?workbook=16_15.xlsx&amp;sheet=A0&amp;row=1467&amp;col=12&amp;number=&amp;sourceID=53","")</f>
        <v/>
      </c>
      <c r="M1467" s="4" t="str">
        <f>HYPERLINK("http://141.218.60.56/~jnz1568/getInfo.php?workbook=16_15.xlsx&amp;sheet=A0&amp;row=1467&amp;col=13&amp;number=&amp;sourceID=53","")</f>
        <v/>
      </c>
      <c r="N1467" s="4" t="str">
        <f>HYPERLINK("http://141.218.60.56/~jnz1568/getInfo.php?workbook=16_15.xlsx&amp;sheet=A0&amp;row=1467&amp;col=14&amp;number=&amp;sourceID=53","")</f>
        <v/>
      </c>
      <c r="O1467" s="4" t="str">
        <f>HYPERLINK("http://141.218.60.56/~jnz1568/getInfo.php?workbook=16_15.xlsx&amp;sheet=A0&amp;row=1467&amp;col=15&amp;number=&amp;sourceID=55","")</f>
        <v/>
      </c>
      <c r="P1467" s="4" t="str">
        <f>HYPERLINK("http://141.218.60.56/~jnz1568/getInfo.php?workbook=16_15.xlsx&amp;sheet=A0&amp;row=1467&amp;col=16&amp;number=&amp;sourceID=55","")</f>
        <v/>
      </c>
      <c r="Q1467" s="4" t="str">
        <f>HYPERLINK("http://141.218.60.56/~jnz1568/getInfo.php?workbook=16_15.xlsx&amp;sheet=A0&amp;row=1467&amp;col=17&amp;number=&amp;sourceID=56","")</f>
        <v/>
      </c>
      <c r="R1467" s="4" t="str">
        <f>HYPERLINK("http://141.218.60.56/~jnz1568/getInfo.php?workbook=16_15.xlsx&amp;sheet=A0&amp;row=1467&amp;col=18&amp;number=&amp;sourceID=56","")</f>
        <v/>
      </c>
      <c r="S1467" s="4" t="str">
        <f>HYPERLINK("http://141.218.60.56/~jnz1568/getInfo.php?workbook=16_15.xlsx&amp;sheet=A0&amp;row=1467&amp;col=19&amp;number=&amp;sourceID=57","")</f>
        <v/>
      </c>
      <c r="T1467" s="4" t="str">
        <f>HYPERLINK("http://141.218.60.56/~jnz1568/getInfo.php?workbook=16_15.xlsx&amp;sheet=A0&amp;row=1467&amp;col=20&amp;number=&amp;sourceID=57","")</f>
        <v/>
      </c>
      <c r="U1467" s="4" t="str">
        <f>HYPERLINK("http://141.218.60.56/~jnz1568/getInfo.php?workbook=16_15.xlsx&amp;sheet=A0&amp;row=1467&amp;col=21&amp;number=&amp;sourceID=47","")</f>
        <v/>
      </c>
      <c r="V1467" s="4" t="str">
        <f>HYPERLINK("http://141.218.60.56/~jnz1568/getInfo.php?workbook=16_15.xlsx&amp;sheet=A0&amp;row=1467&amp;col=22&amp;number=&amp;sourceID=47","")</f>
        <v/>
      </c>
    </row>
    <row r="1468" spans="1:22">
      <c r="A1468" s="3">
        <v>16</v>
      </c>
      <c r="B1468" s="3">
        <v>15</v>
      </c>
      <c r="C1468" s="3">
        <v>62</v>
      </c>
      <c r="D1468" s="3">
        <v>11</v>
      </c>
      <c r="E1468" s="3">
        <f>((1/(INDEX(E0!J$4:J$73,C1468,1)-INDEX(E0!J$4:J$73,D1468,1))))*100000000</f>
        <v>0</v>
      </c>
      <c r="F1468" s="4" t="str">
        <f>HYPERLINK("http://141.218.60.56/~jnz1568/getInfo.php?workbook=16_15.xlsx&amp;sheet=A0&amp;row=1468&amp;col=6&amp;number=&amp;sourceID=54","")</f>
        <v/>
      </c>
      <c r="G1468" s="4" t="str">
        <f>HYPERLINK("http://141.218.60.56/~jnz1568/getInfo.php?workbook=16_15.xlsx&amp;sheet=A0&amp;row=1468&amp;col=7&amp;number=6.5371&amp;sourceID=54","6.5371")</f>
        <v>6.5371</v>
      </c>
      <c r="H1468" s="4" t="str">
        <f>HYPERLINK("http://141.218.60.56/~jnz1568/getInfo.php?workbook=16_15.xlsx&amp;sheet=A0&amp;row=1468&amp;col=8&amp;number=1.1317e-07&amp;sourceID=54","1.1317e-07")</f>
        <v>1.1317e-07</v>
      </c>
      <c r="I1468" s="4" t="str">
        <f>HYPERLINK("http://141.218.60.56/~jnz1568/getInfo.php?workbook=16_15.xlsx&amp;sheet=A0&amp;row=1468&amp;col=9&amp;number=&amp;sourceID=54","")</f>
        <v/>
      </c>
      <c r="J1468" s="4" t="str">
        <f>HYPERLINK("http://141.218.60.56/~jnz1568/getInfo.php?workbook=16_15.xlsx&amp;sheet=A0&amp;row=1468&amp;col=10&amp;number=5.6678&amp;sourceID=54","5.6678")</f>
        <v>5.6678</v>
      </c>
      <c r="K1468" s="4" t="str">
        <f>HYPERLINK("http://141.218.60.56/~jnz1568/getInfo.php?workbook=16_15.xlsx&amp;sheet=A0&amp;row=1468&amp;col=11&amp;number=2.4064e-09&amp;sourceID=54","2.4064e-09")</f>
        <v>2.4064e-09</v>
      </c>
      <c r="L1468" s="4" t="str">
        <f>HYPERLINK("http://141.218.60.56/~jnz1568/getInfo.php?workbook=16_15.xlsx&amp;sheet=A0&amp;row=1468&amp;col=12&amp;number=&amp;sourceID=53","")</f>
        <v/>
      </c>
      <c r="M1468" s="4" t="str">
        <f>HYPERLINK("http://141.218.60.56/~jnz1568/getInfo.php?workbook=16_15.xlsx&amp;sheet=A0&amp;row=1468&amp;col=13&amp;number=&amp;sourceID=53","")</f>
        <v/>
      </c>
      <c r="N1468" s="4" t="str">
        <f>HYPERLINK("http://141.218.60.56/~jnz1568/getInfo.php?workbook=16_15.xlsx&amp;sheet=A0&amp;row=1468&amp;col=14&amp;number=&amp;sourceID=53","")</f>
        <v/>
      </c>
      <c r="O1468" s="4" t="str">
        <f>HYPERLINK("http://141.218.60.56/~jnz1568/getInfo.php?workbook=16_15.xlsx&amp;sheet=A0&amp;row=1468&amp;col=15&amp;number=&amp;sourceID=55","")</f>
        <v/>
      </c>
      <c r="P1468" s="4" t="str">
        <f>HYPERLINK("http://141.218.60.56/~jnz1568/getInfo.php?workbook=16_15.xlsx&amp;sheet=A0&amp;row=1468&amp;col=16&amp;number=&amp;sourceID=55","")</f>
        <v/>
      </c>
      <c r="Q1468" s="4" t="str">
        <f>HYPERLINK("http://141.218.60.56/~jnz1568/getInfo.php?workbook=16_15.xlsx&amp;sheet=A0&amp;row=1468&amp;col=17&amp;number=&amp;sourceID=56","")</f>
        <v/>
      </c>
      <c r="R1468" s="4" t="str">
        <f>HYPERLINK("http://141.218.60.56/~jnz1568/getInfo.php?workbook=16_15.xlsx&amp;sheet=A0&amp;row=1468&amp;col=18&amp;number=&amp;sourceID=56","")</f>
        <v/>
      </c>
      <c r="S1468" s="4" t="str">
        <f>HYPERLINK("http://141.218.60.56/~jnz1568/getInfo.php?workbook=16_15.xlsx&amp;sheet=A0&amp;row=1468&amp;col=19&amp;number=&amp;sourceID=57","")</f>
        <v/>
      </c>
      <c r="T1468" s="4" t="str">
        <f>HYPERLINK("http://141.218.60.56/~jnz1568/getInfo.php?workbook=16_15.xlsx&amp;sheet=A0&amp;row=1468&amp;col=20&amp;number=&amp;sourceID=57","")</f>
        <v/>
      </c>
      <c r="U1468" s="4" t="str">
        <f>HYPERLINK("http://141.218.60.56/~jnz1568/getInfo.php?workbook=16_15.xlsx&amp;sheet=A0&amp;row=1468&amp;col=21&amp;number=&amp;sourceID=47","")</f>
        <v/>
      </c>
      <c r="V1468" s="4" t="str">
        <f>HYPERLINK("http://141.218.60.56/~jnz1568/getInfo.php?workbook=16_15.xlsx&amp;sheet=A0&amp;row=1468&amp;col=22&amp;number=&amp;sourceID=47","")</f>
        <v/>
      </c>
    </row>
    <row r="1469" spans="1:22">
      <c r="A1469" s="3">
        <v>16</v>
      </c>
      <c r="B1469" s="3">
        <v>15</v>
      </c>
      <c r="C1469" s="3">
        <v>62</v>
      </c>
      <c r="D1469" s="3">
        <v>12</v>
      </c>
      <c r="E1469" s="3">
        <f>((1/(INDEX(E0!J$4:J$73,C1469,1)-INDEX(E0!J$4:J$73,D1469,1))))*100000000</f>
        <v>0</v>
      </c>
      <c r="F1469" s="4" t="str">
        <f>HYPERLINK("http://141.218.60.56/~jnz1568/getInfo.php?workbook=16_15.xlsx&amp;sheet=A0&amp;row=1469&amp;col=6&amp;number=&amp;sourceID=54","")</f>
        <v/>
      </c>
      <c r="G1469" s="4" t="str">
        <f>HYPERLINK("http://141.218.60.56/~jnz1568/getInfo.php?workbook=16_15.xlsx&amp;sheet=A0&amp;row=1469&amp;col=7&amp;number=2.1193&amp;sourceID=54","2.1193")</f>
        <v>2.1193</v>
      </c>
      <c r="H1469" s="4" t="str">
        <f>HYPERLINK("http://141.218.60.56/~jnz1568/getInfo.php?workbook=16_15.xlsx&amp;sheet=A0&amp;row=1469&amp;col=8&amp;number=&amp;sourceID=54","")</f>
        <v/>
      </c>
      <c r="I1469" s="4" t="str">
        <f>HYPERLINK("http://141.218.60.56/~jnz1568/getInfo.php?workbook=16_15.xlsx&amp;sheet=A0&amp;row=1469&amp;col=9&amp;number=&amp;sourceID=54","")</f>
        <v/>
      </c>
      <c r="J1469" s="4" t="str">
        <f>HYPERLINK("http://141.218.60.56/~jnz1568/getInfo.php?workbook=16_15.xlsx&amp;sheet=A0&amp;row=1469&amp;col=10&amp;number=1.817&amp;sourceID=54","1.817")</f>
        <v>1.817</v>
      </c>
      <c r="K1469" s="4" t="str">
        <f>HYPERLINK("http://141.218.60.56/~jnz1568/getInfo.php?workbook=16_15.xlsx&amp;sheet=A0&amp;row=1469&amp;col=11&amp;number=&amp;sourceID=54","")</f>
        <v/>
      </c>
      <c r="L1469" s="4" t="str">
        <f>HYPERLINK("http://141.218.60.56/~jnz1568/getInfo.php?workbook=16_15.xlsx&amp;sheet=A0&amp;row=1469&amp;col=12&amp;number=&amp;sourceID=53","")</f>
        <v/>
      </c>
      <c r="M1469" s="4" t="str">
        <f>HYPERLINK("http://141.218.60.56/~jnz1568/getInfo.php?workbook=16_15.xlsx&amp;sheet=A0&amp;row=1469&amp;col=13&amp;number=&amp;sourceID=53","")</f>
        <v/>
      </c>
      <c r="N1469" s="4" t="str">
        <f>HYPERLINK("http://141.218.60.56/~jnz1568/getInfo.php?workbook=16_15.xlsx&amp;sheet=A0&amp;row=1469&amp;col=14&amp;number=&amp;sourceID=53","")</f>
        <v/>
      </c>
      <c r="O1469" s="4" t="str">
        <f>HYPERLINK("http://141.218.60.56/~jnz1568/getInfo.php?workbook=16_15.xlsx&amp;sheet=A0&amp;row=1469&amp;col=15&amp;number=&amp;sourceID=55","")</f>
        <v/>
      </c>
      <c r="P1469" s="4" t="str">
        <f>HYPERLINK("http://141.218.60.56/~jnz1568/getInfo.php?workbook=16_15.xlsx&amp;sheet=A0&amp;row=1469&amp;col=16&amp;number=&amp;sourceID=55","")</f>
        <v/>
      </c>
      <c r="Q1469" s="4" t="str">
        <f>HYPERLINK("http://141.218.60.56/~jnz1568/getInfo.php?workbook=16_15.xlsx&amp;sheet=A0&amp;row=1469&amp;col=17&amp;number=&amp;sourceID=56","")</f>
        <v/>
      </c>
      <c r="R1469" s="4" t="str">
        <f>HYPERLINK("http://141.218.60.56/~jnz1568/getInfo.php?workbook=16_15.xlsx&amp;sheet=A0&amp;row=1469&amp;col=18&amp;number=&amp;sourceID=56","")</f>
        <v/>
      </c>
      <c r="S1469" s="4" t="str">
        <f>HYPERLINK("http://141.218.60.56/~jnz1568/getInfo.php?workbook=16_15.xlsx&amp;sheet=A0&amp;row=1469&amp;col=19&amp;number=&amp;sourceID=57","")</f>
        <v/>
      </c>
      <c r="T1469" s="4" t="str">
        <f>HYPERLINK("http://141.218.60.56/~jnz1568/getInfo.php?workbook=16_15.xlsx&amp;sheet=A0&amp;row=1469&amp;col=20&amp;number=&amp;sourceID=57","")</f>
        <v/>
      </c>
      <c r="U1469" s="4" t="str">
        <f>HYPERLINK("http://141.218.60.56/~jnz1568/getInfo.php?workbook=16_15.xlsx&amp;sheet=A0&amp;row=1469&amp;col=21&amp;number=&amp;sourceID=47","")</f>
        <v/>
      </c>
      <c r="V1469" s="4" t="str">
        <f>HYPERLINK("http://141.218.60.56/~jnz1568/getInfo.php?workbook=16_15.xlsx&amp;sheet=A0&amp;row=1469&amp;col=22&amp;number=&amp;sourceID=47","")</f>
        <v/>
      </c>
    </row>
    <row r="1470" spans="1:22">
      <c r="A1470" s="3">
        <v>16</v>
      </c>
      <c r="B1470" s="3">
        <v>15</v>
      </c>
      <c r="C1470" s="3">
        <v>62</v>
      </c>
      <c r="D1470" s="3">
        <v>13</v>
      </c>
      <c r="E1470" s="3">
        <f>((1/(INDEX(E0!J$4:J$73,C1470,1)-INDEX(E0!J$4:J$73,D1470,1))))*100000000</f>
        <v>0</v>
      </c>
      <c r="F1470" s="4" t="str">
        <f>HYPERLINK("http://141.218.60.56/~jnz1568/getInfo.php?workbook=16_15.xlsx&amp;sheet=A0&amp;row=1470&amp;col=6&amp;number=&amp;sourceID=54","")</f>
        <v/>
      </c>
      <c r="G1470" s="4" t="str">
        <f>HYPERLINK("http://141.218.60.56/~jnz1568/getInfo.php?workbook=16_15.xlsx&amp;sheet=A0&amp;row=1470&amp;col=7&amp;number=0.029244&amp;sourceID=54","0.029244")</f>
        <v>0.029244</v>
      </c>
      <c r="H1470" s="4" t="str">
        <f>HYPERLINK("http://141.218.60.56/~jnz1568/getInfo.php?workbook=16_15.xlsx&amp;sheet=A0&amp;row=1470&amp;col=8&amp;number=&amp;sourceID=54","")</f>
        <v/>
      </c>
      <c r="I1470" s="4" t="str">
        <f>HYPERLINK("http://141.218.60.56/~jnz1568/getInfo.php?workbook=16_15.xlsx&amp;sheet=A0&amp;row=1470&amp;col=9&amp;number=&amp;sourceID=54","")</f>
        <v/>
      </c>
      <c r="J1470" s="4" t="str">
        <f>HYPERLINK("http://141.218.60.56/~jnz1568/getInfo.php?workbook=16_15.xlsx&amp;sheet=A0&amp;row=1470&amp;col=10&amp;number=0.027045&amp;sourceID=54","0.027045")</f>
        <v>0.027045</v>
      </c>
      <c r="K1470" s="4" t="str">
        <f>HYPERLINK("http://141.218.60.56/~jnz1568/getInfo.php?workbook=16_15.xlsx&amp;sheet=A0&amp;row=1470&amp;col=11&amp;number=&amp;sourceID=54","")</f>
        <v/>
      </c>
      <c r="L1470" s="4" t="str">
        <f>HYPERLINK("http://141.218.60.56/~jnz1568/getInfo.php?workbook=16_15.xlsx&amp;sheet=A0&amp;row=1470&amp;col=12&amp;number=&amp;sourceID=53","")</f>
        <v/>
      </c>
      <c r="M1470" s="4" t="str">
        <f>HYPERLINK("http://141.218.60.56/~jnz1568/getInfo.php?workbook=16_15.xlsx&amp;sheet=A0&amp;row=1470&amp;col=13&amp;number=&amp;sourceID=53","")</f>
        <v/>
      </c>
      <c r="N1470" s="4" t="str">
        <f>HYPERLINK("http://141.218.60.56/~jnz1568/getInfo.php?workbook=16_15.xlsx&amp;sheet=A0&amp;row=1470&amp;col=14&amp;number=&amp;sourceID=53","")</f>
        <v/>
      </c>
      <c r="O1470" s="4" t="str">
        <f>HYPERLINK("http://141.218.60.56/~jnz1568/getInfo.php?workbook=16_15.xlsx&amp;sheet=A0&amp;row=1470&amp;col=15&amp;number=&amp;sourceID=55","")</f>
        <v/>
      </c>
      <c r="P1470" s="4" t="str">
        <f>HYPERLINK("http://141.218.60.56/~jnz1568/getInfo.php?workbook=16_15.xlsx&amp;sheet=A0&amp;row=1470&amp;col=16&amp;number=&amp;sourceID=55","")</f>
        <v/>
      </c>
      <c r="Q1470" s="4" t="str">
        <f>HYPERLINK("http://141.218.60.56/~jnz1568/getInfo.php?workbook=16_15.xlsx&amp;sheet=A0&amp;row=1470&amp;col=17&amp;number=&amp;sourceID=56","")</f>
        <v/>
      </c>
      <c r="R1470" s="4" t="str">
        <f>HYPERLINK("http://141.218.60.56/~jnz1568/getInfo.php?workbook=16_15.xlsx&amp;sheet=A0&amp;row=1470&amp;col=18&amp;number=&amp;sourceID=56","")</f>
        <v/>
      </c>
      <c r="S1470" s="4" t="str">
        <f>HYPERLINK("http://141.218.60.56/~jnz1568/getInfo.php?workbook=16_15.xlsx&amp;sheet=A0&amp;row=1470&amp;col=19&amp;number=&amp;sourceID=57","")</f>
        <v/>
      </c>
      <c r="T1470" s="4" t="str">
        <f>HYPERLINK("http://141.218.60.56/~jnz1568/getInfo.php?workbook=16_15.xlsx&amp;sheet=A0&amp;row=1470&amp;col=20&amp;number=&amp;sourceID=57","")</f>
        <v/>
      </c>
      <c r="U1470" s="4" t="str">
        <f>HYPERLINK("http://141.218.60.56/~jnz1568/getInfo.php?workbook=16_15.xlsx&amp;sheet=A0&amp;row=1470&amp;col=21&amp;number=&amp;sourceID=47","")</f>
        <v/>
      </c>
      <c r="V1470" s="4" t="str">
        <f>HYPERLINK("http://141.218.60.56/~jnz1568/getInfo.php?workbook=16_15.xlsx&amp;sheet=A0&amp;row=1470&amp;col=22&amp;number=&amp;sourceID=47","")</f>
        <v/>
      </c>
    </row>
    <row r="1471" spans="1:22">
      <c r="A1471" s="3">
        <v>16</v>
      </c>
      <c r="B1471" s="3">
        <v>15</v>
      </c>
      <c r="C1471" s="3">
        <v>62</v>
      </c>
      <c r="D1471" s="3">
        <v>14</v>
      </c>
      <c r="E1471" s="3">
        <f>((1/(INDEX(E0!J$4:J$73,C1471,1)-INDEX(E0!J$4:J$73,D1471,1))))*100000000</f>
        <v>0</v>
      </c>
      <c r="F1471" s="4" t="str">
        <f>HYPERLINK("http://141.218.60.56/~jnz1568/getInfo.php?workbook=16_15.xlsx&amp;sheet=A0&amp;row=1471&amp;col=6&amp;number=&amp;sourceID=54","")</f>
        <v/>
      </c>
      <c r="G1471" s="4" t="str">
        <f>HYPERLINK("http://141.218.60.56/~jnz1568/getInfo.php?workbook=16_15.xlsx&amp;sheet=A0&amp;row=1471&amp;col=7&amp;number=0.065672&amp;sourceID=54","0.065672")</f>
        <v>0.065672</v>
      </c>
      <c r="H1471" s="4" t="str">
        <f>HYPERLINK("http://141.218.60.56/~jnz1568/getInfo.php?workbook=16_15.xlsx&amp;sheet=A0&amp;row=1471&amp;col=8&amp;number=0.00055233&amp;sourceID=54","0.00055233")</f>
        <v>0.00055233</v>
      </c>
      <c r="I1471" s="4" t="str">
        <f>HYPERLINK("http://141.218.60.56/~jnz1568/getInfo.php?workbook=16_15.xlsx&amp;sheet=A0&amp;row=1471&amp;col=9&amp;number=&amp;sourceID=54","")</f>
        <v/>
      </c>
      <c r="J1471" s="4" t="str">
        <f>HYPERLINK("http://141.218.60.56/~jnz1568/getInfo.php?workbook=16_15.xlsx&amp;sheet=A0&amp;row=1471&amp;col=10&amp;number=0.070416&amp;sourceID=54","0.070416")</f>
        <v>0.070416</v>
      </c>
      <c r="K1471" s="4" t="str">
        <f>HYPERLINK("http://141.218.60.56/~jnz1568/getInfo.php?workbook=16_15.xlsx&amp;sheet=A0&amp;row=1471&amp;col=11&amp;number=0.0004913&amp;sourceID=54","0.0004913")</f>
        <v>0.0004913</v>
      </c>
      <c r="L1471" s="4" t="str">
        <f>HYPERLINK("http://141.218.60.56/~jnz1568/getInfo.php?workbook=16_15.xlsx&amp;sheet=A0&amp;row=1471&amp;col=12&amp;number=&amp;sourceID=53","")</f>
        <v/>
      </c>
      <c r="M1471" s="4" t="str">
        <f>HYPERLINK("http://141.218.60.56/~jnz1568/getInfo.php?workbook=16_15.xlsx&amp;sheet=A0&amp;row=1471&amp;col=13&amp;number=&amp;sourceID=53","")</f>
        <v/>
      </c>
      <c r="N1471" s="4" t="str">
        <f>HYPERLINK("http://141.218.60.56/~jnz1568/getInfo.php?workbook=16_15.xlsx&amp;sheet=A0&amp;row=1471&amp;col=14&amp;number=&amp;sourceID=53","")</f>
        <v/>
      </c>
      <c r="O1471" s="4" t="str">
        <f>HYPERLINK("http://141.218.60.56/~jnz1568/getInfo.php?workbook=16_15.xlsx&amp;sheet=A0&amp;row=1471&amp;col=15&amp;number=&amp;sourceID=55","")</f>
        <v/>
      </c>
      <c r="P1471" s="4" t="str">
        <f>HYPERLINK("http://141.218.60.56/~jnz1568/getInfo.php?workbook=16_15.xlsx&amp;sheet=A0&amp;row=1471&amp;col=16&amp;number=&amp;sourceID=55","")</f>
        <v/>
      </c>
      <c r="Q1471" s="4" t="str">
        <f>HYPERLINK("http://141.218.60.56/~jnz1568/getInfo.php?workbook=16_15.xlsx&amp;sheet=A0&amp;row=1471&amp;col=17&amp;number=&amp;sourceID=56","")</f>
        <v/>
      </c>
      <c r="R1471" s="4" t="str">
        <f>HYPERLINK("http://141.218.60.56/~jnz1568/getInfo.php?workbook=16_15.xlsx&amp;sheet=A0&amp;row=1471&amp;col=18&amp;number=&amp;sourceID=56","")</f>
        <v/>
      </c>
      <c r="S1471" s="4" t="str">
        <f>HYPERLINK("http://141.218.60.56/~jnz1568/getInfo.php?workbook=16_15.xlsx&amp;sheet=A0&amp;row=1471&amp;col=19&amp;number=&amp;sourceID=57","")</f>
        <v/>
      </c>
      <c r="T1471" s="4" t="str">
        <f>HYPERLINK("http://141.218.60.56/~jnz1568/getInfo.php?workbook=16_15.xlsx&amp;sheet=A0&amp;row=1471&amp;col=20&amp;number=&amp;sourceID=57","")</f>
        <v/>
      </c>
      <c r="U1471" s="4" t="str">
        <f>HYPERLINK("http://141.218.60.56/~jnz1568/getInfo.php?workbook=16_15.xlsx&amp;sheet=A0&amp;row=1471&amp;col=21&amp;number=&amp;sourceID=47","")</f>
        <v/>
      </c>
      <c r="V1471" s="4" t="str">
        <f>HYPERLINK("http://141.218.60.56/~jnz1568/getInfo.php?workbook=16_15.xlsx&amp;sheet=A0&amp;row=1471&amp;col=22&amp;number=&amp;sourceID=47","")</f>
        <v/>
      </c>
    </row>
    <row r="1472" spans="1:22">
      <c r="A1472" s="3">
        <v>16</v>
      </c>
      <c r="B1472" s="3">
        <v>15</v>
      </c>
      <c r="C1472" s="3">
        <v>62</v>
      </c>
      <c r="D1472" s="3">
        <v>15</v>
      </c>
      <c r="E1472" s="3">
        <f>((1/(INDEX(E0!J$4:J$73,C1472,1)-INDEX(E0!J$4:J$73,D1472,1))))*100000000</f>
        <v>0</v>
      </c>
      <c r="F1472" s="4" t="str">
        <f>HYPERLINK("http://141.218.60.56/~jnz1568/getInfo.php?workbook=16_15.xlsx&amp;sheet=A0&amp;row=1472&amp;col=6&amp;number=&amp;sourceID=54","")</f>
        <v/>
      </c>
      <c r="G1472" s="4" t="str">
        <f>HYPERLINK("http://141.218.60.56/~jnz1568/getInfo.php?workbook=16_15.xlsx&amp;sheet=A0&amp;row=1472&amp;col=7&amp;number=7.7331e-05&amp;sourceID=54","7.7331e-05")</f>
        <v>7.7331e-05</v>
      </c>
      <c r="H1472" s="4" t="str">
        <f>HYPERLINK("http://141.218.60.56/~jnz1568/getInfo.php?workbook=16_15.xlsx&amp;sheet=A0&amp;row=1472&amp;col=8&amp;number=0.00068499&amp;sourceID=54","0.00068499")</f>
        <v>0.00068499</v>
      </c>
      <c r="I1472" s="4" t="str">
        <f>HYPERLINK("http://141.218.60.56/~jnz1568/getInfo.php?workbook=16_15.xlsx&amp;sheet=A0&amp;row=1472&amp;col=9&amp;number=&amp;sourceID=54","")</f>
        <v/>
      </c>
      <c r="J1472" s="4" t="str">
        <f>HYPERLINK("http://141.218.60.56/~jnz1568/getInfo.php?workbook=16_15.xlsx&amp;sheet=A0&amp;row=1472&amp;col=10&amp;number=3.9675e-05&amp;sourceID=54","3.9675e-05")</f>
        <v>3.9675e-05</v>
      </c>
      <c r="K1472" s="4" t="str">
        <f>HYPERLINK("http://141.218.60.56/~jnz1568/getInfo.php?workbook=16_15.xlsx&amp;sheet=A0&amp;row=1472&amp;col=11&amp;number=0.00082399&amp;sourceID=54","0.00082399")</f>
        <v>0.00082399</v>
      </c>
      <c r="L1472" s="4" t="str">
        <f>HYPERLINK("http://141.218.60.56/~jnz1568/getInfo.php?workbook=16_15.xlsx&amp;sheet=A0&amp;row=1472&amp;col=12&amp;number=&amp;sourceID=53","")</f>
        <v/>
      </c>
      <c r="M1472" s="4" t="str">
        <f>HYPERLINK("http://141.218.60.56/~jnz1568/getInfo.php?workbook=16_15.xlsx&amp;sheet=A0&amp;row=1472&amp;col=13&amp;number=&amp;sourceID=53","")</f>
        <v/>
      </c>
      <c r="N1472" s="4" t="str">
        <f>HYPERLINK("http://141.218.60.56/~jnz1568/getInfo.php?workbook=16_15.xlsx&amp;sheet=A0&amp;row=1472&amp;col=14&amp;number=&amp;sourceID=53","")</f>
        <v/>
      </c>
      <c r="O1472" s="4" t="str">
        <f>HYPERLINK("http://141.218.60.56/~jnz1568/getInfo.php?workbook=16_15.xlsx&amp;sheet=A0&amp;row=1472&amp;col=15&amp;number=&amp;sourceID=55","")</f>
        <v/>
      </c>
      <c r="P1472" s="4" t="str">
        <f>HYPERLINK("http://141.218.60.56/~jnz1568/getInfo.php?workbook=16_15.xlsx&amp;sheet=A0&amp;row=1472&amp;col=16&amp;number=&amp;sourceID=55","")</f>
        <v/>
      </c>
      <c r="Q1472" s="4" t="str">
        <f>HYPERLINK("http://141.218.60.56/~jnz1568/getInfo.php?workbook=16_15.xlsx&amp;sheet=A0&amp;row=1472&amp;col=17&amp;number=&amp;sourceID=56","")</f>
        <v/>
      </c>
      <c r="R1472" s="4" t="str">
        <f>HYPERLINK("http://141.218.60.56/~jnz1568/getInfo.php?workbook=16_15.xlsx&amp;sheet=A0&amp;row=1472&amp;col=18&amp;number=&amp;sourceID=56","")</f>
        <v/>
      </c>
      <c r="S1472" s="4" t="str">
        <f>HYPERLINK("http://141.218.60.56/~jnz1568/getInfo.php?workbook=16_15.xlsx&amp;sheet=A0&amp;row=1472&amp;col=19&amp;number=&amp;sourceID=57","")</f>
        <v/>
      </c>
      <c r="T1472" s="4" t="str">
        <f>HYPERLINK("http://141.218.60.56/~jnz1568/getInfo.php?workbook=16_15.xlsx&amp;sheet=A0&amp;row=1472&amp;col=20&amp;number=&amp;sourceID=57","")</f>
        <v/>
      </c>
      <c r="U1472" s="4" t="str">
        <f>HYPERLINK("http://141.218.60.56/~jnz1568/getInfo.php?workbook=16_15.xlsx&amp;sheet=A0&amp;row=1472&amp;col=21&amp;number=&amp;sourceID=47","")</f>
        <v/>
      </c>
      <c r="V1472" s="4" t="str">
        <f>HYPERLINK("http://141.218.60.56/~jnz1568/getInfo.php?workbook=16_15.xlsx&amp;sheet=A0&amp;row=1472&amp;col=22&amp;number=&amp;sourceID=47","")</f>
        <v/>
      </c>
    </row>
    <row r="1473" spans="1:22">
      <c r="A1473" s="3">
        <v>16</v>
      </c>
      <c r="B1473" s="3">
        <v>15</v>
      </c>
      <c r="C1473" s="3">
        <v>62</v>
      </c>
      <c r="D1473" s="3">
        <v>16</v>
      </c>
      <c r="E1473" s="3">
        <f>((1/(INDEX(E0!J$4:J$73,C1473,1)-INDEX(E0!J$4:J$73,D1473,1))))*100000000</f>
        <v>0</v>
      </c>
      <c r="F1473" s="4" t="str">
        <f>HYPERLINK("http://141.218.60.56/~jnz1568/getInfo.php?workbook=16_15.xlsx&amp;sheet=A0&amp;row=1473&amp;col=6&amp;number=&amp;sourceID=54","")</f>
        <v/>
      </c>
      <c r="G1473" s="4" t="str">
        <f>HYPERLINK("http://141.218.60.56/~jnz1568/getInfo.php?workbook=16_15.xlsx&amp;sheet=A0&amp;row=1473&amp;col=7&amp;number=0.17404&amp;sourceID=54","0.17404")</f>
        <v>0.17404</v>
      </c>
      <c r="H1473" s="4" t="str">
        <f>HYPERLINK("http://141.218.60.56/~jnz1568/getInfo.php?workbook=16_15.xlsx&amp;sheet=A0&amp;row=1473&amp;col=8&amp;number=0.0027164&amp;sourceID=54","0.0027164")</f>
        <v>0.0027164</v>
      </c>
      <c r="I1473" s="4" t="str">
        <f>HYPERLINK("http://141.218.60.56/~jnz1568/getInfo.php?workbook=16_15.xlsx&amp;sheet=A0&amp;row=1473&amp;col=9&amp;number=&amp;sourceID=54","")</f>
        <v/>
      </c>
      <c r="J1473" s="4" t="str">
        <f>HYPERLINK("http://141.218.60.56/~jnz1568/getInfo.php?workbook=16_15.xlsx&amp;sheet=A0&amp;row=1473&amp;col=10&amp;number=0.14229&amp;sourceID=54","0.14229")</f>
        <v>0.14229</v>
      </c>
      <c r="K1473" s="4" t="str">
        <f>HYPERLINK("http://141.218.60.56/~jnz1568/getInfo.php?workbook=16_15.xlsx&amp;sheet=A0&amp;row=1473&amp;col=11&amp;number=0.0024117&amp;sourceID=54","0.0024117")</f>
        <v>0.0024117</v>
      </c>
      <c r="L1473" s="4" t="str">
        <f>HYPERLINK("http://141.218.60.56/~jnz1568/getInfo.php?workbook=16_15.xlsx&amp;sheet=A0&amp;row=1473&amp;col=12&amp;number=&amp;sourceID=53","")</f>
        <v/>
      </c>
      <c r="M1473" s="4" t="str">
        <f>HYPERLINK("http://141.218.60.56/~jnz1568/getInfo.php?workbook=16_15.xlsx&amp;sheet=A0&amp;row=1473&amp;col=13&amp;number=&amp;sourceID=53","")</f>
        <v/>
      </c>
      <c r="N1473" s="4" t="str">
        <f>HYPERLINK("http://141.218.60.56/~jnz1568/getInfo.php?workbook=16_15.xlsx&amp;sheet=A0&amp;row=1473&amp;col=14&amp;number=&amp;sourceID=53","")</f>
        <v/>
      </c>
      <c r="O1473" s="4" t="str">
        <f>HYPERLINK("http://141.218.60.56/~jnz1568/getInfo.php?workbook=16_15.xlsx&amp;sheet=A0&amp;row=1473&amp;col=15&amp;number=&amp;sourceID=55","")</f>
        <v/>
      </c>
      <c r="P1473" s="4" t="str">
        <f>HYPERLINK("http://141.218.60.56/~jnz1568/getInfo.php?workbook=16_15.xlsx&amp;sheet=A0&amp;row=1473&amp;col=16&amp;number=&amp;sourceID=55","")</f>
        <v/>
      </c>
      <c r="Q1473" s="4" t="str">
        <f>HYPERLINK("http://141.218.60.56/~jnz1568/getInfo.php?workbook=16_15.xlsx&amp;sheet=A0&amp;row=1473&amp;col=17&amp;number=&amp;sourceID=56","")</f>
        <v/>
      </c>
      <c r="R1473" s="4" t="str">
        <f>HYPERLINK("http://141.218.60.56/~jnz1568/getInfo.php?workbook=16_15.xlsx&amp;sheet=A0&amp;row=1473&amp;col=18&amp;number=&amp;sourceID=56","")</f>
        <v/>
      </c>
      <c r="S1473" s="4" t="str">
        <f>HYPERLINK("http://141.218.60.56/~jnz1568/getInfo.php?workbook=16_15.xlsx&amp;sheet=A0&amp;row=1473&amp;col=19&amp;number=&amp;sourceID=57","")</f>
        <v/>
      </c>
      <c r="T1473" s="4" t="str">
        <f>HYPERLINK("http://141.218.60.56/~jnz1568/getInfo.php?workbook=16_15.xlsx&amp;sheet=A0&amp;row=1473&amp;col=20&amp;number=&amp;sourceID=57","")</f>
        <v/>
      </c>
      <c r="U1473" s="4" t="str">
        <f>HYPERLINK("http://141.218.60.56/~jnz1568/getInfo.php?workbook=16_15.xlsx&amp;sheet=A0&amp;row=1473&amp;col=21&amp;number=&amp;sourceID=47","")</f>
        <v/>
      </c>
      <c r="V1473" s="4" t="str">
        <f>HYPERLINK("http://141.218.60.56/~jnz1568/getInfo.php?workbook=16_15.xlsx&amp;sheet=A0&amp;row=1473&amp;col=22&amp;number=&amp;sourceID=47","")</f>
        <v/>
      </c>
    </row>
    <row r="1474" spans="1:22">
      <c r="A1474" s="3">
        <v>16</v>
      </c>
      <c r="B1474" s="3">
        <v>15</v>
      </c>
      <c r="C1474" s="3">
        <v>62</v>
      </c>
      <c r="D1474" s="3">
        <v>17</v>
      </c>
      <c r="E1474" s="3">
        <f>((1/(INDEX(E0!J$4:J$73,C1474,1)-INDEX(E0!J$4:J$73,D1474,1))))*100000000</f>
        <v>0</v>
      </c>
      <c r="F1474" s="4" t="str">
        <f>HYPERLINK("http://141.218.60.56/~jnz1568/getInfo.php?workbook=16_15.xlsx&amp;sheet=A0&amp;row=1474&amp;col=6&amp;number=&amp;sourceID=54","")</f>
        <v/>
      </c>
      <c r="G1474" s="4" t="str">
        <f>HYPERLINK("http://141.218.60.56/~jnz1568/getInfo.php?workbook=16_15.xlsx&amp;sheet=A0&amp;row=1474&amp;col=7&amp;number=0.00075362&amp;sourceID=54","0.00075362")</f>
        <v>0.00075362</v>
      </c>
      <c r="H1474" s="4" t="str">
        <f>HYPERLINK("http://141.218.60.56/~jnz1568/getInfo.php?workbook=16_15.xlsx&amp;sheet=A0&amp;row=1474&amp;col=8&amp;number=0.0010766&amp;sourceID=54","0.0010766")</f>
        <v>0.0010766</v>
      </c>
      <c r="I1474" s="4" t="str">
        <f>HYPERLINK("http://141.218.60.56/~jnz1568/getInfo.php?workbook=16_15.xlsx&amp;sheet=A0&amp;row=1474&amp;col=9&amp;number=&amp;sourceID=54","")</f>
        <v/>
      </c>
      <c r="J1474" s="4" t="str">
        <f>HYPERLINK("http://141.218.60.56/~jnz1568/getInfo.php?workbook=16_15.xlsx&amp;sheet=A0&amp;row=1474&amp;col=10&amp;number=0.00067227&amp;sourceID=54","0.00067227")</f>
        <v>0.00067227</v>
      </c>
      <c r="K1474" s="4" t="str">
        <f>HYPERLINK("http://141.218.60.56/~jnz1568/getInfo.php?workbook=16_15.xlsx&amp;sheet=A0&amp;row=1474&amp;col=11&amp;number=0.00044093&amp;sourceID=54","0.00044093")</f>
        <v>0.00044093</v>
      </c>
      <c r="L1474" s="4" t="str">
        <f>HYPERLINK("http://141.218.60.56/~jnz1568/getInfo.php?workbook=16_15.xlsx&amp;sheet=A0&amp;row=1474&amp;col=12&amp;number=&amp;sourceID=53","")</f>
        <v/>
      </c>
      <c r="M1474" s="4" t="str">
        <f>HYPERLINK("http://141.218.60.56/~jnz1568/getInfo.php?workbook=16_15.xlsx&amp;sheet=A0&amp;row=1474&amp;col=13&amp;number=&amp;sourceID=53","")</f>
        <v/>
      </c>
      <c r="N1474" s="4" t="str">
        <f>HYPERLINK("http://141.218.60.56/~jnz1568/getInfo.php?workbook=16_15.xlsx&amp;sheet=A0&amp;row=1474&amp;col=14&amp;number=&amp;sourceID=53","")</f>
        <v/>
      </c>
      <c r="O1474" s="4" t="str">
        <f>HYPERLINK("http://141.218.60.56/~jnz1568/getInfo.php?workbook=16_15.xlsx&amp;sheet=A0&amp;row=1474&amp;col=15&amp;number=&amp;sourceID=55","")</f>
        <v/>
      </c>
      <c r="P1474" s="4" t="str">
        <f>HYPERLINK("http://141.218.60.56/~jnz1568/getInfo.php?workbook=16_15.xlsx&amp;sheet=A0&amp;row=1474&amp;col=16&amp;number=&amp;sourceID=55","")</f>
        <v/>
      </c>
      <c r="Q1474" s="4" t="str">
        <f>HYPERLINK("http://141.218.60.56/~jnz1568/getInfo.php?workbook=16_15.xlsx&amp;sheet=A0&amp;row=1474&amp;col=17&amp;number=&amp;sourceID=56","")</f>
        <v/>
      </c>
      <c r="R1474" s="4" t="str">
        <f>HYPERLINK("http://141.218.60.56/~jnz1568/getInfo.php?workbook=16_15.xlsx&amp;sheet=A0&amp;row=1474&amp;col=18&amp;number=&amp;sourceID=56","")</f>
        <v/>
      </c>
      <c r="S1474" s="4" t="str">
        <f>HYPERLINK("http://141.218.60.56/~jnz1568/getInfo.php?workbook=16_15.xlsx&amp;sheet=A0&amp;row=1474&amp;col=19&amp;number=&amp;sourceID=57","")</f>
        <v/>
      </c>
      <c r="T1474" s="4" t="str">
        <f>HYPERLINK("http://141.218.60.56/~jnz1568/getInfo.php?workbook=16_15.xlsx&amp;sheet=A0&amp;row=1474&amp;col=20&amp;number=&amp;sourceID=57","")</f>
        <v/>
      </c>
      <c r="U1474" s="4" t="str">
        <f>HYPERLINK("http://141.218.60.56/~jnz1568/getInfo.php?workbook=16_15.xlsx&amp;sheet=A0&amp;row=1474&amp;col=21&amp;number=&amp;sourceID=47","")</f>
        <v/>
      </c>
      <c r="V1474" s="4" t="str">
        <f>HYPERLINK("http://141.218.60.56/~jnz1568/getInfo.php?workbook=16_15.xlsx&amp;sheet=A0&amp;row=1474&amp;col=22&amp;number=&amp;sourceID=47","")</f>
        <v/>
      </c>
    </row>
    <row r="1475" spans="1:22">
      <c r="A1475" s="3">
        <v>16</v>
      </c>
      <c r="B1475" s="3">
        <v>15</v>
      </c>
      <c r="C1475" s="3">
        <v>62</v>
      </c>
      <c r="D1475" s="3">
        <v>18</v>
      </c>
      <c r="E1475" s="3">
        <f>((1/(INDEX(E0!J$4:J$73,C1475,1)-INDEX(E0!J$4:J$73,D1475,1))))*100000000</f>
        <v>0</v>
      </c>
      <c r="F1475" s="4" t="str">
        <f>HYPERLINK("http://141.218.60.56/~jnz1568/getInfo.php?workbook=16_15.xlsx&amp;sheet=A0&amp;row=1475&amp;col=6&amp;number=&amp;sourceID=54","")</f>
        <v/>
      </c>
      <c r="G1475" s="4" t="str">
        <f>HYPERLINK("http://141.218.60.56/~jnz1568/getInfo.php?workbook=16_15.xlsx&amp;sheet=A0&amp;row=1475&amp;col=7&amp;number=9.951e-05&amp;sourceID=54","9.951e-05")</f>
        <v>9.951e-05</v>
      </c>
      <c r="H1475" s="4" t="str">
        <f>HYPERLINK("http://141.218.60.56/~jnz1568/getInfo.php?workbook=16_15.xlsx&amp;sheet=A0&amp;row=1475&amp;col=8&amp;number=0.016353&amp;sourceID=54","0.016353")</f>
        <v>0.016353</v>
      </c>
      <c r="I1475" s="4" t="str">
        <f>HYPERLINK("http://141.218.60.56/~jnz1568/getInfo.php?workbook=16_15.xlsx&amp;sheet=A0&amp;row=1475&amp;col=9&amp;number=&amp;sourceID=54","")</f>
        <v/>
      </c>
      <c r="J1475" s="4" t="str">
        <f>HYPERLINK("http://141.218.60.56/~jnz1568/getInfo.php?workbook=16_15.xlsx&amp;sheet=A0&amp;row=1475&amp;col=10&amp;number=3.2481e-05&amp;sourceID=54","3.2481e-05")</f>
        <v>3.2481e-05</v>
      </c>
      <c r="K1475" s="4" t="str">
        <f>HYPERLINK("http://141.218.60.56/~jnz1568/getInfo.php?workbook=16_15.xlsx&amp;sheet=A0&amp;row=1475&amp;col=11&amp;number=0.015747&amp;sourceID=54","0.015747")</f>
        <v>0.015747</v>
      </c>
      <c r="L1475" s="4" t="str">
        <f>HYPERLINK("http://141.218.60.56/~jnz1568/getInfo.php?workbook=16_15.xlsx&amp;sheet=A0&amp;row=1475&amp;col=12&amp;number=&amp;sourceID=53","")</f>
        <v/>
      </c>
      <c r="M1475" s="4" t="str">
        <f>HYPERLINK("http://141.218.60.56/~jnz1568/getInfo.php?workbook=16_15.xlsx&amp;sheet=A0&amp;row=1475&amp;col=13&amp;number=&amp;sourceID=53","")</f>
        <v/>
      </c>
      <c r="N1475" s="4" t="str">
        <f>HYPERLINK("http://141.218.60.56/~jnz1568/getInfo.php?workbook=16_15.xlsx&amp;sheet=A0&amp;row=1475&amp;col=14&amp;number=&amp;sourceID=53","")</f>
        <v/>
      </c>
      <c r="O1475" s="4" t="str">
        <f>HYPERLINK("http://141.218.60.56/~jnz1568/getInfo.php?workbook=16_15.xlsx&amp;sheet=A0&amp;row=1475&amp;col=15&amp;number=&amp;sourceID=55","")</f>
        <v/>
      </c>
      <c r="P1475" s="4" t="str">
        <f>HYPERLINK("http://141.218.60.56/~jnz1568/getInfo.php?workbook=16_15.xlsx&amp;sheet=A0&amp;row=1475&amp;col=16&amp;number=&amp;sourceID=55","")</f>
        <v/>
      </c>
      <c r="Q1475" s="4" t="str">
        <f>HYPERLINK("http://141.218.60.56/~jnz1568/getInfo.php?workbook=16_15.xlsx&amp;sheet=A0&amp;row=1475&amp;col=17&amp;number=&amp;sourceID=56","")</f>
        <v/>
      </c>
      <c r="R1475" s="4" t="str">
        <f>HYPERLINK("http://141.218.60.56/~jnz1568/getInfo.php?workbook=16_15.xlsx&amp;sheet=A0&amp;row=1475&amp;col=18&amp;number=&amp;sourceID=56","")</f>
        <v/>
      </c>
      <c r="S1475" s="4" t="str">
        <f>HYPERLINK("http://141.218.60.56/~jnz1568/getInfo.php?workbook=16_15.xlsx&amp;sheet=A0&amp;row=1475&amp;col=19&amp;number=&amp;sourceID=57","")</f>
        <v/>
      </c>
      <c r="T1475" s="4" t="str">
        <f>HYPERLINK("http://141.218.60.56/~jnz1568/getInfo.php?workbook=16_15.xlsx&amp;sheet=A0&amp;row=1475&amp;col=20&amp;number=&amp;sourceID=57","")</f>
        <v/>
      </c>
      <c r="U1475" s="4" t="str">
        <f>HYPERLINK("http://141.218.60.56/~jnz1568/getInfo.php?workbook=16_15.xlsx&amp;sheet=A0&amp;row=1475&amp;col=21&amp;number=&amp;sourceID=47","")</f>
        <v/>
      </c>
      <c r="V1475" s="4" t="str">
        <f>HYPERLINK("http://141.218.60.56/~jnz1568/getInfo.php?workbook=16_15.xlsx&amp;sheet=A0&amp;row=1475&amp;col=22&amp;number=&amp;sourceID=47","")</f>
        <v/>
      </c>
    </row>
    <row r="1476" spans="1:22">
      <c r="A1476" s="3">
        <v>16</v>
      </c>
      <c r="B1476" s="3">
        <v>15</v>
      </c>
      <c r="C1476" s="3">
        <v>62</v>
      </c>
      <c r="D1476" s="3">
        <v>19</v>
      </c>
      <c r="E1476" s="3">
        <f>((1/(INDEX(E0!J$4:J$73,C1476,1)-INDEX(E0!J$4:J$73,D1476,1))))*100000000</f>
        <v>0</v>
      </c>
      <c r="F1476" s="4" t="str">
        <f>HYPERLINK("http://141.218.60.56/~jnz1568/getInfo.php?workbook=16_15.xlsx&amp;sheet=A0&amp;row=1476&amp;col=6&amp;number=&amp;sourceID=54","")</f>
        <v/>
      </c>
      <c r="G1476" s="4" t="str">
        <f>HYPERLINK("http://141.218.60.56/~jnz1568/getInfo.php?workbook=16_15.xlsx&amp;sheet=A0&amp;row=1476&amp;col=7&amp;number=0.021182&amp;sourceID=54","0.021182")</f>
        <v>0.021182</v>
      </c>
      <c r="H1476" s="4" t="str">
        <f>HYPERLINK("http://141.218.60.56/~jnz1568/getInfo.php?workbook=16_15.xlsx&amp;sheet=A0&amp;row=1476&amp;col=8&amp;number=&amp;sourceID=54","")</f>
        <v/>
      </c>
      <c r="I1476" s="4" t="str">
        <f>HYPERLINK("http://141.218.60.56/~jnz1568/getInfo.php?workbook=16_15.xlsx&amp;sheet=A0&amp;row=1476&amp;col=9&amp;number=&amp;sourceID=54","")</f>
        <v/>
      </c>
      <c r="J1476" s="4" t="str">
        <f>HYPERLINK("http://141.218.60.56/~jnz1568/getInfo.php?workbook=16_15.xlsx&amp;sheet=A0&amp;row=1476&amp;col=10&amp;number=0.019596&amp;sourceID=54","0.019596")</f>
        <v>0.019596</v>
      </c>
      <c r="K1476" s="4" t="str">
        <f>HYPERLINK("http://141.218.60.56/~jnz1568/getInfo.php?workbook=16_15.xlsx&amp;sheet=A0&amp;row=1476&amp;col=11&amp;number=&amp;sourceID=54","")</f>
        <v/>
      </c>
      <c r="L1476" s="4" t="str">
        <f>HYPERLINK("http://141.218.60.56/~jnz1568/getInfo.php?workbook=16_15.xlsx&amp;sheet=A0&amp;row=1476&amp;col=12&amp;number=&amp;sourceID=53","")</f>
        <v/>
      </c>
      <c r="M1476" s="4" t="str">
        <f>HYPERLINK("http://141.218.60.56/~jnz1568/getInfo.php?workbook=16_15.xlsx&amp;sheet=A0&amp;row=1476&amp;col=13&amp;number=&amp;sourceID=53","")</f>
        <v/>
      </c>
      <c r="N1476" s="4" t="str">
        <f>HYPERLINK("http://141.218.60.56/~jnz1568/getInfo.php?workbook=16_15.xlsx&amp;sheet=A0&amp;row=1476&amp;col=14&amp;number=&amp;sourceID=53","")</f>
        <v/>
      </c>
      <c r="O1476" s="4" t="str">
        <f>HYPERLINK("http://141.218.60.56/~jnz1568/getInfo.php?workbook=16_15.xlsx&amp;sheet=A0&amp;row=1476&amp;col=15&amp;number=&amp;sourceID=55","")</f>
        <v/>
      </c>
      <c r="P1476" s="4" t="str">
        <f>HYPERLINK("http://141.218.60.56/~jnz1568/getInfo.php?workbook=16_15.xlsx&amp;sheet=A0&amp;row=1476&amp;col=16&amp;number=&amp;sourceID=55","")</f>
        <v/>
      </c>
      <c r="Q1476" s="4" t="str">
        <f>HYPERLINK("http://141.218.60.56/~jnz1568/getInfo.php?workbook=16_15.xlsx&amp;sheet=A0&amp;row=1476&amp;col=17&amp;number=&amp;sourceID=56","")</f>
        <v/>
      </c>
      <c r="R1476" s="4" t="str">
        <f>HYPERLINK("http://141.218.60.56/~jnz1568/getInfo.php?workbook=16_15.xlsx&amp;sheet=A0&amp;row=1476&amp;col=18&amp;number=&amp;sourceID=56","")</f>
        <v/>
      </c>
      <c r="S1476" s="4" t="str">
        <f>HYPERLINK("http://141.218.60.56/~jnz1568/getInfo.php?workbook=16_15.xlsx&amp;sheet=A0&amp;row=1476&amp;col=19&amp;number=&amp;sourceID=57","")</f>
        <v/>
      </c>
      <c r="T1476" s="4" t="str">
        <f>HYPERLINK("http://141.218.60.56/~jnz1568/getInfo.php?workbook=16_15.xlsx&amp;sheet=A0&amp;row=1476&amp;col=20&amp;number=&amp;sourceID=57","")</f>
        <v/>
      </c>
      <c r="U1476" s="4" t="str">
        <f>HYPERLINK("http://141.218.60.56/~jnz1568/getInfo.php?workbook=16_15.xlsx&amp;sheet=A0&amp;row=1476&amp;col=21&amp;number=&amp;sourceID=47","")</f>
        <v/>
      </c>
      <c r="V1476" s="4" t="str">
        <f>HYPERLINK("http://141.218.60.56/~jnz1568/getInfo.php?workbook=16_15.xlsx&amp;sheet=A0&amp;row=1476&amp;col=22&amp;number=&amp;sourceID=47","")</f>
        <v/>
      </c>
    </row>
    <row r="1477" spans="1:22">
      <c r="A1477" s="3">
        <v>16</v>
      </c>
      <c r="B1477" s="3">
        <v>15</v>
      </c>
      <c r="C1477" s="3">
        <v>62</v>
      </c>
      <c r="D1477" s="3">
        <v>20</v>
      </c>
      <c r="E1477" s="3">
        <f>((1/(INDEX(E0!J$4:J$73,C1477,1)-INDEX(E0!J$4:J$73,D1477,1))))*100000000</f>
        <v>0</v>
      </c>
      <c r="F1477" s="4" t="str">
        <f>HYPERLINK("http://141.218.60.56/~jnz1568/getInfo.php?workbook=16_15.xlsx&amp;sheet=A0&amp;row=1477&amp;col=6&amp;number=&amp;sourceID=54","")</f>
        <v/>
      </c>
      <c r="G1477" s="4" t="str">
        <f>HYPERLINK("http://141.218.60.56/~jnz1568/getInfo.php?workbook=16_15.xlsx&amp;sheet=A0&amp;row=1477&amp;col=7&amp;number=4.7214&amp;sourceID=54","4.7214")</f>
        <v>4.7214</v>
      </c>
      <c r="H1477" s="4" t="str">
        <f>HYPERLINK("http://141.218.60.56/~jnz1568/getInfo.php?workbook=16_15.xlsx&amp;sheet=A0&amp;row=1477&amp;col=8&amp;number=&amp;sourceID=54","")</f>
        <v/>
      </c>
      <c r="I1477" s="4" t="str">
        <f>HYPERLINK("http://141.218.60.56/~jnz1568/getInfo.php?workbook=16_15.xlsx&amp;sheet=A0&amp;row=1477&amp;col=9&amp;number=&amp;sourceID=54","")</f>
        <v/>
      </c>
      <c r="J1477" s="4" t="str">
        <f>HYPERLINK("http://141.218.60.56/~jnz1568/getInfo.php?workbook=16_15.xlsx&amp;sheet=A0&amp;row=1477&amp;col=10&amp;number=3.8464&amp;sourceID=54","3.8464")</f>
        <v>3.8464</v>
      </c>
      <c r="K1477" s="4" t="str">
        <f>HYPERLINK("http://141.218.60.56/~jnz1568/getInfo.php?workbook=16_15.xlsx&amp;sheet=A0&amp;row=1477&amp;col=11&amp;number=&amp;sourceID=54","")</f>
        <v/>
      </c>
      <c r="L1477" s="4" t="str">
        <f>HYPERLINK("http://141.218.60.56/~jnz1568/getInfo.php?workbook=16_15.xlsx&amp;sheet=A0&amp;row=1477&amp;col=12&amp;number=&amp;sourceID=53","")</f>
        <v/>
      </c>
      <c r="M1477" s="4" t="str">
        <f>HYPERLINK("http://141.218.60.56/~jnz1568/getInfo.php?workbook=16_15.xlsx&amp;sheet=A0&amp;row=1477&amp;col=13&amp;number=&amp;sourceID=53","")</f>
        <v/>
      </c>
      <c r="N1477" s="4" t="str">
        <f>HYPERLINK("http://141.218.60.56/~jnz1568/getInfo.php?workbook=16_15.xlsx&amp;sheet=A0&amp;row=1477&amp;col=14&amp;number=&amp;sourceID=53","")</f>
        <v/>
      </c>
      <c r="O1477" s="4" t="str">
        <f>HYPERLINK("http://141.218.60.56/~jnz1568/getInfo.php?workbook=16_15.xlsx&amp;sheet=A0&amp;row=1477&amp;col=15&amp;number=&amp;sourceID=55","")</f>
        <v/>
      </c>
      <c r="P1477" s="4" t="str">
        <f>HYPERLINK("http://141.218.60.56/~jnz1568/getInfo.php?workbook=16_15.xlsx&amp;sheet=A0&amp;row=1477&amp;col=16&amp;number=&amp;sourceID=55","")</f>
        <v/>
      </c>
      <c r="Q1477" s="4" t="str">
        <f>HYPERLINK("http://141.218.60.56/~jnz1568/getInfo.php?workbook=16_15.xlsx&amp;sheet=A0&amp;row=1477&amp;col=17&amp;number=&amp;sourceID=56","")</f>
        <v/>
      </c>
      <c r="R1477" s="4" t="str">
        <f>HYPERLINK("http://141.218.60.56/~jnz1568/getInfo.php?workbook=16_15.xlsx&amp;sheet=A0&amp;row=1477&amp;col=18&amp;number=&amp;sourceID=56","")</f>
        <v/>
      </c>
      <c r="S1477" s="4" t="str">
        <f>HYPERLINK("http://141.218.60.56/~jnz1568/getInfo.php?workbook=16_15.xlsx&amp;sheet=A0&amp;row=1477&amp;col=19&amp;number=&amp;sourceID=57","")</f>
        <v/>
      </c>
      <c r="T1477" s="4" t="str">
        <f>HYPERLINK("http://141.218.60.56/~jnz1568/getInfo.php?workbook=16_15.xlsx&amp;sheet=A0&amp;row=1477&amp;col=20&amp;number=&amp;sourceID=57","")</f>
        <v/>
      </c>
      <c r="U1477" s="4" t="str">
        <f>HYPERLINK("http://141.218.60.56/~jnz1568/getInfo.php?workbook=16_15.xlsx&amp;sheet=A0&amp;row=1477&amp;col=21&amp;number=&amp;sourceID=47","")</f>
        <v/>
      </c>
      <c r="V1477" s="4" t="str">
        <f>HYPERLINK("http://141.218.60.56/~jnz1568/getInfo.php?workbook=16_15.xlsx&amp;sheet=A0&amp;row=1477&amp;col=22&amp;number=&amp;sourceID=47","")</f>
        <v/>
      </c>
    </row>
    <row r="1478" spans="1:22">
      <c r="A1478" s="3">
        <v>16</v>
      </c>
      <c r="B1478" s="3">
        <v>15</v>
      </c>
      <c r="C1478" s="3">
        <v>62</v>
      </c>
      <c r="D1478" s="3">
        <v>21</v>
      </c>
      <c r="E1478" s="3">
        <f>((1/(INDEX(E0!J$4:J$73,C1478,1)-INDEX(E0!J$4:J$73,D1478,1))))*100000000</f>
        <v>0</v>
      </c>
      <c r="F1478" s="4" t="str">
        <f>HYPERLINK("http://141.218.60.56/~jnz1568/getInfo.php?workbook=16_15.xlsx&amp;sheet=A0&amp;row=1478&amp;col=6&amp;number=&amp;sourceID=54","")</f>
        <v/>
      </c>
      <c r="G1478" s="4" t="str">
        <f>HYPERLINK("http://141.218.60.56/~jnz1568/getInfo.php?workbook=16_15.xlsx&amp;sheet=A0&amp;row=1478&amp;col=7&amp;number=23.588&amp;sourceID=54","23.588")</f>
        <v>23.588</v>
      </c>
      <c r="H1478" s="4" t="str">
        <f>HYPERLINK("http://141.218.60.56/~jnz1568/getInfo.php?workbook=16_15.xlsx&amp;sheet=A0&amp;row=1478&amp;col=8&amp;number=0.00031893&amp;sourceID=54","0.00031893")</f>
        <v>0.00031893</v>
      </c>
      <c r="I1478" s="4" t="str">
        <f>HYPERLINK("http://141.218.60.56/~jnz1568/getInfo.php?workbook=16_15.xlsx&amp;sheet=A0&amp;row=1478&amp;col=9&amp;number=&amp;sourceID=54","")</f>
        <v/>
      </c>
      <c r="J1478" s="4" t="str">
        <f>HYPERLINK("http://141.218.60.56/~jnz1568/getInfo.php?workbook=16_15.xlsx&amp;sheet=A0&amp;row=1478&amp;col=10&amp;number=18.753&amp;sourceID=54","18.753")</f>
        <v>18.753</v>
      </c>
      <c r="K1478" s="4" t="str">
        <f>HYPERLINK("http://141.218.60.56/~jnz1568/getInfo.php?workbook=16_15.xlsx&amp;sheet=A0&amp;row=1478&amp;col=11&amp;number=0.00030195&amp;sourceID=54","0.00030195")</f>
        <v>0.00030195</v>
      </c>
      <c r="L1478" s="4" t="str">
        <f>HYPERLINK("http://141.218.60.56/~jnz1568/getInfo.php?workbook=16_15.xlsx&amp;sheet=A0&amp;row=1478&amp;col=12&amp;number=&amp;sourceID=53","")</f>
        <v/>
      </c>
      <c r="M1478" s="4" t="str">
        <f>HYPERLINK("http://141.218.60.56/~jnz1568/getInfo.php?workbook=16_15.xlsx&amp;sheet=A0&amp;row=1478&amp;col=13&amp;number=&amp;sourceID=53","")</f>
        <v/>
      </c>
      <c r="N1478" s="4" t="str">
        <f>HYPERLINK("http://141.218.60.56/~jnz1568/getInfo.php?workbook=16_15.xlsx&amp;sheet=A0&amp;row=1478&amp;col=14&amp;number=&amp;sourceID=53","")</f>
        <v/>
      </c>
      <c r="O1478" s="4" t="str">
        <f>HYPERLINK("http://141.218.60.56/~jnz1568/getInfo.php?workbook=16_15.xlsx&amp;sheet=A0&amp;row=1478&amp;col=15&amp;number=&amp;sourceID=55","")</f>
        <v/>
      </c>
      <c r="P1478" s="4" t="str">
        <f>HYPERLINK("http://141.218.60.56/~jnz1568/getInfo.php?workbook=16_15.xlsx&amp;sheet=A0&amp;row=1478&amp;col=16&amp;number=&amp;sourceID=55","")</f>
        <v/>
      </c>
      <c r="Q1478" s="4" t="str">
        <f>HYPERLINK("http://141.218.60.56/~jnz1568/getInfo.php?workbook=16_15.xlsx&amp;sheet=A0&amp;row=1478&amp;col=17&amp;number=&amp;sourceID=56","")</f>
        <v/>
      </c>
      <c r="R1478" s="4" t="str">
        <f>HYPERLINK("http://141.218.60.56/~jnz1568/getInfo.php?workbook=16_15.xlsx&amp;sheet=A0&amp;row=1478&amp;col=18&amp;number=&amp;sourceID=56","")</f>
        <v/>
      </c>
      <c r="S1478" s="4" t="str">
        <f>HYPERLINK("http://141.218.60.56/~jnz1568/getInfo.php?workbook=16_15.xlsx&amp;sheet=A0&amp;row=1478&amp;col=19&amp;number=&amp;sourceID=57","")</f>
        <v/>
      </c>
      <c r="T1478" s="4" t="str">
        <f>HYPERLINK("http://141.218.60.56/~jnz1568/getInfo.php?workbook=16_15.xlsx&amp;sheet=A0&amp;row=1478&amp;col=20&amp;number=&amp;sourceID=57","")</f>
        <v/>
      </c>
      <c r="U1478" s="4" t="str">
        <f>HYPERLINK("http://141.218.60.56/~jnz1568/getInfo.php?workbook=16_15.xlsx&amp;sheet=A0&amp;row=1478&amp;col=21&amp;number=&amp;sourceID=47","")</f>
        <v/>
      </c>
      <c r="V1478" s="4" t="str">
        <f>HYPERLINK("http://141.218.60.56/~jnz1568/getInfo.php?workbook=16_15.xlsx&amp;sheet=A0&amp;row=1478&amp;col=22&amp;number=&amp;sourceID=47","")</f>
        <v/>
      </c>
    </row>
    <row r="1479" spans="1:22">
      <c r="A1479" s="3">
        <v>16</v>
      </c>
      <c r="B1479" s="3">
        <v>15</v>
      </c>
      <c r="C1479" s="3">
        <v>62</v>
      </c>
      <c r="D1479" s="3">
        <v>22</v>
      </c>
      <c r="E1479" s="3">
        <f>((1/(INDEX(E0!J$4:J$73,C1479,1)-INDEX(E0!J$4:J$73,D1479,1))))*100000000</f>
        <v>0</v>
      </c>
      <c r="F1479" s="4" t="str">
        <f>HYPERLINK("http://141.218.60.56/~jnz1568/getInfo.php?workbook=16_15.xlsx&amp;sheet=A0&amp;row=1479&amp;col=6&amp;number=&amp;sourceID=54","")</f>
        <v/>
      </c>
      <c r="G1479" s="4" t="str">
        <f>HYPERLINK("http://141.218.60.56/~jnz1568/getInfo.php?workbook=16_15.xlsx&amp;sheet=A0&amp;row=1479&amp;col=7&amp;number=0.00044906&amp;sourceID=54","0.00044906")</f>
        <v>0.00044906</v>
      </c>
      <c r="H1479" s="4" t="str">
        <f>HYPERLINK("http://141.218.60.56/~jnz1568/getInfo.php?workbook=16_15.xlsx&amp;sheet=A0&amp;row=1479&amp;col=8&amp;number=&amp;sourceID=54","")</f>
        <v/>
      </c>
      <c r="I1479" s="4" t="str">
        <f>HYPERLINK("http://141.218.60.56/~jnz1568/getInfo.php?workbook=16_15.xlsx&amp;sheet=A0&amp;row=1479&amp;col=9&amp;number=&amp;sourceID=54","")</f>
        <v/>
      </c>
      <c r="J1479" s="4" t="str">
        <f>HYPERLINK("http://141.218.60.56/~jnz1568/getInfo.php?workbook=16_15.xlsx&amp;sheet=A0&amp;row=1479&amp;col=10&amp;number=0.00040378&amp;sourceID=54","0.00040378")</f>
        <v>0.00040378</v>
      </c>
      <c r="K1479" s="4" t="str">
        <f>HYPERLINK("http://141.218.60.56/~jnz1568/getInfo.php?workbook=16_15.xlsx&amp;sheet=A0&amp;row=1479&amp;col=11&amp;number=&amp;sourceID=54","")</f>
        <v/>
      </c>
      <c r="L1479" s="4" t="str">
        <f>HYPERLINK("http://141.218.60.56/~jnz1568/getInfo.php?workbook=16_15.xlsx&amp;sheet=A0&amp;row=1479&amp;col=12&amp;number=&amp;sourceID=53","")</f>
        <v/>
      </c>
      <c r="M1479" s="4" t="str">
        <f>HYPERLINK("http://141.218.60.56/~jnz1568/getInfo.php?workbook=16_15.xlsx&amp;sheet=A0&amp;row=1479&amp;col=13&amp;number=&amp;sourceID=53","")</f>
        <v/>
      </c>
      <c r="N1479" s="4" t="str">
        <f>HYPERLINK("http://141.218.60.56/~jnz1568/getInfo.php?workbook=16_15.xlsx&amp;sheet=A0&amp;row=1479&amp;col=14&amp;number=&amp;sourceID=53","")</f>
        <v/>
      </c>
      <c r="O1479" s="4" t="str">
        <f>HYPERLINK("http://141.218.60.56/~jnz1568/getInfo.php?workbook=16_15.xlsx&amp;sheet=A0&amp;row=1479&amp;col=15&amp;number=&amp;sourceID=55","")</f>
        <v/>
      </c>
      <c r="P1479" s="4" t="str">
        <f>HYPERLINK("http://141.218.60.56/~jnz1568/getInfo.php?workbook=16_15.xlsx&amp;sheet=A0&amp;row=1479&amp;col=16&amp;number=&amp;sourceID=55","")</f>
        <v/>
      </c>
      <c r="Q1479" s="4" t="str">
        <f>HYPERLINK("http://141.218.60.56/~jnz1568/getInfo.php?workbook=16_15.xlsx&amp;sheet=A0&amp;row=1479&amp;col=17&amp;number=&amp;sourceID=56","")</f>
        <v/>
      </c>
      <c r="R1479" s="4" t="str">
        <f>HYPERLINK("http://141.218.60.56/~jnz1568/getInfo.php?workbook=16_15.xlsx&amp;sheet=A0&amp;row=1479&amp;col=18&amp;number=&amp;sourceID=56","")</f>
        <v/>
      </c>
      <c r="S1479" s="4" t="str">
        <f>HYPERLINK("http://141.218.60.56/~jnz1568/getInfo.php?workbook=16_15.xlsx&amp;sheet=A0&amp;row=1479&amp;col=19&amp;number=&amp;sourceID=57","")</f>
        <v/>
      </c>
      <c r="T1479" s="4" t="str">
        <f>HYPERLINK("http://141.218.60.56/~jnz1568/getInfo.php?workbook=16_15.xlsx&amp;sheet=A0&amp;row=1479&amp;col=20&amp;number=&amp;sourceID=57","")</f>
        <v/>
      </c>
      <c r="U1479" s="4" t="str">
        <f>HYPERLINK("http://141.218.60.56/~jnz1568/getInfo.php?workbook=16_15.xlsx&amp;sheet=A0&amp;row=1479&amp;col=21&amp;number=&amp;sourceID=47","")</f>
        <v/>
      </c>
      <c r="V1479" s="4" t="str">
        <f>HYPERLINK("http://141.218.60.56/~jnz1568/getInfo.php?workbook=16_15.xlsx&amp;sheet=A0&amp;row=1479&amp;col=22&amp;number=&amp;sourceID=47","")</f>
        <v/>
      </c>
    </row>
    <row r="1480" spans="1:22">
      <c r="A1480" s="3">
        <v>16</v>
      </c>
      <c r="B1480" s="3">
        <v>15</v>
      </c>
      <c r="C1480" s="3">
        <v>62</v>
      </c>
      <c r="D1480" s="3">
        <v>23</v>
      </c>
      <c r="E1480" s="3">
        <f>((1/(INDEX(E0!J$4:J$73,C1480,1)-INDEX(E0!J$4:J$73,D1480,1))))*100000000</f>
        <v>0</v>
      </c>
      <c r="F1480" s="4" t="str">
        <f>HYPERLINK("http://141.218.60.56/~jnz1568/getInfo.php?workbook=16_15.xlsx&amp;sheet=A0&amp;row=1480&amp;col=6&amp;number=&amp;sourceID=54","")</f>
        <v/>
      </c>
      <c r="G1480" s="4" t="str">
        <f>HYPERLINK("http://141.218.60.56/~jnz1568/getInfo.php?workbook=16_15.xlsx&amp;sheet=A0&amp;row=1480&amp;col=7&amp;number=0.0005085&amp;sourceID=54","0.0005085")</f>
        <v>0.0005085</v>
      </c>
      <c r="H1480" s="4" t="str">
        <f>HYPERLINK("http://141.218.60.56/~jnz1568/getInfo.php?workbook=16_15.xlsx&amp;sheet=A0&amp;row=1480&amp;col=8&amp;number=0.039761&amp;sourceID=54","0.039761")</f>
        <v>0.039761</v>
      </c>
      <c r="I1480" s="4" t="str">
        <f>HYPERLINK("http://141.218.60.56/~jnz1568/getInfo.php?workbook=16_15.xlsx&amp;sheet=A0&amp;row=1480&amp;col=9&amp;number=&amp;sourceID=54","")</f>
        <v/>
      </c>
      <c r="J1480" s="4" t="str">
        <f>HYPERLINK("http://141.218.60.56/~jnz1568/getInfo.php?workbook=16_15.xlsx&amp;sheet=A0&amp;row=1480&amp;col=10&amp;number=0.00049462&amp;sourceID=54","0.00049462")</f>
        <v>0.00049462</v>
      </c>
      <c r="K1480" s="4" t="str">
        <f>HYPERLINK("http://141.218.60.56/~jnz1568/getInfo.php?workbook=16_15.xlsx&amp;sheet=A0&amp;row=1480&amp;col=11&amp;number=0.040388&amp;sourceID=54","0.040388")</f>
        <v>0.040388</v>
      </c>
      <c r="L1480" s="4" t="str">
        <f>HYPERLINK("http://141.218.60.56/~jnz1568/getInfo.php?workbook=16_15.xlsx&amp;sheet=A0&amp;row=1480&amp;col=12&amp;number=&amp;sourceID=53","")</f>
        <v/>
      </c>
      <c r="M1480" s="4" t="str">
        <f>HYPERLINK("http://141.218.60.56/~jnz1568/getInfo.php?workbook=16_15.xlsx&amp;sheet=A0&amp;row=1480&amp;col=13&amp;number=&amp;sourceID=53","")</f>
        <v/>
      </c>
      <c r="N1480" s="4" t="str">
        <f>HYPERLINK("http://141.218.60.56/~jnz1568/getInfo.php?workbook=16_15.xlsx&amp;sheet=A0&amp;row=1480&amp;col=14&amp;number=&amp;sourceID=53","")</f>
        <v/>
      </c>
      <c r="O1480" s="4" t="str">
        <f>HYPERLINK("http://141.218.60.56/~jnz1568/getInfo.php?workbook=16_15.xlsx&amp;sheet=A0&amp;row=1480&amp;col=15&amp;number=&amp;sourceID=55","")</f>
        <v/>
      </c>
      <c r="P1480" s="4" t="str">
        <f>HYPERLINK("http://141.218.60.56/~jnz1568/getInfo.php?workbook=16_15.xlsx&amp;sheet=A0&amp;row=1480&amp;col=16&amp;number=&amp;sourceID=55","")</f>
        <v/>
      </c>
      <c r="Q1480" s="4" t="str">
        <f>HYPERLINK("http://141.218.60.56/~jnz1568/getInfo.php?workbook=16_15.xlsx&amp;sheet=A0&amp;row=1480&amp;col=17&amp;number=&amp;sourceID=56","")</f>
        <v/>
      </c>
      <c r="R1480" s="4" t="str">
        <f>HYPERLINK("http://141.218.60.56/~jnz1568/getInfo.php?workbook=16_15.xlsx&amp;sheet=A0&amp;row=1480&amp;col=18&amp;number=&amp;sourceID=56","")</f>
        <v/>
      </c>
      <c r="S1480" s="4" t="str">
        <f>HYPERLINK("http://141.218.60.56/~jnz1568/getInfo.php?workbook=16_15.xlsx&amp;sheet=A0&amp;row=1480&amp;col=19&amp;number=&amp;sourceID=57","")</f>
        <v/>
      </c>
      <c r="T1480" s="4" t="str">
        <f>HYPERLINK("http://141.218.60.56/~jnz1568/getInfo.php?workbook=16_15.xlsx&amp;sheet=A0&amp;row=1480&amp;col=20&amp;number=&amp;sourceID=57","")</f>
        <v/>
      </c>
      <c r="U1480" s="4" t="str">
        <f>HYPERLINK("http://141.218.60.56/~jnz1568/getInfo.php?workbook=16_15.xlsx&amp;sheet=A0&amp;row=1480&amp;col=21&amp;number=&amp;sourceID=47","")</f>
        <v/>
      </c>
      <c r="V1480" s="4" t="str">
        <f>HYPERLINK("http://141.218.60.56/~jnz1568/getInfo.php?workbook=16_15.xlsx&amp;sheet=A0&amp;row=1480&amp;col=22&amp;number=&amp;sourceID=47","")</f>
        <v/>
      </c>
    </row>
    <row r="1481" spans="1:22">
      <c r="A1481" s="3">
        <v>16</v>
      </c>
      <c r="B1481" s="3">
        <v>15</v>
      </c>
      <c r="C1481" s="3">
        <v>62</v>
      </c>
      <c r="D1481" s="3">
        <v>24</v>
      </c>
      <c r="E1481" s="3">
        <f>((1/(INDEX(E0!J$4:J$73,C1481,1)-INDEX(E0!J$4:J$73,D1481,1))))*100000000</f>
        <v>0</v>
      </c>
      <c r="F1481" s="4" t="str">
        <f>HYPERLINK("http://141.218.60.56/~jnz1568/getInfo.php?workbook=16_15.xlsx&amp;sheet=A0&amp;row=1481&amp;col=6&amp;number=&amp;sourceID=54","")</f>
        <v/>
      </c>
      <c r="G1481" s="4" t="str">
        <f>HYPERLINK("http://141.218.60.56/~jnz1568/getInfo.php?workbook=16_15.xlsx&amp;sheet=A0&amp;row=1481&amp;col=7&amp;number=0.010108&amp;sourceID=54","0.010108")</f>
        <v>0.010108</v>
      </c>
      <c r="H1481" s="4" t="str">
        <f>HYPERLINK("http://141.218.60.56/~jnz1568/getInfo.php?workbook=16_15.xlsx&amp;sheet=A0&amp;row=1481&amp;col=8&amp;number=0.019773&amp;sourceID=54","0.019773")</f>
        <v>0.019773</v>
      </c>
      <c r="I1481" s="4" t="str">
        <f>HYPERLINK("http://141.218.60.56/~jnz1568/getInfo.php?workbook=16_15.xlsx&amp;sheet=A0&amp;row=1481&amp;col=9&amp;number=&amp;sourceID=54","")</f>
        <v/>
      </c>
      <c r="J1481" s="4" t="str">
        <f>HYPERLINK("http://141.218.60.56/~jnz1568/getInfo.php?workbook=16_15.xlsx&amp;sheet=A0&amp;row=1481&amp;col=10&amp;number=0.018749&amp;sourceID=54","0.018749")</f>
        <v>0.018749</v>
      </c>
      <c r="K1481" s="4" t="str">
        <f>HYPERLINK("http://141.218.60.56/~jnz1568/getInfo.php?workbook=16_15.xlsx&amp;sheet=A0&amp;row=1481&amp;col=11&amp;number=0.028702&amp;sourceID=54","0.028702")</f>
        <v>0.028702</v>
      </c>
      <c r="L1481" s="4" t="str">
        <f>HYPERLINK("http://141.218.60.56/~jnz1568/getInfo.php?workbook=16_15.xlsx&amp;sheet=A0&amp;row=1481&amp;col=12&amp;number=&amp;sourceID=53","")</f>
        <v/>
      </c>
      <c r="M1481" s="4" t="str">
        <f>HYPERLINK("http://141.218.60.56/~jnz1568/getInfo.php?workbook=16_15.xlsx&amp;sheet=A0&amp;row=1481&amp;col=13&amp;number=&amp;sourceID=53","")</f>
        <v/>
      </c>
      <c r="N1481" s="4" t="str">
        <f>HYPERLINK("http://141.218.60.56/~jnz1568/getInfo.php?workbook=16_15.xlsx&amp;sheet=A0&amp;row=1481&amp;col=14&amp;number=&amp;sourceID=53","")</f>
        <v/>
      </c>
      <c r="O1481" s="4" t="str">
        <f>HYPERLINK("http://141.218.60.56/~jnz1568/getInfo.php?workbook=16_15.xlsx&amp;sheet=A0&amp;row=1481&amp;col=15&amp;number=&amp;sourceID=55","")</f>
        <v/>
      </c>
      <c r="P1481" s="4" t="str">
        <f>HYPERLINK("http://141.218.60.56/~jnz1568/getInfo.php?workbook=16_15.xlsx&amp;sheet=A0&amp;row=1481&amp;col=16&amp;number=&amp;sourceID=55","")</f>
        <v/>
      </c>
      <c r="Q1481" s="4" t="str">
        <f>HYPERLINK("http://141.218.60.56/~jnz1568/getInfo.php?workbook=16_15.xlsx&amp;sheet=A0&amp;row=1481&amp;col=17&amp;number=&amp;sourceID=56","")</f>
        <v/>
      </c>
      <c r="R1481" s="4" t="str">
        <f>HYPERLINK("http://141.218.60.56/~jnz1568/getInfo.php?workbook=16_15.xlsx&amp;sheet=A0&amp;row=1481&amp;col=18&amp;number=&amp;sourceID=56","")</f>
        <v/>
      </c>
      <c r="S1481" s="4" t="str">
        <f>HYPERLINK("http://141.218.60.56/~jnz1568/getInfo.php?workbook=16_15.xlsx&amp;sheet=A0&amp;row=1481&amp;col=19&amp;number=&amp;sourceID=57","")</f>
        <v/>
      </c>
      <c r="T1481" s="4" t="str">
        <f>HYPERLINK("http://141.218.60.56/~jnz1568/getInfo.php?workbook=16_15.xlsx&amp;sheet=A0&amp;row=1481&amp;col=20&amp;number=&amp;sourceID=57","")</f>
        <v/>
      </c>
      <c r="U1481" s="4" t="str">
        <f>HYPERLINK("http://141.218.60.56/~jnz1568/getInfo.php?workbook=16_15.xlsx&amp;sheet=A0&amp;row=1481&amp;col=21&amp;number=&amp;sourceID=47","")</f>
        <v/>
      </c>
      <c r="V1481" s="4" t="str">
        <f>HYPERLINK("http://141.218.60.56/~jnz1568/getInfo.php?workbook=16_15.xlsx&amp;sheet=A0&amp;row=1481&amp;col=22&amp;number=&amp;sourceID=47","")</f>
        <v/>
      </c>
    </row>
    <row r="1482" spans="1:22">
      <c r="A1482" s="3">
        <v>16</v>
      </c>
      <c r="B1482" s="3">
        <v>15</v>
      </c>
      <c r="C1482" s="3">
        <v>62</v>
      </c>
      <c r="D1482" s="3">
        <v>25</v>
      </c>
      <c r="E1482" s="3">
        <f>((1/(INDEX(E0!J$4:J$73,C1482,1)-INDEX(E0!J$4:J$73,D1482,1))))*100000000</f>
        <v>0</v>
      </c>
      <c r="F1482" s="4" t="str">
        <f>HYPERLINK("http://141.218.60.56/~jnz1568/getInfo.php?workbook=16_15.xlsx&amp;sheet=A0&amp;row=1482&amp;col=6&amp;number=&amp;sourceID=54","")</f>
        <v/>
      </c>
      <c r="G1482" s="4" t="str">
        <f>HYPERLINK("http://141.218.60.56/~jnz1568/getInfo.php?workbook=16_15.xlsx&amp;sheet=A0&amp;row=1482&amp;col=7&amp;number=0.085029&amp;sourceID=54","0.085029")</f>
        <v>0.085029</v>
      </c>
      <c r="H1482" s="4" t="str">
        <f>HYPERLINK("http://141.218.60.56/~jnz1568/getInfo.php?workbook=16_15.xlsx&amp;sheet=A0&amp;row=1482&amp;col=8&amp;number=0.095687&amp;sourceID=54","0.095687")</f>
        <v>0.095687</v>
      </c>
      <c r="I1482" s="4" t="str">
        <f>HYPERLINK("http://141.218.60.56/~jnz1568/getInfo.php?workbook=16_15.xlsx&amp;sheet=A0&amp;row=1482&amp;col=9&amp;number=&amp;sourceID=54","")</f>
        <v/>
      </c>
      <c r="J1482" s="4" t="str">
        <f>HYPERLINK("http://141.218.60.56/~jnz1568/getInfo.php?workbook=16_15.xlsx&amp;sheet=A0&amp;row=1482&amp;col=10&amp;number=0.12662&amp;sourceID=54","0.12662")</f>
        <v>0.12662</v>
      </c>
      <c r="K1482" s="4" t="str">
        <f>HYPERLINK("http://141.218.60.56/~jnz1568/getInfo.php?workbook=16_15.xlsx&amp;sheet=A0&amp;row=1482&amp;col=11&amp;number=0.090838&amp;sourceID=54","0.090838")</f>
        <v>0.090838</v>
      </c>
      <c r="L1482" s="4" t="str">
        <f>HYPERLINK("http://141.218.60.56/~jnz1568/getInfo.php?workbook=16_15.xlsx&amp;sheet=A0&amp;row=1482&amp;col=12&amp;number=&amp;sourceID=53","")</f>
        <v/>
      </c>
      <c r="M1482" s="4" t="str">
        <f>HYPERLINK("http://141.218.60.56/~jnz1568/getInfo.php?workbook=16_15.xlsx&amp;sheet=A0&amp;row=1482&amp;col=13&amp;number=&amp;sourceID=53","")</f>
        <v/>
      </c>
      <c r="N1482" s="4" t="str">
        <f>HYPERLINK("http://141.218.60.56/~jnz1568/getInfo.php?workbook=16_15.xlsx&amp;sheet=A0&amp;row=1482&amp;col=14&amp;number=&amp;sourceID=53","")</f>
        <v/>
      </c>
      <c r="O1482" s="4" t="str">
        <f>HYPERLINK("http://141.218.60.56/~jnz1568/getInfo.php?workbook=16_15.xlsx&amp;sheet=A0&amp;row=1482&amp;col=15&amp;number=&amp;sourceID=55","")</f>
        <v/>
      </c>
      <c r="P1482" s="4" t="str">
        <f>HYPERLINK("http://141.218.60.56/~jnz1568/getInfo.php?workbook=16_15.xlsx&amp;sheet=A0&amp;row=1482&amp;col=16&amp;number=&amp;sourceID=55","")</f>
        <v/>
      </c>
      <c r="Q1482" s="4" t="str">
        <f>HYPERLINK("http://141.218.60.56/~jnz1568/getInfo.php?workbook=16_15.xlsx&amp;sheet=A0&amp;row=1482&amp;col=17&amp;number=&amp;sourceID=56","")</f>
        <v/>
      </c>
      <c r="R1482" s="4" t="str">
        <f>HYPERLINK("http://141.218.60.56/~jnz1568/getInfo.php?workbook=16_15.xlsx&amp;sheet=A0&amp;row=1482&amp;col=18&amp;number=&amp;sourceID=56","")</f>
        <v/>
      </c>
      <c r="S1482" s="4" t="str">
        <f>HYPERLINK("http://141.218.60.56/~jnz1568/getInfo.php?workbook=16_15.xlsx&amp;sheet=A0&amp;row=1482&amp;col=19&amp;number=&amp;sourceID=57","")</f>
        <v/>
      </c>
      <c r="T1482" s="4" t="str">
        <f>HYPERLINK("http://141.218.60.56/~jnz1568/getInfo.php?workbook=16_15.xlsx&amp;sheet=A0&amp;row=1482&amp;col=20&amp;number=&amp;sourceID=57","")</f>
        <v/>
      </c>
      <c r="U1482" s="4" t="str">
        <f>HYPERLINK("http://141.218.60.56/~jnz1568/getInfo.php?workbook=16_15.xlsx&amp;sheet=A0&amp;row=1482&amp;col=21&amp;number=&amp;sourceID=47","")</f>
        <v/>
      </c>
      <c r="V1482" s="4" t="str">
        <f>HYPERLINK("http://141.218.60.56/~jnz1568/getInfo.php?workbook=16_15.xlsx&amp;sheet=A0&amp;row=1482&amp;col=22&amp;number=&amp;sourceID=47","")</f>
        <v/>
      </c>
    </row>
    <row r="1483" spans="1:22">
      <c r="A1483" s="3">
        <v>16</v>
      </c>
      <c r="B1483" s="3">
        <v>15</v>
      </c>
      <c r="C1483" s="3">
        <v>62</v>
      </c>
      <c r="D1483" s="3">
        <v>26</v>
      </c>
      <c r="E1483" s="3">
        <f>((1/(INDEX(E0!J$4:J$73,C1483,1)-INDEX(E0!J$4:J$73,D1483,1))))*100000000</f>
        <v>0</v>
      </c>
      <c r="F1483" s="4" t="str">
        <f>HYPERLINK("http://141.218.60.56/~jnz1568/getInfo.php?workbook=16_15.xlsx&amp;sheet=A0&amp;row=1483&amp;col=6&amp;number=&amp;sourceID=54","")</f>
        <v/>
      </c>
      <c r="G1483" s="4" t="str">
        <f>HYPERLINK("http://141.218.60.56/~jnz1568/getInfo.php?workbook=16_15.xlsx&amp;sheet=A0&amp;row=1483&amp;col=7&amp;number=0.39142&amp;sourceID=54","0.39142")</f>
        <v>0.39142</v>
      </c>
      <c r="H1483" s="4" t="str">
        <f>HYPERLINK("http://141.218.60.56/~jnz1568/getInfo.php?workbook=16_15.xlsx&amp;sheet=A0&amp;row=1483&amp;col=8&amp;number=0.006786&amp;sourceID=54","0.006786")</f>
        <v>0.006786</v>
      </c>
      <c r="I1483" s="4" t="str">
        <f>HYPERLINK("http://141.218.60.56/~jnz1568/getInfo.php?workbook=16_15.xlsx&amp;sheet=A0&amp;row=1483&amp;col=9&amp;number=&amp;sourceID=54","")</f>
        <v/>
      </c>
      <c r="J1483" s="4" t="str">
        <f>HYPERLINK("http://141.218.60.56/~jnz1568/getInfo.php?workbook=16_15.xlsx&amp;sheet=A0&amp;row=1483&amp;col=10&amp;number=0.32452&amp;sourceID=54","0.32452")</f>
        <v>0.32452</v>
      </c>
      <c r="K1483" s="4" t="str">
        <f>HYPERLINK("http://141.218.60.56/~jnz1568/getInfo.php?workbook=16_15.xlsx&amp;sheet=A0&amp;row=1483&amp;col=11&amp;number=0.0094091&amp;sourceID=54","0.0094091")</f>
        <v>0.0094091</v>
      </c>
      <c r="L1483" s="4" t="str">
        <f>HYPERLINK("http://141.218.60.56/~jnz1568/getInfo.php?workbook=16_15.xlsx&amp;sheet=A0&amp;row=1483&amp;col=12&amp;number=&amp;sourceID=53","")</f>
        <v/>
      </c>
      <c r="M1483" s="4" t="str">
        <f>HYPERLINK("http://141.218.60.56/~jnz1568/getInfo.php?workbook=16_15.xlsx&amp;sheet=A0&amp;row=1483&amp;col=13&amp;number=&amp;sourceID=53","")</f>
        <v/>
      </c>
      <c r="N1483" s="4" t="str">
        <f>HYPERLINK("http://141.218.60.56/~jnz1568/getInfo.php?workbook=16_15.xlsx&amp;sheet=A0&amp;row=1483&amp;col=14&amp;number=&amp;sourceID=53","")</f>
        <v/>
      </c>
      <c r="O1483" s="4" t="str">
        <f>HYPERLINK("http://141.218.60.56/~jnz1568/getInfo.php?workbook=16_15.xlsx&amp;sheet=A0&amp;row=1483&amp;col=15&amp;number=&amp;sourceID=55","")</f>
        <v/>
      </c>
      <c r="P1483" s="4" t="str">
        <f>HYPERLINK("http://141.218.60.56/~jnz1568/getInfo.php?workbook=16_15.xlsx&amp;sheet=A0&amp;row=1483&amp;col=16&amp;number=&amp;sourceID=55","")</f>
        <v/>
      </c>
      <c r="Q1483" s="4" t="str">
        <f>HYPERLINK("http://141.218.60.56/~jnz1568/getInfo.php?workbook=16_15.xlsx&amp;sheet=A0&amp;row=1483&amp;col=17&amp;number=&amp;sourceID=56","")</f>
        <v/>
      </c>
      <c r="R1483" s="4" t="str">
        <f>HYPERLINK("http://141.218.60.56/~jnz1568/getInfo.php?workbook=16_15.xlsx&amp;sheet=A0&amp;row=1483&amp;col=18&amp;number=&amp;sourceID=56","")</f>
        <v/>
      </c>
      <c r="S1483" s="4" t="str">
        <f>HYPERLINK("http://141.218.60.56/~jnz1568/getInfo.php?workbook=16_15.xlsx&amp;sheet=A0&amp;row=1483&amp;col=19&amp;number=&amp;sourceID=57","")</f>
        <v/>
      </c>
      <c r="T1483" s="4" t="str">
        <f>HYPERLINK("http://141.218.60.56/~jnz1568/getInfo.php?workbook=16_15.xlsx&amp;sheet=A0&amp;row=1483&amp;col=20&amp;number=&amp;sourceID=57","")</f>
        <v/>
      </c>
      <c r="U1483" s="4" t="str">
        <f>HYPERLINK("http://141.218.60.56/~jnz1568/getInfo.php?workbook=16_15.xlsx&amp;sheet=A0&amp;row=1483&amp;col=21&amp;number=&amp;sourceID=47","")</f>
        <v/>
      </c>
      <c r="V1483" s="4" t="str">
        <f>HYPERLINK("http://141.218.60.56/~jnz1568/getInfo.php?workbook=16_15.xlsx&amp;sheet=A0&amp;row=1483&amp;col=22&amp;number=&amp;sourceID=47","")</f>
        <v/>
      </c>
    </row>
    <row r="1484" spans="1:22">
      <c r="A1484" s="3">
        <v>16</v>
      </c>
      <c r="B1484" s="3">
        <v>15</v>
      </c>
      <c r="C1484" s="3">
        <v>62</v>
      </c>
      <c r="D1484" s="3">
        <v>27</v>
      </c>
      <c r="E1484" s="3">
        <f>((1/(INDEX(E0!J$4:J$73,C1484,1)-INDEX(E0!J$4:J$73,D1484,1))))*100000000</f>
        <v>0</v>
      </c>
      <c r="F1484" s="4" t="str">
        <f>HYPERLINK("http://141.218.60.56/~jnz1568/getInfo.php?workbook=16_15.xlsx&amp;sheet=A0&amp;row=1484&amp;col=6&amp;number=&amp;sourceID=54","")</f>
        <v/>
      </c>
      <c r="G1484" s="4" t="str">
        <f>HYPERLINK("http://141.218.60.56/~jnz1568/getInfo.php?workbook=16_15.xlsx&amp;sheet=A0&amp;row=1484&amp;col=7&amp;number=1.7043&amp;sourceID=54","1.7043")</f>
        <v>1.7043</v>
      </c>
      <c r="H1484" s="4" t="str">
        <f>HYPERLINK("http://141.218.60.56/~jnz1568/getInfo.php?workbook=16_15.xlsx&amp;sheet=A0&amp;row=1484&amp;col=8&amp;number=0.0002755&amp;sourceID=54","0.0002755")</f>
        <v>0.0002755</v>
      </c>
      <c r="I1484" s="4" t="str">
        <f>HYPERLINK("http://141.218.60.56/~jnz1568/getInfo.php?workbook=16_15.xlsx&amp;sheet=A0&amp;row=1484&amp;col=9&amp;number=&amp;sourceID=54","")</f>
        <v/>
      </c>
      <c r="J1484" s="4" t="str">
        <f>HYPERLINK("http://141.218.60.56/~jnz1568/getInfo.php?workbook=16_15.xlsx&amp;sheet=A0&amp;row=1484&amp;col=10&amp;number=1.4362&amp;sourceID=54","1.4362")</f>
        <v>1.4362</v>
      </c>
      <c r="K1484" s="4" t="str">
        <f>HYPERLINK("http://141.218.60.56/~jnz1568/getInfo.php?workbook=16_15.xlsx&amp;sheet=A0&amp;row=1484&amp;col=11&amp;number=0.001494&amp;sourceID=54","0.001494")</f>
        <v>0.001494</v>
      </c>
      <c r="L1484" s="4" t="str">
        <f>HYPERLINK("http://141.218.60.56/~jnz1568/getInfo.php?workbook=16_15.xlsx&amp;sheet=A0&amp;row=1484&amp;col=12&amp;number=&amp;sourceID=53","")</f>
        <v/>
      </c>
      <c r="M1484" s="4" t="str">
        <f>HYPERLINK("http://141.218.60.56/~jnz1568/getInfo.php?workbook=16_15.xlsx&amp;sheet=A0&amp;row=1484&amp;col=13&amp;number=&amp;sourceID=53","")</f>
        <v/>
      </c>
      <c r="N1484" s="4" t="str">
        <f>HYPERLINK("http://141.218.60.56/~jnz1568/getInfo.php?workbook=16_15.xlsx&amp;sheet=A0&amp;row=1484&amp;col=14&amp;number=&amp;sourceID=53","")</f>
        <v/>
      </c>
      <c r="O1484" s="4" t="str">
        <f>HYPERLINK("http://141.218.60.56/~jnz1568/getInfo.php?workbook=16_15.xlsx&amp;sheet=A0&amp;row=1484&amp;col=15&amp;number=&amp;sourceID=55","")</f>
        <v/>
      </c>
      <c r="P1484" s="4" t="str">
        <f>HYPERLINK("http://141.218.60.56/~jnz1568/getInfo.php?workbook=16_15.xlsx&amp;sheet=A0&amp;row=1484&amp;col=16&amp;number=&amp;sourceID=55","")</f>
        <v/>
      </c>
      <c r="Q1484" s="4" t="str">
        <f>HYPERLINK("http://141.218.60.56/~jnz1568/getInfo.php?workbook=16_15.xlsx&amp;sheet=A0&amp;row=1484&amp;col=17&amp;number=&amp;sourceID=56","")</f>
        <v/>
      </c>
      <c r="R1484" s="4" t="str">
        <f>HYPERLINK("http://141.218.60.56/~jnz1568/getInfo.php?workbook=16_15.xlsx&amp;sheet=A0&amp;row=1484&amp;col=18&amp;number=&amp;sourceID=56","")</f>
        <v/>
      </c>
      <c r="S1484" s="4" t="str">
        <f>HYPERLINK("http://141.218.60.56/~jnz1568/getInfo.php?workbook=16_15.xlsx&amp;sheet=A0&amp;row=1484&amp;col=19&amp;number=&amp;sourceID=57","")</f>
        <v/>
      </c>
      <c r="T1484" s="4" t="str">
        <f>HYPERLINK("http://141.218.60.56/~jnz1568/getInfo.php?workbook=16_15.xlsx&amp;sheet=A0&amp;row=1484&amp;col=20&amp;number=&amp;sourceID=57","")</f>
        <v/>
      </c>
      <c r="U1484" s="4" t="str">
        <f>HYPERLINK("http://141.218.60.56/~jnz1568/getInfo.php?workbook=16_15.xlsx&amp;sheet=A0&amp;row=1484&amp;col=21&amp;number=&amp;sourceID=47","")</f>
        <v/>
      </c>
      <c r="V1484" s="4" t="str">
        <f>HYPERLINK("http://141.218.60.56/~jnz1568/getInfo.php?workbook=16_15.xlsx&amp;sheet=A0&amp;row=1484&amp;col=22&amp;number=&amp;sourceID=47","")</f>
        <v/>
      </c>
    </row>
    <row r="1485" spans="1:22">
      <c r="A1485" s="3">
        <v>16</v>
      </c>
      <c r="B1485" s="3">
        <v>15</v>
      </c>
      <c r="C1485" s="3">
        <v>62</v>
      </c>
      <c r="D1485" s="3">
        <v>28</v>
      </c>
      <c r="E1485" s="3">
        <f>((1/(INDEX(E0!J$4:J$73,C1485,1)-INDEX(E0!J$4:J$73,D1485,1))))*100000000</f>
        <v>0</v>
      </c>
      <c r="F1485" s="4" t="str">
        <f>HYPERLINK("http://141.218.60.56/~jnz1568/getInfo.php?workbook=16_15.xlsx&amp;sheet=A0&amp;row=1485&amp;col=6&amp;number=&amp;sourceID=54","")</f>
        <v/>
      </c>
      <c r="G1485" s="4" t="str">
        <f>HYPERLINK("http://141.218.60.56/~jnz1568/getInfo.php?workbook=16_15.xlsx&amp;sheet=A0&amp;row=1485&amp;col=7&amp;number=4.3233&amp;sourceID=54","4.3233")</f>
        <v>4.3233</v>
      </c>
      <c r="H1485" s="4" t="str">
        <f>HYPERLINK("http://141.218.60.56/~jnz1568/getInfo.php?workbook=16_15.xlsx&amp;sheet=A0&amp;row=1485&amp;col=8&amp;number=&amp;sourceID=54","")</f>
        <v/>
      </c>
      <c r="I1485" s="4" t="str">
        <f>HYPERLINK("http://141.218.60.56/~jnz1568/getInfo.php?workbook=16_15.xlsx&amp;sheet=A0&amp;row=1485&amp;col=9&amp;number=&amp;sourceID=54","")</f>
        <v/>
      </c>
      <c r="J1485" s="4" t="str">
        <f>HYPERLINK("http://141.218.60.56/~jnz1568/getInfo.php?workbook=16_15.xlsx&amp;sheet=A0&amp;row=1485&amp;col=10&amp;number=3.3591&amp;sourceID=54","3.3591")</f>
        <v>3.3591</v>
      </c>
      <c r="K1485" s="4" t="str">
        <f>HYPERLINK("http://141.218.60.56/~jnz1568/getInfo.php?workbook=16_15.xlsx&amp;sheet=A0&amp;row=1485&amp;col=11&amp;number=&amp;sourceID=54","")</f>
        <v/>
      </c>
      <c r="L1485" s="4" t="str">
        <f>HYPERLINK("http://141.218.60.56/~jnz1568/getInfo.php?workbook=16_15.xlsx&amp;sheet=A0&amp;row=1485&amp;col=12&amp;number=&amp;sourceID=53","")</f>
        <v/>
      </c>
      <c r="M1485" s="4" t="str">
        <f>HYPERLINK("http://141.218.60.56/~jnz1568/getInfo.php?workbook=16_15.xlsx&amp;sheet=A0&amp;row=1485&amp;col=13&amp;number=&amp;sourceID=53","")</f>
        <v/>
      </c>
      <c r="N1485" s="4" t="str">
        <f>HYPERLINK("http://141.218.60.56/~jnz1568/getInfo.php?workbook=16_15.xlsx&amp;sheet=A0&amp;row=1485&amp;col=14&amp;number=&amp;sourceID=53","")</f>
        <v/>
      </c>
      <c r="O1485" s="4" t="str">
        <f>HYPERLINK("http://141.218.60.56/~jnz1568/getInfo.php?workbook=16_15.xlsx&amp;sheet=A0&amp;row=1485&amp;col=15&amp;number=&amp;sourceID=55","")</f>
        <v/>
      </c>
      <c r="P1485" s="4" t="str">
        <f>HYPERLINK("http://141.218.60.56/~jnz1568/getInfo.php?workbook=16_15.xlsx&amp;sheet=A0&amp;row=1485&amp;col=16&amp;number=&amp;sourceID=55","")</f>
        <v/>
      </c>
      <c r="Q1485" s="4" t="str">
        <f>HYPERLINK("http://141.218.60.56/~jnz1568/getInfo.php?workbook=16_15.xlsx&amp;sheet=A0&amp;row=1485&amp;col=17&amp;number=&amp;sourceID=56","")</f>
        <v/>
      </c>
      <c r="R1485" s="4" t="str">
        <f>HYPERLINK("http://141.218.60.56/~jnz1568/getInfo.php?workbook=16_15.xlsx&amp;sheet=A0&amp;row=1485&amp;col=18&amp;number=&amp;sourceID=56","")</f>
        <v/>
      </c>
      <c r="S1485" s="4" t="str">
        <f>HYPERLINK("http://141.218.60.56/~jnz1568/getInfo.php?workbook=16_15.xlsx&amp;sheet=A0&amp;row=1485&amp;col=19&amp;number=&amp;sourceID=57","")</f>
        <v/>
      </c>
      <c r="T1485" s="4" t="str">
        <f>HYPERLINK("http://141.218.60.56/~jnz1568/getInfo.php?workbook=16_15.xlsx&amp;sheet=A0&amp;row=1485&amp;col=20&amp;number=&amp;sourceID=57","")</f>
        <v/>
      </c>
      <c r="U1485" s="4" t="str">
        <f>HYPERLINK("http://141.218.60.56/~jnz1568/getInfo.php?workbook=16_15.xlsx&amp;sheet=A0&amp;row=1485&amp;col=21&amp;number=&amp;sourceID=47","")</f>
        <v/>
      </c>
      <c r="V1485" s="4" t="str">
        <f>HYPERLINK("http://141.218.60.56/~jnz1568/getInfo.php?workbook=16_15.xlsx&amp;sheet=A0&amp;row=1485&amp;col=22&amp;number=&amp;sourceID=47","")</f>
        <v/>
      </c>
    </row>
    <row r="1486" spans="1:22">
      <c r="A1486" s="3">
        <v>16</v>
      </c>
      <c r="B1486" s="3">
        <v>15</v>
      </c>
      <c r="C1486" s="3">
        <v>62</v>
      </c>
      <c r="D1486" s="3">
        <v>29</v>
      </c>
      <c r="E1486" s="3">
        <f>((1/(INDEX(E0!J$4:J$73,C1486,1)-INDEX(E0!J$4:J$73,D1486,1))))*100000000</f>
        <v>0</v>
      </c>
      <c r="F1486" s="4" t="str">
        <f>HYPERLINK("http://141.218.60.56/~jnz1568/getInfo.php?workbook=16_15.xlsx&amp;sheet=A0&amp;row=1486&amp;col=6&amp;number=&amp;sourceID=54","")</f>
        <v/>
      </c>
      <c r="G1486" s="4" t="str">
        <f>HYPERLINK("http://141.218.60.56/~jnz1568/getInfo.php?workbook=16_15.xlsx&amp;sheet=A0&amp;row=1486&amp;col=7&amp;number=7.3854&amp;sourceID=54","7.3854")</f>
        <v>7.3854</v>
      </c>
      <c r="H1486" s="4" t="str">
        <f>HYPERLINK("http://141.218.60.56/~jnz1568/getInfo.php?workbook=16_15.xlsx&amp;sheet=A0&amp;row=1486&amp;col=8&amp;number=2.0054e-05&amp;sourceID=54","2.0054e-05")</f>
        <v>2.0054e-05</v>
      </c>
      <c r="I1486" s="4" t="str">
        <f>HYPERLINK("http://141.218.60.56/~jnz1568/getInfo.php?workbook=16_15.xlsx&amp;sheet=A0&amp;row=1486&amp;col=9&amp;number=&amp;sourceID=54","")</f>
        <v/>
      </c>
      <c r="J1486" s="4" t="str">
        <f>HYPERLINK("http://141.218.60.56/~jnz1568/getInfo.php?workbook=16_15.xlsx&amp;sheet=A0&amp;row=1486&amp;col=10&amp;number=5.7329&amp;sourceID=54","5.7329")</f>
        <v>5.7329</v>
      </c>
      <c r="K1486" s="4" t="str">
        <f>HYPERLINK("http://141.218.60.56/~jnz1568/getInfo.php?workbook=16_15.xlsx&amp;sheet=A0&amp;row=1486&amp;col=11&amp;number=1.7281e-05&amp;sourceID=54","1.7281e-05")</f>
        <v>1.7281e-05</v>
      </c>
      <c r="L1486" s="4" t="str">
        <f>HYPERLINK("http://141.218.60.56/~jnz1568/getInfo.php?workbook=16_15.xlsx&amp;sheet=A0&amp;row=1486&amp;col=12&amp;number=&amp;sourceID=53","")</f>
        <v/>
      </c>
      <c r="M1486" s="4" t="str">
        <f>HYPERLINK("http://141.218.60.56/~jnz1568/getInfo.php?workbook=16_15.xlsx&amp;sheet=A0&amp;row=1486&amp;col=13&amp;number=&amp;sourceID=53","")</f>
        <v/>
      </c>
      <c r="N1486" s="4" t="str">
        <f>HYPERLINK("http://141.218.60.56/~jnz1568/getInfo.php?workbook=16_15.xlsx&amp;sheet=A0&amp;row=1486&amp;col=14&amp;number=&amp;sourceID=53","")</f>
        <v/>
      </c>
      <c r="O1486" s="4" t="str">
        <f>HYPERLINK("http://141.218.60.56/~jnz1568/getInfo.php?workbook=16_15.xlsx&amp;sheet=A0&amp;row=1486&amp;col=15&amp;number=&amp;sourceID=55","")</f>
        <v/>
      </c>
      <c r="P1486" s="4" t="str">
        <f>HYPERLINK("http://141.218.60.56/~jnz1568/getInfo.php?workbook=16_15.xlsx&amp;sheet=A0&amp;row=1486&amp;col=16&amp;number=&amp;sourceID=55","")</f>
        <v/>
      </c>
      <c r="Q1486" s="4" t="str">
        <f>HYPERLINK("http://141.218.60.56/~jnz1568/getInfo.php?workbook=16_15.xlsx&amp;sheet=A0&amp;row=1486&amp;col=17&amp;number=&amp;sourceID=56","")</f>
        <v/>
      </c>
      <c r="R1486" s="4" t="str">
        <f>HYPERLINK("http://141.218.60.56/~jnz1568/getInfo.php?workbook=16_15.xlsx&amp;sheet=A0&amp;row=1486&amp;col=18&amp;number=&amp;sourceID=56","")</f>
        <v/>
      </c>
      <c r="S1486" s="4" t="str">
        <f>HYPERLINK("http://141.218.60.56/~jnz1568/getInfo.php?workbook=16_15.xlsx&amp;sheet=A0&amp;row=1486&amp;col=19&amp;number=&amp;sourceID=57","")</f>
        <v/>
      </c>
      <c r="T1486" s="4" t="str">
        <f>HYPERLINK("http://141.218.60.56/~jnz1568/getInfo.php?workbook=16_15.xlsx&amp;sheet=A0&amp;row=1486&amp;col=20&amp;number=&amp;sourceID=57","")</f>
        <v/>
      </c>
      <c r="U1486" s="4" t="str">
        <f>HYPERLINK("http://141.218.60.56/~jnz1568/getInfo.php?workbook=16_15.xlsx&amp;sheet=A0&amp;row=1486&amp;col=21&amp;number=&amp;sourceID=47","")</f>
        <v/>
      </c>
      <c r="V1486" s="4" t="str">
        <f>HYPERLINK("http://141.218.60.56/~jnz1568/getInfo.php?workbook=16_15.xlsx&amp;sheet=A0&amp;row=1486&amp;col=22&amp;number=&amp;sourceID=47","")</f>
        <v/>
      </c>
    </row>
    <row r="1487" spans="1:22">
      <c r="A1487" s="3">
        <v>16</v>
      </c>
      <c r="B1487" s="3">
        <v>15</v>
      </c>
      <c r="C1487" s="3">
        <v>62</v>
      </c>
      <c r="D1487" s="3">
        <v>30</v>
      </c>
      <c r="E1487" s="3">
        <f>((1/(INDEX(E0!J$4:J$73,C1487,1)-INDEX(E0!J$4:J$73,D1487,1))))*100000000</f>
        <v>0</v>
      </c>
      <c r="F1487" s="4" t="str">
        <f>HYPERLINK("http://141.218.60.56/~jnz1568/getInfo.php?workbook=16_15.xlsx&amp;sheet=A0&amp;row=1487&amp;col=6&amp;number=&amp;sourceID=54","")</f>
        <v/>
      </c>
      <c r="G1487" s="4" t="str">
        <f>HYPERLINK("http://141.218.60.56/~jnz1568/getInfo.php?workbook=16_15.xlsx&amp;sheet=A0&amp;row=1487&amp;col=7&amp;number=33.804&amp;sourceID=54","33.804")</f>
        <v>33.804</v>
      </c>
      <c r="H1487" s="4" t="str">
        <f>HYPERLINK("http://141.218.60.56/~jnz1568/getInfo.php?workbook=16_15.xlsx&amp;sheet=A0&amp;row=1487&amp;col=8&amp;number=2.9973e-07&amp;sourceID=54","2.9973e-07")</f>
        <v>2.9973e-07</v>
      </c>
      <c r="I1487" s="4" t="str">
        <f>HYPERLINK("http://141.218.60.56/~jnz1568/getInfo.php?workbook=16_15.xlsx&amp;sheet=A0&amp;row=1487&amp;col=9&amp;number=&amp;sourceID=54","")</f>
        <v/>
      </c>
      <c r="J1487" s="4" t="str">
        <f>HYPERLINK("http://141.218.60.56/~jnz1568/getInfo.php?workbook=16_15.xlsx&amp;sheet=A0&amp;row=1487&amp;col=10&amp;number=26.008&amp;sourceID=54","26.008")</f>
        <v>26.008</v>
      </c>
      <c r="K1487" s="4" t="str">
        <f>HYPERLINK("http://141.218.60.56/~jnz1568/getInfo.php?workbook=16_15.xlsx&amp;sheet=A0&amp;row=1487&amp;col=11&amp;number=1.7286e-07&amp;sourceID=54","1.7286e-07")</f>
        <v>1.7286e-07</v>
      </c>
      <c r="L1487" s="4" t="str">
        <f>HYPERLINK("http://141.218.60.56/~jnz1568/getInfo.php?workbook=16_15.xlsx&amp;sheet=A0&amp;row=1487&amp;col=12&amp;number=&amp;sourceID=53","")</f>
        <v/>
      </c>
      <c r="M1487" s="4" t="str">
        <f>HYPERLINK("http://141.218.60.56/~jnz1568/getInfo.php?workbook=16_15.xlsx&amp;sheet=A0&amp;row=1487&amp;col=13&amp;number=&amp;sourceID=53","")</f>
        <v/>
      </c>
      <c r="N1487" s="4" t="str">
        <f>HYPERLINK("http://141.218.60.56/~jnz1568/getInfo.php?workbook=16_15.xlsx&amp;sheet=A0&amp;row=1487&amp;col=14&amp;number=&amp;sourceID=53","")</f>
        <v/>
      </c>
      <c r="O1487" s="4" t="str">
        <f>HYPERLINK("http://141.218.60.56/~jnz1568/getInfo.php?workbook=16_15.xlsx&amp;sheet=A0&amp;row=1487&amp;col=15&amp;number=&amp;sourceID=55","")</f>
        <v/>
      </c>
      <c r="P1487" s="4" t="str">
        <f>HYPERLINK("http://141.218.60.56/~jnz1568/getInfo.php?workbook=16_15.xlsx&amp;sheet=A0&amp;row=1487&amp;col=16&amp;number=&amp;sourceID=55","")</f>
        <v/>
      </c>
      <c r="Q1487" s="4" t="str">
        <f>HYPERLINK("http://141.218.60.56/~jnz1568/getInfo.php?workbook=16_15.xlsx&amp;sheet=A0&amp;row=1487&amp;col=17&amp;number=&amp;sourceID=56","")</f>
        <v/>
      </c>
      <c r="R1487" s="4" t="str">
        <f>HYPERLINK("http://141.218.60.56/~jnz1568/getInfo.php?workbook=16_15.xlsx&amp;sheet=A0&amp;row=1487&amp;col=18&amp;number=&amp;sourceID=56","")</f>
        <v/>
      </c>
      <c r="S1487" s="4" t="str">
        <f>HYPERLINK("http://141.218.60.56/~jnz1568/getInfo.php?workbook=16_15.xlsx&amp;sheet=A0&amp;row=1487&amp;col=19&amp;number=&amp;sourceID=57","")</f>
        <v/>
      </c>
      <c r="T1487" s="4" t="str">
        <f>HYPERLINK("http://141.218.60.56/~jnz1568/getInfo.php?workbook=16_15.xlsx&amp;sheet=A0&amp;row=1487&amp;col=20&amp;number=&amp;sourceID=57","")</f>
        <v/>
      </c>
      <c r="U1487" s="4" t="str">
        <f>HYPERLINK("http://141.218.60.56/~jnz1568/getInfo.php?workbook=16_15.xlsx&amp;sheet=A0&amp;row=1487&amp;col=21&amp;number=&amp;sourceID=47","")</f>
        <v/>
      </c>
      <c r="V1487" s="4" t="str">
        <f>HYPERLINK("http://141.218.60.56/~jnz1568/getInfo.php?workbook=16_15.xlsx&amp;sheet=A0&amp;row=1487&amp;col=22&amp;number=&amp;sourceID=47","")</f>
        <v/>
      </c>
    </row>
    <row r="1488" spans="1:22">
      <c r="A1488" s="3">
        <v>16</v>
      </c>
      <c r="B1488" s="3">
        <v>15</v>
      </c>
      <c r="C1488" s="3">
        <v>62</v>
      </c>
      <c r="D1488" s="3">
        <v>32</v>
      </c>
      <c r="E1488" s="3">
        <f>((1/(INDEX(E0!J$4:J$73,C1488,1)-INDEX(E0!J$4:J$73,D1488,1))))*100000000</f>
        <v>0</v>
      </c>
      <c r="F1488" s="4" t="str">
        <f>HYPERLINK("http://141.218.60.56/~jnz1568/getInfo.php?workbook=16_15.xlsx&amp;sheet=A0&amp;row=1488&amp;col=6&amp;number=&amp;sourceID=54","")</f>
        <v/>
      </c>
      <c r="G1488" s="4" t="str">
        <f>HYPERLINK("http://141.218.60.56/~jnz1568/getInfo.php?workbook=16_15.xlsx&amp;sheet=A0&amp;row=1488&amp;col=7&amp;number=0.33222&amp;sourceID=54","0.33222")</f>
        <v>0.33222</v>
      </c>
      <c r="H1488" s="4" t="str">
        <f>HYPERLINK("http://141.218.60.56/~jnz1568/getInfo.php?workbook=16_15.xlsx&amp;sheet=A0&amp;row=1488&amp;col=8&amp;number=1.2203e-05&amp;sourceID=54","1.2203e-05")</f>
        <v>1.2203e-05</v>
      </c>
      <c r="I1488" s="4" t="str">
        <f>HYPERLINK("http://141.218.60.56/~jnz1568/getInfo.php?workbook=16_15.xlsx&amp;sheet=A0&amp;row=1488&amp;col=9&amp;number=&amp;sourceID=54","")</f>
        <v/>
      </c>
      <c r="J1488" s="4" t="str">
        <f>HYPERLINK("http://141.218.60.56/~jnz1568/getInfo.php?workbook=16_15.xlsx&amp;sheet=A0&amp;row=1488&amp;col=10&amp;number=0.30273&amp;sourceID=54","0.30273")</f>
        <v>0.30273</v>
      </c>
      <c r="K1488" s="4" t="str">
        <f>HYPERLINK("http://141.218.60.56/~jnz1568/getInfo.php?workbook=16_15.xlsx&amp;sheet=A0&amp;row=1488&amp;col=11&amp;number=9.1656e-06&amp;sourceID=54","9.1656e-06")</f>
        <v>9.1656e-06</v>
      </c>
      <c r="L1488" s="4" t="str">
        <f>HYPERLINK("http://141.218.60.56/~jnz1568/getInfo.php?workbook=16_15.xlsx&amp;sheet=A0&amp;row=1488&amp;col=12&amp;number=&amp;sourceID=53","")</f>
        <v/>
      </c>
      <c r="M1488" s="4" t="str">
        <f>HYPERLINK("http://141.218.60.56/~jnz1568/getInfo.php?workbook=16_15.xlsx&amp;sheet=A0&amp;row=1488&amp;col=13&amp;number=&amp;sourceID=53","")</f>
        <v/>
      </c>
      <c r="N1488" s="4" t="str">
        <f>HYPERLINK("http://141.218.60.56/~jnz1568/getInfo.php?workbook=16_15.xlsx&amp;sheet=A0&amp;row=1488&amp;col=14&amp;number=&amp;sourceID=53","")</f>
        <v/>
      </c>
      <c r="O1488" s="4" t="str">
        <f>HYPERLINK("http://141.218.60.56/~jnz1568/getInfo.php?workbook=16_15.xlsx&amp;sheet=A0&amp;row=1488&amp;col=15&amp;number=&amp;sourceID=55","")</f>
        <v/>
      </c>
      <c r="P1488" s="4" t="str">
        <f>HYPERLINK("http://141.218.60.56/~jnz1568/getInfo.php?workbook=16_15.xlsx&amp;sheet=A0&amp;row=1488&amp;col=16&amp;number=&amp;sourceID=55","")</f>
        <v/>
      </c>
      <c r="Q1488" s="4" t="str">
        <f>HYPERLINK("http://141.218.60.56/~jnz1568/getInfo.php?workbook=16_15.xlsx&amp;sheet=A0&amp;row=1488&amp;col=17&amp;number=&amp;sourceID=56","")</f>
        <v/>
      </c>
      <c r="R1488" s="4" t="str">
        <f>HYPERLINK("http://141.218.60.56/~jnz1568/getInfo.php?workbook=16_15.xlsx&amp;sheet=A0&amp;row=1488&amp;col=18&amp;number=&amp;sourceID=56","")</f>
        <v/>
      </c>
      <c r="S1488" s="4" t="str">
        <f>HYPERLINK("http://141.218.60.56/~jnz1568/getInfo.php?workbook=16_15.xlsx&amp;sheet=A0&amp;row=1488&amp;col=19&amp;number=&amp;sourceID=57","")</f>
        <v/>
      </c>
      <c r="T1488" s="4" t="str">
        <f>HYPERLINK("http://141.218.60.56/~jnz1568/getInfo.php?workbook=16_15.xlsx&amp;sheet=A0&amp;row=1488&amp;col=20&amp;number=&amp;sourceID=57","")</f>
        <v/>
      </c>
      <c r="U1488" s="4" t="str">
        <f>HYPERLINK("http://141.218.60.56/~jnz1568/getInfo.php?workbook=16_15.xlsx&amp;sheet=A0&amp;row=1488&amp;col=21&amp;number=&amp;sourceID=47","")</f>
        <v/>
      </c>
      <c r="V1488" s="4" t="str">
        <f>HYPERLINK("http://141.218.60.56/~jnz1568/getInfo.php?workbook=16_15.xlsx&amp;sheet=A0&amp;row=1488&amp;col=22&amp;number=&amp;sourceID=47","")</f>
        <v/>
      </c>
    </row>
    <row r="1489" spans="1:22">
      <c r="A1489" s="3">
        <v>16</v>
      </c>
      <c r="B1489" s="3">
        <v>15</v>
      </c>
      <c r="C1489" s="3">
        <v>62</v>
      </c>
      <c r="D1489" s="3">
        <v>33</v>
      </c>
      <c r="E1489" s="3">
        <f>((1/(INDEX(E0!J$4:J$73,C1489,1)-INDEX(E0!J$4:J$73,D1489,1))))*100000000</f>
        <v>0</v>
      </c>
      <c r="F1489" s="4" t="str">
        <f>HYPERLINK("http://141.218.60.56/~jnz1568/getInfo.php?workbook=16_15.xlsx&amp;sheet=A0&amp;row=1489&amp;col=6&amp;number=&amp;sourceID=54","")</f>
        <v/>
      </c>
      <c r="G1489" s="4" t="str">
        <f>HYPERLINK("http://141.218.60.56/~jnz1568/getInfo.php?workbook=16_15.xlsx&amp;sheet=A0&amp;row=1489&amp;col=7&amp;number=3.9719&amp;sourceID=54","3.9719")</f>
        <v>3.9719</v>
      </c>
      <c r="H1489" s="4" t="str">
        <f>HYPERLINK("http://141.218.60.56/~jnz1568/getInfo.php?workbook=16_15.xlsx&amp;sheet=A0&amp;row=1489&amp;col=8&amp;number=&amp;sourceID=54","")</f>
        <v/>
      </c>
      <c r="I1489" s="4" t="str">
        <f>HYPERLINK("http://141.218.60.56/~jnz1568/getInfo.php?workbook=16_15.xlsx&amp;sheet=A0&amp;row=1489&amp;col=9&amp;number=&amp;sourceID=54","")</f>
        <v/>
      </c>
      <c r="J1489" s="4" t="str">
        <f>HYPERLINK("http://141.218.60.56/~jnz1568/getInfo.php?workbook=16_15.xlsx&amp;sheet=A0&amp;row=1489&amp;col=10&amp;number=3.6069&amp;sourceID=54","3.6069")</f>
        <v>3.6069</v>
      </c>
      <c r="K1489" s="4" t="str">
        <f>HYPERLINK("http://141.218.60.56/~jnz1568/getInfo.php?workbook=16_15.xlsx&amp;sheet=A0&amp;row=1489&amp;col=11&amp;number=&amp;sourceID=54","")</f>
        <v/>
      </c>
      <c r="L1489" s="4" t="str">
        <f>HYPERLINK("http://141.218.60.56/~jnz1568/getInfo.php?workbook=16_15.xlsx&amp;sheet=A0&amp;row=1489&amp;col=12&amp;number=&amp;sourceID=53","")</f>
        <v/>
      </c>
      <c r="M1489" s="4" t="str">
        <f>HYPERLINK("http://141.218.60.56/~jnz1568/getInfo.php?workbook=16_15.xlsx&amp;sheet=A0&amp;row=1489&amp;col=13&amp;number=&amp;sourceID=53","")</f>
        <v/>
      </c>
      <c r="N1489" s="4" t="str">
        <f>HYPERLINK("http://141.218.60.56/~jnz1568/getInfo.php?workbook=16_15.xlsx&amp;sheet=A0&amp;row=1489&amp;col=14&amp;number=&amp;sourceID=53","")</f>
        <v/>
      </c>
      <c r="O1489" s="4" t="str">
        <f>HYPERLINK("http://141.218.60.56/~jnz1568/getInfo.php?workbook=16_15.xlsx&amp;sheet=A0&amp;row=1489&amp;col=15&amp;number=&amp;sourceID=55","")</f>
        <v/>
      </c>
      <c r="P1489" s="4" t="str">
        <f>HYPERLINK("http://141.218.60.56/~jnz1568/getInfo.php?workbook=16_15.xlsx&amp;sheet=A0&amp;row=1489&amp;col=16&amp;number=&amp;sourceID=55","")</f>
        <v/>
      </c>
      <c r="Q1489" s="4" t="str">
        <f>HYPERLINK("http://141.218.60.56/~jnz1568/getInfo.php?workbook=16_15.xlsx&amp;sheet=A0&amp;row=1489&amp;col=17&amp;number=&amp;sourceID=56","")</f>
        <v/>
      </c>
      <c r="R1489" s="4" t="str">
        <f>HYPERLINK("http://141.218.60.56/~jnz1568/getInfo.php?workbook=16_15.xlsx&amp;sheet=A0&amp;row=1489&amp;col=18&amp;number=&amp;sourceID=56","")</f>
        <v/>
      </c>
      <c r="S1489" s="4" t="str">
        <f>HYPERLINK("http://141.218.60.56/~jnz1568/getInfo.php?workbook=16_15.xlsx&amp;sheet=A0&amp;row=1489&amp;col=19&amp;number=&amp;sourceID=57","")</f>
        <v/>
      </c>
      <c r="T1489" s="4" t="str">
        <f>HYPERLINK("http://141.218.60.56/~jnz1568/getInfo.php?workbook=16_15.xlsx&amp;sheet=A0&amp;row=1489&amp;col=20&amp;number=&amp;sourceID=57","")</f>
        <v/>
      </c>
      <c r="U1489" s="4" t="str">
        <f>HYPERLINK("http://141.218.60.56/~jnz1568/getInfo.php?workbook=16_15.xlsx&amp;sheet=A0&amp;row=1489&amp;col=21&amp;number=&amp;sourceID=47","")</f>
        <v/>
      </c>
      <c r="V1489" s="4" t="str">
        <f>HYPERLINK("http://141.218.60.56/~jnz1568/getInfo.php?workbook=16_15.xlsx&amp;sheet=A0&amp;row=1489&amp;col=22&amp;number=&amp;sourceID=47","")</f>
        <v/>
      </c>
    </row>
    <row r="1490" spans="1:22">
      <c r="A1490" s="3">
        <v>16</v>
      </c>
      <c r="B1490" s="3">
        <v>15</v>
      </c>
      <c r="C1490" s="3">
        <v>62</v>
      </c>
      <c r="D1490" s="3">
        <v>35</v>
      </c>
      <c r="E1490" s="3">
        <f>((1/(INDEX(E0!J$4:J$73,C1490,1)-INDEX(E0!J$4:J$73,D1490,1))))*100000000</f>
        <v>0</v>
      </c>
      <c r="F1490" s="4" t="str">
        <f>HYPERLINK("http://141.218.60.56/~jnz1568/getInfo.php?workbook=16_15.xlsx&amp;sheet=A0&amp;row=1490&amp;col=6&amp;number=3032.4&amp;sourceID=54","3032.4")</f>
        <v>3032.4</v>
      </c>
      <c r="G1490" s="4" t="str">
        <f>HYPERLINK("http://141.218.60.56/~jnz1568/getInfo.php?workbook=16_15.xlsx&amp;sheet=A0&amp;row=1490&amp;col=7&amp;number=&amp;sourceID=54","")</f>
        <v/>
      </c>
      <c r="H1490" s="4" t="str">
        <f>HYPERLINK("http://141.218.60.56/~jnz1568/getInfo.php?workbook=16_15.xlsx&amp;sheet=A0&amp;row=1490&amp;col=8&amp;number=&amp;sourceID=54","")</f>
        <v/>
      </c>
      <c r="I1490" s="4" t="str">
        <f>HYPERLINK("http://141.218.60.56/~jnz1568/getInfo.php?workbook=16_15.xlsx&amp;sheet=A0&amp;row=1490&amp;col=9&amp;number=2556.9&amp;sourceID=54","2556.9")</f>
        <v>2556.9</v>
      </c>
      <c r="J1490" s="4" t="str">
        <f>HYPERLINK("http://141.218.60.56/~jnz1568/getInfo.php?workbook=16_15.xlsx&amp;sheet=A0&amp;row=1490&amp;col=10&amp;number=&amp;sourceID=54","")</f>
        <v/>
      </c>
      <c r="K1490" s="4" t="str">
        <f>HYPERLINK("http://141.218.60.56/~jnz1568/getInfo.php?workbook=16_15.xlsx&amp;sheet=A0&amp;row=1490&amp;col=11&amp;number=&amp;sourceID=54","")</f>
        <v/>
      </c>
      <c r="L1490" s="4" t="str">
        <f>HYPERLINK("http://141.218.60.56/~jnz1568/getInfo.php?workbook=16_15.xlsx&amp;sheet=A0&amp;row=1490&amp;col=12&amp;number=4718.0872626&amp;sourceID=53","4718.0872626")</f>
        <v>4718.0872626</v>
      </c>
      <c r="M1490" s="4" t="str">
        <f>HYPERLINK("http://141.218.60.56/~jnz1568/getInfo.php?workbook=16_15.xlsx&amp;sheet=A0&amp;row=1490&amp;col=13&amp;number=&amp;sourceID=53","")</f>
        <v/>
      </c>
      <c r="N1490" s="4" t="str">
        <f>HYPERLINK("http://141.218.60.56/~jnz1568/getInfo.php?workbook=16_15.xlsx&amp;sheet=A0&amp;row=1490&amp;col=14&amp;number=&amp;sourceID=53","")</f>
        <v/>
      </c>
      <c r="O1490" s="4" t="str">
        <f>HYPERLINK("http://141.218.60.56/~jnz1568/getInfo.php?workbook=16_15.xlsx&amp;sheet=A0&amp;row=1490&amp;col=15&amp;number=&amp;sourceID=55","")</f>
        <v/>
      </c>
      <c r="P1490" s="4" t="str">
        <f>HYPERLINK("http://141.218.60.56/~jnz1568/getInfo.php?workbook=16_15.xlsx&amp;sheet=A0&amp;row=1490&amp;col=16&amp;number=&amp;sourceID=55","")</f>
        <v/>
      </c>
      <c r="Q1490" s="4" t="str">
        <f>HYPERLINK("http://141.218.60.56/~jnz1568/getInfo.php?workbook=16_15.xlsx&amp;sheet=A0&amp;row=1490&amp;col=17&amp;number=&amp;sourceID=56","")</f>
        <v/>
      </c>
      <c r="R1490" s="4" t="str">
        <f>HYPERLINK("http://141.218.60.56/~jnz1568/getInfo.php?workbook=16_15.xlsx&amp;sheet=A0&amp;row=1490&amp;col=18&amp;number=&amp;sourceID=56","")</f>
        <v/>
      </c>
      <c r="S1490" s="4" t="str">
        <f>HYPERLINK("http://141.218.60.56/~jnz1568/getInfo.php?workbook=16_15.xlsx&amp;sheet=A0&amp;row=1490&amp;col=19&amp;number=&amp;sourceID=57","")</f>
        <v/>
      </c>
      <c r="T1490" s="4" t="str">
        <f>HYPERLINK("http://141.218.60.56/~jnz1568/getInfo.php?workbook=16_15.xlsx&amp;sheet=A0&amp;row=1490&amp;col=20&amp;number=&amp;sourceID=57","")</f>
        <v/>
      </c>
      <c r="U1490" s="4" t="str">
        <f>HYPERLINK("http://141.218.60.56/~jnz1568/getInfo.php?workbook=16_15.xlsx&amp;sheet=A0&amp;row=1490&amp;col=21&amp;number=&amp;sourceID=47","")</f>
        <v/>
      </c>
      <c r="V1490" s="4" t="str">
        <f>HYPERLINK("http://141.218.60.56/~jnz1568/getInfo.php?workbook=16_15.xlsx&amp;sheet=A0&amp;row=1490&amp;col=22&amp;number=&amp;sourceID=47","")</f>
        <v/>
      </c>
    </row>
    <row r="1491" spans="1:22">
      <c r="A1491" s="3">
        <v>16</v>
      </c>
      <c r="B1491" s="3">
        <v>15</v>
      </c>
      <c r="C1491" s="3">
        <v>62</v>
      </c>
      <c r="D1491" s="3">
        <v>36</v>
      </c>
      <c r="E1491" s="3">
        <f>((1/(INDEX(E0!J$4:J$73,C1491,1)-INDEX(E0!J$4:J$73,D1491,1))))*100000000</f>
        <v>0</v>
      </c>
      <c r="F1491" s="4" t="str">
        <f>HYPERLINK("http://141.218.60.56/~jnz1568/getInfo.php?workbook=16_15.xlsx&amp;sheet=A0&amp;row=1491&amp;col=6&amp;number=2486.7&amp;sourceID=54","2486.7")</f>
        <v>2486.7</v>
      </c>
      <c r="G1491" s="4" t="str">
        <f>HYPERLINK("http://141.218.60.56/~jnz1568/getInfo.php?workbook=16_15.xlsx&amp;sheet=A0&amp;row=1491&amp;col=7&amp;number=&amp;sourceID=54","")</f>
        <v/>
      </c>
      <c r="H1491" s="4" t="str">
        <f>HYPERLINK("http://141.218.60.56/~jnz1568/getInfo.php?workbook=16_15.xlsx&amp;sheet=A0&amp;row=1491&amp;col=8&amp;number=&amp;sourceID=54","")</f>
        <v/>
      </c>
      <c r="I1491" s="4" t="str">
        <f>HYPERLINK("http://141.218.60.56/~jnz1568/getInfo.php?workbook=16_15.xlsx&amp;sheet=A0&amp;row=1491&amp;col=9&amp;number=1819.9&amp;sourceID=54","1819.9")</f>
        <v>1819.9</v>
      </c>
      <c r="J1491" s="4" t="str">
        <f>HYPERLINK("http://141.218.60.56/~jnz1568/getInfo.php?workbook=16_15.xlsx&amp;sheet=A0&amp;row=1491&amp;col=10&amp;number=&amp;sourceID=54","")</f>
        <v/>
      </c>
      <c r="K1491" s="4" t="str">
        <f>HYPERLINK("http://141.218.60.56/~jnz1568/getInfo.php?workbook=16_15.xlsx&amp;sheet=A0&amp;row=1491&amp;col=11&amp;number=&amp;sourceID=54","")</f>
        <v/>
      </c>
      <c r="L1491" s="4" t="str">
        <f>HYPERLINK("http://141.218.60.56/~jnz1568/getInfo.php?workbook=16_15.xlsx&amp;sheet=A0&amp;row=1491&amp;col=12&amp;number=1054.12322606&amp;sourceID=53","1054.12322606")</f>
        <v>1054.12322606</v>
      </c>
      <c r="M1491" s="4" t="str">
        <f>HYPERLINK("http://141.218.60.56/~jnz1568/getInfo.php?workbook=16_15.xlsx&amp;sheet=A0&amp;row=1491&amp;col=13&amp;number=&amp;sourceID=53","")</f>
        <v/>
      </c>
      <c r="N1491" s="4" t="str">
        <f>HYPERLINK("http://141.218.60.56/~jnz1568/getInfo.php?workbook=16_15.xlsx&amp;sheet=A0&amp;row=1491&amp;col=14&amp;number=&amp;sourceID=53","")</f>
        <v/>
      </c>
      <c r="O1491" s="4" t="str">
        <f>HYPERLINK("http://141.218.60.56/~jnz1568/getInfo.php?workbook=16_15.xlsx&amp;sheet=A0&amp;row=1491&amp;col=15&amp;number=&amp;sourceID=55","")</f>
        <v/>
      </c>
      <c r="P1491" s="4" t="str">
        <f>HYPERLINK("http://141.218.60.56/~jnz1568/getInfo.php?workbook=16_15.xlsx&amp;sheet=A0&amp;row=1491&amp;col=16&amp;number=&amp;sourceID=55","")</f>
        <v/>
      </c>
      <c r="Q1491" s="4" t="str">
        <f>HYPERLINK("http://141.218.60.56/~jnz1568/getInfo.php?workbook=16_15.xlsx&amp;sheet=A0&amp;row=1491&amp;col=17&amp;number=&amp;sourceID=56","")</f>
        <v/>
      </c>
      <c r="R1491" s="4" t="str">
        <f>HYPERLINK("http://141.218.60.56/~jnz1568/getInfo.php?workbook=16_15.xlsx&amp;sheet=A0&amp;row=1491&amp;col=18&amp;number=&amp;sourceID=56","")</f>
        <v/>
      </c>
      <c r="S1491" s="4" t="str">
        <f>HYPERLINK("http://141.218.60.56/~jnz1568/getInfo.php?workbook=16_15.xlsx&amp;sheet=A0&amp;row=1491&amp;col=19&amp;number=&amp;sourceID=57","")</f>
        <v/>
      </c>
      <c r="T1491" s="4" t="str">
        <f>HYPERLINK("http://141.218.60.56/~jnz1568/getInfo.php?workbook=16_15.xlsx&amp;sheet=A0&amp;row=1491&amp;col=20&amp;number=&amp;sourceID=57","")</f>
        <v/>
      </c>
      <c r="U1491" s="4" t="str">
        <f>HYPERLINK("http://141.218.60.56/~jnz1568/getInfo.php?workbook=16_15.xlsx&amp;sheet=A0&amp;row=1491&amp;col=21&amp;number=&amp;sourceID=47","")</f>
        <v/>
      </c>
      <c r="V1491" s="4" t="str">
        <f>HYPERLINK("http://141.218.60.56/~jnz1568/getInfo.php?workbook=16_15.xlsx&amp;sheet=A0&amp;row=1491&amp;col=22&amp;number=&amp;sourceID=47","")</f>
        <v/>
      </c>
    </row>
    <row r="1492" spans="1:22">
      <c r="A1492" s="3">
        <v>16</v>
      </c>
      <c r="B1492" s="3">
        <v>15</v>
      </c>
      <c r="C1492" s="3">
        <v>62</v>
      </c>
      <c r="D1492" s="3">
        <v>37</v>
      </c>
      <c r="E1492" s="3">
        <f>((1/(INDEX(E0!J$4:J$73,C1492,1)-INDEX(E0!J$4:J$73,D1492,1))))*100000000</f>
        <v>0</v>
      </c>
      <c r="F1492" s="4" t="str">
        <f>HYPERLINK("http://141.218.60.56/~jnz1568/getInfo.php?workbook=16_15.xlsx&amp;sheet=A0&amp;row=1492&amp;col=6&amp;number=2340.8&amp;sourceID=54","2340.8")</f>
        <v>2340.8</v>
      </c>
      <c r="G1492" s="4" t="str">
        <f>HYPERLINK("http://141.218.60.56/~jnz1568/getInfo.php?workbook=16_15.xlsx&amp;sheet=A0&amp;row=1492&amp;col=7&amp;number=&amp;sourceID=54","")</f>
        <v/>
      </c>
      <c r="H1492" s="4" t="str">
        <f>HYPERLINK("http://141.218.60.56/~jnz1568/getInfo.php?workbook=16_15.xlsx&amp;sheet=A0&amp;row=1492&amp;col=8&amp;number=&amp;sourceID=54","")</f>
        <v/>
      </c>
      <c r="I1492" s="4" t="str">
        <f>HYPERLINK("http://141.218.60.56/~jnz1568/getInfo.php?workbook=16_15.xlsx&amp;sheet=A0&amp;row=1492&amp;col=9&amp;number=1933.8&amp;sourceID=54","1933.8")</f>
        <v>1933.8</v>
      </c>
      <c r="J1492" s="4" t="str">
        <f>HYPERLINK("http://141.218.60.56/~jnz1568/getInfo.php?workbook=16_15.xlsx&amp;sheet=A0&amp;row=1492&amp;col=10&amp;number=&amp;sourceID=54","")</f>
        <v/>
      </c>
      <c r="K1492" s="4" t="str">
        <f>HYPERLINK("http://141.218.60.56/~jnz1568/getInfo.php?workbook=16_15.xlsx&amp;sheet=A0&amp;row=1492&amp;col=11&amp;number=&amp;sourceID=54","")</f>
        <v/>
      </c>
      <c r="L1492" s="4" t="str">
        <f>HYPERLINK("http://141.218.60.56/~jnz1568/getInfo.php?workbook=16_15.xlsx&amp;sheet=A0&amp;row=1492&amp;col=12&amp;number=4881.37740106&amp;sourceID=53","4881.37740106")</f>
        <v>4881.37740106</v>
      </c>
      <c r="M1492" s="4" t="str">
        <f>HYPERLINK("http://141.218.60.56/~jnz1568/getInfo.php?workbook=16_15.xlsx&amp;sheet=A0&amp;row=1492&amp;col=13&amp;number=&amp;sourceID=53","")</f>
        <v/>
      </c>
      <c r="N1492" s="4" t="str">
        <f>HYPERLINK("http://141.218.60.56/~jnz1568/getInfo.php?workbook=16_15.xlsx&amp;sheet=A0&amp;row=1492&amp;col=14&amp;number=&amp;sourceID=53","")</f>
        <v/>
      </c>
      <c r="O1492" s="4" t="str">
        <f>HYPERLINK("http://141.218.60.56/~jnz1568/getInfo.php?workbook=16_15.xlsx&amp;sheet=A0&amp;row=1492&amp;col=15&amp;number=&amp;sourceID=55","")</f>
        <v/>
      </c>
      <c r="P1492" s="4" t="str">
        <f>HYPERLINK("http://141.218.60.56/~jnz1568/getInfo.php?workbook=16_15.xlsx&amp;sheet=A0&amp;row=1492&amp;col=16&amp;number=&amp;sourceID=55","")</f>
        <v/>
      </c>
      <c r="Q1492" s="4" t="str">
        <f>HYPERLINK("http://141.218.60.56/~jnz1568/getInfo.php?workbook=16_15.xlsx&amp;sheet=A0&amp;row=1492&amp;col=17&amp;number=&amp;sourceID=56","")</f>
        <v/>
      </c>
      <c r="R1492" s="4" t="str">
        <f>HYPERLINK("http://141.218.60.56/~jnz1568/getInfo.php?workbook=16_15.xlsx&amp;sheet=A0&amp;row=1492&amp;col=18&amp;number=&amp;sourceID=56","")</f>
        <v/>
      </c>
      <c r="S1492" s="4" t="str">
        <f>HYPERLINK("http://141.218.60.56/~jnz1568/getInfo.php?workbook=16_15.xlsx&amp;sheet=A0&amp;row=1492&amp;col=19&amp;number=&amp;sourceID=57","")</f>
        <v/>
      </c>
      <c r="T1492" s="4" t="str">
        <f>HYPERLINK("http://141.218.60.56/~jnz1568/getInfo.php?workbook=16_15.xlsx&amp;sheet=A0&amp;row=1492&amp;col=20&amp;number=&amp;sourceID=57","")</f>
        <v/>
      </c>
      <c r="U1492" s="4" t="str">
        <f>HYPERLINK("http://141.218.60.56/~jnz1568/getInfo.php?workbook=16_15.xlsx&amp;sheet=A0&amp;row=1492&amp;col=21&amp;number=&amp;sourceID=47","")</f>
        <v/>
      </c>
      <c r="V1492" s="4" t="str">
        <f>HYPERLINK("http://141.218.60.56/~jnz1568/getInfo.php?workbook=16_15.xlsx&amp;sheet=A0&amp;row=1492&amp;col=22&amp;number=&amp;sourceID=47","")</f>
        <v/>
      </c>
    </row>
    <row r="1493" spans="1:22">
      <c r="A1493" s="3">
        <v>16</v>
      </c>
      <c r="B1493" s="3">
        <v>15</v>
      </c>
      <c r="C1493" s="3">
        <v>62</v>
      </c>
      <c r="D1493" s="3">
        <v>39</v>
      </c>
      <c r="E1493" s="3">
        <f>((1/(INDEX(E0!J$4:J$73,C1493,1)-INDEX(E0!J$4:J$73,D1493,1))))*100000000</f>
        <v>0</v>
      </c>
      <c r="F1493" s="4" t="str">
        <f>HYPERLINK("http://141.218.60.56/~jnz1568/getInfo.php?workbook=16_15.xlsx&amp;sheet=A0&amp;row=1493&amp;col=6&amp;number=10311&amp;sourceID=54","10311")</f>
        <v>10311</v>
      </c>
      <c r="G1493" s="4" t="str">
        <f>HYPERLINK("http://141.218.60.56/~jnz1568/getInfo.php?workbook=16_15.xlsx&amp;sheet=A0&amp;row=1493&amp;col=7&amp;number=&amp;sourceID=54","")</f>
        <v/>
      </c>
      <c r="H1493" s="4" t="str">
        <f>HYPERLINK("http://141.218.60.56/~jnz1568/getInfo.php?workbook=16_15.xlsx&amp;sheet=A0&amp;row=1493&amp;col=8&amp;number=&amp;sourceID=54","")</f>
        <v/>
      </c>
      <c r="I1493" s="4" t="str">
        <f>HYPERLINK("http://141.218.60.56/~jnz1568/getInfo.php?workbook=16_15.xlsx&amp;sheet=A0&amp;row=1493&amp;col=9&amp;number=7875.2&amp;sourceID=54","7875.2")</f>
        <v>7875.2</v>
      </c>
      <c r="J1493" s="4" t="str">
        <f>HYPERLINK("http://141.218.60.56/~jnz1568/getInfo.php?workbook=16_15.xlsx&amp;sheet=A0&amp;row=1493&amp;col=10&amp;number=&amp;sourceID=54","")</f>
        <v/>
      </c>
      <c r="K1493" s="4" t="str">
        <f>HYPERLINK("http://141.218.60.56/~jnz1568/getInfo.php?workbook=16_15.xlsx&amp;sheet=A0&amp;row=1493&amp;col=11&amp;number=&amp;sourceID=54","")</f>
        <v/>
      </c>
      <c r="L1493" s="4" t="str">
        <f>HYPERLINK("http://141.218.60.56/~jnz1568/getInfo.php?workbook=16_15.xlsx&amp;sheet=A0&amp;row=1493&amp;col=12&amp;number=14258.8713319&amp;sourceID=53","14258.8713319")</f>
        <v>14258.8713319</v>
      </c>
      <c r="M1493" s="4" t="str">
        <f>HYPERLINK("http://141.218.60.56/~jnz1568/getInfo.php?workbook=16_15.xlsx&amp;sheet=A0&amp;row=1493&amp;col=13&amp;number=&amp;sourceID=53","")</f>
        <v/>
      </c>
      <c r="N1493" s="4" t="str">
        <f>HYPERLINK("http://141.218.60.56/~jnz1568/getInfo.php?workbook=16_15.xlsx&amp;sheet=A0&amp;row=1493&amp;col=14&amp;number=&amp;sourceID=53","")</f>
        <v/>
      </c>
      <c r="O1493" s="4" t="str">
        <f>HYPERLINK("http://141.218.60.56/~jnz1568/getInfo.php?workbook=16_15.xlsx&amp;sheet=A0&amp;row=1493&amp;col=15&amp;number=&amp;sourceID=55","")</f>
        <v/>
      </c>
      <c r="P1493" s="4" t="str">
        <f>HYPERLINK("http://141.218.60.56/~jnz1568/getInfo.php?workbook=16_15.xlsx&amp;sheet=A0&amp;row=1493&amp;col=16&amp;number=&amp;sourceID=55","")</f>
        <v/>
      </c>
      <c r="Q1493" s="4" t="str">
        <f>HYPERLINK("http://141.218.60.56/~jnz1568/getInfo.php?workbook=16_15.xlsx&amp;sheet=A0&amp;row=1493&amp;col=17&amp;number=&amp;sourceID=56","")</f>
        <v/>
      </c>
      <c r="R1493" s="4" t="str">
        <f>HYPERLINK("http://141.218.60.56/~jnz1568/getInfo.php?workbook=16_15.xlsx&amp;sheet=A0&amp;row=1493&amp;col=18&amp;number=&amp;sourceID=56","")</f>
        <v/>
      </c>
      <c r="S1493" s="4" t="str">
        <f>HYPERLINK("http://141.218.60.56/~jnz1568/getInfo.php?workbook=16_15.xlsx&amp;sheet=A0&amp;row=1493&amp;col=19&amp;number=&amp;sourceID=57","")</f>
        <v/>
      </c>
      <c r="T1493" s="4" t="str">
        <f>HYPERLINK("http://141.218.60.56/~jnz1568/getInfo.php?workbook=16_15.xlsx&amp;sheet=A0&amp;row=1493&amp;col=20&amp;number=&amp;sourceID=57","")</f>
        <v/>
      </c>
      <c r="U1493" s="4" t="str">
        <f>HYPERLINK("http://141.218.60.56/~jnz1568/getInfo.php?workbook=16_15.xlsx&amp;sheet=A0&amp;row=1493&amp;col=21&amp;number=&amp;sourceID=47","")</f>
        <v/>
      </c>
      <c r="V1493" s="4" t="str">
        <f>HYPERLINK("http://141.218.60.56/~jnz1568/getInfo.php?workbook=16_15.xlsx&amp;sheet=A0&amp;row=1493&amp;col=22&amp;number=&amp;sourceID=47","")</f>
        <v/>
      </c>
    </row>
    <row r="1494" spans="1:22">
      <c r="A1494" s="3">
        <v>16</v>
      </c>
      <c r="B1494" s="3">
        <v>15</v>
      </c>
      <c r="C1494" s="3">
        <v>62</v>
      </c>
      <c r="D1494" s="3">
        <v>40</v>
      </c>
      <c r="E1494" s="3">
        <f>((1/(INDEX(E0!J$4:J$73,C1494,1)-INDEX(E0!J$4:J$73,D1494,1))))*100000000</f>
        <v>0</v>
      </c>
      <c r="F1494" s="4" t="str">
        <f>HYPERLINK("http://141.218.60.56/~jnz1568/getInfo.php?workbook=16_15.xlsx&amp;sheet=A0&amp;row=1494&amp;col=6&amp;number=6843.5&amp;sourceID=54","6843.5")</f>
        <v>6843.5</v>
      </c>
      <c r="G1494" s="4" t="str">
        <f>HYPERLINK("http://141.218.60.56/~jnz1568/getInfo.php?workbook=16_15.xlsx&amp;sheet=A0&amp;row=1494&amp;col=7&amp;number=&amp;sourceID=54","")</f>
        <v/>
      </c>
      <c r="H1494" s="4" t="str">
        <f>HYPERLINK("http://141.218.60.56/~jnz1568/getInfo.php?workbook=16_15.xlsx&amp;sheet=A0&amp;row=1494&amp;col=8&amp;number=&amp;sourceID=54","")</f>
        <v/>
      </c>
      <c r="I1494" s="4" t="str">
        <f>HYPERLINK("http://141.218.60.56/~jnz1568/getInfo.php?workbook=16_15.xlsx&amp;sheet=A0&amp;row=1494&amp;col=9&amp;number=5040&amp;sourceID=54","5040")</f>
        <v>5040</v>
      </c>
      <c r="J1494" s="4" t="str">
        <f>HYPERLINK("http://141.218.60.56/~jnz1568/getInfo.php?workbook=16_15.xlsx&amp;sheet=A0&amp;row=1494&amp;col=10&amp;number=&amp;sourceID=54","")</f>
        <v/>
      </c>
      <c r="K1494" s="4" t="str">
        <f>HYPERLINK("http://141.218.60.56/~jnz1568/getInfo.php?workbook=16_15.xlsx&amp;sheet=A0&amp;row=1494&amp;col=11&amp;number=&amp;sourceID=54","")</f>
        <v/>
      </c>
      <c r="L1494" s="4" t="str">
        <f>HYPERLINK("http://141.218.60.56/~jnz1568/getInfo.php?workbook=16_15.xlsx&amp;sheet=A0&amp;row=1494&amp;col=12&amp;number=32384.2042726&amp;sourceID=53","32384.2042726")</f>
        <v>32384.2042726</v>
      </c>
      <c r="M1494" s="4" t="str">
        <f>HYPERLINK("http://141.218.60.56/~jnz1568/getInfo.php?workbook=16_15.xlsx&amp;sheet=A0&amp;row=1494&amp;col=13&amp;number=&amp;sourceID=53","")</f>
        <v/>
      </c>
      <c r="N1494" s="4" t="str">
        <f>HYPERLINK("http://141.218.60.56/~jnz1568/getInfo.php?workbook=16_15.xlsx&amp;sheet=A0&amp;row=1494&amp;col=14&amp;number=&amp;sourceID=53","")</f>
        <v/>
      </c>
      <c r="O1494" s="4" t="str">
        <f>HYPERLINK("http://141.218.60.56/~jnz1568/getInfo.php?workbook=16_15.xlsx&amp;sheet=A0&amp;row=1494&amp;col=15&amp;number=&amp;sourceID=55","")</f>
        <v/>
      </c>
      <c r="P1494" s="4" t="str">
        <f>HYPERLINK("http://141.218.60.56/~jnz1568/getInfo.php?workbook=16_15.xlsx&amp;sheet=A0&amp;row=1494&amp;col=16&amp;number=&amp;sourceID=55","")</f>
        <v/>
      </c>
      <c r="Q1494" s="4" t="str">
        <f>HYPERLINK("http://141.218.60.56/~jnz1568/getInfo.php?workbook=16_15.xlsx&amp;sheet=A0&amp;row=1494&amp;col=17&amp;number=&amp;sourceID=56","")</f>
        <v/>
      </c>
      <c r="R1494" s="4" t="str">
        <f>HYPERLINK("http://141.218.60.56/~jnz1568/getInfo.php?workbook=16_15.xlsx&amp;sheet=A0&amp;row=1494&amp;col=18&amp;number=&amp;sourceID=56","")</f>
        <v/>
      </c>
      <c r="S1494" s="4" t="str">
        <f>HYPERLINK("http://141.218.60.56/~jnz1568/getInfo.php?workbook=16_15.xlsx&amp;sheet=A0&amp;row=1494&amp;col=19&amp;number=&amp;sourceID=57","")</f>
        <v/>
      </c>
      <c r="T1494" s="4" t="str">
        <f>HYPERLINK("http://141.218.60.56/~jnz1568/getInfo.php?workbook=16_15.xlsx&amp;sheet=A0&amp;row=1494&amp;col=20&amp;number=&amp;sourceID=57","")</f>
        <v/>
      </c>
      <c r="U1494" s="4" t="str">
        <f>HYPERLINK("http://141.218.60.56/~jnz1568/getInfo.php?workbook=16_15.xlsx&amp;sheet=A0&amp;row=1494&amp;col=21&amp;number=&amp;sourceID=47","")</f>
        <v/>
      </c>
      <c r="V1494" s="4" t="str">
        <f>HYPERLINK("http://141.218.60.56/~jnz1568/getInfo.php?workbook=16_15.xlsx&amp;sheet=A0&amp;row=1494&amp;col=22&amp;number=&amp;sourceID=47","")</f>
        <v/>
      </c>
    </row>
    <row r="1495" spans="1:22">
      <c r="A1495" s="3">
        <v>16</v>
      </c>
      <c r="B1495" s="3">
        <v>15</v>
      </c>
      <c r="C1495" s="3">
        <v>62</v>
      </c>
      <c r="D1495" s="3">
        <v>41</v>
      </c>
      <c r="E1495" s="3">
        <f>((1/(INDEX(E0!J$4:J$73,C1495,1)-INDEX(E0!J$4:J$73,D1495,1))))*100000000</f>
        <v>0</v>
      </c>
      <c r="F1495" s="4" t="str">
        <f>HYPERLINK("http://141.218.60.56/~jnz1568/getInfo.php?workbook=16_15.xlsx&amp;sheet=A0&amp;row=1495&amp;col=6&amp;number=&amp;sourceID=54","")</f>
        <v/>
      </c>
      <c r="G1495" s="4" t="str">
        <f>HYPERLINK("http://141.218.60.56/~jnz1568/getInfo.php?workbook=16_15.xlsx&amp;sheet=A0&amp;row=1495&amp;col=7&amp;number=0.00012982&amp;sourceID=54","0.00012982")</f>
        <v>0.00012982</v>
      </c>
      <c r="H1495" s="4" t="str">
        <f>HYPERLINK("http://141.218.60.56/~jnz1568/getInfo.php?workbook=16_15.xlsx&amp;sheet=A0&amp;row=1495&amp;col=8&amp;number=0.000361&amp;sourceID=54","0.000361")</f>
        <v>0.000361</v>
      </c>
      <c r="I1495" s="4" t="str">
        <f>HYPERLINK("http://141.218.60.56/~jnz1568/getInfo.php?workbook=16_15.xlsx&amp;sheet=A0&amp;row=1495&amp;col=9&amp;number=&amp;sourceID=54","")</f>
        <v/>
      </c>
      <c r="J1495" s="4" t="str">
        <f>HYPERLINK("http://141.218.60.56/~jnz1568/getInfo.php?workbook=16_15.xlsx&amp;sheet=A0&amp;row=1495&amp;col=10&amp;number=0.00010153&amp;sourceID=54","0.00010153")</f>
        <v>0.00010153</v>
      </c>
      <c r="K1495" s="4" t="str">
        <f>HYPERLINK("http://141.218.60.56/~jnz1568/getInfo.php?workbook=16_15.xlsx&amp;sheet=A0&amp;row=1495&amp;col=11&amp;number=0.00042311&amp;sourceID=54","0.00042311")</f>
        <v>0.00042311</v>
      </c>
      <c r="L1495" s="4" t="str">
        <f>HYPERLINK("http://141.218.60.56/~jnz1568/getInfo.php?workbook=16_15.xlsx&amp;sheet=A0&amp;row=1495&amp;col=12&amp;number=&amp;sourceID=53","")</f>
        <v/>
      </c>
      <c r="M1495" s="4" t="str">
        <f>HYPERLINK("http://141.218.60.56/~jnz1568/getInfo.php?workbook=16_15.xlsx&amp;sheet=A0&amp;row=1495&amp;col=13&amp;number=&amp;sourceID=53","")</f>
        <v/>
      </c>
      <c r="N1495" s="4" t="str">
        <f>HYPERLINK("http://141.218.60.56/~jnz1568/getInfo.php?workbook=16_15.xlsx&amp;sheet=A0&amp;row=1495&amp;col=14&amp;number=&amp;sourceID=53","")</f>
        <v/>
      </c>
      <c r="O1495" s="4" t="str">
        <f>HYPERLINK("http://141.218.60.56/~jnz1568/getInfo.php?workbook=16_15.xlsx&amp;sheet=A0&amp;row=1495&amp;col=15&amp;number=&amp;sourceID=55","")</f>
        <v/>
      </c>
      <c r="P1495" s="4" t="str">
        <f>HYPERLINK("http://141.218.60.56/~jnz1568/getInfo.php?workbook=16_15.xlsx&amp;sheet=A0&amp;row=1495&amp;col=16&amp;number=&amp;sourceID=55","")</f>
        <v/>
      </c>
      <c r="Q1495" s="4" t="str">
        <f>HYPERLINK("http://141.218.60.56/~jnz1568/getInfo.php?workbook=16_15.xlsx&amp;sheet=A0&amp;row=1495&amp;col=17&amp;number=&amp;sourceID=56","")</f>
        <v/>
      </c>
      <c r="R1495" s="4" t="str">
        <f>HYPERLINK("http://141.218.60.56/~jnz1568/getInfo.php?workbook=16_15.xlsx&amp;sheet=A0&amp;row=1495&amp;col=18&amp;number=&amp;sourceID=56","")</f>
        <v/>
      </c>
      <c r="S1495" s="4" t="str">
        <f>HYPERLINK("http://141.218.60.56/~jnz1568/getInfo.php?workbook=16_15.xlsx&amp;sheet=A0&amp;row=1495&amp;col=19&amp;number=&amp;sourceID=57","")</f>
        <v/>
      </c>
      <c r="T1495" s="4" t="str">
        <f>HYPERLINK("http://141.218.60.56/~jnz1568/getInfo.php?workbook=16_15.xlsx&amp;sheet=A0&amp;row=1495&amp;col=20&amp;number=&amp;sourceID=57","")</f>
        <v/>
      </c>
      <c r="U1495" s="4" t="str">
        <f>HYPERLINK("http://141.218.60.56/~jnz1568/getInfo.php?workbook=16_15.xlsx&amp;sheet=A0&amp;row=1495&amp;col=21&amp;number=&amp;sourceID=47","")</f>
        <v/>
      </c>
      <c r="V1495" s="4" t="str">
        <f>HYPERLINK("http://141.218.60.56/~jnz1568/getInfo.php?workbook=16_15.xlsx&amp;sheet=A0&amp;row=1495&amp;col=22&amp;number=&amp;sourceID=47","")</f>
        <v/>
      </c>
    </row>
    <row r="1496" spans="1:22">
      <c r="A1496" s="3">
        <v>16</v>
      </c>
      <c r="B1496" s="3">
        <v>15</v>
      </c>
      <c r="C1496" s="3">
        <v>62</v>
      </c>
      <c r="D1496" s="3">
        <v>42</v>
      </c>
      <c r="E1496" s="3">
        <f>((1/(INDEX(E0!J$4:J$73,C1496,1)-INDEX(E0!J$4:J$73,D1496,1))))*100000000</f>
        <v>0</v>
      </c>
      <c r="F1496" s="4" t="str">
        <f>HYPERLINK("http://141.218.60.56/~jnz1568/getInfo.php?workbook=16_15.xlsx&amp;sheet=A0&amp;row=1496&amp;col=6&amp;number=7304.4&amp;sourceID=54","7304.4")</f>
        <v>7304.4</v>
      </c>
      <c r="G1496" s="4" t="str">
        <f>HYPERLINK("http://141.218.60.56/~jnz1568/getInfo.php?workbook=16_15.xlsx&amp;sheet=A0&amp;row=1496&amp;col=7&amp;number=&amp;sourceID=54","")</f>
        <v/>
      </c>
      <c r="H1496" s="4" t="str">
        <f>HYPERLINK("http://141.218.60.56/~jnz1568/getInfo.php?workbook=16_15.xlsx&amp;sheet=A0&amp;row=1496&amp;col=8&amp;number=&amp;sourceID=54","")</f>
        <v/>
      </c>
      <c r="I1496" s="4" t="str">
        <f>HYPERLINK("http://141.218.60.56/~jnz1568/getInfo.php?workbook=16_15.xlsx&amp;sheet=A0&amp;row=1496&amp;col=9&amp;number=4677.8&amp;sourceID=54","4677.8")</f>
        <v>4677.8</v>
      </c>
      <c r="J1496" s="4" t="str">
        <f>HYPERLINK("http://141.218.60.56/~jnz1568/getInfo.php?workbook=16_15.xlsx&amp;sheet=A0&amp;row=1496&amp;col=10&amp;number=&amp;sourceID=54","")</f>
        <v/>
      </c>
      <c r="K1496" s="4" t="str">
        <f>HYPERLINK("http://141.218.60.56/~jnz1568/getInfo.php?workbook=16_15.xlsx&amp;sheet=A0&amp;row=1496&amp;col=11&amp;number=&amp;sourceID=54","")</f>
        <v/>
      </c>
      <c r="L1496" s="4" t="str">
        <f>HYPERLINK("http://141.218.60.56/~jnz1568/getInfo.php?workbook=16_15.xlsx&amp;sheet=A0&amp;row=1496&amp;col=12&amp;number=50422.5648583&amp;sourceID=53","50422.5648583")</f>
        <v>50422.5648583</v>
      </c>
      <c r="M1496" s="4" t="str">
        <f>HYPERLINK("http://141.218.60.56/~jnz1568/getInfo.php?workbook=16_15.xlsx&amp;sheet=A0&amp;row=1496&amp;col=13&amp;number=&amp;sourceID=53","")</f>
        <v/>
      </c>
      <c r="N1496" s="4" t="str">
        <f>HYPERLINK("http://141.218.60.56/~jnz1568/getInfo.php?workbook=16_15.xlsx&amp;sheet=A0&amp;row=1496&amp;col=14&amp;number=&amp;sourceID=53","")</f>
        <v/>
      </c>
      <c r="O1496" s="4" t="str">
        <f>HYPERLINK("http://141.218.60.56/~jnz1568/getInfo.php?workbook=16_15.xlsx&amp;sheet=A0&amp;row=1496&amp;col=15&amp;number=&amp;sourceID=55","")</f>
        <v/>
      </c>
      <c r="P1496" s="4" t="str">
        <f>HYPERLINK("http://141.218.60.56/~jnz1568/getInfo.php?workbook=16_15.xlsx&amp;sheet=A0&amp;row=1496&amp;col=16&amp;number=&amp;sourceID=55","")</f>
        <v/>
      </c>
      <c r="Q1496" s="4" t="str">
        <f>HYPERLINK("http://141.218.60.56/~jnz1568/getInfo.php?workbook=16_15.xlsx&amp;sheet=A0&amp;row=1496&amp;col=17&amp;number=&amp;sourceID=56","")</f>
        <v/>
      </c>
      <c r="R1496" s="4" t="str">
        <f>HYPERLINK("http://141.218.60.56/~jnz1568/getInfo.php?workbook=16_15.xlsx&amp;sheet=A0&amp;row=1496&amp;col=18&amp;number=&amp;sourceID=56","")</f>
        <v/>
      </c>
      <c r="S1496" s="4" t="str">
        <f>HYPERLINK("http://141.218.60.56/~jnz1568/getInfo.php?workbook=16_15.xlsx&amp;sheet=A0&amp;row=1496&amp;col=19&amp;number=&amp;sourceID=57","")</f>
        <v/>
      </c>
      <c r="T1496" s="4" t="str">
        <f>HYPERLINK("http://141.218.60.56/~jnz1568/getInfo.php?workbook=16_15.xlsx&amp;sheet=A0&amp;row=1496&amp;col=20&amp;number=&amp;sourceID=57","")</f>
        <v/>
      </c>
      <c r="U1496" s="4" t="str">
        <f>HYPERLINK("http://141.218.60.56/~jnz1568/getInfo.php?workbook=16_15.xlsx&amp;sheet=A0&amp;row=1496&amp;col=21&amp;number=&amp;sourceID=47","")</f>
        <v/>
      </c>
      <c r="V1496" s="4" t="str">
        <f>HYPERLINK("http://141.218.60.56/~jnz1568/getInfo.php?workbook=16_15.xlsx&amp;sheet=A0&amp;row=1496&amp;col=22&amp;number=&amp;sourceID=47","")</f>
        <v/>
      </c>
    </row>
    <row r="1497" spans="1:22">
      <c r="A1497" s="3">
        <v>16</v>
      </c>
      <c r="B1497" s="3">
        <v>15</v>
      </c>
      <c r="C1497" s="3">
        <v>62</v>
      </c>
      <c r="D1497" s="3">
        <v>43</v>
      </c>
      <c r="E1497" s="3">
        <f>((1/(INDEX(E0!J$4:J$73,C1497,1)-INDEX(E0!J$4:J$73,D1497,1))))*100000000</f>
        <v>0</v>
      </c>
      <c r="F1497" s="4" t="str">
        <f>HYPERLINK("http://141.218.60.56/~jnz1568/getInfo.php?workbook=16_15.xlsx&amp;sheet=A0&amp;row=1497&amp;col=6&amp;number=&amp;sourceID=54","")</f>
        <v/>
      </c>
      <c r="G1497" s="4" t="str">
        <f>HYPERLINK("http://141.218.60.56/~jnz1568/getInfo.php?workbook=16_15.xlsx&amp;sheet=A0&amp;row=1497&amp;col=7&amp;number=7.2524e-08&amp;sourceID=54","7.2524e-08")</f>
        <v>7.2524e-08</v>
      </c>
      <c r="H1497" s="4" t="str">
        <f>HYPERLINK("http://141.218.60.56/~jnz1568/getInfo.php?workbook=16_15.xlsx&amp;sheet=A0&amp;row=1497&amp;col=8&amp;number=4.5951e-05&amp;sourceID=54","4.5951e-05")</f>
        <v>4.5951e-05</v>
      </c>
      <c r="I1497" s="4" t="str">
        <f>HYPERLINK("http://141.218.60.56/~jnz1568/getInfo.php?workbook=16_15.xlsx&amp;sheet=A0&amp;row=1497&amp;col=9&amp;number=&amp;sourceID=54","")</f>
        <v/>
      </c>
      <c r="J1497" s="4" t="str">
        <f>HYPERLINK("http://141.218.60.56/~jnz1568/getInfo.php?workbook=16_15.xlsx&amp;sheet=A0&amp;row=1497&amp;col=10&amp;number=1.5026e-07&amp;sourceID=54","1.5026e-07")</f>
        <v>1.5026e-07</v>
      </c>
      <c r="K1497" s="4" t="str">
        <f>HYPERLINK("http://141.218.60.56/~jnz1568/getInfo.php?workbook=16_15.xlsx&amp;sheet=A0&amp;row=1497&amp;col=11&amp;number=4.7579e-05&amp;sourceID=54","4.7579e-05")</f>
        <v>4.7579e-05</v>
      </c>
      <c r="L1497" s="4" t="str">
        <f>HYPERLINK("http://141.218.60.56/~jnz1568/getInfo.php?workbook=16_15.xlsx&amp;sheet=A0&amp;row=1497&amp;col=12&amp;number=&amp;sourceID=53","")</f>
        <v/>
      </c>
      <c r="M1497" s="4" t="str">
        <f>HYPERLINK("http://141.218.60.56/~jnz1568/getInfo.php?workbook=16_15.xlsx&amp;sheet=A0&amp;row=1497&amp;col=13&amp;number=&amp;sourceID=53","")</f>
        <v/>
      </c>
      <c r="N1497" s="4" t="str">
        <f>HYPERLINK("http://141.218.60.56/~jnz1568/getInfo.php?workbook=16_15.xlsx&amp;sheet=A0&amp;row=1497&amp;col=14&amp;number=&amp;sourceID=53","")</f>
        <v/>
      </c>
      <c r="O1497" s="4" t="str">
        <f>HYPERLINK("http://141.218.60.56/~jnz1568/getInfo.php?workbook=16_15.xlsx&amp;sheet=A0&amp;row=1497&amp;col=15&amp;number=&amp;sourceID=55","")</f>
        <v/>
      </c>
      <c r="P1497" s="4" t="str">
        <f>HYPERLINK("http://141.218.60.56/~jnz1568/getInfo.php?workbook=16_15.xlsx&amp;sheet=A0&amp;row=1497&amp;col=16&amp;number=&amp;sourceID=55","")</f>
        <v/>
      </c>
      <c r="Q1497" s="4" t="str">
        <f>HYPERLINK("http://141.218.60.56/~jnz1568/getInfo.php?workbook=16_15.xlsx&amp;sheet=A0&amp;row=1497&amp;col=17&amp;number=&amp;sourceID=56","")</f>
        <v/>
      </c>
      <c r="R1497" s="4" t="str">
        <f>HYPERLINK("http://141.218.60.56/~jnz1568/getInfo.php?workbook=16_15.xlsx&amp;sheet=A0&amp;row=1497&amp;col=18&amp;number=&amp;sourceID=56","")</f>
        <v/>
      </c>
      <c r="S1497" s="4" t="str">
        <f>HYPERLINK("http://141.218.60.56/~jnz1568/getInfo.php?workbook=16_15.xlsx&amp;sheet=A0&amp;row=1497&amp;col=19&amp;number=&amp;sourceID=57","")</f>
        <v/>
      </c>
      <c r="T1497" s="4" t="str">
        <f>HYPERLINK("http://141.218.60.56/~jnz1568/getInfo.php?workbook=16_15.xlsx&amp;sheet=A0&amp;row=1497&amp;col=20&amp;number=&amp;sourceID=57","")</f>
        <v/>
      </c>
      <c r="U1497" s="4" t="str">
        <f>HYPERLINK("http://141.218.60.56/~jnz1568/getInfo.php?workbook=16_15.xlsx&amp;sheet=A0&amp;row=1497&amp;col=21&amp;number=&amp;sourceID=47","")</f>
        <v/>
      </c>
      <c r="V1497" s="4" t="str">
        <f>HYPERLINK("http://141.218.60.56/~jnz1568/getInfo.php?workbook=16_15.xlsx&amp;sheet=A0&amp;row=1497&amp;col=22&amp;number=&amp;sourceID=47","")</f>
        <v/>
      </c>
    </row>
    <row r="1498" spans="1:22">
      <c r="A1498" s="3">
        <v>16</v>
      </c>
      <c r="B1498" s="3">
        <v>15</v>
      </c>
      <c r="C1498" s="3">
        <v>62</v>
      </c>
      <c r="D1498" s="3">
        <v>44</v>
      </c>
      <c r="E1498" s="3">
        <f>((1/(INDEX(E0!J$4:J$73,C1498,1)-INDEX(E0!J$4:J$73,D1498,1))))*100000000</f>
        <v>0</v>
      </c>
      <c r="F1498" s="4" t="str">
        <f>HYPERLINK("http://141.218.60.56/~jnz1568/getInfo.php?workbook=16_15.xlsx&amp;sheet=A0&amp;row=1498&amp;col=6&amp;number=&amp;sourceID=54","")</f>
        <v/>
      </c>
      <c r="G1498" s="4" t="str">
        <f>HYPERLINK("http://141.218.60.56/~jnz1568/getInfo.php?workbook=16_15.xlsx&amp;sheet=A0&amp;row=1498&amp;col=7&amp;number=0.00016903&amp;sourceID=54","0.00016903")</f>
        <v>0.00016903</v>
      </c>
      <c r="H1498" s="4" t="str">
        <f>HYPERLINK("http://141.218.60.56/~jnz1568/getInfo.php?workbook=16_15.xlsx&amp;sheet=A0&amp;row=1498&amp;col=8&amp;number=&amp;sourceID=54","")</f>
        <v/>
      </c>
      <c r="I1498" s="4" t="str">
        <f>HYPERLINK("http://141.218.60.56/~jnz1568/getInfo.php?workbook=16_15.xlsx&amp;sheet=A0&amp;row=1498&amp;col=9&amp;number=&amp;sourceID=54","")</f>
        <v/>
      </c>
      <c r="J1498" s="4" t="str">
        <f>HYPERLINK("http://141.218.60.56/~jnz1568/getInfo.php?workbook=16_15.xlsx&amp;sheet=A0&amp;row=1498&amp;col=10&amp;number=0.00012267&amp;sourceID=54","0.00012267")</f>
        <v>0.00012267</v>
      </c>
      <c r="K1498" s="4" t="str">
        <f>HYPERLINK("http://141.218.60.56/~jnz1568/getInfo.php?workbook=16_15.xlsx&amp;sheet=A0&amp;row=1498&amp;col=11&amp;number=&amp;sourceID=54","")</f>
        <v/>
      </c>
      <c r="L1498" s="4" t="str">
        <f>HYPERLINK("http://141.218.60.56/~jnz1568/getInfo.php?workbook=16_15.xlsx&amp;sheet=A0&amp;row=1498&amp;col=12&amp;number=&amp;sourceID=53","")</f>
        <v/>
      </c>
      <c r="M1498" s="4" t="str">
        <f>HYPERLINK("http://141.218.60.56/~jnz1568/getInfo.php?workbook=16_15.xlsx&amp;sheet=A0&amp;row=1498&amp;col=13&amp;number=&amp;sourceID=53","")</f>
        <v/>
      </c>
      <c r="N1498" s="4" t="str">
        <f>HYPERLINK("http://141.218.60.56/~jnz1568/getInfo.php?workbook=16_15.xlsx&amp;sheet=A0&amp;row=1498&amp;col=14&amp;number=&amp;sourceID=53","")</f>
        <v/>
      </c>
      <c r="O1498" s="4" t="str">
        <f>HYPERLINK("http://141.218.60.56/~jnz1568/getInfo.php?workbook=16_15.xlsx&amp;sheet=A0&amp;row=1498&amp;col=15&amp;number=&amp;sourceID=55","")</f>
        <v/>
      </c>
      <c r="P1498" s="4" t="str">
        <f>HYPERLINK("http://141.218.60.56/~jnz1568/getInfo.php?workbook=16_15.xlsx&amp;sheet=A0&amp;row=1498&amp;col=16&amp;number=&amp;sourceID=55","")</f>
        <v/>
      </c>
      <c r="Q1498" s="4" t="str">
        <f>HYPERLINK("http://141.218.60.56/~jnz1568/getInfo.php?workbook=16_15.xlsx&amp;sheet=A0&amp;row=1498&amp;col=17&amp;number=&amp;sourceID=56","")</f>
        <v/>
      </c>
      <c r="R1498" s="4" t="str">
        <f>HYPERLINK("http://141.218.60.56/~jnz1568/getInfo.php?workbook=16_15.xlsx&amp;sheet=A0&amp;row=1498&amp;col=18&amp;number=&amp;sourceID=56","")</f>
        <v/>
      </c>
      <c r="S1498" s="4" t="str">
        <f>HYPERLINK("http://141.218.60.56/~jnz1568/getInfo.php?workbook=16_15.xlsx&amp;sheet=A0&amp;row=1498&amp;col=19&amp;number=&amp;sourceID=57","")</f>
        <v/>
      </c>
      <c r="T1498" s="4" t="str">
        <f>HYPERLINK("http://141.218.60.56/~jnz1568/getInfo.php?workbook=16_15.xlsx&amp;sheet=A0&amp;row=1498&amp;col=20&amp;number=&amp;sourceID=57","")</f>
        <v/>
      </c>
      <c r="U1498" s="4" t="str">
        <f>HYPERLINK("http://141.218.60.56/~jnz1568/getInfo.php?workbook=16_15.xlsx&amp;sheet=A0&amp;row=1498&amp;col=21&amp;number=&amp;sourceID=47","")</f>
        <v/>
      </c>
      <c r="V1498" s="4" t="str">
        <f>HYPERLINK("http://141.218.60.56/~jnz1568/getInfo.php?workbook=16_15.xlsx&amp;sheet=A0&amp;row=1498&amp;col=22&amp;number=&amp;sourceID=47","")</f>
        <v/>
      </c>
    </row>
    <row r="1499" spans="1:22">
      <c r="A1499" s="3">
        <v>16</v>
      </c>
      <c r="B1499" s="3">
        <v>15</v>
      </c>
      <c r="C1499" s="3">
        <v>62</v>
      </c>
      <c r="D1499" s="3">
        <v>45</v>
      </c>
      <c r="E1499" s="3">
        <f>((1/(INDEX(E0!J$4:J$73,C1499,1)-INDEX(E0!J$4:J$73,D1499,1))))*100000000</f>
        <v>0</v>
      </c>
      <c r="F1499" s="4" t="str">
        <f>HYPERLINK("http://141.218.60.56/~jnz1568/getInfo.php?workbook=16_15.xlsx&amp;sheet=A0&amp;row=1499&amp;col=6&amp;number=578.73&amp;sourceID=54","578.73")</f>
        <v>578.73</v>
      </c>
      <c r="G1499" s="4" t="str">
        <f>HYPERLINK("http://141.218.60.56/~jnz1568/getInfo.php?workbook=16_15.xlsx&amp;sheet=A0&amp;row=1499&amp;col=7&amp;number=&amp;sourceID=54","")</f>
        <v/>
      </c>
      <c r="H1499" s="4" t="str">
        <f>HYPERLINK("http://141.218.60.56/~jnz1568/getInfo.php?workbook=16_15.xlsx&amp;sheet=A0&amp;row=1499&amp;col=8&amp;number=&amp;sourceID=54","")</f>
        <v/>
      </c>
      <c r="I1499" s="4" t="str">
        <f>HYPERLINK("http://141.218.60.56/~jnz1568/getInfo.php?workbook=16_15.xlsx&amp;sheet=A0&amp;row=1499&amp;col=9&amp;number=218.09&amp;sourceID=54","218.09")</f>
        <v>218.09</v>
      </c>
      <c r="J1499" s="4" t="str">
        <f>HYPERLINK("http://141.218.60.56/~jnz1568/getInfo.php?workbook=16_15.xlsx&amp;sheet=A0&amp;row=1499&amp;col=10&amp;number=&amp;sourceID=54","")</f>
        <v/>
      </c>
      <c r="K1499" s="4" t="str">
        <f>HYPERLINK("http://141.218.60.56/~jnz1568/getInfo.php?workbook=16_15.xlsx&amp;sheet=A0&amp;row=1499&amp;col=11&amp;number=&amp;sourceID=54","")</f>
        <v/>
      </c>
      <c r="L1499" s="4" t="str">
        <f>HYPERLINK("http://141.218.60.56/~jnz1568/getInfo.php?workbook=16_15.xlsx&amp;sheet=A0&amp;row=1499&amp;col=12&amp;number=1706.11641959&amp;sourceID=53","1706.11641959")</f>
        <v>1706.11641959</v>
      </c>
      <c r="M1499" s="4" t="str">
        <f>HYPERLINK("http://141.218.60.56/~jnz1568/getInfo.php?workbook=16_15.xlsx&amp;sheet=A0&amp;row=1499&amp;col=13&amp;number=&amp;sourceID=53","")</f>
        <v/>
      </c>
      <c r="N1499" s="4" t="str">
        <f>HYPERLINK("http://141.218.60.56/~jnz1568/getInfo.php?workbook=16_15.xlsx&amp;sheet=A0&amp;row=1499&amp;col=14&amp;number=&amp;sourceID=53","")</f>
        <v/>
      </c>
      <c r="O1499" s="4" t="str">
        <f>HYPERLINK("http://141.218.60.56/~jnz1568/getInfo.php?workbook=16_15.xlsx&amp;sheet=A0&amp;row=1499&amp;col=15&amp;number=&amp;sourceID=55","")</f>
        <v/>
      </c>
      <c r="P1499" s="4" t="str">
        <f>HYPERLINK("http://141.218.60.56/~jnz1568/getInfo.php?workbook=16_15.xlsx&amp;sheet=A0&amp;row=1499&amp;col=16&amp;number=&amp;sourceID=55","")</f>
        <v/>
      </c>
      <c r="Q1499" s="4" t="str">
        <f>HYPERLINK("http://141.218.60.56/~jnz1568/getInfo.php?workbook=16_15.xlsx&amp;sheet=A0&amp;row=1499&amp;col=17&amp;number=&amp;sourceID=56","")</f>
        <v/>
      </c>
      <c r="R1499" s="4" t="str">
        <f>HYPERLINK("http://141.218.60.56/~jnz1568/getInfo.php?workbook=16_15.xlsx&amp;sheet=A0&amp;row=1499&amp;col=18&amp;number=&amp;sourceID=56","")</f>
        <v/>
      </c>
      <c r="S1499" s="4" t="str">
        <f>HYPERLINK("http://141.218.60.56/~jnz1568/getInfo.php?workbook=16_15.xlsx&amp;sheet=A0&amp;row=1499&amp;col=19&amp;number=&amp;sourceID=57","")</f>
        <v/>
      </c>
      <c r="T1499" s="4" t="str">
        <f>HYPERLINK("http://141.218.60.56/~jnz1568/getInfo.php?workbook=16_15.xlsx&amp;sheet=A0&amp;row=1499&amp;col=20&amp;number=&amp;sourceID=57","")</f>
        <v/>
      </c>
      <c r="U1499" s="4" t="str">
        <f>HYPERLINK("http://141.218.60.56/~jnz1568/getInfo.php?workbook=16_15.xlsx&amp;sheet=A0&amp;row=1499&amp;col=21&amp;number=&amp;sourceID=47","")</f>
        <v/>
      </c>
      <c r="V1499" s="4" t="str">
        <f>HYPERLINK("http://141.218.60.56/~jnz1568/getInfo.php?workbook=16_15.xlsx&amp;sheet=A0&amp;row=1499&amp;col=22&amp;number=&amp;sourceID=47","")</f>
        <v/>
      </c>
    </row>
    <row r="1500" spans="1:22">
      <c r="A1500" s="3">
        <v>16</v>
      </c>
      <c r="B1500" s="3">
        <v>15</v>
      </c>
      <c r="C1500" s="3">
        <v>62</v>
      </c>
      <c r="D1500" s="3">
        <v>46</v>
      </c>
      <c r="E1500" s="3">
        <f>((1/(INDEX(E0!J$4:J$73,C1500,1)-INDEX(E0!J$4:J$73,D1500,1))))*100000000</f>
        <v>0</v>
      </c>
      <c r="F1500" s="4" t="str">
        <f>HYPERLINK("http://141.218.60.56/~jnz1568/getInfo.php?workbook=16_15.xlsx&amp;sheet=A0&amp;row=1500&amp;col=6&amp;number=762.31&amp;sourceID=54","762.31")</f>
        <v>762.31</v>
      </c>
      <c r="G1500" s="4" t="str">
        <f>HYPERLINK("http://141.218.60.56/~jnz1568/getInfo.php?workbook=16_15.xlsx&amp;sheet=A0&amp;row=1500&amp;col=7&amp;number=&amp;sourceID=54","")</f>
        <v/>
      </c>
      <c r="H1500" s="4" t="str">
        <f>HYPERLINK("http://141.218.60.56/~jnz1568/getInfo.php?workbook=16_15.xlsx&amp;sheet=A0&amp;row=1500&amp;col=8&amp;number=&amp;sourceID=54","")</f>
        <v/>
      </c>
      <c r="I1500" s="4" t="str">
        <f>HYPERLINK("http://141.218.60.56/~jnz1568/getInfo.php?workbook=16_15.xlsx&amp;sheet=A0&amp;row=1500&amp;col=9&amp;number=583.83&amp;sourceID=54","583.83")</f>
        <v>583.83</v>
      </c>
      <c r="J1500" s="4" t="str">
        <f>HYPERLINK("http://141.218.60.56/~jnz1568/getInfo.php?workbook=16_15.xlsx&amp;sheet=A0&amp;row=1500&amp;col=10&amp;number=&amp;sourceID=54","")</f>
        <v/>
      </c>
      <c r="K1500" s="4" t="str">
        <f>HYPERLINK("http://141.218.60.56/~jnz1568/getInfo.php?workbook=16_15.xlsx&amp;sheet=A0&amp;row=1500&amp;col=11&amp;number=&amp;sourceID=54","")</f>
        <v/>
      </c>
      <c r="L1500" s="4" t="str">
        <f>HYPERLINK("http://141.218.60.56/~jnz1568/getInfo.php?workbook=16_15.xlsx&amp;sheet=A0&amp;row=1500&amp;col=12&amp;number=362346.326643&amp;sourceID=53","362346.326643")</f>
        <v>362346.326643</v>
      </c>
      <c r="M1500" s="4" t="str">
        <f>HYPERLINK("http://141.218.60.56/~jnz1568/getInfo.php?workbook=16_15.xlsx&amp;sheet=A0&amp;row=1500&amp;col=13&amp;number=&amp;sourceID=53","")</f>
        <v/>
      </c>
      <c r="N1500" s="4" t="str">
        <f>HYPERLINK("http://141.218.60.56/~jnz1568/getInfo.php?workbook=16_15.xlsx&amp;sheet=A0&amp;row=1500&amp;col=14&amp;number=&amp;sourceID=53","")</f>
        <v/>
      </c>
      <c r="O1500" s="4" t="str">
        <f>HYPERLINK("http://141.218.60.56/~jnz1568/getInfo.php?workbook=16_15.xlsx&amp;sheet=A0&amp;row=1500&amp;col=15&amp;number=&amp;sourceID=55","")</f>
        <v/>
      </c>
      <c r="P1500" s="4" t="str">
        <f>HYPERLINK("http://141.218.60.56/~jnz1568/getInfo.php?workbook=16_15.xlsx&amp;sheet=A0&amp;row=1500&amp;col=16&amp;number=&amp;sourceID=55","")</f>
        <v/>
      </c>
      <c r="Q1500" s="4" t="str">
        <f>HYPERLINK("http://141.218.60.56/~jnz1568/getInfo.php?workbook=16_15.xlsx&amp;sheet=A0&amp;row=1500&amp;col=17&amp;number=&amp;sourceID=56","")</f>
        <v/>
      </c>
      <c r="R1500" s="4" t="str">
        <f>HYPERLINK("http://141.218.60.56/~jnz1568/getInfo.php?workbook=16_15.xlsx&amp;sheet=A0&amp;row=1500&amp;col=18&amp;number=&amp;sourceID=56","")</f>
        <v/>
      </c>
      <c r="S1500" s="4" t="str">
        <f>HYPERLINK("http://141.218.60.56/~jnz1568/getInfo.php?workbook=16_15.xlsx&amp;sheet=A0&amp;row=1500&amp;col=19&amp;number=&amp;sourceID=57","")</f>
        <v/>
      </c>
      <c r="T1500" s="4" t="str">
        <f>HYPERLINK("http://141.218.60.56/~jnz1568/getInfo.php?workbook=16_15.xlsx&amp;sheet=A0&amp;row=1500&amp;col=20&amp;number=&amp;sourceID=57","")</f>
        <v/>
      </c>
      <c r="U1500" s="4" t="str">
        <f>HYPERLINK("http://141.218.60.56/~jnz1568/getInfo.php?workbook=16_15.xlsx&amp;sheet=A0&amp;row=1500&amp;col=21&amp;number=&amp;sourceID=47","")</f>
        <v/>
      </c>
      <c r="V1500" s="4" t="str">
        <f>HYPERLINK("http://141.218.60.56/~jnz1568/getInfo.php?workbook=16_15.xlsx&amp;sheet=A0&amp;row=1500&amp;col=22&amp;number=&amp;sourceID=47","")</f>
        <v/>
      </c>
    </row>
    <row r="1501" spans="1:22">
      <c r="A1501" s="3">
        <v>16</v>
      </c>
      <c r="B1501" s="3">
        <v>15</v>
      </c>
      <c r="C1501" s="3">
        <v>62</v>
      </c>
      <c r="D1501" s="3">
        <v>48</v>
      </c>
      <c r="E1501" s="3">
        <f>((1/(INDEX(E0!J$4:J$73,C1501,1)-INDEX(E0!J$4:J$73,D1501,1))))*100000000</f>
        <v>0</v>
      </c>
      <c r="F1501" s="4" t="str">
        <f>HYPERLINK("http://141.218.60.56/~jnz1568/getInfo.php?workbook=16_15.xlsx&amp;sheet=A0&amp;row=1501&amp;col=6&amp;number=&amp;sourceID=54","")</f>
        <v/>
      </c>
      <c r="G1501" s="4" t="str">
        <f>HYPERLINK("http://141.218.60.56/~jnz1568/getInfo.php?workbook=16_15.xlsx&amp;sheet=A0&amp;row=1501&amp;col=7&amp;number=0.00025783&amp;sourceID=54","0.00025783")</f>
        <v>0.00025783</v>
      </c>
      <c r="H1501" s="4" t="str">
        <f>HYPERLINK("http://141.218.60.56/~jnz1568/getInfo.php?workbook=16_15.xlsx&amp;sheet=A0&amp;row=1501&amp;col=8&amp;number=0.01208&amp;sourceID=54","0.01208")</f>
        <v>0.01208</v>
      </c>
      <c r="I1501" s="4" t="str">
        <f>HYPERLINK("http://141.218.60.56/~jnz1568/getInfo.php?workbook=16_15.xlsx&amp;sheet=A0&amp;row=1501&amp;col=9&amp;number=&amp;sourceID=54","")</f>
        <v/>
      </c>
      <c r="J1501" s="4" t="str">
        <f>HYPERLINK("http://141.218.60.56/~jnz1568/getInfo.php?workbook=16_15.xlsx&amp;sheet=A0&amp;row=1501&amp;col=10&amp;number=0.00025222&amp;sourceID=54","0.00025222")</f>
        <v>0.00025222</v>
      </c>
      <c r="K1501" s="4" t="str">
        <f>HYPERLINK("http://141.218.60.56/~jnz1568/getInfo.php?workbook=16_15.xlsx&amp;sheet=A0&amp;row=1501&amp;col=11&amp;number=0.010743&amp;sourceID=54","0.010743")</f>
        <v>0.010743</v>
      </c>
      <c r="L1501" s="4" t="str">
        <f>HYPERLINK("http://141.218.60.56/~jnz1568/getInfo.php?workbook=16_15.xlsx&amp;sheet=A0&amp;row=1501&amp;col=12&amp;number=&amp;sourceID=53","")</f>
        <v/>
      </c>
      <c r="M1501" s="4" t="str">
        <f>HYPERLINK("http://141.218.60.56/~jnz1568/getInfo.php?workbook=16_15.xlsx&amp;sheet=A0&amp;row=1501&amp;col=13&amp;number=&amp;sourceID=53","")</f>
        <v/>
      </c>
      <c r="N1501" s="4" t="str">
        <f>HYPERLINK("http://141.218.60.56/~jnz1568/getInfo.php?workbook=16_15.xlsx&amp;sheet=A0&amp;row=1501&amp;col=14&amp;number=&amp;sourceID=53","")</f>
        <v/>
      </c>
      <c r="O1501" s="4" t="str">
        <f>HYPERLINK("http://141.218.60.56/~jnz1568/getInfo.php?workbook=16_15.xlsx&amp;sheet=A0&amp;row=1501&amp;col=15&amp;number=&amp;sourceID=55","")</f>
        <v/>
      </c>
      <c r="P1501" s="4" t="str">
        <f>HYPERLINK("http://141.218.60.56/~jnz1568/getInfo.php?workbook=16_15.xlsx&amp;sheet=A0&amp;row=1501&amp;col=16&amp;number=&amp;sourceID=55","")</f>
        <v/>
      </c>
      <c r="Q1501" s="4" t="str">
        <f>HYPERLINK("http://141.218.60.56/~jnz1568/getInfo.php?workbook=16_15.xlsx&amp;sheet=A0&amp;row=1501&amp;col=17&amp;number=&amp;sourceID=56","")</f>
        <v/>
      </c>
      <c r="R1501" s="4" t="str">
        <f>HYPERLINK("http://141.218.60.56/~jnz1568/getInfo.php?workbook=16_15.xlsx&amp;sheet=A0&amp;row=1501&amp;col=18&amp;number=&amp;sourceID=56","")</f>
        <v/>
      </c>
      <c r="S1501" s="4" t="str">
        <f>HYPERLINK("http://141.218.60.56/~jnz1568/getInfo.php?workbook=16_15.xlsx&amp;sheet=A0&amp;row=1501&amp;col=19&amp;number=&amp;sourceID=57","")</f>
        <v/>
      </c>
      <c r="T1501" s="4" t="str">
        <f>HYPERLINK("http://141.218.60.56/~jnz1568/getInfo.php?workbook=16_15.xlsx&amp;sheet=A0&amp;row=1501&amp;col=20&amp;number=&amp;sourceID=57","")</f>
        <v/>
      </c>
      <c r="U1501" s="4" t="str">
        <f>HYPERLINK("http://141.218.60.56/~jnz1568/getInfo.php?workbook=16_15.xlsx&amp;sheet=A0&amp;row=1501&amp;col=21&amp;number=&amp;sourceID=47","")</f>
        <v/>
      </c>
      <c r="V1501" s="4" t="str">
        <f>HYPERLINK("http://141.218.60.56/~jnz1568/getInfo.php?workbook=16_15.xlsx&amp;sheet=A0&amp;row=1501&amp;col=22&amp;number=&amp;sourceID=47","")</f>
        <v/>
      </c>
    </row>
    <row r="1502" spans="1:22">
      <c r="A1502" s="3">
        <v>16</v>
      </c>
      <c r="B1502" s="3">
        <v>15</v>
      </c>
      <c r="C1502" s="3">
        <v>62</v>
      </c>
      <c r="D1502" s="3">
        <v>49</v>
      </c>
      <c r="E1502" s="3">
        <f>((1/(INDEX(E0!J$4:J$73,C1502,1)-INDEX(E0!J$4:J$73,D1502,1))))*100000000</f>
        <v>0</v>
      </c>
      <c r="F1502" s="4" t="str">
        <f>HYPERLINK("http://141.218.60.56/~jnz1568/getInfo.php?workbook=16_15.xlsx&amp;sheet=A0&amp;row=1502&amp;col=6&amp;number=2898000&amp;sourceID=54","2898000")</f>
        <v>2898000</v>
      </c>
      <c r="G1502" s="4" t="str">
        <f>HYPERLINK("http://141.218.60.56/~jnz1568/getInfo.php?workbook=16_15.xlsx&amp;sheet=A0&amp;row=1502&amp;col=7&amp;number=&amp;sourceID=54","")</f>
        <v/>
      </c>
      <c r="H1502" s="4" t="str">
        <f>HYPERLINK("http://141.218.60.56/~jnz1568/getInfo.php?workbook=16_15.xlsx&amp;sheet=A0&amp;row=1502&amp;col=8&amp;number=&amp;sourceID=54","")</f>
        <v/>
      </c>
      <c r="I1502" s="4" t="str">
        <f>HYPERLINK("http://141.218.60.56/~jnz1568/getInfo.php?workbook=16_15.xlsx&amp;sheet=A0&amp;row=1502&amp;col=9&amp;number=2065600&amp;sourceID=54","2065600")</f>
        <v>2065600</v>
      </c>
      <c r="J1502" s="4" t="str">
        <f>HYPERLINK("http://141.218.60.56/~jnz1568/getInfo.php?workbook=16_15.xlsx&amp;sheet=A0&amp;row=1502&amp;col=10&amp;number=&amp;sourceID=54","")</f>
        <v/>
      </c>
      <c r="K1502" s="4" t="str">
        <f>HYPERLINK("http://141.218.60.56/~jnz1568/getInfo.php?workbook=16_15.xlsx&amp;sheet=A0&amp;row=1502&amp;col=11&amp;number=&amp;sourceID=54","")</f>
        <v/>
      </c>
      <c r="L1502" s="4" t="str">
        <f>HYPERLINK("http://141.218.60.56/~jnz1568/getInfo.php?workbook=16_15.xlsx&amp;sheet=A0&amp;row=1502&amp;col=12&amp;number=2718027.83454&amp;sourceID=53","2718027.83454")</f>
        <v>2718027.83454</v>
      </c>
      <c r="M1502" s="4" t="str">
        <f>HYPERLINK("http://141.218.60.56/~jnz1568/getInfo.php?workbook=16_15.xlsx&amp;sheet=A0&amp;row=1502&amp;col=13&amp;number=&amp;sourceID=53","")</f>
        <v/>
      </c>
      <c r="N1502" s="4" t="str">
        <f>HYPERLINK("http://141.218.60.56/~jnz1568/getInfo.php?workbook=16_15.xlsx&amp;sheet=A0&amp;row=1502&amp;col=14&amp;number=&amp;sourceID=53","")</f>
        <v/>
      </c>
      <c r="O1502" s="4" t="str">
        <f>HYPERLINK("http://141.218.60.56/~jnz1568/getInfo.php?workbook=16_15.xlsx&amp;sheet=A0&amp;row=1502&amp;col=15&amp;number=&amp;sourceID=55","")</f>
        <v/>
      </c>
      <c r="P1502" s="4" t="str">
        <f>HYPERLINK("http://141.218.60.56/~jnz1568/getInfo.php?workbook=16_15.xlsx&amp;sheet=A0&amp;row=1502&amp;col=16&amp;number=&amp;sourceID=55","")</f>
        <v/>
      </c>
      <c r="Q1502" s="4" t="str">
        <f>HYPERLINK("http://141.218.60.56/~jnz1568/getInfo.php?workbook=16_15.xlsx&amp;sheet=A0&amp;row=1502&amp;col=17&amp;number=&amp;sourceID=56","")</f>
        <v/>
      </c>
      <c r="R1502" s="4" t="str">
        <f>HYPERLINK("http://141.218.60.56/~jnz1568/getInfo.php?workbook=16_15.xlsx&amp;sheet=A0&amp;row=1502&amp;col=18&amp;number=&amp;sourceID=56","")</f>
        <v/>
      </c>
      <c r="S1502" s="4" t="str">
        <f>HYPERLINK("http://141.218.60.56/~jnz1568/getInfo.php?workbook=16_15.xlsx&amp;sheet=A0&amp;row=1502&amp;col=19&amp;number=&amp;sourceID=57","")</f>
        <v/>
      </c>
      <c r="T1502" s="4" t="str">
        <f>HYPERLINK("http://141.218.60.56/~jnz1568/getInfo.php?workbook=16_15.xlsx&amp;sheet=A0&amp;row=1502&amp;col=20&amp;number=&amp;sourceID=57","")</f>
        <v/>
      </c>
      <c r="U1502" s="4" t="str">
        <f>HYPERLINK("http://141.218.60.56/~jnz1568/getInfo.php?workbook=16_15.xlsx&amp;sheet=A0&amp;row=1502&amp;col=21&amp;number=&amp;sourceID=47","")</f>
        <v/>
      </c>
      <c r="V1502" s="4" t="str">
        <f>HYPERLINK("http://141.218.60.56/~jnz1568/getInfo.php?workbook=16_15.xlsx&amp;sheet=A0&amp;row=1502&amp;col=22&amp;number=&amp;sourceID=47","")</f>
        <v/>
      </c>
    </row>
    <row r="1503" spans="1:22">
      <c r="A1503" s="3">
        <v>16</v>
      </c>
      <c r="B1503" s="3">
        <v>15</v>
      </c>
      <c r="C1503" s="3">
        <v>62</v>
      </c>
      <c r="D1503" s="3">
        <v>50</v>
      </c>
      <c r="E1503" s="3">
        <f>((1/(INDEX(E0!J$4:J$73,C1503,1)-INDEX(E0!J$4:J$73,D1503,1))))*100000000</f>
        <v>0</v>
      </c>
      <c r="F1503" s="4" t="str">
        <f>HYPERLINK("http://141.218.60.56/~jnz1568/getInfo.php?workbook=16_15.xlsx&amp;sheet=A0&amp;row=1503&amp;col=6&amp;number=&amp;sourceID=54","")</f>
        <v/>
      </c>
      <c r="G1503" s="4" t="str">
        <f>HYPERLINK("http://141.218.60.56/~jnz1568/getInfo.php?workbook=16_15.xlsx&amp;sheet=A0&amp;row=1503&amp;col=7&amp;number=0.0021644&amp;sourceID=54","0.0021644")</f>
        <v>0.0021644</v>
      </c>
      <c r="H1503" s="4" t="str">
        <f>HYPERLINK("http://141.218.60.56/~jnz1568/getInfo.php?workbook=16_15.xlsx&amp;sheet=A0&amp;row=1503&amp;col=8&amp;number=2.6605e-05&amp;sourceID=54","2.6605e-05")</f>
        <v>2.6605e-05</v>
      </c>
      <c r="I1503" s="4" t="str">
        <f>HYPERLINK("http://141.218.60.56/~jnz1568/getInfo.php?workbook=16_15.xlsx&amp;sheet=A0&amp;row=1503&amp;col=9&amp;number=&amp;sourceID=54","")</f>
        <v/>
      </c>
      <c r="J1503" s="4" t="str">
        <f>HYPERLINK("http://141.218.60.56/~jnz1568/getInfo.php?workbook=16_15.xlsx&amp;sheet=A0&amp;row=1503&amp;col=10&amp;number=0.0015998&amp;sourceID=54","0.0015998")</f>
        <v>0.0015998</v>
      </c>
      <c r="K1503" s="4" t="str">
        <f>HYPERLINK("http://141.218.60.56/~jnz1568/getInfo.php?workbook=16_15.xlsx&amp;sheet=A0&amp;row=1503&amp;col=11&amp;number=1.9335e-05&amp;sourceID=54","1.9335e-05")</f>
        <v>1.9335e-05</v>
      </c>
      <c r="L1503" s="4" t="str">
        <f>HYPERLINK("http://141.218.60.56/~jnz1568/getInfo.php?workbook=16_15.xlsx&amp;sheet=A0&amp;row=1503&amp;col=12&amp;number=&amp;sourceID=53","")</f>
        <v/>
      </c>
      <c r="M1503" s="4" t="str">
        <f>HYPERLINK("http://141.218.60.56/~jnz1568/getInfo.php?workbook=16_15.xlsx&amp;sheet=A0&amp;row=1503&amp;col=13&amp;number=&amp;sourceID=53","")</f>
        <v/>
      </c>
      <c r="N1503" s="4" t="str">
        <f>HYPERLINK("http://141.218.60.56/~jnz1568/getInfo.php?workbook=16_15.xlsx&amp;sheet=A0&amp;row=1503&amp;col=14&amp;number=&amp;sourceID=53","")</f>
        <v/>
      </c>
      <c r="O1503" s="4" t="str">
        <f>HYPERLINK("http://141.218.60.56/~jnz1568/getInfo.php?workbook=16_15.xlsx&amp;sheet=A0&amp;row=1503&amp;col=15&amp;number=&amp;sourceID=55","")</f>
        <v/>
      </c>
      <c r="P1503" s="4" t="str">
        <f>HYPERLINK("http://141.218.60.56/~jnz1568/getInfo.php?workbook=16_15.xlsx&amp;sheet=A0&amp;row=1503&amp;col=16&amp;number=&amp;sourceID=55","")</f>
        <v/>
      </c>
      <c r="Q1503" s="4" t="str">
        <f>HYPERLINK("http://141.218.60.56/~jnz1568/getInfo.php?workbook=16_15.xlsx&amp;sheet=A0&amp;row=1503&amp;col=17&amp;number=&amp;sourceID=56","")</f>
        <v/>
      </c>
      <c r="R1503" s="4" t="str">
        <f>HYPERLINK("http://141.218.60.56/~jnz1568/getInfo.php?workbook=16_15.xlsx&amp;sheet=A0&amp;row=1503&amp;col=18&amp;number=&amp;sourceID=56","")</f>
        <v/>
      </c>
      <c r="S1503" s="4" t="str">
        <f>HYPERLINK("http://141.218.60.56/~jnz1568/getInfo.php?workbook=16_15.xlsx&amp;sheet=A0&amp;row=1503&amp;col=19&amp;number=&amp;sourceID=57","")</f>
        <v/>
      </c>
      <c r="T1503" s="4" t="str">
        <f>HYPERLINK("http://141.218.60.56/~jnz1568/getInfo.php?workbook=16_15.xlsx&amp;sheet=A0&amp;row=1503&amp;col=20&amp;number=&amp;sourceID=57","")</f>
        <v/>
      </c>
      <c r="U1503" s="4" t="str">
        <f>HYPERLINK("http://141.218.60.56/~jnz1568/getInfo.php?workbook=16_15.xlsx&amp;sheet=A0&amp;row=1503&amp;col=21&amp;number=&amp;sourceID=47","")</f>
        <v/>
      </c>
      <c r="V1503" s="4" t="str">
        <f>HYPERLINK("http://141.218.60.56/~jnz1568/getInfo.php?workbook=16_15.xlsx&amp;sheet=A0&amp;row=1503&amp;col=22&amp;number=&amp;sourceID=47","")</f>
        <v/>
      </c>
    </row>
    <row r="1504" spans="1:22">
      <c r="A1504" s="3">
        <v>16</v>
      </c>
      <c r="B1504" s="3">
        <v>15</v>
      </c>
      <c r="C1504" s="3">
        <v>62</v>
      </c>
      <c r="D1504" s="3">
        <v>51</v>
      </c>
      <c r="E1504" s="3">
        <f>((1/(INDEX(E0!J$4:J$73,C1504,1)-INDEX(E0!J$4:J$73,D1504,1))))*100000000</f>
        <v>0</v>
      </c>
      <c r="F1504" s="4" t="str">
        <f>HYPERLINK("http://141.218.60.56/~jnz1568/getInfo.php?workbook=16_15.xlsx&amp;sheet=A0&amp;row=1504&amp;col=6&amp;number=&amp;sourceID=54","")</f>
        <v/>
      </c>
      <c r="G1504" s="4" t="str">
        <f>HYPERLINK("http://141.218.60.56/~jnz1568/getInfo.php?workbook=16_15.xlsx&amp;sheet=A0&amp;row=1504&amp;col=7&amp;number=0.016771&amp;sourceID=54","0.016771")</f>
        <v>0.016771</v>
      </c>
      <c r="H1504" s="4" t="str">
        <f>HYPERLINK("http://141.218.60.56/~jnz1568/getInfo.php?workbook=16_15.xlsx&amp;sheet=A0&amp;row=1504&amp;col=8&amp;number=&amp;sourceID=54","")</f>
        <v/>
      </c>
      <c r="I1504" s="4" t="str">
        <f>HYPERLINK("http://141.218.60.56/~jnz1568/getInfo.php?workbook=16_15.xlsx&amp;sheet=A0&amp;row=1504&amp;col=9&amp;number=&amp;sourceID=54","")</f>
        <v/>
      </c>
      <c r="J1504" s="4" t="str">
        <f>HYPERLINK("http://141.218.60.56/~jnz1568/getInfo.php?workbook=16_15.xlsx&amp;sheet=A0&amp;row=1504&amp;col=10&amp;number=0.0077859&amp;sourceID=54","0.0077859")</f>
        <v>0.0077859</v>
      </c>
      <c r="K1504" s="4" t="str">
        <f>HYPERLINK("http://141.218.60.56/~jnz1568/getInfo.php?workbook=16_15.xlsx&amp;sheet=A0&amp;row=1504&amp;col=11&amp;number=&amp;sourceID=54","")</f>
        <v/>
      </c>
      <c r="L1504" s="4" t="str">
        <f>HYPERLINK("http://141.218.60.56/~jnz1568/getInfo.php?workbook=16_15.xlsx&amp;sheet=A0&amp;row=1504&amp;col=12&amp;number=&amp;sourceID=53","")</f>
        <v/>
      </c>
      <c r="M1504" s="4" t="str">
        <f>HYPERLINK("http://141.218.60.56/~jnz1568/getInfo.php?workbook=16_15.xlsx&amp;sheet=A0&amp;row=1504&amp;col=13&amp;number=&amp;sourceID=53","")</f>
        <v/>
      </c>
      <c r="N1504" s="4" t="str">
        <f>HYPERLINK("http://141.218.60.56/~jnz1568/getInfo.php?workbook=16_15.xlsx&amp;sheet=A0&amp;row=1504&amp;col=14&amp;number=&amp;sourceID=53","")</f>
        <v/>
      </c>
      <c r="O1504" s="4" t="str">
        <f>HYPERLINK("http://141.218.60.56/~jnz1568/getInfo.php?workbook=16_15.xlsx&amp;sheet=A0&amp;row=1504&amp;col=15&amp;number=&amp;sourceID=55","")</f>
        <v/>
      </c>
      <c r="P1504" s="4" t="str">
        <f>HYPERLINK("http://141.218.60.56/~jnz1568/getInfo.php?workbook=16_15.xlsx&amp;sheet=A0&amp;row=1504&amp;col=16&amp;number=&amp;sourceID=55","")</f>
        <v/>
      </c>
      <c r="Q1504" s="4" t="str">
        <f>HYPERLINK("http://141.218.60.56/~jnz1568/getInfo.php?workbook=16_15.xlsx&amp;sheet=A0&amp;row=1504&amp;col=17&amp;number=&amp;sourceID=56","")</f>
        <v/>
      </c>
      <c r="R1504" s="4" t="str">
        <f>HYPERLINK("http://141.218.60.56/~jnz1568/getInfo.php?workbook=16_15.xlsx&amp;sheet=A0&amp;row=1504&amp;col=18&amp;number=&amp;sourceID=56","")</f>
        <v/>
      </c>
      <c r="S1504" s="4" t="str">
        <f>HYPERLINK("http://141.218.60.56/~jnz1568/getInfo.php?workbook=16_15.xlsx&amp;sheet=A0&amp;row=1504&amp;col=19&amp;number=&amp;sourceID=57","")</f>
        <v/>
      </c>
      <c r="T1504" s="4" t="str">
        <f>HYPERLINK("http://141.218.60.56/~jnz1568/getInfo.php?workbook=16_15.xlsx&amp;sheet=A0&amp;row=1504&amp;col=20&amp;number=&amp;sourceID=57","")</f>
        <v/>
      </c>
      <c r="U1504" s="4" t="str">
        <f>HYPERLINK("http://141.218.60.56/~jnz1568/getInfo.php?workbook=16_15.xlsx&amp;sheet=A0&amp;row=1504&amp;col=21&amp;number=&amp;sourceID=47","")</f>
        <v/>
      </c>
      <c r="V1504" s="4" t="str">
        <f>HYPERLINK("http://141.218.60.56/~jnz1568/getInfo.php?workbook=16_15.xlsx&amp;sheet=A0&amp;row=1504&amp;col=22&amp;number=&amp;sourceID=47","")</f>
        <v/>
      </c>
    </row>
    <row r="1505" spans="1:22">
      <c r="A1505" s="3">
        <v>16</v>
      </c>
      <c r="B1505" s="3">
        <v>15</v>
      </c>
      <c r="C1505" s="3">
        <v>62</v>
      </c>
      <c r="D1505" s="3">
        <v>52</v>
      </c>
      <c r="E1505" s="3">
        <f>((1/(INDEX(E0!J$4:J$73,C1505,1)-INDEX(E0!J$4:J$73,D1505,1))))*100000000</f>
        <v>0</v>
      </c>
      <c r="F1505" s="4" t="str">
        <f>HYPERLINK("http://141.218.60.56/~jnz1568/getInfo.php?workbook=16_15.xlsx&amp;sheet=A0&amp;row=1505&amp;col=6&amp;number=&amp;sourceID=54","")</f>
        <v/>
      </c>
      <c r="G1505" s="4" t="str">
        <f>HYPERLINK("http://141.218.60.56/~jnz1568/getInfo.php?workbook=16_15.xlsx&amp;sheet=A0&amp;row=1505&amp;col=7&amp;number=0.0010455&amp;sourceID=54","0.0010455")</f>
        <v>0.0010455</v>
      </c>
      <c r="H1505" s="4" t="str">
        <f>HYPERLINK("http://141.218.60.56/~jnz1568/getInfo.php?workbook=16_15.xlsx&amp;sheet=A0&amp;row=1505&amp;col=8&amp;number=0.0021884&amp;sourceID=54","0.0021884")</f>
        <v>0.0021884</v>
      </c>
      <c r="I1505" s="4" t="str">
        <f>HYPERLINK("http://141.218.60.56/~jnz1568/getInfo.php?workbook=16_15.xlsx&amp;sheet=A0&amp;row=1505&amp;col=9&amp;number=&amp;sourceID=54","")</f>
        <v/>
      </c>
      <c r="J1505" s="4" t="str">
        <f>HYPERLINK("http://141.218.60.56/~jnz1568/getInfo.php?workbook=16_15.xlsx&amp;sheet=A0&amp;row=1505&amp;col=10&amp;number=0.0016056&amp;sourceID=54","0.0016056")</f>
        <v>0.0016056</v>
      </c>
      <c r="K1505" s="4" t="str">
        <f>HYPERLINK("http://141.218.60.56/~jnz1568/getInfo.php?workbook=16_15.xlsx&amp;sheet=A0&amp;row=1505&amp;col=11&amp;number=0.0012981&amp;sourceID=54","0.0012981")</f>
        <v>0.0012981</v>
      </c>
      <c r="L1505" s="4" t="str">
        <f>HYPERLINK("http://141.218.60.56/~jnz1568/getInfo.php?workbook=16_15.xlsx&amp;sheet=A0&amp;row=1505&amp;col=12&amp;number=&amp;sourceID=53","")</f>
        <v/>
      </c>
      <c r="M1505" s="4" t="str">
        <f>HYPERLINK("http://141.218.60.56/~jnz1568/getInfo.php?workbook=16_15.xlsx&amp;sheet=A0&amp;row=1505&amp;col=13&amp;number=&amp;sourceID=53","")</f>
        <v/>
      </c>
      <c r="N1505" s="4" t="str">
        <f>HYPERLINK("http://141.218.60.56/~jnz1568/getInfo.php?workbook=16_15.xlsx&amp;sheet=A0&amp;row=1505&amp;col=14&amp;number=&amp;sourceID=53","")</f>
        <v/>
      </c>
      <c r="O1505" s="4" t="str">
        <f>HYPERLINK("http://141.218.60.56/~jnz1568/getInfo.php?workbook=16_15.xlsx&amp;sheet=A0&amp;row=1505&amp;col=15&amp;number=&amp;sourceID=55","")</f>
        <v/>
      </c>
      <c r="P1505" s="4" t="str">
        <f>HYPERLINK("http://141.218.60.56/~jnz1568/getInfo.php?workbook=16_15.xlsx&amp;sheet=A0&amp;row=1505&amp;col=16&amp;number=&amp;sourceID=55","")</f>
        <v/>
      </c>
      <c r="Q1505" s="4" t="str">
        <f>HYPERLINK("http://141.218.60.56/~jnz1568/getInfo.php?workbook=16_15.xlsx&amp;sheet=A0&amp;row=1505&amp;col=17&amp;number=&amp;sourceID=56","")</f>
        <v/>
      </c>
      <c r="R1505" s="4" t="str">
        <f>HYPERLINK("http://141.218.60.56/~jnz1568/getInfo.php?workbook=16_15.xlsx&amp;sheet=A0&amp;row=1505&amp;col=18&amp;number=&amp;sourceID=56","")</f>
        <v/>
      </c>
      <c r="S1505" s="4" t="str">
        <f>HYPERLINK("http://141.218.60.56/~jnz1568/getInfo.php?workbook=16_15.xlsx&amp;sheet=A0&amp;row=1505&amp;col=19&amp;number=&amp;sourceID=57","")</f>
        <v/>
      </c>
      <c r="T1505" s="4" t="str">
        <f>HYPERLINK("http://141.218.60.56/~jnz1568/getInfo.php?workbook=16_15.xlsx&amp;sheet=A0&amp;row=1505&amp;col=20&amp;number=&amp;sourceID=57","")</f>
        <v/>
      </c>
      <c r="U1505" s="4" t="str">
        <f>HYPERLINK("http://141.218.60.56/~jnz1568/getInfo.php?workbook=16_15.xlsx&amp;sheet=A0&amp;row=1505&amp;col=21&amp;number=&amp;sourceID=47","")</f>
        <v/>
      </c>
      <c r="V1505" s="4" t="str">
        <f>HYPERLINK("http://141.218.60.56/~jnz1568/getInfo.php?workbook=16_15.xlsx&amp;sheet=A0&amp;row=1505&amp;col=22&amp;number=&amp;sourceID=47","")</f>
        <v/>
      </c>
    </row>
    <row r="1506" spans="1:22">
      <c r="A1506" s="3">
        <v>16</v>
      </c>
      <c r="B1506" s="3">
        <v>15</v>
      </c>
      <c r="C1506" s="3">
        <v>62</v>
      </c>
      <c r="D1506" s="3">
        <v>53</v>
      </c>
      <c r="E1506" s="3">
        <f>((1/(INDEX(E0!J$4:J$73,C1506,1)-INDEX(E0!J$4:J$73,D1506,1))))*100000000</f>
        <v>0</v>
      </c>
      <c r="F1506" s="4" t="str">
        <f>HYPERLINK("http://141.218.60.56/~jnz1568/getInfo.php?workbook=16_15.xlsx&amp;sheet=A0&amp;row=1506&amp;col=6&amp;number=&amp;sourceID=54","")</f>
        <v/>
      </c>
      <c r="G1506" s="4" t="str">
        <f>HYPERLINK("http://141.218.60.56/~jnz1568/getInfo.php?workbook=16_15.xlsx&amp;sheet=A0&amp;row=1506&amp;col=7&amp;number=0.0061731&amp;sourceID=54","0.0061731")</f>
        <v>0.0061731</v>
      </c>
      <c r="H1506" s="4" t="str">
        <f>HYPERLINK("http://141.218.60.56/~jnz1568/getInfo.php?workbook=16_15.xlsx&amp;sheet=A0&amp;row=1506&amp;col=8&amp;number=0.0012201&amp;sourceID=54","0.0012201")</f>
        <v>0.0012201</v>
      </c>
      <c r="I1506" s="4" t="str">
        <f>HYPERLINK("http://141.218.60.56/~jnz1568/getInfo.php?workbook=16_15.xlsx&amp;sheet=A0&amp;row=1506&amp;col=9&amp;number=&amp;sourceID=54","")</f>
        <v/>
      </c>
      <c r="J1506" s="4" t="str">
        <f>HYPERLINK("http://141.218.60.56/~jnz1568/getInfo.php?workbook=16_15.xlsx&amp;sheet=A0&amp;row=1506&amp;col=10&amp;number=0.0094975&amp;sourceID=54","0.0094975")</f>
        <v>0.0094975</v>
      </c>
      <c r="K1506" s="4" t="str">
        <f>HYPERLINK("http://141.218.60.56/~jnz1568/getInfo.php?workbook=16_15.xlsx&amp;sheet=A0&amp;row=1506&amp;col=11&amp;number=0.0013323&amp;sourceID=54","0.0013323")</f>
        <v>0.0013323</v>
      </c>
      <c r="L1506" s="4" t="str">
        <f>HYPERLINK("http://141.218.60.56/~jnz1568/getInfo.php?workbook=16_15.xlsx&amp;sheet=A0&amp;row=1506&amp;col=12&amp;number=&amp;sourceID=53","")</f>
        <v/>
      </c>
      <c r="M1506" s="4" t="str">
        <f>HYPERLINK("http://141.218.60.56/~jnz1568/getInfo.php?workbook=16_15.xlsx&amp;sheet=A0&amp;row=1506&amp;col=13&amp;number=&amp;sourceID=53","")</f>
        <v/>
      </c>
      <c r="N1506" s="4" t="str">
        <f>HYPERLINK("http://141.218.60.56/~jnz1568/getInfo.php?workbook=16_15.xlsx&amp;sheet=A0&amp;row=1506&amp;col=14&amp;number=&amp;sourceID=53","")</f>
        <v/>
      </c>
      <c r="O1506" s="4" t="str">
        <f>HYPERLINK("http://141.218.60.56/~jnz1568/getInfo.php?workbook=16_15.xlsx&amp;sheet=A0&amp;row=1506&amp;col=15&amp;number=&amp;sourceID=55","")</f>
        <v/>
      </c>
      <c r="P1506" s="4" t="str">
        <f>HYPERLINK("http://141.218.60.56/~jnz1568/getInfo.php?workbook=16_15.xlsx&amp;sheet=A0&amp;row=1506&amp;col=16&amp;number=&amp;sourceID=55","")</f>
        <v/>
      </c>
      <c r="Q1506" s="4" t="str">
        <f>HYPERLINK("http://141.218.60.56/~jnz1568/getInfo.php?workbook=16_15.xlsx&amp;sheet=A0&amp;row=1506&amp;col=17&amp;number=&amp;sourceID=56","")</f>
        <v/>
      </c>
      <c r="R1506" s="4" t="str">
        <f>HYPERLINK("http://141.218.60.56/~jnz1568/getInfo.php?workbook=16_15.xlsx&amp;sheet=A0&amp;row=1506&amp;col=18&amp;number=&amp;sourceID=56","")</f>
        <v/>
      </c>
      <c r="S1506" s="4" t="str">
        <f>HYPERLINK("http://141.218.60.56/~jnz1568/getInfo.php?workbook=16_15.xlsx&amp;sheet=A0&amp;row=1506&amp;col=19&amp;number=&amp;sourceID=57","")</f>
        <v/>
      </c>
      <c r="T1506" s="4" t="str">
        <f>HYPERLINK("http://141.218.60.56/~jnz1568/getInfo.php?workbook=16_15.xlsx&amp;sheet=A0&amp;row=1506&amp;col=20&amp;number=&amp;sourceID=57","")</f>
        <v/>
      </c>
      <c r="U1506" s="4" t="str">
        <f>HYPERLINK("http://141.218.60.56/~jnz1568/getInfo.php?workbook=16_15.xlsx&amp;sheet=A0&amp;row=1506&amp;col=21&amp;number=&amp;sourceID=47","")</f>
        <v/>
      </c>
      <c r="V1506" s="4" t="str">
        <f>HYPERLINK("http://141.218.60.56/~jnz1568/getInfo.php?workbook=16_15.xlsx&amp;sheet=A0&amp;row=1506&amp;col=22&amp;number=&amp;sourceID=47","")</f>
        <v/>
      </c>
    </row>
    <row r="1507" spans="1:22">
      <c r="A1507" s="3">
        <v>16</v>
      </c>
      <c r="B1507" s="3">
        <v>15</v>
      </c>
      <c r="C1507" s="3">
        <v>62</v>
      </c>
      <c r="D1507" s="3">
        <v>54</v>
      </c>
      <c r="E1507" s="3">
        <f>((1/(INDEX(E0!J$4:J$73,C1507,1)-INDEX(E0!J$4:J$73,D1507,1))))*100000000</f>
        <v>0</v>
      </c>
      <c r="F1507" s="4" t="str">
        <f>HYPERLINK("http://141.218.60.56/~jnz1568/getInfo.php?workbook=16_15.xlsx&amp;sheet=A0&amp;row=1507&amp;col=6&amp;number=&amp;sourceID=54","")</f>
        <v/>
      </c>
      <c r="G1507" s="4" t="str">
        <f>HYPERLINK("http://141.218.60.56/~jnz1568/getInfo.php?workbook=16_15.xlsx&amp;sheet=A0&amp;row=1507&amp;col=7&amp;number=8.1598e-05&amp;sourceID=54","8.1598e-05")</f>
        <v>8.1598e-05</v>
      </c>
      <c r="H1507" s="4" t="str">
        <f>HYPERLINK("http://141.218.60.56/~jnz1568/getInfo.php?workbook=16_15.xlsx&amp;sheet=A0&amp;row=1507&amp;col=8&amp;number=&amp;sourceID=54","")</f>
        <v/>
      </c>
      <c r="I1507" s="4" t="str">
        <f>HYPERLINK("http://141.218.60.56/~jnz1568/getInfo.php?workbook=16_15.xlsx&amp;sheet=A0&amp;row=1507&amp;col=9&amp;number=&amp;sourceID=54","")</f>
        <v/>
      </c>
      <c r="J1507" s="4" t="str">
        <f>HYPERLINK("http://141.218.60.56/~jnz1568/getInfo.php?workbook=16_15.xlsx&amp;sheet=A0&amp;row=1507&amp;col=10&amp;number=5.3991e-05&amp;sourceID=54","5.3991e-05")</f>
        <v>5.3991e-05</v>
      </c>
      <c r="K1507" s="4" t="str">
        <f>HYPERLINK("http://141.218.60.56/~jnz1568/getInfo.php?workbook=16_15.xlsx&amp;sheet=A0&amp;row=1507&amp;col=11&amp;number=&amp;sourceID=54","")</f>
        <v/>
      </c>
      <c r="L1507" s="4" t="str">
        <f>HYPERLINK("http://141.218.60.56/~jnz1568/getInfo.php?workbook=16_15.xlsx&amp;sheet=A0&amp;row=1507&amp;col=12&amp;number=&amp;sourceID=53","")</f>
        <v/>
      </c>
      <c r="M1507" s="4" t="str">
        <f>HYPERLINK("http://141.218.60.56/~jnz1568/getInfo.php?workbook=16_15.xlsx&amp;sheet=A0&amp;row=1507&amp;col=13&amp;number=&amp;sourceID=53","")</f>
        <v/>
      </c>
      <c r="N1507" s="4" t="str">
        <f>HYPERLINK("http://141.218.60.56/~jnz1568/getInfo.php?workbook=16_15.xlsx&amp;sheet=A0&amp;row=1507&amp;col=14&amp;number=&amp;sourceID=53","")</f>
        <v/>
      </c>
      <c r="O1507" s="4" t="str">
        <f>HYPERLINK("http://141.218.60.56/~jnz1568/getInfo.php?workbook=16_15.xlsx&amp;sheet=A0&amp;row=1507&amp;col=15&amp;number=&amp;sourceID=55","")</f>
        <v/>
      </c>
      <c r="P1507" s="4" t="str">
        <f>HYPERLINK("http://141.218.60.56/~jnz1568/getInfo.php?workbook=16_15.xlsx&amp;sheet=A0&amp;row=1507&amp;col=16&amp;number=&amp;sourceID=55","")</f>
        <v/>
      </c>
      <c r="Q1507" s="4" t="str">
        <f>HYPERLINK("http://141.218.60.56/~jnz1568/getInfo.php?workbook=16_15.xlsx&amp;sheet=A0&amp;row=1507&amp;col=17&amp;number=&amp;sourceID=56","")</f>
        <v/>
      </c>
      <c r="R1507" s="4" t="str">
        <f>HYPERLINK("http://141.218.60.56/~jnz1568/getInfo.php?workbook=16_15.xlsx&amp;sheet=A0&amp;row=1507&amp;col=18&amp;number=&amp;sourceID=56","")</f>
        <v/>
      </c>
      <c r="S1507" s="4" t="str">
        <f>HYPERLINK("http://141.218.60.56/~jnz1568/getInfo.php?workbook=16_15.xlsx&amp;sheet=A0&amp;row=1507&amp;col=19&amp;number=&amp;sourceID=57","")</f>
        <v/>
      </c>
      <c r="T1507" s="4" t="str">
        <f>HYPERLINK("http://141.218.60.56/~jnz1568/getInfo.php?workbook=16_15.xlsx&amp;sheet=A0&amp;row=1507&amp;col=20&amp;number=&amp;sourceID=57","")</f>
        <v/>
      </c>
      <c r="U1507" s="4" t="str">
        <f>HYPERLINK("http://141.218.60.56/~jnz1568/getInfo.php?workbook=16_15.xlsx&amp;sheet=A0&amp;row=1507&amp;col=21&amp;number=&amp;sourceID=47","")</f>
        <v/>
      </c>
      <c r="V1507" s="4" t="str">
        <f>HYPERLINK("http://141.218.60.56/~jnz1568/getInfo.php?workbook=16_15.xlsx&amp;sheet=A0&amp;row=1507&amp;col=22&amp;number=&amp;sourceID=47","")</f>
        <v/>
      </c>
    </row>
    <row r="1508" spans="1:22">
      <c r="A1508" s="3">
        <v>16</v>
      </c>
      <c r="B1508" s="3">
        <v>15</v>
      </c>
      <c r="C1508" s="3">
        <v>62</v>
      </c>
      <c r="D1508" s="3">
        <v>55</v>
      </c>
      <c r="E1508" s="3">
        <f>((1/(INDEX(E0!J$4:J$73,C1508,1)-INDEX(E0!J$4:J$73,D1508,1))))*100000000</f>
        <v>0</v>
      </c>
      <c r="F1508" s="4" t="str">
        <f>HYPERLINK("http://141.218.60.56/~jnz1568/getInfo.php?workbook=16_15.xlsx&amp;sheet=A0&amp;row=1508&amp;col=6&amp;number=&amp;sourceID=54","")</f>
        <v/>
      </c>
      <c r="G1508" s="4" t="str">
        <f>HYPERLINK("http://141.218.60.56/~jnz1568/getInfo.php?workbook=16_15.xlsx&amp;sheet=A0&amp;row=1508&amp;col=7&amp;number=0.00018996&amp;sourceID=54","0.00018996")</f>
        <v>0.00018996</v>
      </c>
      <c r="H1508" s="4" t="str">
        <f>HYPERLINK("http://141.218.60.56/~jnz1568/getInfo.php?workbook=16_15.xlsx&amp;sheet=A0&amp;row=1508&amp;col=8&amp;number=0.00010473&amp;sourceID=54","0.00010473")</f>
        <v>0.00010473</v>
      </c>
      <c r="I1508" s="4" t="str">
        <f>HYPERLINK("http://141.218.60.56/~jnz1568/getInfo.php?workbook=16_15.xlsx&amp;sheet=A0&amp;row=1508&amp;col=9&amp;number=&amp;sourceID=54","")</f>
        <v/>
      </c>
      <c r="J1508" s="4" t="str">
        <f>HYPERLINK("http://141.218.60.56/~jnz1568/getInfo.php?workbook=16_15.xlsx&amp;sheet=A0&amp;row=1508&amp;col=10&amp;number=0.00013422&amp;sourceID=54","0.00013422")</f>
        <v>0.00013422</v>
      </c>
      <c r="K1508" s="4" t="str">
        <f>HYPERLINK("http://141.218.60.56/~jnz1568/getInfo.php?workbook=16_15.xlsx&amp;sheet=A0&amp;row=1508&amp;col=11&amp;number=8.6501e-05&amp;sourceID=54","8.6501e-05")</f>
        <v>8.6501e-05</v>
      </c>
      <c r="L1508" s="4" t="str">
        <f>HYPERLINK("http://141.218.60.56/~jnz1568/getInfo.php?workbook=16_15.xlsx&amp;sheet=A0&amp;row=1508&amp;col=12&amp;number=&amp;sourceID=53","")</f>
        <v/>
      </c>
      <c r="M1508" s="4" t="str">
        <f>HYPERLINK("http://141.218.60.56/~jnz1568/getInfo.php?workbook=16_15.xlsx&amp;sheet=A0&amp;row=1508&amp;col=13&amp;number=&amp;sourceID=53","")</f>
        <v/>
      </c>
      <c r="N1508" s="4" t="str">
        <f>HYPERLINK("http://141.218.60.56/~jnz1568/getInfo.php?workbook=16_15.xlsx&amp;sheet=A0&amp;row=1508&amp;col=14&amp;number=&amp;sourceID=53","")</f>
        <v/>
      </c>
      <c r="O1508" s="4" t="str">
        <f>HYPERLINK("http://141.218.60.56/~jnz1568/getInfo.php?workbook=16_15.xlsx&amp;sheet=A0&amp;row=1508&amp;col=15&amp;number=&amp;sourceID=55","")</f>
        <v/>
      </c>
      <c r="P1508" s="4" t="str">
        <f>HYPERLINK("http://141.218.60.56/~jnz1568/getInfo.php?workbook=16_15.xlsx&amp;sheet=A0&amp;row=1508&amp;col=16&amp;number=&amp;sourceID=55","")</f>
        <v/>
      </c>
      <c r="Q1508" s="4" t="str">
        <f>HYPERLINK("http://141.218.60.56/~jnz1568/getInfo.php?workbook=16_15.xlsx&amp;sheet=A0&amp;row=1508&amp;col=17&amp;number=&amp;sourceID=56","")</f>
        <v/>
      </c>
      <c r="R1508" s="4" t="str">
        <f>HYPERLINK("http://141.218.60.56/~jnz1568/getInfo.php?workbook=16_15.xlsx&amp;sheet=A0&amp;row=1508&amp;col=18&amp;number=&amp;sourceID=56","")</f>
        <v/>
      </c>
      <c r="S1508" s="4" t="str">
        <f>HYPERLINK("http://141.218.60.56/~jnz1568/getInfo.php?workbook=16_15.xlsx&amp;sheet=A0&amp;row=1508&amp;col=19&amp;number=&amp;sourceID=57","")</f>
        <v/>
      </c>
      <c r="T1508" s="4" t="str">
        <f>HYPERLINK("http://141.218.60.56/~jnz1568/getInfo.php?workbook=16_15.xlsx&amp;sheet=A0&amp;row=1508&amp;col=20&amp;number=&amp;sourceID=57","")</f>
        <v/>
      </c>
      <c r="U1508" s="4" t="str">
        <f>HYPERLINK("http://141.218.60.56/~jnz1568/getInfo.php?workbook=16_15.xlsx&amp;sheet=A0&amp;row=1508&amp;col=21&amp;number=&amp;sourceID=47","")</f>
        <v/>
      </c>
      <c r="V1508" s="4" t="str">
        <f>HYPERLINK("http://141.218.60.56/~jnz1568/getInfo.php?workbook=16_15.xlsx&amp;sheet=A0&amp;row=1508&amp;col=22&amp;number=&amp;sourceID=47","")</f>
        <v/>
      </c>
    </row>
    <row r="1509" spans="1:22">
      <c r="A1509" s="3">
        <v>16</v>
      </c>
      <c r="B1509" s="3">
        <v>15</v>
      </c>
      <c r="C1509" s="3">
        <v>62</v>
      </c>
      <c r="D1509" s="3">
        <v>56</v>
      </c>
      <c r="E1509" s="3">
        <f>((1/(INDEX(E0!J$4:J$73,C1509,1)-INDEX(E0!J$4:J$73,D1509,1))))*100000000</f>
        <v>0</v>
      </c>
      <c r="F1509" s="4" t="str">
        <f>HYPERLINK("http://141.218.60.56/~jnz1568/getInfo.php?workbook=16_15.xlsx&amp;sheet=A0&amp;row=1509&amp;col=6&amp;number=17426&amp;sourceID=54","17426")</f>
        <v>17426</v>
      </c>
      <c r="G1509" s="4" t="str">
        <f>HYPERLINK("http://141.218.60.56/~jnz1568/getInfo.php?workbook=16_15.xlsx&amp;sheet=A0&amp;row=1509&amp;col=7&amp;number=&amp;sourceID=54","")</f>
        <v/>
      </c>
      <c r="H1509" s="4" t="str">
        <f>HYPERLINK("http://141.218.60.56/~jnz1568/getInfo.php?workbook=16_15.xlsx&amp;sheet=A0&amp;row=1509&amp;col=8&amp;number=&amp;sourceID=54","")</f>
        <v/>
      </c>
      <c r="I1509" s="4" t="str">
        <f>HYPERLINK("http://141.218.60.56/~jnz1568/getInfo.php?workbook=16_15.xlsx&amp;sheet=A0&amp;row=1509&amp;col=9&amp;number=5270.4&amp;sourceID=54","5270.4")</f>
        <v>5270.4</v>
      </c>
      <c r="J1509" s="4" t="str">
        <f>HYPERLINK("http://141.218.60.56/~jnz1568/getInfo.php?workbook=16_15.xlsx&amp;sheet=A0&amp;row=1509&amp;col=10&amp;number=&amp;sourceID=54","")</f>
        <v/>
      </c>
      <c r="K1509" s="4" t="str">
        <f>HYPERLINK("http://141.218.60.56/~jnz1568/getInfo.php?workbook=16_15.xlsx&amp;sheet=A0&amp;row=1509&amp;col=11&amp;number=&amp;sourceID=54","")</f>
        <v/>
      </c>
      <c r="L1509" s="4" t="str">
        <f>HYPERLINK("http://141.218.60.56/~jnz1568/getInfo.php?workbook=16_15.xlsx&amp;sheet=A0&amp;row=1509&amp;col=12&amp;number=2078.07511049&amp;sourceID=53","2078.07511049")</f>
        <v>2078.07511049</v>
      </c>
      <c r="M1509" s="4" t="str">
        <f>HYPERLINK("http://141.218.60.56/~jnz1568/getInfo.php?workbook=16_15.xlsx&amp;sheet=A0&amp;row=1509&amp;col=13&amp;number=&amp;sourceID=53","")</f>
        <v/>
      </c>
      <c r="N1509" s="4" t="str">
        <f>HYPERLINK("http://141.218.60.56/~jnz1568/getInfo.php?workbook=16_15.xlsx&amp;sheet=A0&amp;row=1509&amp;col=14&amp;number=&amp;sourceID=53","")</f>
        <v/>
      </c>
      <c r="O1509" s="4" t="str">
        <f>HYPERLINK("http://141.218.60.56/~jnz1568/getInfo.php?workbook=16_15.xlsx&amp;sheet=A0&amp;row=1509&amp;col=15&amp;number=&amp;sourceID=55","")</f>
        <v/>
      </c>
      <c r="P1509" s="4" t="str">
        <f>HYPERLINK("http://141.218.60.56/~jnz1568/getInfo.php?workbook=16_15.xlsx&amp;sheet=A0&amp;row=1509&amp;col=16&amp;number=&amp;sourceID=55","")</f>
        <v/>
      </c>
      <c r="Q1509" s="4" t="str">
        <f>HYPERLINK("http://141.218.60.56/~jnz1568/getInfo.php?workbook=16_15.xlsx&amp;sheet=A0&amp;row=1509&amp;col=17&amp;number=&amp;sourceID=56","")</f>
        <v/>
      </c>
      <c r="R1509" s="4" t="str">
        <f>HYPERLINK("http://141.218.60.56/~jnz1568/getInfo.php?workbook=16_15.xlsx&amp;sheet=A0&amp;row=1509&amp;col=18&amp;number=&amp;sourceID=56","")</f>
        <v/>
      </c>
      <c r="S1509" s="4" t="str">
        <f>HYPERLINK("http://141.218.60.56/~jnz1568/getInfo.php?workbook=16_15.xlsx&amp;sheet=A0&amp;row=1509&amp;col=19&amp;number=&amp;sourceID=57","")</f>
        <v/>
      </c>
      <c r="T1509" s="4" t="str">
        <f>HYPERLINK("http://141.218.60.56/~jnz1568/getInfo.php?workbook=16_15.xlsx&amp;sheet=A0&amp;row=1509&amp;col=20&amp;number=&amp;sourceID=57","")</f>
        <v/>
      </c>
      <c r="U1509" s="4" t="str">
        <f>HYPERLINK("http://141.218.60.56/~jnz1568/getInfo.php?workbook=16_15.xlsx&amp;sheet=A0&amp;row=1509&amp;col=21&amp;number=&amp;sourceID=47","")</f>
        <v/>
      </c>
      <c r="V1509" s="4" t="str">
        <f>HYPERLINK("http://141.218.60.56/~jnz1568/getInfo.php?workbook=16_15.xlsx&amp;sheet=A0&amp;row=1509&amp;col=22&amp;number=&amp;sourceID=47","")</f>
        <v/>
      </c>
    </row>
    <row r="1510" spans="1:22">
      <c r="A1510" s="3">
        <v>16</v>
      </c>
      <c r="B1510" s="3">
        <v>15</v>
      </c>
      <c r="C1510" s="3">
        <v>62</v>
      </c>
      <c r="D1510" s="3">
        <v>57</v>
      </c>
      <c r="E1510" s="3">
        <f>((1/(INDEX(E0!J$4:J$73,C1510,1)-INDEX(E0!J$4:J$73,D1510,1))))*100000000</f>
        <v>0</v>
      </c>
      <c r="F1510" s="4" t="str">
        <f>HYPERLINK("http://141.218.60.56/~jnz1568/getInfo.php?workbook=16_15.xlsx&amp;sheet=A0&amp;row=1510&amp;col=6&amp;number=98488&amp;sourceID=54","98488")</f>
        <v>98488</v>
      </c>
      <c r="G1510" s="4" t="str">
        <f>HYPERLINK("http://141.218.60.56/~jnz1568/getInfo.php?workbook=16_15.xlsx&amp;sheet=A0&amp;row=1510&amp;col=7&amp;number=&amp;sourceID=54","")</f>
        <v/>
      </c>
      <c r="H1510" s="4" t="str">
        <f>HYPERLINK("http://141.218.60.56/~jnz1568/getInfo.php?workbook=16_15.xlsx&amp;sheet=A0&amp;row=1510&amp;col=8&amp;number=&amp;sourceID=54","")</f>
        <v/>
      </c>
      <c r="I1510" s="4" t="str">
        <f>HYPERLINK("http://141.218.60.56/~jnz1568/getInfo.php?workbook=16_15.xlsx&amp;sheet=A0&amp;row=1510&amp;col=9&amp;number=52634&amp;sourceID=54","52634")</f>
        <v>52634</v>
      </c>
      <c r="J1510" s="4" t="str">
        <f>HYPERLINK("http://141.218.60.56/~jnz1568/getInfo.php?workbook=16_15.xlsx&amp;sheet=A0&amp;row=1510&amp;col=10&amp;number=&amp;sourceID=54","")</f>
        <v/>
      </c>
      <c r="K1510" s="4" t="str">
        <f>HYPERLINK("http://141.218.60.56/~jnz1568/getInfo.php?workbook=16_15.xlsx&amp;sheet=A0&amp;row=1510&amp;col=11&amp;number=&amp;sourceID=54","")</f>
        <v/>
      </c>
      <c r="L1510" s="4" t="str">
        <f>HYPERLINK("http://141.218.60.56/~jnz1568/getInfo.php?workbook=16_15.xlsx&amp;sheet=A0&amp;row=1510&amp;col=12&amp;number=69913.1372771&amp;sourceID=53","69913.1372771")</f>
        <v>69913.1372771</v>
      </c>
      <c r="M1510" s="4" t="str">
        <f>HYPERLINK("http://141.218.60.56/~jnz1568/getInfo.php?workbook=16_15.xlsx&amp;sheet=A0&amp;row=1510&amp;col=13&amp;number=&amp;sourceID=53","")</f>
        <v/>
      </c>
      <c r="N1510" s="4" t="str">
        <f>HYPERLINK("http://141.218.60.56/~jnz1568/getInfo.php?workbook=16_15.xlsx&amp;sheet=A0&amp;row=1510&amp;col=14&amp;number=&amp;sourceID=53","")</f>
        <v/>
      </c>
      <c r="O1510" s="4" t="str">
        <f>HYPERLINK("http://141.218.60.56/~jnz1568/getInfo.php?workbook=16_15.xlsx&amp;sheet=A0&amp;row=1510&amp;col=15&amp;number=&amp;sourceID=55","")</f>
        <v/>
      </c>
      <c r="P1510" s="4" t="str">
        <f>HYPERLINK("http://141.218.60.56/~jnz1568/getInfo.php?workbook=16_15.xlsx&amp;sheet=A0&amp;row=1510&amp;col=16&amp;number=&amp;sourceID=55","")</f>
        <v/>
      </c>
      <c r="Q1510" s="4" t="str">
        <f>HYPERLINK("http://141.218.60.56/~jnz1568/getInfo.php?workbook=16_15.xlsx&amp;sheet=A0&amp;row=1510&amp;col=17&amp;number=&amp;sourceID=56","")</f>
        <v/>
      </c>
      <c r="R1510" s="4" t="str">
        <f>HYPERLINK("http://141.218.60.56/~jnz1568/getInfo.php?workbook=16_15.xlsx&amp;sheet=A0&amp;row=1510&amp;col=18&amp;number=&amp;sourceID=56","")</f>
        <v/>
      </c>
      <c r="S1510" s="4" t="str">
        <f>HYPERLINK("http://141.218.60.56/~jnz1568/getInfo.php?workbook=16_15.xlsx&amp;sheet=A0&amp;row=1510&amp;col=19&amp;number=&amp;sourceID=57","")</f>
        <v/>
      </c>
      <c r="T1510" s="4" t="str">
        <f>HYPERLINK("http://141.218.60.56/~jnz1568/getInfo.php?workbook=16_15.xlsx&amp;sheet=A0&amp;row=1510&amp;col=20&amp;number=&amp;sourceID=57","")</f>
        <v/>
      </c>
      <c r="U1510" s="4" t="str">
        <f>HYPERLINK("http://141.218.60.56/~jnz1568/getInfo.php?workbook=16_15.xlsx&amp;sheet=A0&amp;row=1510&amp;col=21&amp;number=&amp;sourceID=47","")</f>
        <v/>
      </c>
      <c r="V1510" s="4" t="str">
        <f>HYPERLINK("http://141.218.60.56/~jnz1568/getInfo.php?workbook=16_15.xlsx&amp;sheet=A0&amp;row=1510&amp;col=22&amp;number=&amp;sourceID=47","")</f>
        <v/>
      </c>
    </row>
    <row r="1511" spans="1:22">
      <c r="A1511" s="3">
        <v>16</v>
      </c>
      <c r="B1511" s="3">
        <v>15</v>
      </c>
      <c r="C1511" s="3">
        <v>62</v>
      </c>
      <c r="D1511" s="3">
        <v>58</v>
      </c>
      <c r="E1511" s="3">
        <f>((1/(INDEX(E0!J$4:J$73,C1511,1)-INDEX(E0!J$4:J$73,D1511,1))))*100000000</f>
        <v>0</v>
      </c>
      <c r="F1511" s="4" t="str">
        <f>HYPERLINK("http://141.218.60.56/~jnz1568/getInfo.php?workbook=16_15.xlsx&amp;sheet=A0&amp;row=1511&amp;col=6&amp;number=208280&amp;sourceID=54","208280")</f>
        <v>208280</v>
      </c>
      <c r="G1511" s="4" t="str">
        <f>HYPERLINK("http://141.218.60.56/~jnz1568/getInfo.php?workbook=16_15.xlsx&amp;sheet=A0&amp;row=1511&amp;col=7&amp;number=&amp;sourceID=54","")</f>
        <v/>
      </c>
      <c r="H1511" s="4" t="str">
        <f>HYPERLINK("http://141.218.60.56/~jnz1568/getInfo.php?workbook=16_15.xlsx&amp;sheet=A0&amp;row=1511&amp;col=8&amp;number=&amp;sourceID=54","")</f>
        <v/>
      </c>
      <c r="I1511" s="4" t="str">
        <f>HYPERLINK("http://141.218.60.56/~jnz1568/getInfo.php?workbook=16_15.xlsx&amp;sheet=A0&amp;row=1511&amp;col=9&amp;number=102910&amp;sourceID=54","102910")</f>
        <v>102910</v>
      </c>
      <c r="J1511" s="4" t="str">
        <f>HYPERLINK("http://141.218.60.56/~jnz1568/getInfo.php?workbook=16_15.xlsx&amp;sheet=A0&amp;row=1511&amp;col=10&amp;number=&amp;sourceID=54","")</f>
        <v/>
      </c>
      <c r="K1511" s="4" t="str">
        <f>HYPERLINK("http://141.218.60.56/~jnz1568/getInfo.php?workbook=16_15.xlsx&amp;sheet=A0&amp;row=1511&amp;col=11&amp;number=&amp;sourceID=54","")</f>
        <v/>
      </c>
      <c r="L1511" s="4" t="str">
        <f>HYPERLINK("http://141.218.60.56/~jnz1568/getInfo.php?workbook=16_15.xlsx&amp;sheet=A0&amp;row=1511&amp;col=12&amp;number=52086.3276004&amp;sourceID=53","52086.3276004")</f>
        <v>52086.3276004</v>
      </c>
      <c r="M1511" s="4" t="str">
        <f>HYPERLINK("http://141.218.60.56/~jnz1568/getInfo.php?workbook=16_15.xlsx&amp;sheet=A0&amp;row=1511&amp;col=13&amp;number=&amp;sourceID=53","")</f>
        <v/>
      </c>
      <c r="N1511" s="4" t="str">
        <f>HYPERLINK("http://141.218.60.56/~jnz1568/getInfo.php?workbook=16_15.xlsx&amp;sheet=A0&amp;row=1511&amp;col=14&amp;number=&amp;sourceID=53","")</f>
        <v/>
      </c>
      <c r="O1511" s="4" t="str">
        <f>HYPERLINK("http://141.218.60.56/~jnz1568/getInfo.php?workbook=16_15.xlsx&amp;sheet=A0&amp;row=1511&amp;col=15&amp;number=&amp;sourceID=55","")</f>
        <v/>
      </c>
      <c r="P1511" s="4" t="str">
        <f>HYPERLINK("http://141.218.60.56/~jnz1568/getInfo.php?workbook=16_15.xlsx&amp;sheet=A0&amp;row=1511&amp;col=16&amp;number=&amp;sourceID=55","")</f>
        <v/>
      </c>
      <c r="Q1511" s="4" t="str">
        <f>HYPERLINK("http://141.218.60.56/~jnz1568/getInfo.php?workbook=16_15.xlsx&amp;sheet=A0&amp;row=1511&amp;col=17&amp;number=&amp;sourceID=56","")</f>
        <v/>
      </c>
      <c r="R1511" s="4" t="str">
        <f>HYPERLINK("http://141.218.60.56/~jnz1568/getInfo.php?workbook=16_15.xlsx&amp;sheet=A0&amp;row=1511&amp;col=18&amp;number=&amp;sourceID=56","")</f>
        <v/>
      </c>
      <c r="S1511" s="4" t="str">
        <f>HYPERLINK("http://141.218.60.56/~jnz1568/getInfo.php?workbook=16_15.xlsx&amp;sheet=A0&amp;row=1511&amp;col=19&amp;number=&amp;sourceID=57","")</f>
        <v/>
      </c>
      <c r="T1511" s="4" t="str">
        <f>HYPERLINK("http://141.218.60.56/~jnz1568/getInfo.php?workbook=16_15.xlsx&amp;sheet=A0&amp;row=1511&amp;col=20&amp;number=&amp;sourceID=57","")</f>
        <v/>
      </c>
      <c r="U1511" s="4" t="str">
        <f>HYPERLINK("http://141.218.60.56/~jnz1568/getInfo.php?workbook=16_15.xlsx&amp;sheet=A0&amp;row=1511&amp;col=21&amp;number=&amp;sourceID=47","")</f>
        <v/>
      </c>
      <c r="V1511" s="4" t="str">
        <f>HYPERLINK("http://141.218.60.56/~jnz1568/getInfo.php?workbook=16_15.xlsx&amp;sheet=A0&amp;row=1511&amp;col=22&amp;number=&amp;sourceID=47","")</f>
        <v/>
      </c>
    </row>
    <row r="1512" spans="1:22">
      <c r="A1512" s="3">
        <v>16</v>
      </c>
      <c r="B1512" s="3">
        <v>15</v>
      </c>
      <c r="C1512" s="3">
        <v>62</v>
      </c>
      <c r="D1512" s="3">
        <v>59</v>
      </c>
      <c r="E1512" s="3">
        <f>((1/(INDEX(E0!J$4:J$73,C1512,1)-INDEX(E0!J$4:J$73,D1512,1))))*100000000</f>
        <v>0</v>
      </c>
      <c r="F1512" s="4" t="str">
        <f>HYPERLINK("http://141.218.60.56/~jnz1568/getInfo.php?workbook=16_15.xlsx&amp;sheet=A0&amp;row=1512&amp;col=6&amp;number=5993.6&amp;sourceID=54","5993.6")</f>
        <v>5993.6</v>
      </c>
      <c r="G1512" s="4" t="str">
        <f>HYPERLINK("http://141.218.60.56/~jnz1568/getInfo.php?workbook=16_15.xlsx&amp;sheet=A0&amp;row=1512&amp;col=7&amp;number=&amp;sourceID=54","")</f>
        <v/>
      </c>
      <c r="H1512" s="4" t="str">
        <f>HYPERLINK("http://141.218.60.56/~jnz1568/getInfo.php?workbook=16_15.xlsx&amp;sheet=A0&amp;row=1512&amp;col=8&amp;number=&amp;sourceID=54","")</f>
        <v/>
      </c>
      <c r="I1512" s="4" t="str">
        <f>HYPERLINK("http://141.218.60.56/~jnz1568/getInfo.php?workbook=16_15.xlsx&amp;sheet=A0&amp;row=1512&amp;col=9&amp;number=3011&amp;sourceID=54","3011")</f>
        <v>3011</v>
      </c>
      <c r="J1512" s="4" t="str">
        <f>HYPERLINK("http://141.218.60.56/~jnz1568/getInfo.php?workbook=16_15.xlsx&amp;sheet=A0&amp;row=1512&amp;col=10&amp;number=&amp;sourceID=54","")</f>
        <v/>
      </c>
      <c r="K1512" s="4" t="str">
        <f>HYPERLINK("http://141.218.60.56/~jnz1568/getInfo.php?workbook=16_15.xlsx&amp;sheet=A0&amp;row=1512&amp;col=11&amp;number=&amp;sourceID=54","")</f>
        <v/>
      </c>
      <c r="L1512" s="4" t="str">
        <f>HYPERLINK("http://141.218.60.56/~jnz1568/getInfo.php?workbook=16_15.xlsx&amp;sheet=A0&amp;row=1512&amp;col=12&amp;number=652.280889091&amp;sourceID=53","652.280889091")</f>
        <v>652.280889091</v>
      </c>
      <c r="M1512" s="4" t="str">
        <f>HYPERLINK("http://141.218.60.56/~jnz1568/getInfo.php?workbook=16_15.xlsx&amp;sheet=A0&amp;row=1512&amp;col=13&amp;number=&amp;sourceID=53","")</f>
        <v/>
      </c>
      <c r="N1512" s="4" t="str">
        <f>HYPERLINK("http://141.218.60.56/~jnz1568/getInfo.php?workbook=16_15.xlsx&amp;sheet=A0&amp;row=1512&amp;col=14&amp;number=&amp;sourceID=53","")</f>
        <v/>
      </c>
      <c r="O1512" s="4" t="str">
        <f>HYPERLINK("http://141.218.60.56/~jnz1568/getInfo.php?workbook=16_15.xlsx&amp;sheet=A0&amp;row=1512&amp;col=15&amp;number=&amp;sourceID=55","")</f>
        <v/>
      </c>
      <c r="P1512" s="4" t="str">
        <f>HYPERLINK("http://141.218.60.56/~jnz1568/getInfo.php?workbook=16_15.xlsx&amp;sheet=A0&amp;row=1512&amp;col=16&amp;number=&amp;sourceID=55","")</f>
        <v/>
      </c>
      <c r="Q1512" s="4" t="str">
        <f>HYPERLINK("http://141.218.60.56/~jnz1568/getInfo.php?workbook=16_15.xlsx&amp;sheet=A0&amp;row=1512&amp;col=17&amp;number=&amp;sourceID=56","")</f>
        <v/>
      </c>
      <c r="R1512" s="4" t="str">
        <f>HYPERLINK("http://141.218.60.56/~jnz1568/getInfo.php?workbook=16_15.xlsx&amp;sheet=A0&amp;row=1512&amp;col=18&amp;number=&amp;sourceID=56","")</f>
        <v/>
      </c>
      <c r="S1512" s="4" t="str">
        <f>HYPERLINK("http://141.218.60.56/~jnz1568/getInfo.php?workbook=16_15.xlsx&amp;sheet=A0&amp;row=1512&amp;col=19&amp;number=&amp;sourceID=57","")</f>
        <v/>
      </c>
      <c r="T1512" s="4" t="str">
        <f>HYPERLINK("http://141.218.60.56/~jnz1568/getInfo.php?workbook=16_15.xlsx&amp;sheet=A0&amp;row=1512&amp;col=20&amp;number=&amp;sourceID=57","")</f>
        <v/>
      </c>
      <c r="U1512" s="4" t="str">
        <f>HYPERLINK("http://141.218.60.56/~jnz1568/getInfo.php?workbook=16_15.xlsx&amp;sheet=A0&amp;row=1512&amp;col=21&amp;number=&amp;sourceID=47","")</f>
        <v/>
      </c>
      <c r="V1512" s="4" t="str">
        <f>HYPERLINK("http://141.218.60.56/~jnz1568/getInfo.php?workbook=16_15.xlsx&amp;sheet=A0&amp;row=1512&amp;col=22&amp;number=&amp;sourceID=47","")</f>
        <v/>
      </c>
    </row>
    <row r="1513" spans="1:22">
      <c r="A1513" s="3">
        <v>16</v>
      </c>
      <c r="B1513" s="3">
        <v>15</v>
      </c>
      <c r="C1513" s="3">
        <v>62</v>
      </c>
      <c r="D1513" s="3">
        <v>61</v>
      </c>
      <c r="E1513" s="3">
        <f>((1/(INDEX(E0!J$4:J$73,C1513,1)-INDEX(E0!J$4:J$73,D1513,1))))*100000000</f>
        <v>0</v>
      </c>
      <c r="F1513" s="4" t="str">
        <f>HYPERLINK("http://141.218.60.56/~jnz1568/getInfo.php?workbook=16_15.xlsx&amp;sheet=A0&amp;row=1513&amp;col=6&amp;number=3528.4&amp;sourceID=54","3528.4")</f>
        <v>3528.4</v>
      </c>
      <c r="G1513" s="4" t="str">
        <f>HYPERLINK("http://141.218.60.56/~jnz1568/getInfo.php?workbook=16_15.xlsx&amp;sheet=A0&amp;row=1513&amp;col=7&amp;number=&amp;sourceID=54","")</f>
        <v/>
      </c>
      <c r="H1513" s="4" t="str">
        <f>HYPERLINK("http://141.218.60.56/~jnz1568/getInfo.php?workbook=16_15.xlsx&amp;sheet=A0&amp;row=1513&amp;col=8&amp;number=&amp;sourceID=54","")</f>
        <v/>
      </c>
      <c r="I1513" s="4" t="str">
        <f>HYPERLINK("http://141.218.60.56/~jnz1568/getInfo.php?workbook=16_15.xlsx&amp;sheet=A0&amp;row=1513&amp;col=9&amp;number=118.28&amp;sourceID=54","118.28")</f>
        <v>118.28</v>
      </c>
      <c r="J1513" s="4" t="str">
        <f>HYPERLINK("http://141.218.60.56/~jnz1568/getInfo.php?workbook=16_15.xlsx&amp;sheet=A0&amp;row=1513&amp;col=10&amp;number=&amp;sourceID=54","")</f>
        <v/>
      </c>
      <c r="K1513" s="4" t="str">
        <f>HYPERLINK("http://141.218.60.56/~jnz1568/getInfo.php?workbook=16_15.xlsx&amp;sheet=A0&amp;row=1513&amp;col=11&amp;number=&amp;sourceID=54","")</f>
        <v/>
      </c>
      <c r="L1513" s="4" t="str">
        <f>HYPERLINK("http://141.218.60.56/~jnz1568/getInfo.php?workbook=16_15.xlsx&amp;sheet=A0&amp;row=1513&amp;col=12&amp;number=1067.00722838&amp;sourceID=53","1067.00722838")</f>
        <v>1067.00722838</v>
      </c>
      <c r="M1513" s="4" t="str">
        <f>HYPERLINK("http://141.218.60.56/~jnz1568/getInfo.php?workbook=16_15.xlsx&amp;sheet=A0&amp;row=1513&amp;col=13&amp;number=&amp;sourceID=53","")</f>
        <v/>
      </c>
      <c r="N1513" s="4" t="str">
        <f>HYPERLINK("http://141.218.60.56/~jnz1568/getInfo.php?workbook=16_15.xlsx&amp;sheet=A0&amp;row=1513&amp;col=14&amp;number=&amp;sourceID=53","")</f>
        <v/>
      </c>
      <c r="O1513" s="4" t="str">
        <f>HYPERLINK("http://141.218.60.56/~jnz1568/getInfo.php?workbook=16_15.xlsx&amp;sheet=A0&amp;row=1513&amp;col=15&amp;number=&amp;sourceID=55","")</f>
        <v/>
      </c>
      <c r="P1513" s="4" t="str">
        <f>HYPERLINK("http://141.218.60.56/~jnz1568/getInfo.php?workbook=16_15.xlsx&amp;sheet=A0&amp;row=1513&amp;col=16&amp;number=&amp;sourceID=55","")</f>
        <v/>
      </c>
      <c r="Q1513" s="4" t="str">
        <f>HYPERLINK("http://141.218.60.56/~jnz1568/getInfo.php?workbook=16_15.xlsx&amp;sheet=A0&amp;row=1513&amp;col=17&amp;number=&amp;sourceID=56","")</f>
        <v/>
      </c>
      <c r="R1513" s="4" t="str">
        <f>HYPERLINK("http://141.218.60.56/~jnz1568/getInfo.php?workbook=16_15.xlsx&amp;sheet=A0&amp;row=1513&amp;col=18&amp;number=&amp;sourceID=56","")</f>
        <v/>
      </c>
      <c r="S1513" s="4" t="str">
        <f>HYPERLINK("http://141.218.60.56/~jnz1568/getInfo.php?workbook=16_15.xlsx&amp;sheet=A0&amp;row=1513&amp;col=19&amp;number=&amp;sourceID=57","")</f>
        <v/>
      </c>
      <c r="T1513" s="4" t="str">
        <f>HYPERLINK("http://141.218.60.56/~jnz1568/getInfo.php?workbook=16_15.xlsx&amp;sheet=A0&amp;row=1513&amp;col=20&amp;number=&amp;sourceID=57","")</f>
        <v/>
      </c>
      <c r="U1513" s="4" t="str">
        <f>HYPERLINK("http://141.218.60.56/~jnz1568/getInfo.php?workbook=16_15.xlsx&amp;sheet=A0&amp;row=1513&amp;col=21&amp;number=&amp;sourceID=47","")</f>
        <v/>
      </c>
      <c r="V1513" s="4" t="str">
        <f>HYPERLINK("http://141.218.60.56/~jnz1568/getInfo.php?workbook=16_15.xlsx&amp;sheet=A0&amp;row=1513&amp;col=22&amp;number=&amp;sourceID=47","")</f>
        <v/>
      </c>
    </row>
    <row r="1514" spans="1:22">
      <c r="A1514" s="3">
        <v>16</v>
      </c>
      <c r="B1514" s="3">
        <v>15</v>
      </c>
      <c r="C1514" s="3">
        <v>63</v>
      </c>
      <c r="D1514" s="3">
        <v>1</v>
      </c>
      <c r="E1514" s="3">
        <f>((1/(INDEX(E0!J$4:J$73,C1514,1)-INDEX(E0!J$4:J$73,D1514,1))))*100000000</f>
        <v>0</v>
      </c>
      <c r="F1514" s="4" t="str">
        <f>HYPERLINK("http://141.218.60.56/~jnz1568/getInfo.php?workbook=16_15.xlsx&amp;sheet=A0&amp;row=1514&amp;col=6&amp;number=13.078&amp;sourceID=54","13.078")</f>
        <v>13.078</v>
      </c>
      <c r="G1514" s="4" t="str">
        <f>HYPERLINK("http://141.218.60.56/~jnz1568/getInfo.php?workbook=16_15.xlsx&amp;sheet=A0&amp;row=1514&amp;col=7&amp;number=&amp;sourceID=54","")</f>
        <v/>
      </c>
      <c r="H1514" s="4" t="str">
        <f>HYPERLINK("http://141.218.60.56/~jnz1568/getInfo.php?workbook=16_15.xlsx&amp;sheet=A0&amp;row=1514&amp;col=8&amp;number=&amp;sourceID=54","")</f>
        <v/>
      </c>
      <c r="I1514" s="4" t="str">
        <f>HYPERLINK("http://141.218.60.56/~jnz1568/getInfo.php?workbook=16_15.xlsx&amp;sheet=A0&amp;row=1514&amp;col=9&amp;number=2143.3&amp;sourceID=54","2143.3")</f>
        <v>2143.3</v>
      </c>
      <c r="J1514" s="4" t="str">
        <f>HYPERLINK("http://141.218.60.56/~jnz1568/getInfo.php?workbook=16_15.xlsx&amp;sheet=A0&amp;row=1514&amp;col=10&amp;number=&amp;sourceID=54","")</f>
        <v/>
      </c>
      <c r="K1514" s="4" t="str">
        <f>HYPERLINK("http://141.218.60.56/~jnz1568/getInfo.php?workbook=16_15.xlsx&amp;sheet=A0&amp;row=1514&amp;col=11&amp;number=&amp;sourceID=54","")</f>
        <v/>
      </c>
      <c r="L1514" s="4" t="str">
        <f>HYPERLINK("http://141.218.60.56/~jnz1568/getInfo.php?workbook=16_15.xlsx&amp;sheet=A0&amp;row=1514&amp;col=12&amp;number=2715.39340873&amp;sourceID=53","2715.39340873")</f>
        <v>2715.39340873</v>
      </c>
      <c r="M1514" s="4" t="str">
        <f>HYPERLINK("http://141.218.60.56/~jnz1568/getInfo.php?workbook=16_15.xlsx&amp;sheet=A0&amp;row=1514&amp;col=13&amp;number=&amp;sourceID=53","")</f>
        <v/>
      </c>
      <c r="N1514" s="4" t="str">
        <f>HYPERLINK("http://141.218.60.56/~jnz1568/getInfo.php?workbook=16_15.xlsx&amp;sheet=A0&amp;row=1514&amp;col=14&amp;number=&amp;sourceID=53","")</f>
        <v/>
      </c>
      <c r="O1514" s="4" t="str">
        <f>HYPERLINK("http://141.218.60.56/~jnz1568/getInfo.php?workbook=16_15.xlsx&amp;sheet=A0&amp;row=1514&amp;col=15&amp;number=&amp;sourceID=55","")</f>
        <v/>
      </c>
      <c r="P1514" s="4" t="str">
        <f>HYPERLINK("http://141.218.60.56/~jnz1568/getInfo.php?workbook=16_15.xlsx&amp;sheet=A0&amp;row=1514&amp;col=16&amp;number=&amp;sourceID=55","")</f>
        <v/>
      </c>
      <c r="Q1514" s="4" t="str">
        <f>HYPERLINK("http://141.218.60.56/~jnz1568/getInfo.php?workbook=16_15.xlsx&amp;sheet=A0&amp;row=1514&amp;col=17&amp;number=&amp;sourceID=56","")</f>
        <v/>
      </c>
      <c r="R1514" s="4" t="str">
        <f>HYPERLINK("http://141.218.60.56/~jnz1568/getInfo.php?workbook=16_15.xlsx&amp;sheet=A0&amp;row=1514&amp;col=18&amp;number=&amp;sourceID=56","")</f>
        <v/>
      </c>
      <c r="S1514" s="4" t="str">
        <f>HYPERLINK("http://141.218.60.56/~jnz1568/getInfo.php?workbook=16_15.xlsx&amp;sheet=A0&amp;row=1514&amp;col=19&amp;number=&amp;sourceID=57","")</f>
        <v/>
      </c>
      <c r="T1514" s="4" t="str">
        <f>HYPERLINK("http://141.218.60.56/~jnz1568/getInfo.php?workbook=16_15.xlsx&amp;sheet=A0&amp;row=1514&amp;col=20&amp;number=&amp;sourceID=57","")</f>
        <v/>
      </c>
      <c r="U1514" s="4" t="str">
        <f>HYPERLINK("http://141.218.60.56/~jnz1568/getInfo.php?workbook=16_15.xlsx&amp;sheet=A0&amp;row=1514&amp;col=21&amp;number=&amp;sourceID=47","")</f>
        <v/>
      </c>
      <c r="V1514" s="4" t="str">
        <f>HYPERLINK("http://141.218.60.56/~jnz1568/getInfo.php?workbook=16_15.xlsx&amp;sheet=A0&amp;row=1514&amp;col=22&amp;number=&amp;sourceID=47","")</f>
        <v/>
      </c>
    </row>
    <row r="1515" spans="1:22">
      <c r="A1515" s="3">
        <v>16</v>
      </c>
      <c r="B1515" s="3">
        <v>15</v>
      </c>
      <c r="C1515" s="3">
        <v>63</v>
      </c>
      <c r="D1515" s="3">
        <v>2</v>
      </c>
      <c r="E1515" s="3">
        <f>((1/(INDEX(E0!J$4:J$73,C1515,1)-INDEX(E0!J$4:J$73,D1515,1))))*100000000</f>
        <v>0</v>
      </c>
      <c r="F1515" s="4" t="str">
        <f>HYPERLINK("http://141.218.60.56/~jnz1568/getInfo.php?workbook=16_15.xlsx&amp;sheet=A0&amp;row=1515&amp;col=6&amp;number=5404300000&amp;sourceID=54","5404300000")</f>
        <v>5404300000</v>
      </c>
      <c r="G1515" s="4" t="str">
        <f>HYPERLINK("http://141.218.60.56/~jnz1568/getInfo.php?workbook=16_15.xlsx&amp;sheet=A0&amp;row=1515&amp;col=7&amp;number=&amp;sourceID=54","")</f>
        <v/>
      </c>
      <c r="H1515" s="4" t="str">
        <f>HYPERLINK("http://141.218.60.56/~jnz1568/getInfo.php?workbook=16_15.xlsx&amp;sheet=A0&amp;row=1515&amp;col=8&amp;number=&amp;sourceID=54","")</f>
        <v/>
      </c>
      <c r="I1515" s="4" t="str">
        <f>HYPERLINK("http://141.218.60.56/~jnz1568/getInfo.php?workbook=16_15.xlsx&amp;sheet=A0&amp;row=1515&amp;col=9&amp;number=5303500000&amp;sourceID=54","5303500000")</f>
        <v>5303500000</v>
      </c>
      <c r="J1515" s="4" t="str">
        <f>HYPERLINK("http://141.218.60.56/~jnz1568/getInfo.php?workbook=16_15.xlsx&amp;sheet=A0&amp;row=1515&amp;col=10&amp;number=&amp;sourceID=54","")</f>
        <v/>
      </c>
      <c r="K1515" s="4" t="str">
        <f>HYPERLINK("http://141.218.60.56/~jnz1568/getInfo.php?workbook=16_15.xlsx&amp;sheet=A0&amp;row=1515&amp;col=11&amp;number=&amp;sourceID=54","")</f>
        <v/>
      </c>
      <c r="L1515" s="4" t="str">
        <f>HYPERLINK("http://141.218.60.56/~jnz1568/getInfo.php?workbook=16_15.xlsx&amp;sheet=A0&amp;row=1515&amp;col=12&amp;number=4838557056.72&amp;sourceID=53","4838557056.72")</f>
        <v>4838557056.72</v>
      </c>
      <c r="M1515" s="4" t="str">
        <f>HYPERLINK("http://141.218.60.56/~jnz1568/getInfo.php?workbook=16_15.xlsx&amp;sheet=A0&amp;row=1515&amp;col=13&amp;number=&amp;sourceID=53","")</f>
        <v/>
      </c>
      <c r="N1515" s="4" t="str">
        <f>HYPERLINK("http://141.218.60.56/~jnz1568/getInfo.php?workbook=16_15.xlsx&amp;sheet=A0&amp;row=1515&amp;col=14&amp;number=&amp;sourceID=53","")</f>
        <v/>
      </c>
      <c r="O1515" s="4" t="str">
        <f>HYPERLINK("http://141.218.60.56/~jnz1568/getInfo.php?workbook=16_15.xlsx&amp;sheet=A0&amp;row=1515&amp;col=15&amp;number=&amp;sourceID=55","")</f>
        <v/>
      </c>
      <c r="P1515" s="4" t="str">
        <f>HYPERLINK("http://141.218.60.56/~jnz1568/getInfo.php?workbook=16_15.xlsx&amp;sheet=A0&amp;row=1515&amp;col=16&amp;number=&amp;sourceID=55","")</f>
        <v/>
      </c>
      <c r="Q1515" s="4" t="str">
        <f>HYPERLINK("http://141.218.60.56/~jnz1568/getInfo.php?workbook=16_15.xlsx&amp;sheet=A0&amp;row=1515&amp;col=17&amp;number=&amp;sourceID=56","")</f>
        <v/>
      </c>
      <c r="R1515" s="4" t="str">
        <f>HYPERLINK("http://141.218.60.56/~jnz1568/getInfo.php?workbook=16_15.xlsx&amp;sheet=A0&amp;row=1515&amp;col=18&amp;number=&amp;sourceID=56","")</f>
        <v/>
      </c>
      <c r="S1515" s="4" t="str">
        <f>HYPERLINK("http://141.218.60.56/~jnz1568/getInfo.php?workbook=16_15.xlsx&amp;sheet=A0&amp;row=1515&amp;col=19&amp;number=&amp;sourceID=57","")</f>
        <v/>
      </c>
      <c r="T1515" s="4" t="str">
        <f>HYPERLINK("http://141.218.60.56/~jnz1568/getInfo.php?workbook=16_15.xlsx&amp;sheet=A0&amp;row=1515&amp;col=20&amp;number=&amp;sourceID=57","")</f>
        <v/>
      </c>
      <c r="U1515" s="4" t="str">
        <f>HYPERLINK("http://141.218.60.56/~jnz1568/getInfo.php?workbook=16_15.xlsx&amp;sheet=A0&amp;row=1515&amp;col=21&amp;number=&amp;sourceID=47","")</f>
        <v/>
      </c>
      <c r="V1515" s="4" t="str">
        <f>HYPERLINK("http://141.218.60.56/~jnz1568/getInfo.php?workbook=16_15.xlsx&amp;sheet=A0&amp;row=1515&amp;col=22&amp;number=&amp;sourceID=47","")</f>
        <v/>
      </c>
    </row>
    <row r="1516" spans="1:22">
      <c r="A1516" s="3">
        <v>16</v>
      </c>
      <c r="B1516" s="3">
        <v>15</v>
      </c>
      <c r="C1516" s="3">
        <v>63</v>
      </c>
      <c r="D1516" s="3">
        <v>3</v>
      </c>
      <c r="E1516" s="3">
        <f>((1/(INDEX(E0!J$4:J$73,C1516,1)-INDEX(E0!J$4:J$73,D1516,1))))*100000000</f>
        <v>0</v>
      </c>
      <c r="F1516" s="4" t="str">
        <f>HYPERLINK("http://141.218.60.56/~jnz1568/getInfo.php?workbook=16_15.xlsx&amp;sheet=A0&amp;row=1516&amp;col=6&amp;number=435330000&amp;sourceID=54","435330000")</f>
        <v>435330000</v>
      </c>
      <c r="G1516" s="4" t="str">
        <f>HYPERLINK("http://141.218.60.56/~jnz1568/getInfo.php?workbook=16_15.xlsx&amp;sheet=A0&amp;row=1516&amp;col=7&amp;number=&amp;sourceID=54","")</f>
        <v/>
      </c>
      <c r="H1516" s="4" t="str">
        <f>HYPERLINK("http://141.218.60.56/~jnz1568/getInfo.php?workbook=16_15.xlsx&amp;sheet=A0&amp;row=1516&amp;col=8&amp;number=&amp;sourceID=54","")</f>
        <v/>
      </c>
      <c r="I1516" s="4" t="str">
        <f>HYPERLINK("http://141.218.60.56/~jnz1568/getInfo.php?workbook=16_15.xlsx&amp;sheet=A0&amp;row=1516&amp;col=9&amp;number=441300000&amp;sourceID=54","441300000")</f>
        <v>441300000</v>
      </c>
      <c r="J1516" s="4" t="str">
        <f>HYPERLINK("http://141.218.60.56/~jnz1568/getInfo.php?workbook=16_15.xlsx&amp;sheet=A0&amp;row=1516&amp;col=10&amp;number=&amp;sourceID=54","")</f>
        <v/>
      </c>
      <c r="K1516" s="4" t="str">
        <f>HYPERLINK("http://141.218.60.56/~jnz1568/getInfo.php?workbook=16_15.xlsx&amp;sheet=A0&amp;row=1516&amp;col=11&amp;number=&amp;sourceID=54","")</f>
        <v/>
      </c>
      <c r="L1516" s="4" t="str">
        <f>HYPERLINK("http://141.218.60.56/~jnz1568/getInfo.php?workbook=16_15.xlsx&amp;sheet=A0&amp;row=1516&amp;col=12&amp;number=225341106.03&amp;sourceID=53","225341106.03")</f>
        <v>225341106.03</v>
      </c>
      <c r="M1516" s="4" t="str">
        <f>HYPERLINK("http://141.218.60.56/~jnz1568/getInfo.php?workbook=16_15.xlsx&amp;sheet=A0&amp;row=1516&amp;col=13&amp;number=&amp;sourceID=53","")</f>
        <v/>
      </c>
      <c r="N1516" s="4" t="str">
        <f>HYPERLINK("http://141.218.60.56/~jnz1568/getInfo.php?workbook=16_15.xlsx&amp;sheet=A0&amp;row=1516&amp;col=14&amp;number=&amp;sourceID=53","")</f>
        <v/>
      </c>
      <c r="O1516" s="4" t="str">
        <f>HYPERLINK("http://141.218.60.56/~jnz1568/getInfo.php?workbook=16_15.xlsx&amp;sheet=A0&amp;row=1516&amp;col=15&amp;number=&amp;sourceID=55","")</f>
        <v/>
      </c>
      <c r="P1516" s="4" t="str">
        <f>HYPERLINK("http://141.218.60.56/~jnz1568/getInfo.php?workbook=16_15.xlsx&amp;sheet=A0&amp;row=1516&amp;col=16&amp;number=&amp;sourceID=55","")</f>
        <v/>
      </c>
      <c r="Q1516" s="4" t="str">
        <f>HYPERLINK("http://141.218.60.56/~jnz1568/getInfo.php?workbook=16_15.xlsx&amp;sheet=A0&amp;row=1516&amp;col=17&amp;number=&amp;sourceID=56","")</f>
        <v/>
      </c>
      <c r="R1516" s="4" t="str">
        <f>HYPERLINK("http://141.218.60.56/~jnz1568/getInfo.php?workbook=16_15.xlsx&amp;sheet=A0&amp;row=1516&amp;col=18&amp;number=&amp;sourceID=56","")</f>
        <v/>
      </c>
      <c r="S1516" s="4" t="str">
        <f>HYPERLINK("http://141.218.60.56/~jnz1568/getInfo.php?workbook=16_15.xlsx&amp;sheet=A0&amp;row=1516&amp;col=19&amp;number=&amp;sourceID=57","")</f>
        <v/>
      </c>
      <c r="T1516" s="4" t="str">
        <f>HYPERLINK("http://141.218.60.56/~jnz1568/getInfo.php?workbook=16_15.xlsx&amp;sheet=A0&amp;row=1516&amp;col=20&amp;number=&amp;sourceID=57","")</f>
        <v/>
      </c>
      <c r="U1516" s="4" t="str">
        <f>HYPERLINK("http://141.218.60.56/~jnz1568/getInfo.php?workbook=16_15.xlsx&amp;sheet=A0&amp;row=1516&amp;col=21&amp;number=&amp;sourceID=47","")</f>
        <v/>
      </c>
      <c r="V1516" s="4" t="str">
        <f>HYPERLINK("http://141.218.60.56/~jnz1568/getInfo.php?workbook=16_15.xlsx&amp;sheet=A0&amp;row=1516&amp;col=22&amp;number=&amp;sourceID=47","")</f>
        <v/>
      </c>
    </row>
    <row r="1517" spans="1:22">
      <c r="A1517" s="3">
        <v>16</v>
      </c>
      <c r="B1517" s="3">
        <v>15</v>
      </c>
      <c r="C1517" s="3">
        <v>63</v>
      </c>
      <c r="D1517" s="3">
        <v>4</v>
      </c>
      <c r="E1517" s="3">
        <f>((1/(INDEX(E0!J$4:J$73,C1517,1)-INDEX(E0!J$4:J$73,D1517,1))))*100000000</f>
        <v>0</v>
      </c>
      <c r="F1517" s="4" t="str">
        <f>HYPERLINK("http://141.218.60.56/~jnz1568/getInfo.php?workbook=16_15.xlsx&amp;sheet=A0&amp;row=1517&amp;col=6&amp;number=6041800&amp;sourceID=54","6041800")</f>
        <v>6041800</v>
      </c>
      <c r="G1517" s="4" t="str">
        <f>HYPERLINK("http://141.218.60.56/~jnz1568/getInfo.php?workbook=16_15.xlsx&amp;sheet=A0&amp;row=1517&amp;col=7&amp;number=&amp;sourceID=54","")</f>
        <v/>
      </c>
      <c r="H1517" s="4" t="str">
        <f>HYPERLINK("http://141.218.60.56/~jnz1568/getInfo.php?workbook=16_15.xlsx&amp;sheet=A0&amp;row=1517&amp;col=8&amp;number=&amp;sourceID=54","")</f>
        <v/>
      </c>
      <c r="I1517" s="4" t="str">
        <f>HYPERLINK("http://141.218.60.56/~jnz1568/getInfo.php?workbook=16_15.xlsx&amp;sheet=A0&amp;row=1517&amp;col=9&amp;number=6322000&amp;sourceID=54","6322000")</f>
        <v>6322000</v>
      </c>
      <c r="J1517" s="4" t="str">
        <f>HYPERLINK("http://141.218.60.56/~jnz1568/getInfo.php?workbook=16_15.xlsx&amp;sheet=A0&amp;row=1517&amp;col=10&amp;number=&amp;sourceID=54","")</f>
        <v/>
      </c>
      <c r="K1517" s="4" t="str">
        <f>HYPERLINK("http://141.218.60.56/~jnz1568/getInfo.php?workbook=16_15.xlsx&amp;sheet=A0&amp;row=1517&amp;col=11&amp;number=&amp;sourceID=54","")</f>
        <v/>
      </c>
      <c r="L1517" s="4" t="str">
        <f>HYPERLINK("http://141.218.60.56/~jnz1568/getInfo.php?workbook=16_15.xlsx&amp;sheet=A0&amp;row=1517&amp;col=12&amp;number=11356911.9707&amp;sourceID=53","11356911.9707")</f>
        <v>11356911.9707</v>
      </c>
      <c r="M1517" s="4" t="str">
        <f>HYPERLINK("http://141.218.60.56/~jnz1568/getInfo.php?workbook=16_15.xlsx&amp;sheet=A0&amp;row=1517&amp;col=13&amp;number=&amp;sourceID=53","")</f>
        <v/>
      </c>
      <c r="N1517" s="4" t="str">
        <f>HYPERLINK("http://141.218.60.56/~jnz1568/getInfo.php?workbook=16_15.xlsx&amp;sheet=A0&amp;row=1517&amp;col=14&amp;number=&amp;sourceID=53","")</f>
        <v/>
      </c>
      <c r="O1517" s="4" t="str">
        <f>HYPERLINK("http://141.218.60.56/~jnz1568/getInfo.php?workbook=16_15.xlsx&amp;sheet=A0&amp;row=1517&amp;col=15&amp;number=&amp;sourceID=55","")</f>
        <v/>
      </c>
      <c r="P1517" s="4" t="str">
        <f>HYPERLINK("http://141.218.60.56/~jnz1568/getInfo.php?workbook=16_15.xlsx&amp;sheet=A0&amp;row=1517&amp;col=16&amp;number=&amp;sourceID=55","")</f>
        <v/>
      </c>
      <c r="Q1517" s="4" t="str">
        <f>HYPERLINK("http://141.218.60.56/~jnz1568/getInfo.php?workbook=16_15.xlsx&amp;sheet=A0&amp;row=1517&amp;col=17&amp;number=&amp;sourceID=56","")</f>
        <v/>
      </c>
      <c r="R1517" s="4" t="str">
        <f>HYPERLINK("http://141.218.60.56/~jnz1568/getInfo.php?workbook=16_15.xlsx&amp;sheet=A0&amp;row=1517&amp;col=18&amp;number=&amp;sourceID=56","")</f>
        <v/>
      </c>
      <c r="S1517" s="4" t="str">
        <f>HYPERLINK("http://141.218.60.56/~jnz1568/getInfo.php?workbook=16_15.xlsx&amp;sheet=A0&amp;row=1517&amp;col=19&amp;number=&amp;sourceID=57","")</f>
        <v/>
      </c>
      <c r="T1517" s="4" t="str">
        <f>HYPERLINK("http://141.218.60.56/~jnz1568/getInfo.php?workbook=16_15.xlsx&amp;sheet=A0&amp;row=1517&amp;col=20&amp;number=&amp;sourceID=57","")</f>
        <v/>
      </c>
      <c r="U1517" s="4" t="str">
        <f>HYPERLINK("http://141.218.60.56/~jnz1568/getInfo.php?workbook=16_15.xlsx&amp;sheet=A0&amp;row=1517&amp;col=21&amp;number=&amp;sourceID=47","")</f>
        <v/>
      </c>
      <c r="V1517" s="4" t="str">
        <f>HYPERLINK("http://141.218.60.56/~jnz1568/getInfo.php?workbook=16_15.xlsx&amp;sheet=A0&amp;row=1517&amp;col=22&amp;number=&amp;sourceID=47","")</f>
        <v/>
      </c>
    </row>
    <row r="1518" spans="1:22">
      <c r="A1518" s="3">
        <v>16</v>
      </c>
      <c r="B1518" s="3">
        <v>15</v>
      </c>
      <c r="C1518" s="3">
        <v>63</v>
      </c>
      <c r="D1518" s="3">
        <v>5</v>
      </c>
      <c r="E1518" s="3">
        <f>((1/(INDEX(E0!J$4:J$73,C1518,1)-INDEX(E0!J$4:J$73,D1518,1))))*100000000</f>
        <v>0</v>
      </c>
      <c r="F1518" s="4" t="str">
        <f>HYPERLINK("http://141.218.60.56/~jnz1568/getInfo.php?workbook=16_15.xlsx&amp;sheet=A0&amp;row=1518&amp;col=6&amp;number=4.477&amp;sourceID=54","4.477")</f>
        <v>4.477</v>
      </c>
      <c r="G1518" s="4" t="str">
        <f>HYPERLINK("http://141.218.60.56/~jnz1568/getInfo.php?workbook=16_15.xlsx&amp;sheet=A0&amp;row=1518&amp;col=7&amp;number=&amp;sourceID=54","")</f>
        <v/>
      </c>
      <c r="H1518" s="4" t="str">
        <f>HYPERLINK("http://141.218.60.56/~jnz1568/getInfo.php?workbook=16_15.xlsx&amp;sheet=A0&amp;row=1518&amp;col=8&amp;number=&amp;sourceID=54","")</f>
        <v/>
      </c>
      <c r="I1518" s="4" t="str">
        <f>HYPERLINK("http://141.218.60.56/~jnz1568/getInfo.php?workbook=16_15.xlsx&amp;sheet=A0&amp;row=1518&amp;col=9&amp;number=80567&amp;sourceID=54","80567")</f>
        <v>80567</v>
      </c>
      <c r="J1518" s="4" t="str">
        <f>HYPERLINK("http://141.218.60.56/~jnz1568/getInfo.php?workbook=16_15.xlsx&amp;sheet=A0&amp;row=1518&amp;col=10&amp;number=&amp;sourceID=54","")</f>
        <v/>
      </c>
      <c r="K1518" s="4" t="str">
        <f>HYPERLINK("http://141.218.60.56/~jnz1568/getInfo.php?workbook=16_15.xlsx&amp;sheet=A0&amp;row=1518&amp;col=11&amp;number=&amp;sourceID=54","")</f>
        <v/>
      </c>
      <c r="L1518" s="4" t="str">
        <f>HYPERLINK("http://141.218.60.56/~jnz1568/getInfo.php?workbook=16_15.xlsx&amp;sheet=A0&amp;row=1518&amp;col=12&amp;number=21474930.9217&amp;sourceID=53","21474930.9217")</f>
        <v>21474930.9217</v>
      </c>
      <c r="M1518" s="4" t="str">
        <f>HYPERLINK("http://141.218.60.56/~jnz1568/getInfo.php?workbook=16_15.xlsx&amp;sheet=A0&amp;row=1518&amp;col=13&amp;number=&amp;sourceID=53","")</f>
        <v/>
      </c>
      <c r="N1518" s="4" t="str">
        <f>HYPERLINK("http://141.218.60.56/~jnz1568/getInfo.php?workbook=16_15.xlsx&amp;sheet=A0&amp;row=1518&amp;col=14&amp;number=&amp;sourceID=53","")</f>
        <v/>
      </c>
      <c r="O1518" s="4" t="str">
        <f>HYPERLINK("http://141.218.60.56/~jnz1568/getInfo.php?workbook=16_15.xlsx&amp;sheet=A0&amp;row=1518&amp;col=15&amp;number=&amp;sourceID=55","")</f>
        <v/>
      </c>
      <c r="P1518" s="4" t="str">
        <f>HYPERLINK("http://141.218.60.56/~jnz1568/getInfo.php?workbook=16_15.xlsx&amp;sheet=A0&amp;row=1518&amp;col=16&amp;number=&amp;sourceID=55","")</f>
        <v/>
      </c>
      <c r="Q1518" s="4" t="str">
        <f>HYPERLINK("http://141.218.60.56/~jnz1568/getInfo.php?workbook=16_15.xlsx&amp;sheet=A0&amp;row=1518&amp;col=17&amp;number=&amp;sourceID=56","")</f>
        <v/>
      </c>
      <c r="R1518" s="4" t="str">
        <f>HYPERLINK("http://141.218.60.56/~jnz1568/getInfo.php?workbook=16_15.xlsx&amp;sheet=A0&amp;row=1518&amp;col=18&amp;number=&amp;sourceID=56","")</f>
        <v/>
      </c>
      <c r="S1518" s="4" t="str">
        <f>HYPERLINK("http://141.218.60.56/~jnz1568/getInfo.php?workbook=16_15.xlsx&amp;sheet=A0&amp;row=1518&amp;col=19&amp;number=&amp;sourceID=57","")</f>
        <v/>
      </c>
      <c r="T1518" s="4" t="str">
        <f>HYPERLINK("http://141.218.60.56/~jnz1568/getInfo.php?workbook=16_15.xlsx&amp;sheet=A0&amp;row=1518&amp;col=20&amp;number=&amp;sourceID=57","")</f>
        <v/>
      </c>
      <c r="U1518" s="4" t="str">
        <f>HYPERLINK("http://141.218.60.56/~jnz1568/getInfo.php?workbook=16_15.xlsx&amp;sheet=A0&amp;row=1518&amp;col=21&amp;number=&amp;sourceID=47","")</f>
        <v/>
      </c>
      <c r="V1518" s="4" t="str">
        <f>HYPERLINK("http://141.218.60.56/~jnz1568/getInfo.php?workbook=16_15.xlsx&amp;sheet=A0&amp;row=1518&amp;col=22&amp;number=&amp;sourceID=47","")</f>
        <v/>
      </c>
    </row>
    <row r="1519" spans="1:22">
      <c r="A1519" s="3">
        <v>16</v>
      </c>
      <c r="B1519" s="3">
        <v>15</v>
      </c>
      <c r="C1519" s="3">
        <v>63</v>
      </c>
      <c r="D1519" s="3">
        <v>6</v>
      </c>
      <c r="E1519" s="3">
        <f>((1/(INDEX(E0!J$4:J$73,C1519,1)-INDEX(E0!J$4:J$73,D1519,1))))*100000000</f>
        <v>0</v>
      </c>
      <c r="F1519" s="4" t="str">
        <f>HYPERLINK("http://141.218.60.56/~jnz1568/getInfo.php?workbook=16_15.xlsx&amp;sheet=A0&amp;row=1519&amp;col=6&amp;number=&amp;sourceID=54","")</f>
        <v/>
      </c>
      <c r="G1519" s="4" t="str">
        <f>HYPERLINK("http://141.218.60.56/~jnz1568/getInfo.php?workbook=16_15.xlsx&amp;sheet=A0&amp;row=1519&amp;col=7&amp;number=0.0058444&amp;sourceID=54","0.0058444")</f>
        <v>0.0058444</v>
      </c>
      <c r="H1519" s="4" t="str">
        <f>HYPERLINK("http://141.218.60.56/~jnz1568/getInfo.php?workbook=16_15.xlsx&amp;sheet=A0&amp;row=1519&amp;col=8&amp;number=0.0015715&amp;sourceID=54","0.0015715")</f>
        <v>0.0015715</v>
      </c>
      <c r="I1519" s="4" t="str">
        <f>HYPERLINK("http://141.218.60.56/~jnz1568/getInfo.php?workbook=16_15.xlsx&amp;sheet=A0&amp;row=1519&amp;col=9&amp;number=&amp;sourceID=54","")</f>
        <v/>
      </c>
      <c r="J1519" s="4" t="str">
        <f>HYPERLINK("http://141.218.60.56/~jnz1568/getInfo.php?workbook=16_15.xlsx&amp;sheet=A0&amp;row=1519&amp;col=10&amp;number=0.0053892&amp;sourceID=54","0.0053892")</f>
        <v>0.0053892</v>
      </c>
      <c r="K1519" s="4" t="str">
        <f>HYPERLINK("http://141.218.60.56/~jnz1568/getInfo.php?workbook=16_15.xlsx&amp;sheet=A0&amp;row=1519&amp;col=11&amp;number=0.0014446&amp;sourceID=54","0.0014446")</f>
        <v>0.0014446</v>
      </c>
      <c r="L1519" s="4" t="str">
        <f>HYPERLINK("http://141.218.60.56/~jnz1568/getInfo.php?workbook=16_15.xlsx&amp;sheet=A0&amp;row=1519&amp;col=12&amp;number=&amp;sourceID=53","")</f>
        <v/>
      </c>
      <c r="M1519" s="4" t="str">
        <f>HYPERLINK("http://141.218.60.56/~jnz1568/getInfo.php?workbook=16_15.xlsx&amp;sheet=A0&amp;row=1519&amp;col=13&amp;number=&amp;sourceID=53","")</f>
        <v/>
      </c>
      <c r="N1519" s="4" t="str">
        <f>HYPERLINK("http://141.218.60.56/~jnz1568/getInfo.php?workbook=16_15.xlsx&amp;sheet=A0&amp;row=1519&amp;col=14&amp;number=&amp;sourceID=53","")</f>
        <v/>
      </c>
      <c r="O1519" s="4" t="str">
        <f>HYPERLINK("http://141.218.60.56/~jnz1568/getInfo.php?workbook=16_15.xlsx&amp;sheet=A0&amp;row=1519&amp;col=15&amp;number=&amp;sourceID=55","")</f>
        <v/>
      </c>
      <c r="P1519" s="4" t="str">
        <f>HYPERLINK("http://141.218.60.56/~jnz1568/getInfo.php?workbook=16_15.xlsx&amp;sheet=A0&amp;row=1519&amp;col=16&amp;number=&amp;sourceID=55","")</f>
        <v/>
      </c>
      <c r="Q1519" s="4" t="str">
        <f>HYPERLINK("http://141.218.60.56/~jnz1568/getInfo.php?workbook=16_15.xlsx&amp;sheet=A0&amp;row=1519&amp;col=17&amp;number=&amp;sourceID=56","")</f>
        <v/>
      </c>
      <c r="R1519" s="4" t="str">
        <f>HYPERLINK("http://141.218.60.56/~jnz1568/getInfo.php?workbook=16_15.xlsx&amp;sheet=A0&amp;row=1519&amp;col=18&amp;number=&amp;sourceID=56","")</f>
        <v/>
      </c>
      <c r="S1519" s="4" t="str">
        <f>HYPERLINK("http://141.218.60.56/~jnz1568/getInfo.php?workbook=16_15.xlsx&amp;sheet=A0&amp;row=1519&amp;col=19&amp;number=&amp;sourceID=57","")</f>
        <v/>
      </c>
      <c r="T1519" s="4" t="str">
        <f>HYPERLINK("http://141.218.60.56/~jnz1568/getInfo.php?workbook=16_15.xlsx&amp;sheet=A0&amp;row=1519&amp;col=20&amp;number=&amp;sourceID=57","")</f>
        <v/>
      </c>
      <c r="U1519" s="4" t="str">
        <f>HYPERLINK("http://141.218.60.56/~jnz1568/getInfo.php?workbook=16_15.xlsx&amp;sheet=A0&amp;row=1519&amp;col=21&amp;number=&amp;sourceID=47","")</f>
        <v/>
      </c>
      <c r="V1519" s="4" t="str">
        <f>HYPERLINK("http://141.218.60.56/~jnz1568/getInfo.php?workbook=16_15.xlsx&amp;sheet=A0&amp;row=1519&amp;col=22&amp;number=&amp;sourceID=47","")</f>
        <v/>
      </c>
    </row>
    <row r="1520" spans="1:22">
      <c r="A1520" s="3">
        <v>16</v>
      </c>
      <c r="B1520" s="3">
        <v>15</v>
      </c>
      <c r="C1520" s="3">
        <v>63</v>
      </c>
      <c r="D1520" s="3">
        <v>7</v>
      </c>
      <c r="E1520" s="3">
        <f>((1/(INDEX(E0!J$4:J$73,C1520,1)-INDEX(E0!J$4:J$73,D1520,1))))*100000000</f>
        <v>0</v>
      </c>
      <c r="F1520" s="4" t="str">
        <f>HYPERLINK("http://141.218.60.56/~jnz1568/getInfo.php?workbook=16_15.xlsx&amp;sheet=A0&amp;row=1520&amp;col=6&amp;number=&amp;sourceID=54","")</f>
        <v/>
      </c>
      <c r="G1520" s="4" t="str">
        <f>HYPERLINK("http://141.218.60.56/~jnz1568/getInfo.php?workbook=16_15.xlsx&amp;sheet=A0&amp;row=1520&amp;col=7&amp;number=0.0010495&amp;sourceID=54","0.0010495")</f>
        <v>0.0010495</v>
      </c>
      <c r="H1520" s="4" t="str">
        <f>HYPERLINK("http://141.218.60.56/~jnz1568/getInfo.php?workbook=16_15.xlsx&amp;sheet=A0&amp;row=1520&amp;col=8&amp;number=0.010875&amp;sourceID=54","0.010875")</f>
        <v>0.010875</v>
      </c>
      <c r="I1520" s="4" t="str">
        <f>HYPERLINK("http://141.218.60.56/~jnz1568/getInfo.php?workbook=16_15.xlsx&amp;sheet=A0&amp;row=1520&amp;col=9&amp;number=&amp;sourceID=54","")</f>
        <v/>
      </c>
      <c r="J1520" s="4" t="str">
        <f>HYPERLINK("http://141.218.60.56/~jnz1568/getInfo.php?workbook=16_15.xlsx&amp;sheet=A0&amp;row=1520&amp;col=10&amp;number=0.0014961&amp;sourceID=54","0.0014961")</f>
        <v>0.0014961</v>
      </c>
      <c r="K1520" s="4" t="str">
        <f>HYPERLINK("http://141.218.60.56/~jnz1568/getInfo.php?workbook=16_15.xlsx&amp;sheet=A0&amp;row=1520&amp;col=11&amp;number=0.01057&amp;sourceID=54","0.01057")</f>
        <v>0.01057</v>
      </c>
      <c r="L1520" s="4" t="str">
        <f>HYPERLINK("http://141.218.60.56/~jnz1568/getInfo.php?workbook=16_15.xlsx&amp;sheet=A0&amp;row=1520&amp;col=12&amp;number=&amp;sourceID=53","")</f>
        <v/>
      </c>
      <c r="M1520" s="4" t="str">
        <f>HYPERLINK("http://141.218.60.56/~jnz1568/getInfo.php?workbook=16_15.xlsx&amp;sheet=A0&amp;row=1520&amp;col=13&amp;number=&amp;sourceID=53","")</f>
        <v/>
      </c>
      <c r="N1520" s="4" t="str">
        <f>HYPERLINK("http://141.218.60.56/~jnz1568/getInfo.php?workbook=16_15.xlsx&amp;sheet=A0&amp;row=1520&amp;col=14&amp;number=&amp;sourceID=53","")</f>
        <v/>
      </c>
      <c r="O1520" s="4" t="str">
        <f>HYPERLINK("http://141.218.60.56/~jnz1568/getInfo.php?workbook=16_15.xlsx&amp;sheet=A0&amp;row=1520&amp;col=15&amp;number=&amp;sourceID=55","")</f>
        <v/>
      </c>
      <c r="P1520" s="4" t="str">
        <f>HYPERLINK("http://141.218.60.56/~jnz1568/getInfo.php?workbook=16_15.xlsx&amp;sheet=A0&amp;row=1520&amp;col=16&amp;number=&amp;sourceID=55","")</f>
        <v/>
      </c>
      <c r="Q1520" s="4" t="str">
        <f>HYPERLINK("http://141.218.60.56/~jnz1568/getInfo.php?workbook=16_15.xlsx&amp;sheet=A0&amp;row=1520&amp;col=17&amp;number=&amp;sourceID=56","")</f>
        <v/>
      </c>
      <c r="R1520" s="4" t="str">
        <f>HYPERLINK("http://141.218.60.56/~jnz1568/getInfo.php?workbook=16_15.xlsx&amp;sheet=A0&amp;row=1520&amp;col=18&amp;number=&amp;sourceID=56","")</f>
        <v/>
      </c>
      <c r="S1520" s="4" t="str">
        <f>HYPERLINK("http://141.218.60.56/~jnz1568/getInfo.php?workbook=16_15.xlsx&amp;sheet=A0&amp;row=1520&amp;col=19&amp;number=&amp;sourceID=57","")</f>
        <v/>
      </c>
      <c r="T1520" s="4" t="str">
        <f>HYPERLINK("http://141.218.60.56/~jnz1568/getInfo.php?workbook=16_15.xlsx&amp;sheet=A0&amp;row=1520&amp;col=20&amp;number=&amp;sourceID=57","")</f>
        <v/>
      </c>
      <c r="U1520" s="4" t="str">
        <f>HYPERLINK("http://141.218.60.56/~jnz1568/getInfo.php?workbook=16_15.xlsx&amp;sheet=A0&amp;row=1520&amp;col=21&amp;number=&amp;sourceID=47","")</f>
        <v/>
      </c>
      <c r="V1520" s="4" t="str">
        <f>HYPERLINK("http://141.218.60.56/~jnz1568/getInfo.php?workbook=16_15.xlsx&amp;sheet=A0&amp;row=1520&amp;col=22&amp;number=&amp;sourceID=47","")</f>
        <v/>
      </c>
    </row>
    <row r="1521" spans="1:22">
      <c r="A1521" s="3">
        <v>16</v>
      </c>
      <c r="B1521" s="3">
        <v>15</v>
      </c>
      <c r="C1521" s="3">
        <v>63</v>
      </c>
      <c r="D1521" s="3">
        <v>8</v>
      </c>
      <c r="E1521" s="3">
        <f>((1/(INDEX(E0!J$4:J$73,C1521,1)-INDEX(E0!J$4:J$73,D1521,1))))*100000000</f>
        <v>0</v>
      </c>
      <c r="F1521" s="4" t="str">
        <f>HYPERLINK("http://141.218.60.56/~jnz1568/getInfo.php?workbook=16_15.xlsx&amp;sheet=A0&amp;row=1521&amp;col=6&amp;number=&amp;sourceID=54","")</f>
        <v/>
      </c>
      <c r="G1521" s="4" t="str">
        <f>HYPERLINK("http://141.218.60.56/~jnz1568/getInfo.php?workbook=16_15.xlsx&amp;sheet=A0&amp;row=1521&amp;col=7&amp;number=0.0016476&amp;sourceID=54","0.0016476")</f>
        <v>0.0016476</v>
      </c>
      <c r="H1521" s="4" t="str">
        <f>HYPERLINK("http://141.218.60.56/~jnz1568/getInfo.php?workbook=16_15.xlsx&amp;sheet=A0&amp;row=1521&amp;col=8&amp;number=0.0027638&amp;sourceID=54","0.0027638")</f>
        <v>0.0027638</v>
      </c>
      <c r="I1521" s="4" t="str">
        <f>HYPERLINK("http://141.218.60.56/~jnz1568/getInfo.php?workbook=16_15.xlsx&amp;sheet=A0&amp;row=1521&amp;col=9&amp;number=&amp;sourceID=54","")</f>
        <v/>
      </c>
      <c r="J1521" s="4" t="str">
        <f>HYPERLINK("http://141.218.60.56/~jnz1568/getInfo.php?workbook=16_15.xlsx&amp;sheet=A0&amp;row=1521&amp;col=10&amp;number=0.0016016&amp;sourceID=54","0.0016016")</f>
        <v>0.0016016</v>
      </c>
      <c r="K1521" s="4" t="str">
        <f>HYPERLINK("http://141.218.60.56/~jnz1568/getInfo.php?workbook=16_15.xlsx&amp;sheet=A0&amp;row=1521&amp;col=11&amp;number=0.0026175&amp;sourceID=54","0.0026175")</f>
        <v>0.0026175</v>
      </c>
      <c r="L1521" s="4" t="str">
        <f>HYPERLINK("http://141.218.60.56/~jnz1568/getInfo.php?workbook=16_15.xlsx&amp;sheet=A0&amp;row=1521&amp;col=12&amp;number=&amp;sourceID=53","")</f>
        <v/>
      </c>
      <c r="M1521" s="4" t="str">
        <f>HYPERLINK("http://141.218.60.56/~jnz1568/getInfo.php?workbook=16_15.xlsx&amp;sheet=A0&amp;row=1521&amp;col=13&amp;number=&amp;sourceID=53","")</f>
        <v/>
      </c>
      <c r="N1521" s="4" t="str">
        <f>HYPERLINK("http://141.218.60.56/~jnz1568/getInfo.php?workbook=16_15.xlsx&amp;sheet=A0&amp;row=1521&amp;col=14&amp;number=&amp;sourceID=53","")</f>
        <v/>
      </c>
      <c r="O1521" s="4" t="str">
        <f>HYPERLINK("http://141.218.60.56/~jnz1568/getInfo.php?workbook=16_15.xlsx&amp;sheet=A0&amp;row=1521&amp;col=15&amp;number=&amp;sourceID=55","")</f>
        <v/>
      </c>
      <c r="P1521" s="4" t="str">
        <f>HYPERLINK("http://141.218.60.56/~jnz1568/getInfo.php?workbook=16_15.xlsx&amp;sheet=A0&amp;row=1521&amp;col=16&amp;number=&amp;sourceID=55","")</f>
        <v/>
      </c>
      <c r="Q1521" s="4" t="str">
        <f>HYPERLINK("http://141.218.60.56/~jnz1568/getInfo.php?workbook=16_15.xlsx&amp;sheet=A0&amp;row=1521&amp;col=17&amp;number=&amp;sourceID=56","")</f>
        <v/>
      </c>
      <c r="R1521" s="4" t="str">
        <f>HYPERLINK("http://141.218.60.56/~jnz1568/getInfo.php?workbook=16_15.xlsx&amp;sheet=A0&amp;row=1521&amp;col=18&amp;number=&amp;sourceID=56","")</f>
        <v/>
      </c>
      <c r="S1521" s="4" t="str">
        <f>HYPERLINK("http://141.218.60.56/~jnz1568/getInfo.php?workbook=16_15.xlsx&amp;sheet=A0&amp;row=1521&amp;col=19&amp;number=&amp;sourceID=57","")</f>
        <v/>
      </c>
      <c r="T1521" s="4" t="str">
        <f>HYPERLINK("http://141.218.60.56/~jnz1568/getInfo.php?workbook=16_15.xlsx&amp;sheet=A0&amp;row=1521&amp;col=20&amp;number=&amp;sourceID=57","")</f>
        <v/>
      </c>
      <c r="U1521" s="4" t="str">
        <f>HYPERLINK("http://141.218.60.56/~jnz1568/getInfo.php?workbook=16_15.xlsx&amp;sheet=A0&amp;row=1521&amp;col=21&amp;number=&amp;sourceID=47","")</f>
        <v/>
      </c>
      <c r="V1521" s="4" t="str">
        <f>HYPERLINK("http://141.218.60.56/~jnz1568/getInfo.php?workbook=16_15.xlsx&amp;sheet=A0&amp;row=1521&amp;col=22&amp;number=&amp;sourceID=47","")</f>
        <v/>
      </c>
    </row>
    <row r="1522" spans="1:22">
      <c r="A1522" s="3">
        <v>16</v>
      </c>
      <c r="B1522" s="3">
        <v>15</v>
      </c>
      <c r="C1522" s="3">
        <v>63</v>
      </c>
      <c r="D1522" s="3">
        <v>9</v>
      </c>
      <c r="E1522" s="3">
        <f>((1/(INDEX(E0!J$4:J$73,C1522,1)-INDEX(E0!J$4:J$73,D1522,1))))*100000000</f>
        <v>0</v>
      </c>
      <c r="F1522" s="4" t="str">
        <f>HYPERLINK("http://141.218.60.56/~jnz1568/getInfo.php?workbook=16_15.xlsx&amp;sheet=A0&amp;row=1522&amp;col=6&amp;number=&amp;sourceID=54","")</f>
        <v/>
      </c>
      <c r="G1522" s="4" t="str">
        <f>HYPERLINK("http://141.218.60.56/~jnz1568/getInfo.php?workbook=16_15.xlsx&amp;sheet=A0&amp;row=1522&amp;col=7&amp;number=7.2569&amp;sourceID=54","7.2569")</f>
        <v>7.2569</v>
      </c>
      <c r="H1522" s="4" t="str">
        <f>HYPERLINK("http://141.218.60.56/~jnz1568/getInfo.php?workbook=16_15.xlsx&amp;sheet=A0&amp;row=1522&amp;col=8&amp;number=0.66725&amp;sourceID=54","0.66725")</f>
        <v>0.66725</v>
      </c>
      <c r="I1522" s="4" t="str">
        <f>HYPERLINK("http://141.218.60.56/~jnz1568/getInfo.php?workbook=16_15.xlsx&amp;sheet=A0&amp;row=1522&amp;col=9&amp;number=&amp;sourceID=54","")</f>
        <v/>
      </c>
      <c r="J1522" s="4" t="str">
        <f>HYPERLINK("http://141.218.60.56/~jnz1568/getInfo.php?workbook=16_15.xlsx&amp;sheet=A0&amp;row=1522&amp;col=10&amp;number=6.3104&amp;sourceID=54","6.3104")</f>
        <v>6.3104</v>
      </c>
      <c r="K1522" s="4" t="str">
        <f>HYPERLINK("http://141.218.60.56/~jnz1568/getInfo.php?workbook=16_15.xlsx&amp;sheet=A0&amp;row=1522&amp;col=11&amp;number=0.61463&amp;sourceID=54","0.61463")</f>
        <v>0.61463</v>
      </c>
      <c r="L1522" s="4" t="str">
        <f>HYPERLINK("http://141.218.60.56/~jnz1568/getInfo.php?workbook=16_15.xlsx&amp;sheet=A0&amp;row=1522&amp;col=12&amp;number=&amp;sourceID=53","")</f>
        <v/>
      </c>
      <c r="M1522" s="4" t="str">
        <f>HYPERLINK("http://141.218.60.56/~jnz1568/getInfo.php?workbook=16_15.xlsx&amp;sheet=A0&amp;row=1522&amp;col=13&amp;number=&amp;sourceID=53","")</f>
        <v/>
      </c>
      <c r="N1522" s="4" t="str">
        <f>HYPERLINK("http://141.218.60.56/~jnz1568/getInfo.php?workbook=16_15.xlsx&amp;sheet=A0&amp;row=1522&amp;col=14&amp;number=&amp;sourceID=53","")</f>
        <v/>
      </c>
      <c r="O1522" s="4" t="str">
        <f>HYPERLINK("http://141.218.60.56/~jnz1568/getInfo.php?workbook=16_15.xlsx&amp;sheet=A0&amp;row=1522&amp;col=15&amp;number=&amp;sourceID=55","")</f>
        <v/>
      </c>
      <c r="P1522" s="4" t="str">
        <f>HYPERLINK("http://141.218.60.56/~jnz1568/getInfo.php?workbook=16_15.xlsx&amp;sheet=A0&amp;row=1522&amp;col=16&amp;number=&amp;sourceID=55","")</f>
        <v/>
      </c>
      <c r="Q1522" s="4" t="str">
        <f>HYPERLINK("http://141.218.60.56/~jnz1568/getInfo.php?workbook=16_15.xlsx&amp;sheet=A0&amp;row=1522&amp;col=17&amp;number=&amp;sourceID=56","")</f>
        <v/>
      </c>
      <c r="R1522" s="4" t="str">
        <f>HYPERLINK("http://141.218.60.56/~jnz1568/getInfo.php?workbook=16_15.xlsx&amp;sheet=A0&amp;row=1522&amp;col=18&amp;number=&amp;sourceID=56","")</f>
        <v/>
      </c>
      <c r="S1522" s="4" t="str">
        <f>HYPERLINK("http://141.218.60.56/~jnz1568/getInfo.php?workbook=16_15.xlsx&amp;sheet=A0&amp;row=1522&amp;col=19&amp;number=&amp;sourceID=57","")</f>
        <v/>
      </c>
      <c r="T1522" s="4" t="str">
        <f>HYPERLINK("http://141.218.60.56/~jnz1568/getInfo.php?workbook=16_15.xlsx&amp;sheet=A0&amp;row=1522&amp;col=20&amp;number=&amp;sourceID=57","")</f>
        <v/>
      </c>
      <c r="U1522" s="4" t="str">
        <f>HYPERLINK("http://141.218.60.56/~jnz1568/getInfo.php?workbook=16_15.xlsx&amp;sheet=A0&amp;row=1522&amp;col=21&amp;number=&amp;sourceID=47","")</f>
        <v/>
      </c>
      <c r="V1522" s="4" t="str">
        <f>HYPERLINK("http://141.218.60.56/~jnz1568/getInfo.php?workbook=16_15.xlsx&amp;sheet=A0&amp;row=1522&amp;col=22&amp;number=&amp;sourceID=47","")</f>
        <v/>
      </c>
    </row>
    <row r="1523" spans="1:22">
      <c r="A1523" s="3">
        <v>16</v>
      </c>
      <c r="B1523" s="3">
        <v>15</v>
      </c>
      <c r="C1523" s="3">
        <v>63</v>
      </c>
      <c r="D1523" s="3">
        <v>10</v>
      </c>
      <c r="E1523" s="3">
        <f>((1/(INDEX(E0!J$4:J$73,C1523,1)-INDEX(E0!J$4:J$73,D1523,1))))*100000000</f>
        <v>0</v>
      </c>
      <c r="F1523" s="4" t="str">
        <f>HYPERLINK("http://141.218.60.56/~jnz1568/getInfo.php?workbook=16_15.xlsx&amp;sheet=A0&amp;row=1523&amp;col=6&amp;number=&amp;sourceID=54","")</f>
        <v/>
      </c>
      <c r="G1523" s="4" t="str">
        <f>HYPERLINK("http://141.218.60.56/~jnz1568/getInfo.php?workbook=16_15.xlsx&amp;sheet=A0&amp;row=1523&amp;col=7&amp;number=2.3559&amp;sourceID=54","2.3559")</f>
        <v>2.3559</v>
      </c>
      <c r="H1523" s="4" t="str">
        <f>HYPERLINK("http://141.218.60.56/~jnz1568/getInfo.php?workbook=16_15.xlsx&amp;sheet=A0&amp;row=1523&amp;col=8&amp;number=0.12344&amp;sourceID=54","0.12344")</f>
        <v>0.12344</v>
      </c>
      <c r="I1523" s="4" t="str">
        <f>HYPERLINK("http://141.218.60.56/~jnz1568/getInfo.php?workbook=16_15.xlsx&amp;sheet=A0&amp;row=1523&amp;col=9&amp;number=&amp;sourceID=54","")</f>
        <v/>
      </c>
      <c r="J1523" s="4" t="str">
        <f>HYPERLINK("http://141.218.60.56/~jnz1568/getInfo.php?workbook=16_15.xlsx&amp;sheet=A0&amp;row=1523&amp;col=10&amp;number=2.0476&amp;sourceID=54","2.0476")</f>
        <v>2.0476</v>
      </c>
      <c r="K1523" s="4" t="str">
        <f>HYPERLINK("http://141.218.60.56/~jnz1568/getInfo.php?workbook=16_15.xlsx&amp;sheet=A0&amp;row=1523&amp;col=11&amp;number=0.11417&amp;sourceID=54","0.11417")</f>
        <v>0.11417</v>
      </c>
      <c r="L1523" s="4" t="str">
        <f>HYPERLINK("http://141.218.60.56/~jnz1568/getInfo.php?workbook=16_15.xlsx&amp;sheet=A0&amp;row=1523&amp;col=12&amp;number=&amp;sourceID=53","")</f>
        <v/>
      </c>
      <c r="M1523" s="4" t="str">
        <f>HYPERLINK("http://141.218.60.56/~jnz1568/getInfo.php?workbook=16_15.xlsx&amp;sheet=A0&amp;row=1523&amp;col=13&amp;number=&amp;sourceID=53","")</f>
        <v/>
      </c>
      <c r="N1523" s="4" t="str">
        <f>HYPERLINK("http://141.218.60.56/~jnz1568/getInfo.php?workbook=16_15.xlsx&amp;sheet=A0&amp;row=1523&amp;col=14&amp;number=&amp;sourceID=53","")</f>
        <v/>
      </c>
      <c r="O1523" s="4" t="str">
        <f>HYPERLINK("http://141.218.60.56/~jnz1568/getInfo.php?workbook=16_15.xlsx&amp;sheet=A0&amp;row=1523&amp;col=15&amp;number=&amp;sourceID=55","")</f>
        <v/>
      </c>
      <c r="P1523" s="4" t="str">
        <f>HYPERLINK("http://141.218.60.56/~jnz1568/getInfo.php?workbook=16_15.xlsx&amp;sheet=A0&amp;row=1523&amp;col=16&amp;number=&amp;sourceID=55","")</f>
        <v/>
      </c>
      <c r="Q1523" s="4" t="str">
        <f>HYPERLINK("http://141.218.60.56/~jnz1568/getInfo.php?workbook=16_15.xlsx&amp;sheet=A0&amp;row=1523&amp;col=17&amp;number=&amp;sourceID=56","")</f>
        <v/>
      </c>
      <c r="R1523" s="4" t="str">
        <f>HYPERLINK("http://141.218.60.56/~jnz1568/getInfo.php?workbook=16_15.xlsx&amp;sheet=A0&amp;row=1523&amp;col=18&amp;number=&amp;sourceID=56","")</f>
        <v/>
      </c>
      <c r="S1523" s="4" t="str">
        <f>HYPERLINK("http://141.218.60.56/~jnz1568/getInfo.php?workbook=16_15.xlsx&amp;sheet=A0&amp;row=1523&amp;col=19&amp;number=&amp;sourceID=57","")</f>
        <v/>
      </c>
      <c r="T1523" s="4" t="str">
        <f>HYPERLINK("http://141.218.60.56/~jnz1568/getInfo.php?workbook=16_15.xlsx&amp;sheet=A0&amp;row=1523&amp;col=20&amp;number=&amp;sourceID=57","")</f>
        <v/>
      </c>
      <c r="U1523" s="4" t="str">
        <f>HYPERLINK("http://141.218.60.56/~jnz1568/getInfo.php?workbook=16_15.xlsx&amp;sheet=A0&amp;row=1523&amp;col=21&amp;number=&amp;sourceID=47","")</f>
        <v/>
      </c>
      <c r="V1523" s="4" t="str">
        <f>HYPERLINK("http://141.218.60.56/~jnz1568/getInfo.php?workbook=16_15.xlsx&amp;sheet=A0&amp;row=1523&amp;col=22&amp;number=&amp;sourceID=47","")</f>
        <v/>
      </c>
    </row>
    <row r="1524" spans="1:22">
      <c r="A1524" s="3">
        <v>16</v>
      </c>
      <c r="B1524" s="3">
        <v>15</v>
      </c>
      <c r="C1524" s="3">
        <v>63</v>
      </c>
      <c r="D1524" s="3">
        <v>11</v>
      </c>
      <c r="E1524" s="3">
        <f>((1/(INDEX(E0!J$4:J$73,C1524,1)-INDEX(E0!J$4:J$73,D1524,1))))*100000000</f>
        <v>0</v>
      </c>
      <c r="F1524" s="4" t="str">
        <f>HYPERLINK("http://141.218.60.56/~jnz1568/getInfo.php?workbook=16_15.xlsx&amp;sheet=A0&amp;row=1524&amp;col=6&amp;number=&amp;sourceID=54","")</f>
        <v/>
      </c>
      <c r="G1524" s="4" t="str">
        <f>HYPERLINK("http://141.218.60.56/~jnz1568/getInfo.php?workbook=16_15.xlsx&amp;sheet=A0&amp;row=1524&amp;col=7&amp;number=4.7945&amp;sourceID=54","4.7945")</f>
        <v>4.7945</v>
      </c>
      <c r="H1524" s="4" t="str">
        <f>HYPERLINK("http://141.218.60.56/~jnz1568/getInfo.php?workbook=16_15.xlsx&amp;sheet=A0&amp;row=1524&amp;col=8&amp;number=3.0557e-06&amp;sourceID=54","3.0557e-06")</f>
        <v>3.0557e-06</v>
      </c>
      <c r="I1524" s="4" t="str">
        <f>HYPERLINK("http://141.218.60.56/~jnz1568/getInfo.php?workbook=16_15.xlsx&amp;sheet=A0&amp;row=1524&amp;col=9&amp;number=&amp;sourceID=54","")</f>
        <v/>
      </c>
      <c r="J1524" s="4" t="str">
        <f>HYPERLINK("http://141.218.60.56/~jnz1568/getInfo.php?workbook=16_15.xlsx&amp;sheet=A0&amp;row=1524&amp;col=10&amp;number=4.1012&amp;sourceID=54","4.1012")</f>
        <v>4.1012</v>
      </c>
      <c r="K1524" s="4" t="str">
        <f>HYPERLINK("http://141.218.60.56/~jnz1568/getInfo.php?workbook=16_15.xlsx&amp;sheet=A0&amp;row=1524&amp;col=11&amp;number=3.5517e-06&amp;sourceID=54","3.5517e-06")</f>
        <v>3.5517e-06</v>
      </c>
      <c r="L1524" s="4" t="str">
        <f>HYPERLINK("http://141.218.60.56/~jnz1568/getInfo.php?workbook=16_15.xlsx&amp;sheet=A0&amp;row=1524&amp;col=12&amp;number=&amp;sourceID=53","")</f>
        <v/>
      </c>
      <c r="M1524" s="4" t="str">
        <f>HYPERLINK("http://141.218.60.56/~jnz1568/getInfo.php?workbook=16_15.xlsx&amp;sheet=A0&amp;row=1524&amp;col=13&amp;number=&amp;sourceID=53","")</f>
        <v/>
      </c>
      <c r="N1524" s="4" t="str">
        <f>HYPERLINK("http://141.218.60.56/~jnz1568/getInfo.php?workbook=16_15.xlsx&amp;sheet=A0&amp;row=1524&amp;col=14&amp;number=&amp;sourceID=53","")</f>
        <v/>
      </c>
      <c r="O1524" s="4" t="str">
        <f>HYPERLINK("http://141.218.60.56/~jnz1568/getInfo.php?workbook=16_15.xlsx&amp;sheet=A0&amp;row=1524&amp;col=15&amp;number=&amp;sourceID=55","")</f>
        <v/>
      </c>
      <c r="P1524" s="4" t="str">
        <f>HYPERLINK("http://141.218.60.56/~jnz1568/getInfo.php?workbook=16_15.xlsx&amp;sheet=A0&amp;row=1524&amp;col=16&amp;number=&amp;sourceID=55","")</f>
        <v/>
      </c>
      <c r="Q1524" s="4" t="str">
        <f>HYPERLINK("http://141.218.60.56/~jnz1568/getInfo.php?workbook=16_15.xlsx&amp;sheet=A0&amp;row=1524&amp;col=17&amp;number=&amp;sourceID=56","")</f>
        <v/>
      </c>
      <c r="R1524" s="4" t="str">
        <f>HYPERLINK("http://141.218.60.56/~jnz1568/getInfo.php?workbook=16_15.xlsx&amp;sheet=A0&amp;row=1524&amp;col=18&amp;number=&amp;sourceID=56","")</f>
        <v/>
      </c>
      <c r="S1524" s="4" t="str">
        <f>HYPERLINK("http://141.218.60.56/~jnz1568/getInfo.php?workbook=16_15.xlsx&amp;sheet=A0&amp;row=1524&amp;col=19&amp;number=&amp;sourceID=57","")</f>
        <v/>
      </c>
      <c r="T1524" s="4" t="str">
        <f>HYPERLINK("http://141.218.60.56/~jnz1568/getInfo.php?workbook=16_15.xlsx&amp;sheet=A0&amp;row=1524&amp;col=20&amp;number=&amp;sourceID=57","")</f>
        <v/>
      </c>
      <c r="U1524" s="4" t="str">
        <f>HYPERLINK("http://141.218.60.56/~jnz1568/getInfo.php?workbook=16_15.xlsx&amp;sheet=A0&amp;row=1524&amp;col=21&amp;number=&amp;sourceID=47","")</f>
        <v/>
      </c>
      <c r="V1524" s="4" t="str">
        <f>HYPERLINK("http://141.218.60.56/~jnz1568/getInfo.php?workbook=16_15.xlsx&amp;sheet=A0&amp;row=1524&amp;col=22&amp;number=&amp;sourceID=47","")</f>
        <v/>
      </c>
    </row>
    <row r="1525" spans="1:22">
      <c r="A1525" s="3">
        <v>16</v>
      </c>
      <c r="B1525" s="3">
        <v>15</v>
      </c>
      <c r="C1525" s="3">
        <v>63</v>
      </c>
      <c r="D1525" s="3">
        <v>12</v>
      </c>
      <c r="E1525" s="3">
        <f>((1/(INDEX(E0!J$4:J$73,C1525,1)-INDEX(E0!J$4:J$73,D1525,1))))*100000000</f>
        <v>0</v>
      </c>
      <c r="F1525" s="4" t="str">
        <f>HYPERLINK("http://141.218.60.56/~jnz1568/getInfo.php?workbook=16_15.xlsx&amp;sheet=A0&amp;row=1525&amp;col=6&amp;number=&amp;sourceID=54","")</f>
        <v/>
      </c>
      <c r="G1525" s="4" t="str">
        <f>HYPERLINK("http://141.218.60.56/~jnz1568/getInfo.php?workbook=16_15.xlsx&amp;sheet=A0&amp;row=1525&amp;col=7&amp;number=3.7085&amp;sourceID=54","3.7085")</f>
        <v>3.7085</v>
      </c>
      <c r="H1525" s="4" t="str">
        <f>HYPERLINK("http://141.218.60.56/~jnz1568/getInfo.php?workbook=16_15.xlsx&amp;sheet=A0&amp;row=1525&amp;col=8&amp;number=4.0614e-05&amp;sourceID=54","4.0614e-05")</f>
        <v>4.0614e-05</v>
      </c>
      <c r="I1525" s="4" t="str">
        <f>HYPERLINK("http://141.218.60.56/~jnz1568/getInfo.php?workbook=16_15.xlsx&amp;sheet=A0&amp;row=1525&amp;col=9&amp;number=&amp;sourceID=54","")</f>
        <v/>
      </c>
      <c r="J1525" s="4" t="str">
        <f>HYPERLINK("http://141.218.60.56/~jnz1568/getInfo.php?workbook=16_15.xlsx&amp;sheet=A0&amp;row=1525&amp;col=10&amp;number=3.2771&amp;sourceID=54","3.2771")</f>
        <v>3.2771</v>
      </c>
      <c r="K1525" s="4" t="str">
        <f>HYPERLINK("http://141.218.60.56/~jnz1568/getInfo.php?workbook=16_15.xlsx&amp;sheet=A0&amp;row=1525&amp;col=11&amp;number=3.9059e-05&amp;sourceID=54","3.9059e-05")</f>
        <v>3.9059e-05</v>
      </c>
      <c r="L1525" s="4" t="str">
        <f>HYPERLINK("http://141.218.60.56/~jnz1568/getInfo.php?workbook=16_15.xlsx&amp;sheet=A0&amp;row=1525&amp;col=12&amp;number=&amp;sourceID=53","")</f>
        <v/>
      </c>
      <c r="M1525" s="4" t="str">
        <f>HYPERLINK("http://141.218.60.56/~jnz1568/getInfo.php?workbook=16_15.xlsx&amp;sheet=A0&amp;row=1525&amp;col=13&amp;number=&amp;sourceID=53","")</f>
        <v/>
      </c>
      <c r="N1525" s="4" t="str">
        <f>HYPERLINK("http://141.218.60.56/~jnz1568/getInfo.php?workbook=16_15.xlsx&amp;sheet=A0&amp;row=1525&amp;col=14&amp;number=&amp;sourceID=53","")</f>
        <v/>
      </c>
      <c r="O1525" s="4" t="str">
        <f>HYPERLINK("http://141.218.60.56/~jnz1568/getInfo.php?workbook=16_15.xlsx&amp;sheet=A0&amp;row=1525&amp;col=15&amp;number=&amp;sourceID=55","")</f>
        <v/>
      </c>
      <c r="P1525" s="4" t="str">
        <f>HYPERLINK("http://141.218.60.56/~jnz1568/getInfo.php?workbook=16_15.xlsx&amp;sheet=A0&amp;row=1525&amp;col=16&amp;number=&amp;sourceID=55","")</f>
        <v/>
      </c>
      <c r="Q1525" s="4" t="str">
        <f>HYPERLINK("http://141.218.60.56/~jnz1568/getInfo.php?workbook=16_15.xlsx&amp;sheet=A0&amp;row=1525&amp;col=17&amp;number=&amp;sourceID=56","")</f>
        <v/>
      </c>
      <c r="R1525" s="4" t="str">
        <f>HYPERLINK("http://141.218.60.56/~jnz1568/getInfo.php?workbook=16_15.xlsx&amp;sheet=A0&amp;row=1525&amp;col=18&amp;number=&amp;sourceID=56","")</f>
        <v/>
      </c>
      <c r="S1525" s="4" t="str">
        <f>HYPERLINK("http://141.218.60.56/~jnz1568/getInfo.php?workbook=16_15.xlsx&amp;sheet=A0&amp;row=1525&amp;col=19&amp;number=&amp;sourceID=57","")</f>
        <v/>
      </c>
      <c r="T1525" s="4" t="str">
        <f>HYPERLINK("http://141.218.60.56/~jnz1568/getInfo.php?workbook=16_15.xlsx&amp;sheet=A0&amp;row=1525&amp;col=20&amp;number=&amp;sourceID=57","")</f>
        <v/>
      </c>
      <c r="U1525" s="4" t="str">
        <f>HYPERLINK("http://141.218.60.56/~jnz1568/getInfo.php?workbook=16_15.xlsx&amp;sheet=A0&amp;row=1525&amp;col=21&amp;number=&amp;sourceID=47","")</f>
        <v/>
      </c>
      <c r="V1525" s="4" t="str">
        <f>HYPERLINK("http://141.218.60.56/~jnz1568/getInfo.php?workbook=16_15.xlsx&amp;sheet=A0&amp;row=1525&amp;col=22&amp;number=&amp;sourceID=47","")</f>
        <v/>
      </c>
    </row>
    <row r="1526" spans="1:22">
      <c r="A1526" s="3">
        <v>16</v>
      </c>
      <c r="B1526" s="3">
        <v>15</v>
      </c>
      <c r="C1526" s="3">
        <v>63</v>
      </c>
      <c r="D1526" s="3">
        <v>13</v>
      </c>
      <c r="E1526" s="3">
        <f>((1/(INDEX(E0!J$4:J$73,C1526,1)-INDEX(E0!J$4:J$73,D1526,1))))*100000000</f>
        <v>0</v>
      </c>
      <c r="F1526" s="4" t="str">
        <f>HYPERLINK("http://141.218.60.56/~jnz1568/getInfo.php?workbook=16_15.xlsx&amp;sheet=A0&amp;row=1526&amp;col=6&amp;number=&amp;sourceID=54","")</f>
        <v/>
      </c>
      <c r="G1526" s="4" t="str">
        <f>HYPERLINK("http://141.218.60.56/~jnz1568/getInfo.php?workbook=16_15.xlsx&amp;sheet=A0&amp;row=1526&amp;col=7&amp;number=0.018477&amp;sourceID=54","0.018477")</f>
        <v>0.018477</v>
      </c>
      <c r="H1526" s="4" t="str">
        <f>HYPERLINK("http://141.218.60.56/~jnz1568/getInfo.php?workbook=16_15.xlsx&amp;sheet=A0&amp;row=1526&amp;col=8&amp;number=0.00027571&amp;sourceID=54","0.00027571")</f>
        <v>0.00027571</v>
      </c>
      <c r="I1526" s="4" t="str">
        <f>HYPERLINK("http://141.218.60.56/~jnz1568/getInfo.php?workbook=16_15.xlsx&amp;sheet=A0&amp;row=1526&amp;col=9&amp;number=&amp;sourceID=54","")</f>
        <v/>
      </c>
      <c r="J1526" s="4" t="str">
        <f>HYPERLINK("http://141.218.60.56/~jnz1568/getInfo.php?workbook=16_15.xlsx&amp;sheet=A0&amp;row=1526&amp;col=10&amp;number=0.031743&amp;sourceID=54","0.031743")</f>
        <v>0.031743</v>
      </c>
      <c r="K1526" s="4" t="str">
        <f>HYPERLINK("http://141.218.60.56/~jnz1568/getInfo.php?workbook=16_15.xlsx&amp;sheet=A0&amp;row=1526&amp;col=11&amp;number=0.00023663&amp;sourceID=54","0.00023663")</f>
        <v>0.00023663</v>
      </c>
      <c r="L1526" s="4" t="str">
        <f>HYPERLINK("http://141.218.60.56/~jnz1568/getInfo.php?workbook=16_15.xlsx&amp;sheet=A0&amp;row=1526&amp;col=12&amp;number=&amp;sourceID=53","")</f>
        <v/>
      </c>
      <c r="M1526" s="4" t="str">
        <f>HYPERLINK("http://141.218.60.56/~jnz1568/getInfo.php?workbook=16_15.xlsx&amp;sheet=A0&amp;row=1526&amp;col=13&amp;number=&amp;sourceID=53","")</f>
        <v/>
      </c>
      <c r="N1526" s="4" t="str">
        <f>HYPERLINK("http://141.218.60.56/~jnz1568/getInfo.php?workbook=16_15.xlsx&amp;sheet=A0&amp;row=1526&amp;col=14&amp;number=&amp;sourceID=53","")</f>
        <v/>
      </c>
      <c r="O1526" s="4" t="str">
        <f>HYPERLINK("http://141.218.60.56/~jnz1568/getInfo.php?workbook=16_15.xlsx&amp;sheet=A0&amp;row=1526&amp;col=15&amp;number=&amp;sourceID=55","")</f>
        <v/>
      </c>
      <c r="P1526" s="4" t="str">
        <f>HYPERLINK("http://141.218.60.56/~jnz1568/getInfo.php?workbook=16_15.xlsx&amp;sheet=A0&amp;row=1526&amp;col=16&amp;number=&amp;sourceID=55","")</f>
        <v/>
      </c>
      <c r="Q1526" s="4" t="str">
        <f>HYPERLINK("http://141.218.60.56/~jnz1568/getInfo.php?workbook=16_15.xlsx&amp;sheet=A0&amp;row=1526&amp;col=17&amp;number=&amp;sourceID=56","")</f>
        <v/>
      </c>
      <c r="R1526" s="4" t="str">
        <f>HYPERLINK("http://141.218.60.56/~jnz1568/getInfo.php?workbook=16_15.xlsx&amp;sheet=A0&amp;row=1526&amp;col=18&amp;number=&amp;sourceID=56","")</f>
        <v/>
      </c>
      <c r="S1526" s="4" t="str">
        <f>HYPERLINK("http://141.218.60.56/~jnz1568/getInfo.php?workbook=16_15.xlsx&amp;sheet=A0&amp;row=1526&amp;col=19&amp;number=&amp;sourceID=57","")</f>
        <v/>
      </c>
      <c r="T1526" s="4" t="str">
        <f>HYPERLINK("http://141.218.60.56/~jnz1568/getInfo.php?workbook=16_15.xlsx&amp;sheet=A0&amp;row=1526&amp;col=20&amp;number=&amp;sourceID=57","")</f>
        <v/>
      </c>
      <c r="U1526" s="4" t="str">
        <f>HYPERLINK("http://141.218.60.56/~jnz1568/getInfo.php?workbook=16_15.xlsx&amp;sheet=A0&amp;row=1526&amp;col=21&amp;number=&amp;sourceID=47","")</f>
        <v/>
      </c>
      <c r="V1526" s="4" t="str">
        <f>HYPERLINK("http://141.218.60.56/~jnz1568/getInfo.php?workbook=16_15.xlsx&amp;sheet=A0&amp;row=1526&amp;col=22&amp;number=&amp;sourceID=47","")</f>
        <v/>
      </c>
    </row>
    <row r="1527" spans="1:22">
      <c r="A1527" s="3">
        <v>16</v>
      </c>
      <c r="B1527" s="3">
        <v>15</v>
      </c>
      <c r="C1527" s="3">
        <v>63</v>
      </c>
      <c r="D1527" s="3">
        <v>14</v>
      </c>
      <c r="E1527" s="3">
        <f>((1/(INDEX(E0!J$4:J$73,C1527,1)-INDEX(E0!J$4:J$73,D1527,1))))*100000000</f>
        <v>0</v>
      </c>
      <c r="F1527" s="4" t="str">
        <f>HYPERLINK("http://141.218.60.56/~jnz1568/getInfo.php?workbook=16_15.xlsx&amp;sheet=A0&amp;row=1527&amp;col=6&amp;number=&amp;sourceID=54","")</f>
        <v/>
      </c>
      <c r="G1527" s="4" t="str">
        <f>HYPERLINK("http://141.218.60.56/~jnz1568/getInfo.php?workbook=16_15.xlsx&amp;sheet=A0&amp;row=1527&amp;col=7&amp;number=0.14866&amp;sourceID=54","0.14866")</f>
        <v>0.14866</v>
      </c>
      <c r="H1527" s="4" t="str">
        <f>HYPERLINK("http://141.218.60.56/~jnz1568/getInfo.php?workbook=16_15.xlsx&amp;sheet=A0&amp;row=1527&amp;col=8&amp;number=0.0010612&amp;sourceID=54","0.0010612")</f>
        <v>0.0010612</v>
      </c>
      <c r="I1527" s="4" t="str">
        <f>HYPERLINK("http://141.218.60.56/~jnz1568/getInfo.php?workbook=16_15.xlsx&amp;sheet=A0&amp;row=1527&amp;col=9&amp;number=&amp;sourceID=54","")</f>
        <v/>
      </c>
      <c r="J1527" s="4" t="str">
        <f>HYPERLINK("http://141.218.60.56/~jnz1568/getInfo.php?workbook=16_15.xlsx&amp;sheet=A0&amp;row=1527&amp;col=10&amp;number=0.13967&amp;sourceID=54","0.13967")</f>
        <v>0.13967</v>
      </c>
      <c r="K1527" s="4" t="str">
        <f>HYPERLINK("http://141.218.60.56/~jnz1568/getInfo.php?workbook=16_15.xlsx&amp;sheet=A0&amp;row=1527&amp;col=11&amp;number=0.00091303&amp;sourceID=54","0.00091303")</f>
        <v>0.00091303</v>
      </c>
      <c r="L1527" s="4" t="str">
        <f>HYPERLINK("http://141.218.60.56/~jnz1568/getInfo.php?workbook=16_15.xlsx&amp;sheet=A0&amp;row=1527&amp;col=12&amp;number=&amp;sourceID=53","")</f>
        <v/>
      </c>
      <c r="M1527" s="4" t="str">
        <f>HYPERLINK("http://141.218.60.56/~jnz1568/getInfo.php?workbook=16_15.xlsx&amp;sheet=A0&amp;row=1527&amp;col=13&amp;number=&amp;sourceID=53","")</f>
        <v/>
      </c>
      <c r="N1527" s="4" t="str">
        <f>HYPERLINK("http://141.218.60.56/~jnz1568/getInfo.php?workbook=16_15.xlsx&amp;sheet=A0&amp;row=1527&amp;col=14&amp;number=&amp;sourceID=53","")</f>
        <v/>
      </c>
      <c r="O1527" s="4" t="str">
        <f>HYPERLINK("http://141.218.60.56/~jnz1568/getInfo.php?workbook=16_15.xlsx&amp;sheet=A0&amp;row=1527&amp;col=15&amp;number=&amp;sourceID=55","")</f>
        <v/>
      </c>
      <c r="P1527" s="4" t="str">
        <f>HYPERLINK("http://141.218.60.56/~jnz1568/getInfo.php?workbook=16_15.xlsx&amp;sheet=A0&amp;row=1527&amp;col=16&amp;number=&amp;sourceID=55","")</f>
        <v/>
      </c>
      <c r="Q1527" s="4" t="str">
        <f>HYPERLINK("http://141.218.60.56/~jnz1568/getInfo.php?workbook=16_15.xlsx&amp;sheet=A0&amp;row=1527&amp;col=17&amp;number=&amp;sourceID=56","")</f>
        <v/>
      </c>
      <c r="R1527" s="4" t="str">
        <f>HYPERLINK("http://141.218.60.56/~jnz1568/getInfo.php?workbook=16_15.xlsx&amp;sheet=A0&amp;row=1527&amp;col=18&amp;number=&amp;sourceID=56","")</f>
        <v/>
      </c>
      <c r="S1527" s="4" t="str">
        <f>HYPERLINK("http://141.218.60.56/~jnz1568/getInfo.php?workbook=16_15.xlsx&amp;sheet=A0&amp;row=1527&amp;col=19&amp;number=&amp;sourceID=57","")</f>
        <v/>
      </c>
      <c r="T1527" s="4" t="str">
        <f>HYPERLINK("http://141.218.60.56/~jnz1568/getInfo.php?workbook=16_15.xlsx&amp;sheet=A0&amp;row=1527&amp;col=20&amp;number=&amp;sourceID=57","")</f>
        <v/>
      </c>
      <c r="U1527" s="4" t="str">
        <f>HYPERLINK("http://141.218.60.56/~jnz1568/getInfo.php?workbook=16_15.xlsx&amp;sheet=A0&amp;row=1527&amp;col=21&amp;number=&amp;sourceID=47","")</f>
        <v/>
      </c>
      <c r="V1527" s="4" t="str">
        <f>HYPERLINK("http://141.218.60.56/~jnz1568/getInfo.php?workbook=16_15.xlsx&amp;sheet=A0&amp;row=1527&amp;col=22&amp;number=&amp;sourceID=47","")</f>
        <v/>
      </c>
    </row>
    <row r="1528" spans="1:22">
      <c r="A1528" s="3">
        <v>16</v>
      </c>
      <c r="B1528" s="3">
        <v>15</v>
      </c>
      <c r="C1528" s="3">
        <v>63</v>
      </c>
      <c r="D1528" s="3">
        <v>15</v>
      </c>
      <c r="E1528" s="3">
        <f>((1/(INDEX(E0!J$4:J$73,C1528,1)-INDEX(E0!J$4:J$73,D1528,1))))*100000000</f>
        <v>0</v>
      </c>
      <c r="F1528" s="4" t="str">
        <f>HYPERLINK("http://141.218.60.56/~jnz1568/getInfo.php?workbook=16_15.xlsx&amp;sheet=A0&amp;row=1528&amp;col=6&amp;number=&amp;sourceID=54","")</f>
        <v/>
      </c>
      <c r="G1528" s="4" t="str">
        <f>HYPERLINK("http://141.218.60.56/~jnz1568/getInfo.php?workbook=16_15.xlsx&amp;sheet=A0&amp;row=1528&amp;col=7&amp;number=0.001091&amp;sourceID=54","0.001091")</f>
        <v>0.001091</v>
      </c>
      <c r="H1528" s="4" t="str">
        <f>HYPERLINK("http://141.218.60.56/~jnz1568/getInfo.php?workbook=16_15.xlsx&amp;sheet=A0&amp;row=1528&amp;col=8&amp;number=0.0049837&amp;sourceID=54","0.0049837")</f>
        <v>0.0049837</v>
      </c>
      <c r="I1528" s="4" t="str">
        <f>HYPERLINK("http://141.218.60.56/~jnz1568/getInfo.php?workbook=16_15.xlsx&amp;sheet=A0&amp;row=1528&amp;col=9&amp;number=&amp;sourceID=54","")</f>
        <v/>
      </c>
      <c r="J1528" s="4" t="str">
        <f>HYPERLINK("http://141.218.60.56/~jnz1568/getInfo.php?workbook=16_15.xlsx&amp;sheet=A0&amp;row=1528&amp;col=10&amp;number=0.00034095&amp;sourceID=54","0.00034095")</f>
        <v>0.00034095</v>
      </c>
      <c r="K1528" s="4" t="str">
        <f>HYPERLINK("http://141.218.60.56/~jnz1568/getInfo.php?workbook=16_15.xlsx&amp;sheet=A0&amp;row=1528&amp;col=11&amp;number=0.0040895&amp;sourceID=54","0.0040895")</f>
        <v>0.0040895</v>
      </c>
      <c r="L1528" s="4" t="str">
        <f>HYPERLINK("http://141.218.60.56/~jnz1568/getInfo.php?workbook=16_15.xlsx&amp;sheet=A0&amp;row=1528&amp;col=12&amp;number=&amp;sourceID=53","")</f>
        <v/>
      </c>
      <c r="M1528" s="4" t="str">
        <f>HYPERLINK("http://141.218.60.56/~jnz1568/getInfo.php?workbook=16_15.xlsx&amp;sheet=A0&amp;row=1528&amp;col=13&amp;number=&amp;sourceID=53","")</f>
        <v/>
      </c>
      <c r="N1528" s="4" t="str">
        <f>HYPERLINK("http://141.218.60.56/~jnz1568/getInfo.php?workbook=16_15.xlsx&amp;sheet=A0&amp;row=1528&amp;col=14&amp;number=&amp;sourceID=53","")</f>
        <v/>
      </c>
      <c r="O1528" s="4" t="str">
        <f>HYPERLINK("http://141.218.60.56/~jnz1568/getInfo.php?workbook=16_15.xlsx&amp;sheet=A0&amp;row=1528&amp;col=15&amp;number=&amp;sourceID=55","")</f>
        <v/>
      </c>
      <c r="P1528" s="4" t="str">
        <f>HYPERLINK("http://141.218.60.56/~jnz1568/getInfo.php?workbook=16_15.xlsx&amp;sheet=A0&amp;row=1528&amp;col=16&amp;number=&amp;sourceID=55","")</f>
        <v/>
      </c>
      <c r="Q1528" s="4" t="str">
        <f>HYPERLINK("http://141.218.60.56/~jnz1568/getInfo.php?workbook=16_15.xlsx&amp;sheet=A0&amp;row=1528&amp;col=17&amp;number=&amp;sourceID=56","")</f>
        <v/>
      </c>
      <c r="R1528" s="4" t="str">
        <f>HYPERLINK("http://141.218.60.56/~jnz1568/getInfo.php?workbook=16_15.xlsx&amp;sheet=A0&amp;row=1528&amp;col=18&amp;number=&amp;sourceID=56","")</f>
        <v/>
      </c>
      <c r="S1528" s="4" t="str">
        <f>HYPERLINK("http://141.218.60.56/~jnz1568/getInfo.php?workbook=16_15.xlsx&amp;sheet=A0&amp;row=1528&amp;col=19&amp;number=&amp;sourceID=57","")</f>
        <v/>
      </c>
      <c r="T1528" s="4" t="str">
        <f>HYPERLINK("http://141.218.60.56/~jnz1568/getInfo.php?workbook=16_15.xlsx&amp;sheet=A0&amp;row=1528&amp;col=20&amp;number=&amp;sourceID=57","")</f>
        <v/>
      </c>
      <c r="U1528" s="4" t="str">
        <f>HYPERLINK("http://141.218.60.56/~jnz1568/getInfo.php?workbook=16_15.xlsx&amp;sheet=A0&amp;row=1528&amp;col=21&amp;number=&amp;sourceID=47","")</f>
        <v/>
      </c>
      <c r="V1528" s="4" t="str">
        <f>HYPERLINK("http://141.218.60.56/~jnz1568/getInfo.php?workbook=16_15.xlsx&amp;sheet=A0&amp;row=1528&amp;col=22&amp;number=&amp;sourceID=47","")</f>
        <v/>
      </c>
    </row>
    <row r="1529" spans="1:22">
      <c r="A1529" s="3">
        <v>16</v>
      </c>
      <c r="B1529" s="3">
        <v>15</v>
      </c>
      <c r="C1529" s="3">
        <v>63</v>
      </c>
      <c r="D1529" s="3">
        <v>16</v>
      </c>
      <c r="E1529" s="3">
        <f>((1/(INDEX(E0!J$4:J$73,C1529,1)-INDEX(E0!J$4:J$73,D1529,1))))*100000000</f>
        <v>0</v>
      </c>
      <c r="F1529" s="4" t="str">
        <f>HYPERLINK("http://141.218.60.56/~jnz1568/getInfo.php?workbook=16_15.xlsx&amp;sheet=A0&amp;row=1529&amp;col=6&amp;number=&amp;sourceID=54","")</f>
        <v/>
      </c>
      <c r="G1529" s="4" t="str">
        <f>HYPERLINK("http://141.218.60.56/~jnz1568/getInfo.php?workbook=16_15.xlsx&amp;sheet=A0&amp;row=1529&amp;col=7&amp;number=0.056489&amp;sourceID=54","0.056489")</f>
        <v>0.056489</v>
      </c>
      <c r="H1529" s="4" t="str">
        <f>HYPERLINK("http://141.218.60.56/~jnz1568/getInfo.php?workbook=16_15.xlsx&amp;sheet=A0&amp;row=1529&amp;col=8&amp;number=0.00028978&amp;sourceID=54","0.00028978")</f>
        <v>0.00028978</v>
      </c>
      <c r="I1529" s="4" t="str">
        <f>HYPERLINK("http://141.218.60.56/~jnz1568/getInfo.php?workbook=16_15.xlsx&amp;sheet=A0&amp;row=1529&amp;col=9&amp;number=&amp;sourceID=54","")</f>
        <v/>
      </c>
      <c r="J1529" s="4" t="str">
        <f>HYPERLINK("http://141.218.60.56/~jnz1568/getInfo.php?workbook=16_15.xlsx&amp;sheet=A0&amp;row=1529&amp;col=10&amp;number=0.050648&amp;sourceID=54","0.050648")</f>
        <v>0.050648</v>
      </c>
      <c r="K1529" s="4" t="str">
        <f>HYPERLINK("http://141.218.60.56/~jnz1568/getInfo.php?workbook=16_15.xlsx&amp;sheet=A0&amp;row=1529&amp;col=11&amp;number=0.00030234&amp;sourceID=54","0.00030234")</f>
        <v>0.00030234</v>
      </c>
      <c r="L1529" s="4" t="str">
        <f>HYPERLINK("http://141.218.60.56/~jnz1568/getInfo.php?workbook=16_15.xlsx&amp;sheet=A0&amp;row=1529&amp;col=12&amp;number=&amp;sourceID=53","")</f>
        <v/>
      </c>
      <c r="M1529" s="4" t="str">
        <f>HYPERLINK("http://141.218.60.56/~jnz1568/getInfo.php?workbook=16_15.xlsx&amp;sheet=A0&amp;row=1529&amp;col=13&amp;number=&amp;sourceID=53","")</f>
        <v/>
      </c>
      <c r="N1529" s="4" t="str">
        <f>HYPERLINK("http://141.218.60.56/~jnz1568/getInfo.php?workbook=16_15.xlsx&amp;sheet=A0&amp;row=1529&amp;col=14&amp;number=&amp;sourceID=53","")</f>
        <v/>
      </c>
      <c r="O1529" s="4" t="str">
        <f>HYPERLINK("http://141.218.60.56/~jnz1568/getInfo.php?workbook=16_15.xlsx&amp;sheet=A0&amp;row=1529&amp;col=15&amp;number=&amp;sourceID=55","")</f>
        <v/>
      </c>
      <c r="P1529" s="4" t="str">
        <f>HYPERLINK("http://141.218.60.56/~jnz1568/getInfo.php?workbook=16_15.xlsx&amp;sheet=A0&amp;row=1529&amp;col=16&amp;number=&amp;sourceID=55","")</f>
        <v/>
      </c>
      <c r="Q1529" s="4" t="str">
        <f>HYPERLINK("http://141.218.60.56/~jnz1568/getInfo.php?workbook=16_15.xlsx&amp;sheet=A0&amp;row=1529&amp;col=17&amp;number=&amp;sourceID=56","")</f>
        <v/>
      </c>
      <c r="R1529" s="4" t="str">
        <f>HYPERLINK("http://141.218.60.56/~jnz1568/getInfo.php?workbook=16_15.xlsx&amp;sheet=A0&amp;row=1529&amp;col=18&amp;number=&amp;sourceID=56","")</f>
        <v/>
      </c>
      <c r="S1529" s="4" t="str">
        <f>HYPERLINK("http://141.218.60.56/~jnz1568/getInfo.php?workbook=16_15.xlsx&amp;sheet=A0&amp;row=1529&amp;col=19&amp;number=&amp;sourceID=57","")</f>
        <v/>
      </c>
      <c r="T1529" s="4" t="str">
        <f>HYPERLINK("http://141.218.60.56/~jnz1568/getInfo.php?workbook=16_15.xlsx&amp;sheet=A0&amp;row=1529&amp;col=20&amp;number=&amp;sourceID=57","")</f>
        <v/>
      </c>
      <c r="U1529" s="4" t="str">
        <f>HYPERLINK("http://141.218.60.56/~jnz1568/getInfo.php?workbook=16_15.xlsx&amp;sheet=A0&amp;row=1529&amp;col=21&amp;number=&amp;sourceID=47","")</f>
        <v/>
      </c>
      <c r="V1529" s="4" t="str">
        <f>HYPERLINK("http://141.218.60.56/~jnz1568/getInfo.php?workbook=16_15.xlsx&amp;sheet=A0&amp;row=1529&amp;col=22&amp;number=&amp;sourceID=47","")</f>
        <v/>
      </c>
    </row>
    <row r="1530" spans="1:22">
      <c r="A1530" s="3">
        <v>16</v>
      </c>
      <c r="B1530" s="3">
        <v>15</v>
      </c>
      <c r="C1530" s="3">
        <v>63</v>
      </c>
      <c r="D1530" s="3">
        <v>17</v>
      </c>
      <c r="E1530" s="3">
        <f>((1/(INDEX(E0!J$4:J$73,C1530,1)-INDEX(E0!J$4:J$73,D1530,1))))*100000000</f>
        <v>0</v>
      </c>
      <c r="F1530" s="4" t="str">
        <f>HYPERLINK("http://141.218.60.56/~jnz1568/getInfo.php?workbook=16_15.xlsx&amp;sheet=A0&amp;row=1530&amp;col=6&amp;number=&amp;sourceID=54","")</f>
        <v/>
      </c>
      <c r="G1530" s="4" t="str">
        <f>HYPERLINK("http://141.218.60.56/~jnz1568/getInfo.php?workbook=16_15.xlsx&amp;sheet=A0&amp;row=1530&amp;col=7&amp;number=0.00011422&amp;sourceID=54","0.00011422")</f>
        <v>0.00011422</v>
      </c>
      <c r="H1530" s="4" t="str">
        <f>HYPERLINK("http://141.218.60.56/~jnz1568/getInfo.php?workbook=16_15.xlsx&amp;sheet=A0&amp;row=1530&amp;col=8&amp;number=0.012053&amp;sourceID=54","0.012053")</f>
        <v>0.012053</v>
      </c>
      <c r="I1530" s="4" t="str">
        <f>HYPERLINK("http://141.218.60.56/~jnz1568/getInfo.php?workbook=16_15.xlsx&amp;sheet=A0&amp;row=1530&amp;col=9&amp;number=&amp;sourceID=54","")</f>
        <v/>
      </c>
      <c r="J1530" s="4" t="str">
        <f>HYPERLINK("http://141.218.60.56/~jnz1568/getInfo.php?workbook=16_15.xlsx&amp;sheet=A0&amp;row=1530&amp;col=10&amp;number=0.00014128&amp;sourceID=54","0.00014128")</f>
        <v>0.00014128</v>
      </c>
      <c r="K1530" s="4" t="str">
        <f>HYPERLINK("http://141.218.60.56/~jnz1568/getInfo.php?workbook=16_15.xlsx&amp;sheet=A0&amp;row=1530&amp;col=11&amp;number=0.012088&amp;sourceID=54","0.012088")</f>
        <v>0.012088</v>
      </c>
      <c r="L1530" s="4" t="str">
        <f>HYPERLINK("http://141.218.60.56/~jnz1568/getInfo.php?workbook=16_15.xlsx&amp;sheet=A0&amp;row=1530&amp;col=12&amp;number=&amp;sourceID=53","")</f>
        <v/>
      </c>
      <c r="M1530" s="4" t="str">
        <f>HYPERLINK("http://141.218.60.56/~jnz1568/getInfo.php?workbook=16_15.xlsx&amp;sheet=A0&amp;row=1530&amp;col=13&amp;number=&amp;sourceID=53","")</f>
        <v/>
      </c>
      <c r="N1530" s="4" t="str">
        <f>HYPERLINK("http://141.218.60.56/~jnz1568/getInfo.php?workbook=16_15.xlsx&amp;sheet=A0&amp;row=1530&amp;col=14&amp;number=&amp;sourceID=53","")</f>
        <v/>
      </c>
      <c r="O1530" s="4" t="str">
        <f>HYPERLINK("http://141.218.60.56/~jnz1568/getInfo.php?workbook=16_15.xlsx&amp;sheet=A0&amp;row=1530&amp;col=15&amp;number=&amp;sourceID=55","")</f>
        <v/>
      </c>
      <c r="P1530" s="4" t="str">
        <f>HYPERLINK("http://141.218.60.56/~jnz1568/getInfo.php?workbook=16_15.xlsx&amp;sheet=A0&amp;row=1530&amp;col=16&amp;number=&amp;sourceID=55","")</f>
        <v/>
      </c>
      <c r="Q1530" s="4" t="str">
        <f>HYPERLINK("http://141.218.60.56/~jnz1568/getInfo.php?workbook=16_15.xlsx&amp;sheet=A0&amp;row=1530&amp;col=17&amp;number=&amp;sourceID=56","")</f>
        <v/>
      </c>
      <c r="R1530" s="4" t="str">
        <f>HYPERLINK("http://141.218.60.56/~jnz1568/getInfo.php?workbook=16_15.xlsx&amp;sheet=A0&amp;row=1530&amp;col=18&amp;number=&amp;sourceID=56","")</f>
        <v/>
      </c>
      <c r="S1530" s="4" t="str">
        <f>HYPERLINK("http://141.218.60.56/~jnz1568/getInfo.php?workbook=16_15.xlsx&amp;sheet=A0&amp;row=1530&amp;col=19&amp;number=&amp;sourceID=57","")</f>
        <v/>
      </c>
      <c r="T1530" s="4" t="str">
        <f>HYPERLINK("http://141.218.60.56/~jnz1568/getInfo.php?workbook=16_15.xlsx&amp;sheet=A0&amp;row=1530&amp;col=20&amp;number=&amp;sourceID=57","")</f>
        <v/>
      </c>
      <c r="U1530" s="4" t="str">
        <f>HYPERLINK("http://141.218.60.56/~jnz1568/getInfo.php?workbook=16_15.xlsx&amp;sheet=A0&amp;row=1530&amp;col=21&amp;number=&amp;sourceID=47","")</f>
        <v/>
      </c>
      <c r="V1530" s="4" t="str">
        <f>HYPERLINK("http://141.218.60.56/~jnz1568/getInfo.php?workbook=16_15.xlsx&amp;sheet=A0&amp;row=1530&amp;col=22&amp;number=&amp;sourceID=47","")</f>
        <v/>
      </c>
    </row>
    <row r="1531" spans="1:22">
      <c r="A1531" s="3">
        <v>16</v>
      </c>
      <c r="B1531" s="3">
        <v>15</v>
      </c>
      <c r="C1531" s="3">
        <v>63</v>
      </c>
      <c r="D1531" s="3">
        <v>18</v>
      </c>
      <c r="E1531" s="3">
        <f>((1/(INDEX(E0!J$4:J$73,C1531,1)-INDEX(E0!J$4:J$73,D1531,1))))*100000000</f>
        <v>0</v>
      </c>
      <c r="F1531" s="4" t="str">
        <f>HYPERLINK("http://141.218.60.56/~jnz1568/getInfo.php?workbook=16_15.xlsx&amp;sheet=A0&amp;row=1531&amp;col=6&amp;number=&amp;sourceID=54","")</f>
        <v/>
      </c>
      <c r="G1531" s="4" t="str">
        <f>HYPERLINK("http://141.218.60.56/~jnz1568/getInfo.php?workbook=16_15.xlsx&amp;sheet=A0&amp;row=1531&amp;col=7&amp;number=0.0071846&amp;sourceID=54","0.0071846")</f>
        <v>0.0071846</v>
      </c>
      <c r="H1531" s="4" t="str">
        <f>HYPERLINK("http://141.218.60.56/~jnz1568/getInfo.php?workbook=16_15.xlsx&amp;sheet=A0&amp;row=1531&amp;col=8&amp;number=&amp;sourceID=54","")</f>
        <v/>
      </c>
      <c r="I1531" s="4" t="str">
        <f>HYPERLINK("http://141.218.60.56/~jnz1568/getInfo.php?workbook=16_15.xlsx&amp;sheet=A0&amp;row=1531&amp;col=9&amp;number=&amp;sourceID=54","")</f>
        <v/>
      </c>
      <c r="J1531" s="4" t="str">
        <f>HYPERLINK("http://141.218.60.56/~jnz1568/getInfo.php?workbook=16_15.xlsx&amp;sheet=A0&amp;row=1531&amp;col=10&amp;number=0.0067544&amp;sourceID=54","0.0067544")</f>
        <v>0.0067544</v>
      </c>
      <c r="K1531" s="4" t="str">
        <f>HYPERLINK("http://141.218.60.56/~jnz1568/getInfo.php?workbook=16_15.xlsx&amp;sheet=A0&amp;row=1531&amp;col=11&amp;number=&amp;sourceID=54","")</f>
        <v/>
      </c>
      <c r="L1531" s="4" t="str">
        <f>HYPERLINK("http://141.218.60.56/~jnz1568/getInfo.php?workbook=16_15.xlsx&amp;sheet=A0&amp;row=1531&amp;col=12&amp;number=&amp;sourceID=53","")</f>
        <v/>
      </c>
      <c r="M1531" s="4" t="str">
        <f>HYPERLINK("http://141.218.60.56/~jnz1568/getInfo.php?workbook=16_15.xlsx&amp;sheet=A0&amp;row=1531&amp;col=13&amp;number=&amp;sourceID=53","")</f>
        <v/>
      </c>
      <c r="N1531" s="4" t="str">
        <f>HYPERLINK("http://141.218.60.56/~jnz1568/getInfo.php?workbook=16_15.xlsx&amp;sheet=A0&amp;row=1531&amp;col=14&amp;number=&amp;sourceID=53","")</f>
        <v/>
      </c>
      <c r="O1531" s="4" t="str">
        <f>HYPERLINK("http://141.218.60.56/~jnz1568/getInfo.php?workbook=16_15.xlsx&amp;sheet=A0&amp;row=1531&amp;col=15&amp;number=&amp;sourceID=55","")</f>
        <v/>
      </c>
      <c r="P1531" s="4" t="str">
        <f>HYPERLINK("http://141.218.60.56/~jnz1568/getInfo.php?workbook=16_15.xlsx&amp;sheet=A0&amp;row=1531&amp;col=16&amp;number=&amp;sourceID=55","")</f>
        <v/>
      </c>
      <c r="Q1531" s="4" t="str">
        <f>HYPERLINK("http://141.218.60.56/~jnz1568/getInfo.php?workbook=16_15.xlsx&amp;sheet=A0&amp;row=1531&amp;col=17&amp;number=&amp;sourceID=56","")</f>
        <v/>
      </c>
      <c r="R1531" s="4" t="str">
        <f>HYPERLINK("http://141.218.60.56/~jnz1568/getInfo.php?workbook=16_15.xlsx&amp;sheet=A0&amp;row=1531&amp;col=18&amp;number=&amp;sourceID=56","")</f>
        <v/>
      </c>
      <c r="S1531" s="4" t="str">
        <f>HYPERLINK("http://141.218.60.56/~jnz1568/getInfo.php?workbook=16_15.xlsx&amp;sheet=A0&amp;row=1531&amp;col=19&amp;number=&amp;sourceID=57","")</f>
        <v/>
      </c>
      <c r="T1531" s="4" t="str">
        <f>HYPERLINK("http://141.218.60.56/~jnz1568/getInfo.php?workbook=16_15.xlsx&amp;sheet=A0&amp;row=1531&amp;col=20&amp;number=&amp;sourceID=57","")</f>
        <v/>
      </c>
      <c r="U1531" s="4" t="str">
        <f>HYPERLINK("http://141.218.60.56/~jnz1568/getInfo.php?workbook=16_15.xlsx&amp;sheet=A0&amp;row=1531&amp;col=21&amp;number=&amp;sourceID=47","")</f>
        <v/>
      </c>
      <c r="V1531" s="4" t="str">
        <f>HYPERLINK("http://141.218.60.56/~jnz1568/getInfo.php?workbook=16_15.xlsx&amp;sheet=A0&amp;row=1531&amp;col=22&amp;number=&amp;sourceID=47","")</f>
        <v/>
      </c>
    </row>
    <row r="1532" spans="1:22">
      <c r="A1532" s="3">
        <v>16</v>
      </c>
      <c r="B1532" s="3">
        <v>15</v>
      </c>
      <c r="C1532" s="3">
        <v>63</v>
      </c>
      <c r="D1532" s="3">
        <v>20</v>
      </c>
      <c r="E1532" s="3">
        <f>((1/(INDEX(E0!J$4:J$73,C1532,1)-INDEX(E0!J$4:J$73,D1532,1))))*100000000</f>
        <v>0</v>
      </c>
      <c r="F1532" s="4" t="str">
        <f>HYPERLINK("http://141.218.60.56/~jnz1568/getInfo.php?workbook=16_15.xlsx&amp;sheet=A0&amp;row=1532&amp;col=6&amp;number=&amp;sourceID=54","")</f>
        <v/>
      </c>
      <c r="G1532" s="4" t="str">
        <f>HYPERLINK("http://141.218.60.56/~jnz1568/getInfo.php?workbook=16_15.xlsx&amp;sheet=A0&amp;row=1532&amp;col=7&amp;number=19.231&amp;sourceID=54","19.231")</f>
        <v>19.231</v>
      </c>
      <c r="H1532" s="4" t="str">
        <f>HYPERLINK("http://141.218.60.56/~jnz1568/getInfo.php?workbook=16_15.xlsx&amp;sheet=A0&amp;row=1532&amp;col=8&amp;number=0.00041857&amp;sourceID=54","0.00041857")</f>
        <v>0.00041857</v>
      </c>
      <c r="I1532" s="4" t="str">
        <f>HYPERLINK("http://141.218.60.56/~jnz1568/getInfo.php?workbook=16_15.xlsx&amp;sheet=A0&amp;row=1532&amp;col=9&amp;number=&amp;sourceID=54","")</f>
        <v/>
      </c>
      <c r="J1532" s="4" t="str">
        <f>HYPERLINK("http://141.218.60.56/~jnz1568/getInfo.php?workbook=16_15.xlsx&amp;sheet=A0&amp;row=1532&amp;col=10&amp;number=14.809&amp;sourceID=54","14.809")</f>
        <v>14.809</v>
      </c>
      <c r="K1532" s="4" t="str">
        <f>HYPERLINK("http://141.218.60.56/~jnz1568/getInfo.php?workbook=16_15.xlsx&amp;sheet=A0&amp;row=1532&amp;col=11&amp;number=0.00036635&amp;sourceID=54","0.00036635")</f>
        <v>0.00036635</v>
      </c>
      <c r="L1532" s="4" t="str">
        <f>HYPERLINK("http://141.218.60.56/~jnz1568/getInfo.php?workbook=16_15.xlsx&amp;sheet=A0&amp;row=1532&amp;col=12&amp;number=&amp;sourceID=53","")</f>
        <v/>
      </c>
      <c r="M1532" s="4" t="str">
        <f>HYPERLINK("http://141.218.60.56/~jnz1568/getInfo.php?workbook=16_15.xlsx&amp;sheet=A0&amp;row=1532&amp;col=13&amp;number=&amp;sourceID=53","")</f>
        <v/>
      </c>
      <c r="N1532" s="4" t="str">
        <f>HYPERLINK("http://141.218.60.56/~jnz1568/getInfo.php?workbook=16_15.xlsx&amp;sheet=A0&amp;row=1532&amp;col=14&amp;number=&amp;sourceID=53","")</f>
        <v/>
      </c>
      <c r="O1532" s="4" t="str">
        <f>HYPERLINK("http://141.218.60.56/~jnz1568/getInfo.php?workbook=16_15.xlsx&amp;sheet=A0&amp;row=1532&amp;col=15&amp;number=&amp;sourceID=55","")</f>
        <v/>
      </c>
      <c r="P1532" s="4" t="str">
        <f>HYPERLINK("http://141.218.60.56/~jnz1568/getInfo.php?workbook=16_15.xlsx&amp;sheet=A0&amp;row=1532&amp;col=16&amp;number=&amp;sourceID=55","")</f>
        <v/>
      </c>
      <c r="Q1532" s="4" t="str">
        <f>HYPERLINK("http://141.218.60.56/~jnz1568/getInfo.php?workbook=16_15.xlsx&amp;sheet=A0&amp;row=1532&amp;col=17&amp;number=&amp;sourceID=56","")</f>
        <v/>
      </c>
      <c r="R1532" s="4" t="str">
        <f>HYPERLINK("http://141.218.60.56/~jnz1568/getInfo.php?workbook=16_15.xlsx&amp;sheet=A0&amp;row=1532&amp;col=18&amp;number=&amp;sourceID=56","")</f>
        <v/>
      </c>
      <c r="S1532" s="4" t="str">
        <f>HYPERLINK("http://141.218.60.56/~jnz1568/getInfo.php?workbook=16_15.xlsx&amp;sheet=A0&amp;row=1532&amp;col=19&amp;number=&amp;sourceID=57","")</f>
        <v/>
      </c>
      <c r="T1532" s="4" t="str">
        <f>HYPERLINK("http://141.218.60.56/~jnz1568/getInfo.php?workbook=16_15.xlsx&amp;sheet=A0&amp;row=1532&amp;col=20&amp;number=&amp;sourceID=57","")</f>
        <v/>
      </c>
      <c r="U1532" s="4" t="str">
        <f>HYPERLINK("http://141.218.60.56/~jnz1568/getInfo.php?workbook=16_15.xlsx&amp;sheet=A0&amp;row=1532&amp;col=21&amp;number=&amp;sourceID=47","")</f>
        <v/>
      </c>
      <c r="V1532" s="4" t="str">
        <f>HYPERLINK("http://141.218.60.56/~jnz1568/getInfo.php?workbook=16_15.xlsx&amp;sheet=A0&amp;row=1532&amp;col=22&amp;number=&amp;sourceID=47","")</f>
        <v/>
      </c>
    </row>
    <row r="1533" spans="1:22">
      <c r="A1533" s="3">
        <v>16</v>
      </c>
      <c r="B1533" s="3">
        <v>15</v>
      </c>
      <c r="C1533" s="3">
        <v>63</v>
      </c>
      <c r="D1533" s="3">
        <v>21</v>
      </c>
      <c r="E1533" s="3">
        <f>((1/(INDEX(E0!J$4:J$73,C1533,1)-INDEX(E0!J$4:J$73,D1533,1))))*100000000</f>
        <v>0</v>
      </c>
      <c r="F1533" s="4" t="str">
        <f>HYPERLINK("http://141.218.60.56/~jnz1568/getInfo.php?workbook=16_15.xlsx&amp;sheet=A0&amp;row=1533&amp;col=6&amp;number=&amp;sourceID=54","")</f>
        <v/>
      </c>
      <c r="G1533" s="4" t="str">
        <f>HYPERLINK("http://141.218.60.56/~jnz1568/getInfo.php?workbook=16_15.xlsx&amp;sheet=A0&amp;row=1533&amp;col=7&amp;number=7.9312&amp;sourceID=54","7.9312")</f>
        <v>7.9312</v>
      </c>
      <c r="H1533" s="4" t="str">
        <f>HYPERLINK("http://141.218.60.56/~jnz1568/getInfo.php?workbook=16_15.xlsx&amp;sheet=A0&amp;row=1533&amp;col=8&amp;number=0.0010713&amp;sourceID=54","0.0010713")</f>
        <v>0.0010713</v>
      </c>
      <c r="I1533" s="4" t="str">
        <f>HYPERLINK("http://141.218.60.56/~jnz1568/getInfo.php?workbook=16_15.xlsx&amp;sheet=A0&amp;row=1533&amp;col=9&amp;number=&amp;sourceID=54","")</f>
        <v/>
      </c>
      <c r="J1533" s="4" t="str">
        <f>HYPERLINK("http://141.218.60.56/~jnz1568/getInfo.php?workbook=16_15.xlsx&amp;sheet=A0&amp;row=1533&amp;col=10&amp;number=6.2888&amp;sourceID=54","6.2888")</f>
        <v>6.2888</v>
      </c>
      <c r="K1533" s="4" t="str">
        <f>HYPERLINK("http://141.218.60.56/~jnz1568/getInfo.php?workbook=16_15.xlsx&amp;sheet=A0&amp;row=1533&amp;col=11&amp;number=0.00087579&amp;sourceID=54","0.00087579")</f>
        <v>0.00087579</v>
      </c>
      <c r="L1533" s="4" t="str">
        <f>HYPERLINK("http://141.218.60.56/~jnz1568/getInfo.php?workbook=16_15.xlsx&amp;sheet=A0&amp;row=1533&amp;col=12&amp;number=&amp;sourceID=53","")</f>
        <v/>
      </c>
      <c r="M1533" s="4" t="str">
        <f>HYPERLINK("http://141.218.60.56/~jnz1568/getInfo.php?workbook=16_15.xlsx&amp;sheet=A0&amp;row=1533&amp;col=13&amp;number=&amp;sourceID=53","")</f>
        <v/>
      </c>
      <c r="N1533" s="4" t="str">
        <f>HYPERLINK("http://141.218.60.56/~jnz1568/getInfo.php?workbook=16_15.xlsx&amp;sheet=A0&amp;row=1533&amp;col=14&amp;number=&amp;sourceID=53","")</f>
        <v/>
      </c>
      <c r="O1533" s="4" t="str">
        <f>HYPERLINK("http://141.218.60.56/~jnz1568/getInfo.php?workbook=16_15.xlsx&amp;sheet=A0&amp;row=1533&amp;col=15&amp;number=&amp;sourceID=55","")</f>
        <v/>
      </c>
      <c r="P1533" s="4" t="str">
        <f>HYPERLINK("http://141.218.60.56/~jnz1568/getInfo.php?workbook=16_15.xlsx&amp;sheet=A0&amp;row=1533&amp;col=16&amp;number=&amp;sourceID=55","")</f>
        <v/>
      </c>
      <c r="Q1533" s="4" t="str">
        <f>HYPERLINK("http://141.218.60.56/~jnz1568/getInfo.php?workbook=16_15.xlsx&amp;sheet=A0&amp;row=1533&amp;col=17&amp;number=&amp;sourceID=56","")</f>
        <v/>
      </c>
      <c r="R1533" s="4" t="str">
        <f>HYPERLINK("http://141.218.60.56/~jnz1568/getInfo.php?workbook=16_15.xlsx&amp;sheet=A0&amp;row=1533&amp;col=18&amp;number=&amp;sourceID=56","")</f>
        <v/>
      </c>
      <c r="S1533" s="4" t="str">
        <f>HYPERLINK("http://141.218.60.56/~jnz1568/getInfo.php?workbook=16_15.xlsx&amp;sheet=A0&amp;row=1533&amp;col=19&amp;number=&amp;sourceID=57","")</f>
        <v/>
      </c>
      <c r="T1533" s="4" t="str">
        <f>HYPERLINK("http://141.218.60.56/~jnz1568/getInfo.php?workbook=16_15.xlsx&amp;sheet=A0&amp;row=1533&amp;col=20&amp;number=&amp;sourceID=57","")</f>
        <v/>
      </c>
      <c r="U1533" s="4" t="str">
        <f>HYPERLINK("http://141.218.60.56/~jnz1568/getInfo.php?workbook=16_15.xlsx&amp;sheet=A0&amp;row=1533&amp;col=21&amp;number=&amp;sourceID=47","")</f>
        <v/>
      </c>
      <c r="V1533" s="4" t="str">
        <f>HYPERLINK("http://141.218.60.56/~jnz1568/getInfo.php?workbook=16_15.xlsx&amp;sheet=A0&amp;row=1533&amp;col=22&amp;number=&amp;sourceID=47","")</f>
        <v/>
      </c>
    </row>
    <row r="1534" spans="1:22">
      <c r="A1534" s="3">
        <v>16</v>
      </c>
      <c r="B1534" s="3">
        <v>15</v>
      </c>
      <c r="C1534" s="3">
        <v>63</v>
      </c>
      <c r="D1534" s="3">
        <v>22</v>
      </c>
      <c r="E1534" s="3">
        <f>((1/(INDEX(E0!J$4:J$73,C1534,1)-INDEX(E0!J$4:J$73,D1534,1))))*100000000</f>
        <v>0</v>
      </c>
      <c r="F1534" s="4" t="str">
        <f>HYPERLINK("http://141.218.60.56/~jnz1568/getInfo.php?workbook=16_15.xlsx&amp;sheet=A0&amp;row=1534&amp;col=6&amp;number=&amp;sourceID=54","")</f>
        <v/>
      </c>
      <c r="G1534" s="4" t="str">
        <f>HYPERLINK("http://141.218.60.56/~jnz1568/getInfo.php?workbook=16_15.xlsx&amp;sheet=A0&amp;row=1534&amp;col=7&amp;number=0.00047259&amp;sourceID=54","0.00047259")</f>
        <v>0.00047259</v>
      </c>
      <c r="H1534" s="4" t="str">
        <f>HYPERLINK("http://141.218.60.56/~jnz1568/getInfo.php?workbook=16_15.xlsx&amp;sheet=A0&amp;row=1534&amp;col=8&amp;number=0.078126&amp;sourceID=54","0.078126")</f>
        <v>0.078126</v>
      </c>
      <c r="I1534" s="4" t="str">
        <f>HYPERLINK("http://141.218.60.56/~jnz1568/getInfo.php?workbook=16_15.xlsx&amp;sheet=A0&amp;row=1534&amp;col=9&amp;number=&amp;sourceID=54","")</f>
        <v/>
      </c>
      <c r="J1534" s="4" t="str">
        <f>HYPERLINK("http://141.218.60.56/~jnz1568/getInfo.php?workbook=16_15.xlsx&amp;sheet=A0&amp;row=1534&amp;col=10&amp;number=0.00045085&amp;sourceID=54","0.00045085")</f>
        <v>0.00045085</v>
      </c>
      <c r="K1534" s="4" t="str">
        <f>HYPERLINK("http://141.218.60.56/~jnz1568/getInfo.php?workbook=16_15.xlsx&amp;sheet=A0&amp;row=1534&amp;col=11&amp;number=0.075144&amp;sourceID=54","0.075144")</f>
        <v>0.075144</v>
      </c>
      <c r="L1534" s="4" t="str">
        <f>HYPERLINK("http://141.218.60.56/~jnz1568/getInfo.php?workbook=16_15.xlsx&amp;sheet=A0&amp;row=1534&amp;col=12&amp;number=&amp;sourceID=53","")</f>
        <v/>
      </c>
      <c r="M1534" s="4" t="str">
        <f>HYPERLINK("http://141.218.60.56/~jnz1568/getInfo.php?workbook=16_15.xlsx&amp;sheet=A0&amp;row=1534&amp;col=13&amp;number=&amp;sourceID=53","")</f>
        <v/>
      </c>
      <c r="N1534" s="4" t="str">
        <f>HYPERLINK("http://141.218.60.56/~jnz1568/getInfo.php?workbook=16_15.xlsx&amp;sheet=A0&amp;row=1534&amp;col=14&amp;number=&amp;sourceID=53","")</f>
        <v/>
      </c>
      <c r="O1534" s="4" t="str">
        <f>HYPERLINK("http://141.218.60.56/~jnz1568/getInfo.php?workbook=16_15.xlsx&amp;sheet=A0&amp;row=1534&amp;col=15&amp;number=&amp;sourceID=55","")</f>
        <v/>
      </c>
      <c r="P1534" s="4" t="str">
        <f>HYPERLINK("http://141.218.60.56/~jnz1568/getInfo.php?workbook=16_15.xlsx&amp;sheet=A0&amp;row=1534&amp;col=16&amp;number=&amp;sourceID=55","")</f>
        <v/>
      </c>
      <c r="Q1534" s="4" t="str">
        <f>HYPERLINK("http://141.218.60.56/~jnz1568/getInfo.php?workbook=16_15.xlsx&amp;sheet=A0&amp;row=1534&amp;col=17&amp;number=&amp;sourceID=56","")</f>
        <v/>
      </c>
      <c r="R1534" s="4" t="str">
        <f>HYPERLINK("http://141.218.60.56/~jnz1568/getInfo.php?workbook=16_15.xlsx&amp;sheet=A0&amp;row=1534&amp;col=18&amp;number=&amp;sourceID=56","")</f>
        <v/>
      </c>
      <c r="S1534" s="4" t="str">
        <f>HYPERLINK("http://141.218.60.56/~jnz1568/getInfo.php?workbook=16_15.xlsx&amp;sheet=A0&amp;row=1534&amp;col=19&amp;number=&amp;sourceID=57","")</f>
        <v/>
      </c>
      <c r="T1534" s="4" t="str">
        <f>HYPERLINK("http://141.218.60.56/~jnz1568/getInfo.php?workbook=16_15.xlsx&amp;sheet=A0&amp;row=1534&amp;col=20&amp;number=&amp;sourceID=57","")</f>
        <v/>
      </c>
      <c r="U1534" s="4" t="str">
        <f>HYPERLINK("http://141.218.60.56/~jnz1568/getInfo.php?workbook=16_15.xlsx&amp;sheet=A0&amp;row=1534&amp;col=21&amp;number=&amp;sourceID=47","")</f>
        <v/>
      </c>
      <c r="V1534" s="4" t="str">
        <f>HYPERLINK("http://141.218.60.56/~jnz1568/getInfo.php?workbook=16_15.xlsx&amp;sheet=A0&amp;row=1534&amp;col=22&amp;number=&amp;sourceID=47","")</f>
        <v/>
      </c>
    </row>
    <row r="1535" spans="1:22">
      <c r="A1535" s="3">
        <v>16</v>
      </c>
      <c r="B1535" s="3">
        <v>15</v>
      </c>
      <c r="C1535" s="3">
        <v>63</v>
      </c>
      <c r="D1535" s="3">
        <v>23</v>
      </c>
      <c r="E1535" s="3">
        <f>((1/(INDEX(E0!J$4:J$73,C1535,1)-INDEX(E0!J$4:J$73,D1535,1))))*100000000</f>
        <v>0</v>
      </c>
      <c r="F1535" s="4" t="str">
        <f>HYPERLINK("http://141.218.60.56/~jnz1568/getInfo.php?workbook=16_15.xlsx&amp;sheet=A0&amp;row=1535&amp;col=6&amp;number=&amp;sourceID=54","")</f>
        <v/>
      </c>
      <c r="G1535" s="4" t="str">
        <f>HYPERLINK("http://141.218.60.56/~jnz1568/getInfo.php?workbook=16_15.xlsx&amp;sheet=A0&amp;row=1535&amp;col=7&amp;number=0.00012845&amp;sourceID=54","0.00012845")</f>
        <v>0.00012845</v>
      </c>
      <c r="H1535" s="4" t="str">
        <f>HYPERLINK("http://141.218.60.56/~jnz1568/getInfo.php?workbook=16_15.xlsx&amp;sheet=A0&amp;row=1535&amp;col=8&amp;number=0.032254&amp;sourceID=54","0.032254")</f>
        <v>0.032254</v>
      </c>
      <c r="I1535" s="4" t="str">
        <f>HYPERLINK("http://141.218.60.56/~jnz1568/getInfo.php?workbook=16_15.xlsx&amp;sheet=A0&amp;row=1535&amp;col=9&amp;number=&amp;sourceID=54","")</f>
        <v/>
      </c>
      <c r="J1535" s="4" t="str">
        <f>HYPERLINK("http://141.218.60.56/~jnz1568/getInfo.php?workbook=16_15.xlsx&amp;sheet=A0&amp;row=1535&amp;col=10&amp;number=1.7848e-05&amp;sourceID=54","1.7848e-05")</f>
        <v>1.7848e-05</v>
      </c>
      <c r="K1535" s="4" t="str">
        <f>HYPERLINK("http://141.218.60.56/~jnz1568/getInfo.php?workbook=16_15.xlsx&amp;sheet=A0&amp;row=1535&amp;col=11&amp;number=0.035662&amp;sourceID=54","0.035662")</f>
        <v>0.035662</v>
      </c>
      <c r="L1535" s="4" t="str">
        <f>HYPERLINK("http://141.218.60.56/~jnz1568/getInfo.php?workbook=16_15.xlsx&amp;sheet=A0&amp;row=1535&amp;col=12&amp;number=&amp;sourceID=53","")</f>
        <v/>
      </c>
      <c r="M1535" s="4" t="str">
        <f>HYPERLINK("http://141.218.60.56/~jnz1568/getInfo.php?workbook=16_15.xlsx&amp;sheet=A0&amp;row=1535&amp;col=13&amp;number=&amp;sourceID=53","")</f>
        <v/>
      </c>
      <c r="N1535" s="4" t="str">
        <f>HYPERLINK("http://141.218.60.56/~jnz1568/getInfo.php?workbook=16_15.xlsx&amp;sheet=A0&amp;row=1535&amp;col=14&amp;number=&amp;sourceID=53","")</f>
        <v/>
      </c>
      <c r="O1535" s="4" t="str">
        <f>HYPERLINK("http://141.218.60.56/~jnz1568/getInfo.php?workbook=16_15.xlsx&amp;sheet=A0&amp;row=1535&amp;col=15&amp;number=&amp;sourceID=55","")</f>
        <v/>
      </c>
      <c r="P1535" s="4" t="str">
        <f>HYPERLINK("http://141.218.60.56/~jnz1568/getInfo.php?workbook=16_15.xlsx&amp;sheet=A0&amp;row=1535&amp;col=16&amp;number=&amp;sourceID=55","")</f>
        <v/>
      </c>
      <c r="Q1535" s="4" t="str">
        <f>HYPERLINK("http://141.218.60.56/~jnz1568/getInfo.php?workbook=16_15.xlsx&amp;sheet=A0&amp;row=1535&amp;col=17&amp;number=&amp;sourceID=56","")</f>
        <v/>
      </c>
      <c r="R1535" s="4" t="str">
        <f>HYPERLINK("http://141.218.60.56/~jnz1568/getInfo.php?workbook=16_15.xlsx&amp;sheet=A0&amp;row=1535&amp;col=18&amp;number=&amp;sourceID=56","")</f>
        <v/>
      </c>
      <c r="S1535" s="4" t="str">
        <f>HYPERLINK("http://141.218.60.56/~jnz1568/getInfo.php?workbook=16_15.xlsx&amp;sheet=A0&amp;row=1535&amp;col=19&amp;number=&amp;sourceID=57","")</f>
        <v/>
      </c>
      <c r="T1535" s="4" t="str">
        <f>HYPERLINK("http://141.218.60.56/~jnz1568/getInfo.php?workbook=16_15.xlsx&amp;sheet=A0&amp;row=1535&amp;col=20&amp;number=&amp;sourceID=57","")</f>
        <v/>
      </c>
      <c r="U1535" s="4" t="str">
        <f>HYPERLINK("http://141.218.60.56/~jnz1568/getInfo.php?workbook=16_15.xlsx&amp;sheet=A0&amp;row=1535&amp;col=21&amp;number=&amp;sourceID=47","")</f>
        <v/>
      </c>
      <c r="V1535" s="4" t="str">
        <f>HYPERLINK("http://141.218.60.56/~jnz1568/getInfo.php?workbook=16_15.xlsx&amp;sheet=A0&amp;row=1535&amp;col=22&amp;number=&amp;sourceID=47","")</f>
        <v/>
      </c>
    </row>
    <row r="1536" spans="1:22">
      <c r="A1536" s="3">
        <v>16</v>
      </c>
      <c r="B1536" s="3">
        <v>15</v>
      </c>
      <c r="C1536" s="3">
        <v>63</v>
      </c>
      <c r="D1536" s="3">
        <v>24</v>
      </c>
      <c r="E1536" s="3">
        <f>((1/(INDEX(E0!J$4:J$73,C1536,1)-INDEX(E0!J$4:J$73,D1536,1))))*100000000</f>
        <v>0</v>
      </c>
      <c r="F1536" s="4" t="str">
        <f>HYPERLINK("http://141.218.60.56/~jnz1568/getInfo.php?workbook=16_15.xlsx&amp;sheet=A0&amp;row=1536&amp;col=6&amp;number=&amp;sourceID=54","")</f>
        <v/>
      </c>
      <c r="G1536" s="4" t="str">
        <f>HYPERLINK("http://141.218.60.56/~jnz1568/getInfo.php?workbook=16_15.xlsx&amp;sheet=A0&amp;row=1536&amp;col=7&amp;number=0.033718&amp;sourceID=54","0.033718")</f>
        <v>0.033718</v>
      </c>
      <c r="H1536" s="4" t="str">
        <f>HYPERLINK("http://141.218.60.56/~jnz1568/getInfo.php?workbook=16_15.xlsx&amp;sheet=A0&amp;row=1536&amp;col=8&amp;number=0.0088872&amp;sourceID=54","0.0088872")</f>
        <v>0.0088872</v>
      </c>
      <c r="I1536" s="4" t="str">
        <f>HYPERLINK("http://141.218.60.56/~jnz1568/getInfo.php?workbook=16_15.xlsx&amp;sheet=A0&amp;row=1536&amp;col=9&amp;number=&amp;sourceID=54","")</f>
        <v/>
      </c>
      <c r="J1536" s="4" t="str">
        <f>HYPERLINK("http://141.218.60.56/~jnz1568/getInfo.php?workbook=16_15.xlsx&amp;sheet=A0&amp;row=1536&amp;col=10&amp;number=0.068137&amp;sourceID=54","0.068137")</f>
        <v>0.068137</v>
      </c>
      <c r="K1536" s="4" t="str">
        <f>HYPERLINK("http://141.218.60.56/~jnz1568/getInfo.php?workbook=16_15.xlsx&amp;sheet=A0&amp;row=1536&amp;col=11&amp;number=0.0093784&amp;sourceID=54","0.0093784")</f>
        <v>0.0093784</v>
      </c>
      <c r="L1536" s="4" t="str">
        <f>HYPERLINK("http://141.218.60.56/~jnz1568/getInfo.php?workbook=16_15.xlsx&amp;sheet=A0&amp;row=1536&amp;col=12&amp;number=&amp;sourceID=53","")</f>
        <v/>
      </c>
      <c r="M1536" s="4" t="str">
        <f>HYPERLINK("http://141.218.60.56/~jnz1568/getInfo.php?workbook=16_15.xlsx&amp;sheet=A0&amp;row=1536&amp;col=13&amp;number=&amp;sourceID=53","")</f>
        <v/>
      </c>
      <c r="N1536" s="4" t="str">
        <f>HYPERLINK("http://141.218.60.56/~jnz1568/getInfo.php?workbook=16_15.xlsx&amp;sheet=A0&amp;row=1536&amp;col=14&amp;number=&amp;sourceID=53","")</f>
        <v/>
      </c>
      <c r="O1536" s="4" t="str">
        <f>HYPERLINK("http://141.218.60.56/~jnz1568/getInfo.php?workbook=16_15.xlsx&amp;sheet=A0&amp;row=1536&amp;col=15&amp;number=&amp;sourceID=55","")</f>
        <v/>
      </c>
      <c r="P1536" s="4" t="str">
        <f>HYPERLINK("http://141.218.60.56/~jnz1568/getInfo.php?workbook=16_15.xlsx&amp;sheet=A0&amp;row=1536&amp;col=16&amp;number=&amp;sourceID=55","")</f>
        <v/>
      </c>
      <c r="Q1536" s="4" t="str">
        <f>HYPERLINK("http://141.218.60.56/~jnz1568/getInfo.php?workbook=16_15.xlsx&amp;sheet=A0&amp;row=1536&amp;col=17&amp;number=&amp;sourceID=56","")</f>
        <v/>
      </c>
      <c r="R1536" s="4" t="str">
        <f>HYPERLINK("http://141.218.60.56/~jnz1568/getInfo.php?workbook=16_15.xlsx&amp;sheet=A0&amp;row=1536&amp;col=18&amp;number=&amp;sourceID=56","")</f>
        <v/>
      </c>
      <c r="S1536" s="4" t="str">
        <f>HYPERLINK("http://141.218.60.56/~jnz1568/getInfo.php?workbook=16_15.xlsx&amp;sheet=A0&amp;row=1536&amp;col=19&amp;number=&amp;sourceID=57","")</f>
        <v/>
      </c>
      <c r="T1536" s="4" t="str">
        <f>HYPERLINK("http://141.218.60.56/~jnz1568/getInfo.php?workbook=16_15.xlsx&amp;sheet=A0&amp;row=1536&amp;col=20&amp;number=&amp;sourceID=57","")</f>
        <v/>
      </c>
      <c r="U1536" s="4" t="str">
        <f>HYPERLINK("http://141.218.60.56/~jnz1568/getInfo.php?workbook=16_15.xlsx&amp;sheet=A0&amp;row=1536&amp;col=21&amp;number=&amp;sourceID=47","")</f>
        <v/>
      </c>
      <c r="V1536" s="4" t="str">
        <f>HYPERLINK("http://141.218.60.56/~jnz1568/getInfo.php?workbook=16_15.xlsx&amp;sheet=A0&amp;row=1536&amp;col=22&amp;number=&amp;sourceID=47","")</f>
        <v/>
      </c>
    </row>
    <row r="1537" spans="1:22">
      <c r="A1537" s="3">
        <v>16</v>
      </c>
      <c r="B1537" s="3">
        <v>15</v>
      </c>
      <c r="C1537" s="3">
        <v>63</v>
      </c>
      <c r="D1537" s="3">
        <v>25</v>
      </c>
      <c r="E1537" s="3">
        <f>((1/(INDEX(E0!J$4:J$73,C1537,1)-INDEX(E0!J$4:J$73,D1537,1))))*100000000</f>
        <v>0</v>
      </c>
      <c r="F1537" s="4" t="str">
        <f>HYPERLINK("http://141.218.60.56/~jnz1568/getInfo.php?workbook=16_15.xlsx&amp;sheet=A0&amp;row=1537&amp;col=6&amp;number=&amp;sourceID=54","")</f>
        <v/>
      </c>
      <c r="G1537" s="4" t="str">
        <f>HYPERLINK("http://141.218.60.56/~jnz1568/getInfo.php?workbook=16_15.xlsx&amp;sheet=A0&amp;row=1537&amp;col=7&amp;number=0.014778&amp;sourceID=54","0.014778")</f>
        <v>0.014778</v>
      </c>
      <c r="H1537" s="4" t="str">
        <f>HYPERLINK("http://141.218.60.56/~jnz1568/getInfo.php?workbook=16_15.xlsx&amp;sheet=A0&amp;row=1537&amp;col=8&amp;number=&amp;sourceID=54","")</f>
        <v/>
      </c>
      <c r="I1537" s="4" t="str">
        <f>HYPERLINK("http://141.218.60.56/~jnz1568/getInfo.php?workbook=16_15.xlsx&amp;sheet=A0&amp;row=1537&amp;col=9&amp;number=&amp;sourceID=54","")</f>
        <v/>
      </c>
      <c r="J1537" s="4" t="str">
        <f>HYPERLINK("http://141.218.60.56/~jnz1568/getInfo.php?workbook=16_15.xlsx&amp;sheet=A0&amp;row=1537&amp;col=10&amp;number=0.023235&amp;sourceID=54","0.023235")</f>
        <v>0.023235</v>
      </c>
      <c r="K1537" s="4" t="str">
        <f>HYPERLINK("http://141.218.60.56/~jnz1568/getInfo.php?workbook=16_15.xlsx&amp;sheet=A0&amp;row=1537&amp;col=11&amp;number=&amp;sourceID=54","")</f>
        <v/>
      </c>
      <c r="L1537" s="4" t="str">
        <f>HYPERLINK("http://141.218.60.56/~jnz1568/getInfo.php?workbook=16_15.xlsx&amp;sheet=A0&amp;row=1537&amp;col=12&amp;number=&amp;sourceID=53","")</f>
        <v/>
      </c>
      <c r="M1537" s="4" t="str">
        <f>HYPERLINK("http://141.218.60.56/~jnz1568/getInfo.php?workbook=16_15.xlsx&amp;sheet=A0&amp;row=1537&amp;col=13&amp;number=&amp;sourceID=53","")</f>
        <v/>
      </c>
      <c r="N1537" s="4" t="str">
        <f>HYPERLINK("http://141.218.60.56/~jnz1568/getInfo.php?workbook=16_15.xlsx&amp;sheet=A0&amp;row=1537&amp;col=14&amp;number=&amp;sourceID=53","")</f>
        <v/>
      </c>
      <c r="O1537" s="4" t="str">
        <f>HYPERLINK("http://141.218.60.56/~jnz1568/getInfo.php?workbook=16_15.xlsx&amp;sheet=A0&amp;row=1537&amp;col=15&amp;number=&amp;sourceID=55","")</f>
        <v/>
      </c>
      <c r="P1537" s="4" t="str">
        <f>HYPERLINK("http://141.218.60.56/~jnz1568/getInfo.php?workbook=16_15.xlsx&amp;sheet=A0&amp;row=1537&amp;col=16&amp;number=&amp;sourceID=55","")</f>
        <v/>
      </c>
      <c r="Q1537" s="4" t="str">
        <f>HYPERLINK("http://141.218.60.56/~jnz1568/getInfo.php?workbook=16_15.xlsx&amp;sheet=A0&amp;row=1537&amp;col=17&amp;number=&amp;sourceID=56","")</f>
        <v/>
      </c>
      <c r="R1537" s="4" t="str">
        <f>HYPERLINK("http://141.218.60.56/~jnz1568/getInfo.php?workbook=16_15.xlsx&amp;sheet=A0&amp;row=1537&amp;col=18&amp;number=&amp;sourceID=56","")</f>
        <v/>
      </c>
      <c r="S1537" s="4" t="str">
        <f>HYPERLINK("http://141.218.60.56/~jnz1568/getInfo.php?workbook=16_15.xlsx&amp;sheet=A0&amp;row=1537&amp;col=19&amp;number=&amp;sourceID=57","")</f>
        <v/>
      </c>
      <c r="T1537" s="4" t="str">
        <f>HYPERLINK("http://141.218.60.56/~jnz1568/getInfo.php?workbook=16_15.xlsx&amp;sheet=A0&amp;row=1537&amp;col=20&amp;number=&amp;sourceID=57","")</f>
        <v/>
      </c>
      <c r="U1537" s="4" t="str">
        <f>HYPERLINK("http://141.218.60.56/~jnz1568/getInfo.php?workbook=16_15.xlsx&amp;sheet=A0&amp;row=1537&amp;col=21&amp;number=&amp;sourceID=47","")</f>
        <v/>
      </c>
      <c r="V1537" s="4" t="str">
        <f>HYPERLINK("http://141.218.60.56/~jnz1568/getInfo.php?workbook=16_15.xlsx&amp;sheet=A0&amp;row=1537&amp;col=22&amp;number=&amp;sourceID=47","")</f>
        <v/>
      </c>
    </row>
    <row r="1538" spans="1:22">
      <c r="A1538" s="3">
        <v>16</v>
      </c>
      <c r="B1538" s="3">
        <v>15</v>
      </c>
      <c r="C1538" s="3">
        <v>63</v>
      </c>
      <c r="D1538" s="3">
        <v>26</v>
      </c>
      <c r="E1538" s="3">
        <f>((1/(INDEX(E0!J$4:J$73,C1538,1)-INDEX(E0!J$4:J$73,D1538,1))))*100000000</f>
        <v>0</v>
      </c>
      <c r="F1538" s="4" t="str">
        <f>HYPERLINK("http://141.218.60.56/~jnz1568/getInfo.php?workbook=16_15.xlsx&amp;sheet=A0&amp;row=1538&amp;col=6&amp;number=&amp;sourceID=54","")</f>
        <v/>
      </c>
      <c r="G1538" s="4" t="str">
        <f>HYPERLINK("http://141.218.60.56/~jnz1568/getInfo.php?workbook=16_15.xlsx&amp;sheet=A0&amp;row=1538&amp;col=7&amp;number=1.7348&amp;sourceID=54","1.7348")</f>
        <v>1.7348</v>
      </c>
      <c r="H1538" s="4" t="str">
        <f>HYPERLINK("http://141.218.60.56/~jnz1568/getInfo.php?workbook=16_15.xlsx&amp;sheet=A0&amp;row=1538&amp;col=8&amp;number=0.0030133&amp;sourceID=54","0.0030133")</f>
        <v>0.0030133</v>
      </c>
      <c r="I1538" s="4" t="str">
        <f>HYPERLINK("http://141.218.60.56/~jnz1568/getInfo.php?workbook=16_15.xlsx&amp;sheet=A0&amp;row=1538&amp;col=9&amp;number=&amp;sourceID=54","")</f>
        <v/>
      </c>
      <c r="J1538" s="4" t="str">
        <f>HYPERLINK("http://141.218.60.56/~jnz1568/getInfo.php?workbook=16_15.xlsx&amp;sheet=A0&amp;row=1538&amp;col=10&amp;number=1.4963&amp;sourceID=54","1.4963")</f>
        <v>1.4963</v>
      </c>
      <c r="K1538" s="4" t="str">
        <f>HYPERLINK("http://141.218.60.56/~jnz1568/getInfo.php?workbook=16_15.xlsx&amp;sheet=A0&amp;row=1538&amp;col=11&amp;number=0.0037146&amp;sourceID=54","0.0037146")</f>
        <v>0.0037146</v>
      </c>
      <c r="L1538" s="4" t="str">
        <f>HYPERLINK("http://141.218.60.56/~jnz1568/getInfo.php?workbook=16_15.xlsx&amp;sheet=A0&amp;row=1538&amp;col=12&amp;number=&amp;sourceID=53","")</f>
        <v/>
      </c>
      <c r="M1538" s="4" t="str">
        <f>HYPERLINK("http://141.218.60.56/~jnz1568/getInfo.php?workbook=16_15.xlsx&amp;sheet=A0&amp;row=1538&amp;col=13&amp;number=&amp;sourceID=53","")</f>
        <v/>
      </c>
      <c r="N1538" s="4" t="str">
        <f>HYPERLINK("http://141.218.60.56/~jnz1568/getInfo.php?workbook=16_15.xlsx&amp;sheet=A0&amp;row=1538&amp;col=14&amp;number=&amp;sourceID=53","")</f>
        <v/>
      </c>
      <c r="O1538" s="4" t="str">
        <f>HYPERLINK("http://141.218.60.56/~jnz1568/getInfo.php?workbook=16_15.xlsx&amp;sheet=A0&amp;row=1538&amp;col=15&amp;number=&amp;sourceID=55","")</f>
        <v/>
      </c>
      <c r="P1538" s="4" t="str">
        <f>HYPERLINK("http://141.218.60.56/~jnz1568/getInfo.php?workbook=16_15.xlsx&amp;sheet=A0&amp;row=1538&amp;col=16&amp;number=&amp;sourceID=55","")</f>
        <v/>
      </c>
      <c r="Q1538" s="4" t="str">
        <f>HYPERLINK("http://141.218.60.56/~jnz1568/getInfo.php?workbook=16_15.xlsx&amp;sheet=A0&amp;row=1538&amp;col=17&amp;number=&amp;sourceID=56","")</f>
        <v/>
      </c>
      <c r="R1538" s="4" t="str">
        <f>HYPERLINK("http://141.218.60.56/~jnz1568/getInfo.php?workbook=16_15.xlsx&amp;sheet=A0&amp;row=1538&amp;col=18&amp;number=&amp;sourceID=56","")</f>
        <v/>
      </c>
      <c r="S1538" s="4" t="str">
        <f>HYPERLINK("http://141.218.60.56/~jnz1568/getInfo.php?workbook=16_15.xlsx&amp;sheet=A0&amp;row=1538&amp;col=19&amp;number=&amp;sourceID=57","")</f>
        <v/>
      </c>
      <c r="T1538" s="4" t="str">
        <f>HYPERLINK("http://141.218.60.56/~jnz1568/getInfo.php?workbook=16_15.xlsx&amp;sheet=A0&amp;row=1538&amp;col=20&amp;number=&amp;sourceID=57","")</f>
        <v/>
      </c>
      <c r="U1538" s="4" t="str">
        <f>HYPERLINK("http://141.218.60.56/~jnz1568/getInfo.php?workbook=16_15.xlsx&amp;sheet=A0&amp;row=1538&amp;col=21&amp;number=&amp;sourceID=47","")</f>
        <v/>
      </c>
      <c r="V1538" s="4" t="str">
        <f>HYPERLINK("http://141.218.60.56/~jnz1568/getInfo.php?workbook=16_15.xlsx&amp;sheet=A0&amp;row=1538&amp;col=22&amp;number=&amp;sourceID=47","")</f>
        <v/>
      </c>
    </row>
    <row r="1539" spans="1:22">
      <c r="A1539" s="3">
        <v>16</v>
      </c>
      <c r="B1539" s="3">
        <v>15</v>
      </c>
      <c r="C1539" s="3">
        <v>63</v>
      </c>
      <c r="D1539" s="3">
        <v>27</v>
      </c>
      <c r="E1539" s="3">
        <f>((1/(INDEX(E0!J$4:J$73,C1539,1)-INDEX(E0!J$4:J$73,D1539,1))))*100000000</f>
        <v>0</v>
      </c>
      <c r="F1539" s="4" t="str">
        <f>HYPERLINK("http://141.218.60.56/~jnz1568/getInfo.php?workbook=16_15.xlsx&amp;sheet=A0&amp;row=1539&amp;col=6&amp;number=&amp;sourceID=54","")</f>
        <v/>
      </c>
      <c r="G1539" s="4" t="str">
        <f>HYPERLINK("http://141.218.60.56/~jnz1568/getInfo.php?workbook=16_15.xlsx&amp;sheet=A0&amp;row=1539&amp;col=7&amp;number=0.30865&amp;sourceID=54","0.30865")</f>
        <v>0.30865</v>
      </c>
      <c r="H1539" s="4" t="str">
        <f>HYPERLINK("http://141.218.60.56/~jnz1568/getInfo.php?workbook=16_15.xlsx&amp;sheet=A0&amp;row=1539&amp;col=8&amp;number=&amp;sourceID=54","")</f>
        <v/>
      </c>
      <c r="I1539" s="4" t="str">
        <f>HYPERLINK("http://141.218.60.56/~jnz1568/getInfo.php?workbook=16_15.xlsx&amp;sheet=A0&amp;row=1539&amp;col=9&amp;number=&amp;sourceID=54","")</f>
        <v/>
      </c>
      <c r="J1539" s="4" t="str">
        <f>HYPERLINK("http://141.218.60.56/~jnz1568/getInfo.php?workbook=16_15.xlsx&amp;sheet=A0&amp;row=1539&amp;col=10&amp;number=0.26614&amp;sourceID=54","0.26614")</f>
        <v>0.26614</v>
      </c>
      <c r="K1539" s="4" t="str">
        <f>HYPERLINK("http://141.218.60.56/~jnz1568/getInfo.php?workbook=16_15.xlsx&amp;sheet=A0&amp;row=1539&amp;col=11&amp;number=&amp;sourceID=54","")</f>
        <v/>
      </c>
      <c r="L1539" s="4" t="str">
        <f>HYPERLINK("http://141.218.60.56/~jnz1568/getInfo.php?workbook=16_15.xlsx&amp;sheet=A0&amp;row=1539&amp;col=12&amp;number=&amp;sourceID=53","")</f>
        <v/>
      </c>
      <c r="M1539" s="4" t="str">
        <f>HYPERLINK("http://141.218.60.56/~jnz1568/getInfo.php?workbook=16_15.xlsx&amp;sheet=A0&amp;row=1539&amp;col=13&amp;number=&amp;sourceID=53","")</f>
        <v/>
      </c>
      <c r="N1539" s="4" t="str">
        <f>HYPERLINK("http://141.218.60.56/~jnz1568/getInfo.php?workbook=16_15.xlsx&amp;sheet=A0&amp;row=1539&amp;col=14&amp;number=&amp;sourceID=53","")</f>
        <v/>
      </c>
      <c r="O1539" s="4" t="str">
        <f>HYPERLINK("http://141.218.60.56/~jnz1568/getInfo.php?workbook=16_15.xlsx&amp;sheet=A0&amp;row=1539&amp;col=15&amp;number=&amp;sourceID=55","")</f>
        <v/>
      </c>
      <c r="P1539" s="4" t="str">
        <f>HYPERLINK("http://141.218.60.56/~jnz1568/getInfo.php?workbook=16_15.xlsx&amp;sheet=A0&amp;row=1539&amp;col=16&amp;number=&amp;sourceID=55","")</f>
        <v/>
      </c>
      <c r="Q1539" s="4" t="str">
        <f>HYPERLINK("http://141.218.60.56/~jnz1568/getInfo.php?workbook=16_15.xlsx&amp;sheet=A0&amp;row=1539&amp;col=17&amp;number=&amp;sourceID=56","")</f>
        <v/>
      </c>
      <c r="R1539" s="4" t="str">
        <f>HYPERLINK("http://141.218.60.56/~jnz1568/getInfo.php?workbook=16_15.xlsx&amp;sheet=A0&amp;row=1539&amp;col=18&amp;number=&amp;sourceID=56","")</f>
        <v/>
      </c>
      <c r="S1539" s="4" t="str">
        <f>HYPERLINK("http://141.218.60.56/~jnz1568/getInfo.php?workbook=16_15.xlsx&amp;sheet=A0&amp;row=1539&amp;col=19&amp;number=&amp;sourceID=57","")</f>
        <v/>
      </c>
      <c r="T1539" s="4" t="str">
        <f>HYPERLINK("http://141.218.60.56/~jnz1568/getInfo.php?workbook=16_15.xlsx&amp;sheet=A0&amp;row=1539&amp;col=20&amp;number=&amp;sourceID=57","")</f>
        <v/>
      </c>
      <c r="U1539" s="4" t="str">
        <f>HYPERLINK("http://141.218.60.56/~jnz1568/getInfo.php?workbook=16_15.xlsx&amp;sheet=A0&amp;row=1539&amp;col=21&amp;number=&amp;sourceID=47","")</f>
        <v/>
      </c>
      <c r="V1539" s="4" t="str">
        <f>HYPERLINK("http://141.218.60.56/~jnz1568/getInfo.php?workbook=16_15.xlsx&amp;sheet=A0&amp;row=1539&amp;col=22&amp;number=&amp;sourceID=47","")</f>
        <v/>
      </c>
    </row>
    <row r="1540" spans="1:22">
      <c r="A1540" s="3">
        <v>16</v>
      </c>
      <c r="B1540" s="3">
        <v>15</v>
      </c>
      <c r="C1540" s="3">
        <v>63</v>
      </c>
      <c r="D1540" s="3">
        <v>28</v>
      </c>
      <c r="E1540" s="3">
        <f>((1/(INDEX(E0!J$4:J$73,C1540,1)-INDEX(E0!J$4:J$73,D1540,1))))*100000000</f>
        <v>0</v>
      </c>
      <c r="F1540" s="4" t="str">
        <f>HYPERLINK("http://141.218.60.56/~jnz1568/getInfo.php?workbook=16_15.xlsx&amp;sheet=A0&amp;row=1540&amp;col=6&amp;number=&amp;sourceID=54","")</f>
        <v/>
      </c>
      <c r="G1540" s="4" t="str">
        <f>HYPERLINK("http://141.218.60.56/~jnz1568/getInfo.php?workbook=16_15.xlsx&amp;sheet=A0&amp;row=1540&amp;col=7&amp;number=4.4583&amp;sourceID=54","4.4583")</f>
        <v>4.4583</v>
      </c>
      <c r="H1540" s="4" t="str">
        <f>HYPERLINK("http://141.218.60.56/~jnz1568/getInfo.php?workbook=16_15.xlsx&amp;sheet=A0&amp;row=1540&amp;col=8&amp;number=8.151e-06&amp;sourceID=54","8.151e-06")</f>
        <v>8.151e-06</v>
      </c>
      <c r="I1540" s="4" t="str">
        <f>HYPERLINK("http://141.218.60.56/~jnz1568/getInfo.php?workbook=16_15.xlsx&amp;sheet=A0&amp;row=1540&amp;col=9&amp;number=&amp;sourceID=54","")</f>
        <v/>
      </c>
      <c r="J1540" s="4" t="str">
        <f>HYPERLINK("http://141.218.60.56/~jnz1568/getInfo.php?workbook=16_15.xlsx&amp;sheet=A0&amp;row=1540&amp;col=10&amp;number=3.4619&amp;sourceID=54","3.4619")</f>
        <v>3.4619</v>
      </c>
      <c r="K1540" s="4" t="str">
        <f>HYPERLINK("http://141.218.60.56/~jnz1568/getInfo.php?workbook=16_15.xlsx&amp;sheet=A0&amp;row=1540&amp;col=11&amp;number=5.4566e-06&amp;sourceID=54","5.4566e-06")</f>
        <v>5.4566e-06</v>
      </c>
      <c r="L1540" s="4" t="str">
        <f>HYPERLINK("http://141.218.60.56/~jnz1568/getInfo.php?workbook=16_15.xlsx&amp;sheet=A0&amp;row=1540&amp;col=12&amp;number=&amp;sourceID=53","")</f>
        <v/>
      </c>
      <c r="M1540" s="4" t="str">
        <f>HYPERLINK("http://141.218.60.56/~jnz1568/getInfo.php?workbook=16_15.xlsx&amp;sheet=A0&amp;row=1540&amp;col=13&amp;number=&amp;sourceID=53","")</f>
        <v/>
      </c>
      <c r="N1540" s="4" t="str">
        <f>HYPERLINK("http://141.218.60.56/~jnz1568/getInfo.php?workbook=16_15.xlsx&amp;sheet=A0&amp;row=1540&amp;col=14&amp;number=&amp;sourceID=53","")</f>
        <v/>
      </c>
      <c r="O1540" s="4" t="str">
        <f>HYPERLINK("http://141.218.60.56/~jnz1568/getInfo.php?workbook=16_15.xlsx&amp;sheet=A0&amp;row=1540&amp;col=15&amp;number=&amp;sourceID=55","")</f>
        <v/>
      </c>
      <c r="P1540" s="4" t="str">
        <f>HYPERLINK("http://141.218.60.56/~jnz1568/getInfo.php?workbook=16_15.xlsx&amp;sheet=A0&amp;row=1540&amp;col=16&amp;number=&amp;sourceID=55","")</f>
        <v/>
      </c>
      <c r="Q1540" s="4" t="str">
        <f>HYPERLINK("http://141.218.60.56/~jnz1568/getInfo.php?workbook=16_15.xlsx&amp;sheet=A0&amp;row=1540&amp;col=17&amp;number=&amp;sourceID=56","")</f>
        <v/>
      </c>
      <c r="R1540" s="4" t="str">
        <f>HYPERLINK("http://141.218.60.56/~jnz1568/getInfo.php?workbook=16_15.xlsx&amp;sheet=A0&amp;row=1540&amp;col=18&amp;number=&amp;sourceID=56","")</f>
        <v/>
      </c>
      <c r="S1540" s="4" t="str">
        <f>HYPERLINK("http://141.218.60.56/~jnz1568/getInfo.php?workbook=16_15.xlsx&amp;sheet=A0&amp;row=1540&amp;col=19&amp;number=&amp;sourceID=57","")</f>
        <v/>
      </c>
      <c r="T1540" s="4" t="str">
        <f>HYPERLINK("http://141.218.60.56/~jnz1568/getInfo.php?workbook=16_15.xlsx&amp;sheet=A0&amp;row=1540&amp;col=20&amp;number=&amp;sourceID=57","")</f>
        <v/>
      </c>
      <c r="U1540" s="4" t="str">
        <f>HYPERLINK("http://141.218.60.56/~jnz1568/getInfo.php?workbook=16_15.xlsx&amp;sheet=A0&amp;row=1540&amp;col=21&amp;number=&amp;sourceID=47","")</f>
        <v/>
      </c>
      <c r="V1540" s="4" t="str">
        <f>HYPERLINK("http://141.218.60.56/~jnz1568/getInfo.php?workbook=16_15.xlsx&amp;sheet=A0&amp;row=1540&amp;col=22&amp;number=&amp;sourceID=47","")</f>
        <v/>
      </c>
    </row>
    <row r="1541" spans="1:22">
      <c r="A1541" s="3">
        <v>16</v>
      </c>
      <c r="B1541" s="3">
        <v>15</v>
      </c>
      <c r="C1541" s="3">
        <v>63</v>
      </c>
      <c r="D1541" s="3">
        <v>29</v>
      </c>
      <c r="E1541" s="3">
        <f>((1/(INDEX(E0!J$4:J$73,C1541,1)-INDEX(E0!J$4:J$73,D1541,1))))*100000000</f>
        <v>0</v>
      </c>
      <c r="F1541" s="4" t="str">
        <f>HYPERLINK("http://141.218.60.56/~jnz1568/getInfo.php?workbook=16_15.xlsx&amp;sheet=A0&amp;row=1541&amp;col=6&amp;number=&amp;sourceID=54","")</f>
        <v/>
      </c>
      <c r="G1541" s="4" t="str">
        <f>HYPERLINK("http://141.218.60.56/~jnz1568/getInfo.php?workbook=16_15.xlsx&amp;sheet=A0&amp;row=1541&amp;col=7&amp;number=32.12&amp;sourceID=54","32.12")</f>
        <v>32.12</v>
      </c>
      <c r="H1541" s="4" t="str">
        <f>HYPERLINK("http://141.218.60.56/~jnz1568/getInfo.php?workbook=16_15.xlsx&amp;sheet=A0&amp;row=1541&amp;col=8&amp;number=5.8379e-07&amp;sourceID=54","5.8379e-07")</f>
        <v>5.8379e-07</v>
      </c>
      <c r="I1541" s="4" t="str">
        <f>HYPERLINK("http://141.218.60.56/~jnz1568/getInfo.php?workbook=16_15.xlsx&amp;sheet=A0&amp;row=1541&amp;col=9&amp;number=&amp;sourceID=54","")</f>
        <v/>
      </c>
      <c r="J1541" s="4" t="str">
        <f>HYPERLINK("http://141.218.60.56/~jnz1568/getInfo.php?workbook=16_15.xlsx&amp;sheet=A0&amp;row=1541&amp;col=10&amp;number=24.972&amp;sourceID=54","24.972")</f>
        <v>24.972</v>
      </c>
      <c r="K1541" s="4" t="str">
        <f>HYPERLINK("http://141.218.60.56/~jnz1568/getInfo.php?workbook=16_15.xlsx&amp;sheet=A0&amp;row=1541&amp;col=11&amp;number=3.6873e-07&amp;sourceID=54","3.6873e-07")</f>
        <v>3.6873e-07</v>
      </c>
      <c r="L1541" s="4" t="str">
        <f>HYPERLINK("http://141.218.60.56/~jnz1568/getInfo.php?workbook=16_15.xlsx&amp;sheet=A0&amp;row=1541&amp;col=12&amp;number=&amp;sourceID=53","")</f>
        <v/>
      </c>
      <c r="M1541" s="4" t="str">
        <f>HYPERLINK("http://141.218.60.56/~jnz1568/getInfo.php?workbook=16_15.xlsx&amp;sheet=A0&amp;row=1541&amp;col=13&amp;number=&amp;sourceID=53","")</f>
        <v/>
      </c>
      <c r="N1541" s="4" t="str">
        <f>HYPERLINK("http://141.218.60.56/~jnz1568/getInfo.php?workbook=16_15.xlsx&amp;sheet=A0&amp;row=1541&amp;col=14&amp;number=&amp;sourceID=53","")</f>
        <v/>
      </c>
      <c r="O1541" s="4" t="str">
        <f>HYPERLINK("http://141.218.60.56/~jnz1568/getInfo.php?workbook=16_15.xlsx&amp;sheet=A0&amp;row=1541&amp;col=15&amp;number=&amp;sourceID=55","")</f>
        <v/>
      </c>
      <c r="P1541" s="4" t="str">
        <f>HYPERLINK("http://141.218.60.56/~jnz1568/getInfo.php?workbook=16_15.xlsx&amp;sheet=A0&amp;row=1541&amp;col=16&amp;number=&amp;sourceID=55","")</f>
        <v/>
      </c>
      <c r="Q1541" s="4" t="str">
        <f>HYPERLINK("http://141.218.60.56/~jnz1568/getInfo.php?workbook=16_15.xlsx&amp;sheet=A0&amp;row=1541&amp;col=17&amp;number=&amp;sourceID=56","")</f>
        <v/>
      </c>
      <c r="R1541" s="4" t="str">
        <f>HYPERLINK("http://141.218.60.56/~jnz1568/getInfo.php?workbook=16_15.xlsx&amp;sheet=A0&amp;row=1541&amp;col=18&amp;number=&amp;sourceID=56","")</f>
        <v/>
      </c>
      <c r="S1541" s="4" t="str">
        <f>HYPERLINK("http://141.218.60.56/~jnz1568/getInfo.php?workbook=16_15.xlsx&amp;sheet=A0&amp;row=1541&amp;col=19&amp;number=&amp;sourceID=57","")</f>
        <v/>
      </c>
      <c r="T1541" s="4" t="str">
        <f>HYPERLINK("http://141.218.60.56/~jnz1568/getInfo.php?workbook=16_15.xlsx&amp;sheet=A0&amp;row=1541&amp;col=20&amp;number=&amp;sourceID=57","")</f>
        <v/>
      </c>
      <c r="U1541" s="4" t="str">
        <f>HYPERLINK("http://141.218.60.56/~jnz1568/getInfo.php?workbook=16_15.xlsx&amp;sheet=A0&amp;row=1541&amp;col=21&amp;number=&amp;sourceID=47","")</f>
        <v/>
      </c>
      <c r="V1541" s="4" t="str">
        <f>HYPERLINK("http://141.218.60.56/~jnz1568/getInfo.php?workbook=16_15.xlsx&amp;sheet=A0&amp;row=1541&amp;col=22&amp;number=&amp;sourceID=47","")</f>
        <v/>
      </c>
    </row>
    <row r="1542" spans="1:22">
      <c r="A1542" s="3">
        <v>16</v>
      </c>
      <c r="B1542" s="3">
        <v>15</v>
      </c>
      <c r="C1542" s="3">
        <v>63</v>
      </c>
      <c r="D1542" s="3">
        <v>30</v>
      </c>
      <c r="E1542" s="3">
        <f>((1/(INDEX(E0!J$4:J$73,C1542,1)-INDEX(E0!J$4:J$73,D1542,1))))*100000000</f>
        <v>0</v>
      </c>
      <c r="F1542" s="4" t="str">
        <f>HYPERLINK("http://141.218.60.56/~jnz1568/getInfo.php?workbook=16_15.xlsx&amp;sheet=A0&amp;row=1542&amp;col=6&amp;number=&amp;sourceID=54","")</f>
        <v/>
      </c>
      <c r="G1542" s="4" t="str">
        <f>HYPERLINK("http://141.218.60.56/~jnz1568/getInfo.php?workbook=16_15.xlsx&amp;sheet=A0&amp;row=1542&amp;col=7&amp;number=12.575&amp;sourceID=54","12.575")</f>
        <v>12.575</v>
      </c>
      <c r="H1542" s="4" t="str">
        <f>HYPERLINK("http://141.218.60.56/~jnz1568/getInfo.php?workbook=16_15.xlsx&amp;sheet=A0&amp;row=1542&amp;col=8&amp;number=8.0017e-06&amp;sourceID=54","8.0017e-06")</f>
        <v>8.0017e-06</v>
      </c>
      <c r="I1542" s="4" t="str">
        <f>HYPERLINK("http://141.218.60.56/~jnz1568/getInfo.php?workbook=16_15.xlsx&amp;sheet=A0&amp;row=1542&amp;col=9&amp;number=&amp;sourceID=54","")</f>
        <v/>
      </c>
      <c r="J1542" s="4" t="str">
        <f>HYPERLINK("http://141.218.60.56/~jnz1568/getInfo.php?workbook=16_15.xlsx&amp;sheet=A0&amp;row=1542&amp;col=10&amp;number=9.7963&amp;sourceID=54","9.7963")</f>
        <v>9.7963</v>
      </c>
      <c r="K1542" s="4" t="str">
        <f>HYPERLINK("http://141.218.60.56/~jnz1568/getInfo.php?workbook=16_15.xlsx&amp;sheet=A0&amp;row=1542&amp;col=11&amp;number=5.899e-06&amp;sourceID=54","5.899e-06")</f>
        <v>5.899e-06</v>
      </c>
      <c r="L1542" s="4" t="str">
        <f>HYPERLINK("http://141.218.60.56/~jnz1568/getInfo.php?workbook=16_15.xlsx&amp;sheet=A0&amp;row=1542&amp;col=12&amp;number=&amp;sourceID=53","")</f>
        <v/>
      </c>
      <c r="M1542" s="4" t="str">
        <f>HYPERLINK("http://141.218.60.56/~jnz1568/getInfo.php?workbook=16_15.xlsx&amp;sheet=A0&amp;row=1542&amp;col=13&amp;number=&amp;sourceID=53","")</f>
        <v/>
      </c>
      <c r="N1542" s="4" t="str">
        <f>HYPERLINK("http://141.218.60.56/~jnz1568/getInfo.php?workbook=16_15.xlsx&amp;sheet=A0&amp;row=1542&amp;col=14&amp;number=&amp;sourceID=53","")</f>
        <v/>
      </c>
      <c r="O1542" s="4" t="str">
        <f>HYPERLINK("http://141.218.60.56/~jnz1568/getInfo.php?workbook=16_15.xlsx&amp;sheet=A0&amp;row=1542&amp;col=15&amp;number=&amp;sourceID=55","")</f>
        <v/>
      </c>
      <c r="P1542" s="4" t="str">
        <f>HYPERLINK("http://141.218.60.56/~jnz1568/getInfo.php?workbook=16_15.xlsx&amp;sheet=A0&amp;row=1542&amp;col=16&amp;number=&amp;sourceID=55","")</f>
        <v/>
      </c>
      <c r="Q1542" s="4" t="str">
        <f>HYPERLINK("http://141.218.60.56/~jnz1568/getInfo.php?workbook=16_15.xlsx&amp;sheet=A0&amp;row=1542&amp;col=17&amp;number=&amp;sourceID=56","")</f>
        <v/>
      </c>
      <c r="R1542" s="4" t="str">
        <f>HYPERLINK("http://141.218.60.56/~jnz1568/getInfo.php?workbook=16_15.xlsx&amp;sheet=A0&amp;row=1542&amp;col=18&amp;number=&amp;sourceID=56","")</f>
        <v/>
      </c>
      <c r="S1542" s="4" t="str">
        <f>HYPERLINK("http://141.218.60.56/~jnz1568/getInfo.php?workbook=16_15.xlsx&amp;sheet=A0&amp;row=1542&amp;col=19&amp;number=&amp;sourceID=57","")</f>
        <v/>
      </c>
      <c r="T1542" s="4" t="str">
        <f>HYPERLINK("http://141.218.60.56/~jnz1568/getInfo.php?workbook=16_15.xlsx&amp;sheet=A0&amp;row=1542&amp;col=20&amp;number=&amp;sourceID=57","")</f>
        <v/>
      </c>
      <c r="U1542" s="4" t="str">
        <f>HYPERLINK("http://141.218.60.56/~jnz1568/getInfo.php?workbook=16_15.xlsx&amp;sheet=A0&amp;row=1542&amp;col=21&amp;number=&amp;sourceID=47","")</f>
        <v/>
      </c>
      <c r="V1542" s="4" t="str">
        <f>HYPERLINK("http://141.218.60.56/~jnz1568/getInfo.php?workbook=16_15.xlsx&amp;sheet=A0&amp;row=1542&amp;col=22&amp;number=&amp;sourceID=47","")</f>
        <v/>
      </c>
    </row>
    <row r="1543" spans="1:22">
      <c r="A1543" s="3">
        <v>16</v>
      </c>
      <c r="B1543" s="3">
        <v>15</v>
      </c>
      <c r="C1543" s="3">
        <v>63</v>
      </c>
      <c r="D1543" s="3">
        <v>31</v>
      </c>
      <c r="E1543" s="3">
        <f>((1/(INDEX(E0!J$4:J$73,C1543,1)-INDEX(E0!J$4:J$73,D1543,1))))*100000000</f>
        <v>0</v>
      </c>
      <c r="F1543" s="4" t="str">
        <f>HYPERLINK("http://141.218.60.56/~jnz1568/getInfo.php?workbook=16_15.xlsx&amp;sheet=A0&amp;row=1543&amp;col=6&amp;number=167890&amp;sourceID=54","167890")</f>
        <v>167890</v>
      </c>
      <c r="G1543" s="4" t="str">
        <f>HYPERLINK("http://141.218.60.56/~jnz1568/getInfo.php?workbook=16_15.xlsx&amp;sheet=A0&amp;row=1543&amp;col=7&amp;number=&amp;sourceID=54","")</f>
        <v/>
      </c>
      <c r="H1543" s="4" t="str">
        <f>HYPERLINK("http://141.218.60.56/~jnz1568/getInfo.php?workbook=16_15.xlsx&amp;sheet=A0&amp;row=1543&amp;col=8&amp;number=&amp;sourceID=54","")</f>
        <v/>
      </c>
      <c r="I1543" s="4" t="str">
        <f>HYPERLINK("http://141.218.60.56/~jnz1568/getInfo.php?workbook=16_15.xlsx&amp;sheet=A0&amp;row=1543&amp;col=9&amp;number=117250&amp;sourceID=54","117250")</f>
        <v>117250</v>
      </c>
      <c r="J1543" s="4" t="str">
        <f>HYPERLINK("http://141.218.60.56/~jnz1568/getInfo.php?workbook=16_15.xlsx&amp;sheet=A0&amp;row=1543&amp;col=10&amp;number=&amp;sourceID=54","")</f>
        <v/>
      </c>
      <c r="K1543" s="4" t="str">
        <f>HYPERLINK("http://141.218.60.56/~jnz1568/getInfo.php?workbook=16_15.xlsx&amp;sheet=A0&amp;row=1543&amp;col=11&amp;number=&amp;sourceID=54","")</f>
        <v/>
      </c>
      <c r="L1543" s="4" t="str">
        <f>HYPERLINK("http://141.218.60.56/~jnz1568/getInfo.php?workbook=16_15.xlsx&amp;sheet=A0&amp;row=1543&amp;col=12&amp;number=713810.186425&amp;sourceID=53","713810.186425")</f>
        <v>713810.186425</v>
      </c>
      <c r="M1543" s="4" t="str">
        <f>HYPERLINK("http://141.218.60.56/~jnz1568/getInfo.php?workbook=16_15.xlsx&amp;sheet=A0&amp;row=1543&amp;col=13&amp;number=&amp;sourceID=53","")</f>
        <v/>
      </c>
      <c r="N1543" s="4" t="str">
        <f>HYPERLINK("http://141.218.60.56/~jnz1568/getInfo.php?workbook=16_15.xlsx&amp;sheet=A0&amp;row=1543&amp;col=14&amp;number=&amp;sourceID=53","")</f>
        <v/>
      </c>
      <c r="O1543" s="4" t="str">
        <f>HYPERLINK("http://141.218.60.56/~jnz1568/getInfo.php?workbook=16_15.xlsx&amp;sheet=A0&amp;row=1543&amp;col=15&amp;number=&amp;sourceID=55","")</f>
        <v/>
      </c>
      <c r="P1543" s="4" t="str">
        <f>HYPERLINK("http://141.218.60.56/~jnz1568/getInfo.php?workbook=16_15.xlsx&amp;sheet=A0&amp;row=1543&amp;col=16&amp;number=&amp;sourceID=55","")</f>
        <v/>
      </c>
      <c r="Q1543" s="4" t="str">
        <f>HYPERLINK("http://141.218.60.56/~jnz1568/getInfo.php?workbook=16_15.xlsx&amp;sheet=A0&amp;row=1543&amp;col=17&amp;number=&amp;sourceID=56","")</f>
        <v/>
      </c>
      <c r="R1543" s="4" t="str">
        <f>HYPERLINK("http://141.218.60.56/~jnz1568/getInfo.php?workbook=16_15.xlsx&amp;sheet=A0&amp;row=1543&amp;col=18&amp;number=&amp;sourceID=56","")</f>
        <v/>
      </c>
      <c r="S1543" s="4" t="str">
        <f>HYPERLINK("http://141.218.60.56/~jnz1568/getInfo.php?workbook=16_15.xlsx&amp;sheet=A0&amp;row=1543&amp;col=19&amp;number=&amp;sourceID=57","")</f>
        <v/>
      </c>
      <c r="T1543" s="4" t="str">
        <f>HYPERLINK("http://141.218.60.56/~jnz1568/getInfo.php?workbook=16_15.xlsx&amp;sheet=A0&amp;row=1543&amp;col=20&amp;number=&amp;sourceID=57","")</f>
        <v/>
      </c>
      <c r="U1543" s="4" t="str">
        <f>HYPERLINK("http://141.218.60.56/~jnz1568/getInfo.php?workbook=16_15.xlsx&amp;sheet=A0&amp;row=1543&amp;col=21&amp;number=&amp;sourceID=47","")</f>
        <v/>
      </c>
      <c r="V1543" s="4" t="str">
        <f>HYPERLINK("http://141.218.60.56/~jnz1568/getInfo.php?workbook=16_15.xlsx&amp;sheet=A0&amp;row=1543&amp;col=22&amp;number=&amp;sourceID=47","")</f>
        <v/>
      </c>
    </row>
    <row r="1544" spans="1:22">
      <c r="A1544" s="3">
        <v>16</v>
      </c>
      <c r="B1544" s="3">
        <v>15</v>
      </c>
      <c r="C1544" s="3">
        <v>63</v>
      </c>
      <c r="D1544" s="3">
        <v>32</v>
      </c>
      <c r="E1544" s="3">
        <f>((1/(INDEX(E0!J$4:J$73,C1544,1)-INDEX(E0!J$4:J$73,D1544,1))))*100000000</f>
        <v>0</v>
      </c>
      <c r="F1544" s="4" t="str">
        <f>HYPERLINK("http://141.218.60.56/~jnz1568/getInfo.php?workbook=16_15.xlsx&amp;sheet=A0&amp;row=1544&amp;col=6&amp;number=&amp;sourceID=54","")</f>
        <v/>
      </c>
      <c r="G1544" s="4" t="str">
        <f>HYPERLINK("http://141.218.60.56/~jnz1568/getInfo.php?workbook=16_15.xlsx&amp;sheet=A0&amp;row=1544&amp;col=7&amp;number=4.2938&amp;sourceID=54","4.2938")</f>
        <v>4.2938</v>
      </c>
      <c r="H1544" s="4" t="str">
        <f>HYPERLINK("http://141.218.60.56/~jnz1568/getInfo.php?workbook=16_15.xlsx&amp;sheet=A0&amp;row=1544&amp;col=8&amp;number=&amp;sourceID=54","")</f>
        <v/>
      </c>
      <c r="I1544" s="4" t="str">
        <f>HYPERLINK("http://141.218.60.56/~jnz1568/getInfo.php?workbook=16_15.xlsx&amp;sheet=A0&amp;row=1544&amp;col=9&amp;number=&amp;sourceID=54","")</f>
        <v/>
      </c>
      <c r="J1544" s="4" t="str">
        <f>HYPERLINK("http://141.218.60.56/~jnz1568/getInfo.php?workbook=16_15.xlsx&amp;sheet=A0&amp;row=1544&amp;col=10&amp;number=3.9139&amp;sourceID=54","3.9139")</f>
        <v>3.9139</v>
      </c>
      <c r="K1544" s="4" t="str">
        <f>HYPERLINK("http://141.218.60.56/~jnz1568/getInfo.php?workbook=16_15.xlsx&amp;sheet=A0&amp;row=1544&amp;col=11&amp;number=&amp;sourceID=54","")</f>
        <v/>
      </c>
      <c r="L1544" s="4" t="str">
        <f>HYPERLINK("http://141.218.60.56/~jnz1568/getInfo.php?workbook=16_15.xlsx&amp;sheet=A0&amp;row=1544&amp;col=12&amp;number=&amp;sourceID=53","")</f>
        <v/>
      </c>
      <c r="M1544" s="4" t="str">
        <f>HYPERLINK("http://141.218.60.56/~jnz1568/getInfo.php?workbook=16_15.xlsx&amp;sheet=A0&amp;row=1544&amp;col=13&amp;number=&amp;sourceID=53","")</f>
        <v/>
      </c>
      <c r="N1544" s="4" t="str">
        <f>HYPERLINK("http://141.218.60.56/~jnz1568/getInfo.php?workbook=16_15.xlsx&amp;sheet=A0&amp;row=1544&amp;col=14&amp;number=&amp;sourceID=53","")</f>
        <v/>
      </c>
      <c r="O1544" s="4" t="str">
        <f>HYPERLINK("http://141.218.60.56/~jnz1568/getInfo.php?workbook=16_15.xlsx&amp;sheet=A0&amp;row=1544&amp;col=15&amp;number=&amp;sourceID=55","")</f>
        <v/>
      </c>
      <c r="P1544" s="4" t="str">
        <f>HYPERLINK("http://141.218.60.56/~jnz1568/getInfo.php?workbook=16_15.xlsx&amp;sheet=A0&amp;row=1544&amp;col=16&amp;number=&amp;sourceID=55","")</f>
        <v/>
      </c>
      <c r="Q1544" s="4" t="str">
        <f>HYPERLINK("http://141.218.60.56/~jnz1568/getInfo.php?workbook=16_15.xlsx&amp;sheet=A0&amp;row=1544&amp;col=17&amp;number=&amp;sourceID=56","")</f>
        <v/>
      </c>
      <c r="R1544" s="4" t="str">
        <f>HYPERLINK("http://141.218.60.56/~jnz1568/getInfo.php?workbook=16_15.xlsx&amp;sheet=A0&amp;row=1544&amp;col=18&amp;number=&amp;sourceID=56","")</f>
        <v/>
      </c>
      <c r="S1544" s="4" t="str">
        <f>HYPERLINK("http://141.218.60.56/~jnz1568/getInfo.php?workbook=16_15.xlsx&amp;sheet=A0&amp;row=1544&amp;col=19&amp;number=&amp;sourceID=57","")</f>
        <v/>
      </c>
      <c r="T1544" s="4" t="str">
        <f>HYPERLINK("http://141.218.60.56/~jnz1568/getInfo.php?workbook=16_15.xlsx&amp;sheet=A0&amp;row=1544&amp;col=20&amp;number=&amp;sourceID=57","")</f>
        <v/>
      </c>
      <c r="U1544" s="4" t="str">
        <f>HYPERLINK("http://141.218.60.56/~jnz1568/getInfo.php?workbook=16_15.xlsx&amp;sheet=A0&amp;row=1544&amp;col=21&amp;number=&amp;sourceID=47","")</f>
        <v/>
      </c>
      <c r="V1544" s="4" t="str">
        <f>HYPERLINK("http://141.218.60.56/~jnz1568/getInfo.php?workbook=16_15.xlsx&amp;sheet=A0&amp;row=1544&amp;col=22&amp;number=&amp;sourceID=47","")</f>
        <v/>
      </c>
    </row>
    <row r="1545" spans="1:22">
      <c r="A1545" s="3">
        <v>16</v>
      </c>
      <c r="B1545" s="3">
        <v>15</v>
      </c>
      <c r="C1545" s="3">
        <v>63</v>
      </c>
      <c r="D1545" s="3">
        <v>34</v>
      </c>
      <c r="E1545" s="3">
        <f>((1/(INDEX(E0!J$4:J$73,C1545,1)-INDEX(E0!J$4:J$73,D1545,1))))*100000000</f>
        <v>0</v>
      </c>
      <c r="F1545" s="4" t="str">
        <f>HYPERLINK("http://141.218.60.56/~jnz1568/getInfo.php?workbook=16_15.xlsx&amp;sheet=A0&amp;row=1545&amp;col=6&amp;number=8221.6&amp;sourceID=54","8221.6")</f>
        <v>8221.6</v>
      </c>
      <c r="G1545" s="4" t="str">
        <f>HYPERLINK("http://141.218.60.56/~jnz1568/getInfo.php?workbook=16_15.xlsx&amp;sheet=A0&amp;row=1545&amp;col=7&amp;number=&amp;sourceID=54","")</f>
        <v/>
      </c>
      <c r="H1545" s="4" t="str">
        <f>HYPERLINK("http://141.218.60.56/~jnz1568/getInfo.php?workbook=16_15.xlsx&amp;sheet=A0&amp;row=1545&amp;col=8&amp;number=&amp;sourceID=54","")</f>
        <v/>
      </c>
      <c r="I1545" s="4" t="str">
        <f>HYPERLINK("http://141.218.60.56/~jnz1568/getInfo.php?workbook=16_15.xlsx&amp;sheet=A0&amp;row=1545&amp;col=9&amp;number=8399.6&amp;sourceID=54","8399.6")</f>
        <v>8399.6</v>
      </c>
      <c r="J1545" s="4" t="str">
        <f>HYPERLINK("http://141.218.60.56/~jnz1568/getInfo.php?workbook=16_15.xlsx&amp;sheet=A0&amp;row=1545&amp;col=10&amp;number=&amp;sourceID=54","")</f>
        <v/>
      </c>
      <c r="K1545" s="4" t="str">
        <f>HYPERLINK("http://141.218.60.56/~jnz1568/getInfo.php?workbook=16_15.xlsx&amp;sheet=A0&amp;row=1545&amp;col=11&amp;number=&amp;sourceID=54","")</f>
        <v/>
      </c>
      <c r="L1545" s="4" t="str">
        <f>HYPERLINK("http://141.218.60.56/~jnz1568/getInfo.php?workbook=16_15.xlsx&amp;sheet=A0&amp;row=1545&amp;col=12&amp;number=16196.1501367&amp;sourceID=53","16196.1501367")</f>
        <v>16196.1501367</v>
      </c>
      <c r="M1545" s="4" t="str">
        <f>HYPERLINK("http://141.218.60.56/~jnz1568/getInfo.php?workbook=16_15.xlsx&amp;sheet=A0&amp;row=1545&amp;col=13&amp;number=&amp;sourceID=53","")</f>
        <v/>
      </c>
      <c r="N1545" s="4" t="str">
        <f>HYPERLINK("http://141.218.60.56/~jnz1568/getInfo.php?workbook=16_15.xlsx&amp;sheet=A0&amp;row=1545&amp;col=14&amp;number=&amp;sourceID=53","")</f>
        <v/>
      </c>
      <c r="O1545" s="4" t="str">
        <f>HYPERLINK("http://141.218.60.56/~jnz1568/getInfo.php?workbook=16_15.xlsx&amp;sheet=A0&amp;row=1545&amp;col=15&amp;number=&amp;sourceID=55","")</f>
        <v/>
      </c>
      <c r="P1545" s="4" t="str">
        <f>HYPERLINK("http://141.218.60.56/~jnz1568/getInfo.php?workbook=16_15.xlsx&amp;sheet=A0&amp;row=1545&amp;col=16&amp;number=&amp;sourceID=55","")</f>
        <v/>
      </c>
      <c r="Q1545" s="4" t="str">
        <f>HYPERLINK("http://141.218.60.56/~jnz1568/getInfo.php?workbook=16_15.xlsx&amp;sheet=A0&amp;row=1545&amp;col=17&amp;number=&amp;sourceID=56","")</f>
        <v/>
      </c>
      <c r="R1545" s="4" t="str">
        <f>HYPERLINK("http://141.218.60.56/~jnz1568/getInfo.php?workbook=16_15.xlsx&amp;sheet=A0&amp;row=1545&amp;col=18&amp;number=&amp;sourceID=56","")</f>
        <v/>
      </c>
      <c r="S1545" s="4" t="str">
        <f>HYPERLINK("http://141.218.60.56/~jnz1568/getInfo.php?workbook=16_15.xlsx&amp;sheet=A0&amp;row=1545&amp;col=19&amp;number=&amp;sourceID=57","")</f>
        <v/>
      </c>
      <c r="T1545" s="4" t="str">
        <f>HYPERLINK("http://141.218.60.56/~jnz1568/getInfo.php?workbook=16_15.xlsx&amp;sheet=A0&amp;row=1545&amp;col=20&amp;number=&amp;sourceID=57","")</f>
        <v/>
      </c>
      <c r="U1545" s="4" t="str">
        <f>HYPERLINK("http://141.218.60.56/~jnz1568/getInfo.php?workbook=16_15.xlsx&amp;sheet=A0&amp;row=1545&amp;col=21&amp;number=&amp;sourceID=47","")</f>
        <v/>
      </c>
      <c r="V1545" s="4" t="str">
        <f>HYPERLINK("http://141.218.60.56/~jnz1568/getInfo.php?workbook=16_15.xlsx&amp;sheet=A0&amp;row=1545&amp;col=22&amp;number=&amp;sourceID=47","")</f>
        <v/>
      </c>
    </row>
    <row r="1546" spans="1:22">
      <c r="A1546" s="3">
        <v>16</v>
      </c>
      <c r="B1546" s="3">
        <v>15</v>
      </c>
      <c r="C1546" s="3">
        <v>63</v>
      </c>
      <c r="D1546" s="3">
        <v>35</v>
      </c>
      <c r="E1546" s="3">
        <f>((1/(INDEX(E0!J$4:J$73,C1546,1)-INDEX(E0!J$4:J$73,D1546,1))))*100000000</f>
        <v>0</v>
      </c>
      <c r="F1546" s="4" t="str">
        <f>HYPERLINK("http://141.218.60.56/~jnz1568/getInfo.php?workbook=16_15.xlsx&amp;sheet=A0&amp;row=1546&amp;col=6&amp;number=3980.8&amp;sourceID=54","3980.8")</f>
        <v>3980.8</v>
      </c>
      <c r="G1546" s="4" t="str">
        <f>HYPERLINK("http://141.218.60.56/~jnz1568/getInfo.php?workbook=16_15.xlsx&amp;sheet=A0&amp;row=1546&amp;col=7&amp;number=&amp;sourceID=54","")</f>
        <v/>
      </c>
      <c r="H1546" s="4" t="str">
        <f>HYPERLINK("http://141.218.60.56/~jnz1568/getInfo.php?workbook=16_15.xlsx&amp;sheet=A0&amp;row=1546&amp;col=8&amp;number=&amp;sourceID=54","")</f>
        <v/>
      </c>
      <c r="I1546" s="4" t="str">
        <f>HYPERLINK("http://141.218.60.56/~jnz1568/getInfo.php?workbook=16_15.xlsx&amp;sheet=A0&amp;row=1546&amp;col=9&amp;number=3575.2&amp;sourceID=54","3575.2")</f>
        <v>3575.2</v>
      </c>
      <c r="J1546" s="4" t="str">
        <f>HYPERLINK("http://141.218.60.56/~jnz1568/getInfo.php?workbook=16_15.xlsx&amp;sheet=A0&amp;row=1546&amp;col=10&amp;number=&amp;sourceID=54","")</f>
        <v/>
      </c>
      <c r="K1546" s="4" t="str">
        <f>HYPERLINK("http://141.218.60.56/~jnz1568/getInfo.php?workbook=16_15.xlsx&amp;sheet=A0&amp;row=1546&amp;col=11&amp;number=&amp;sourceID=54","")</f>
        <v/>
      </c>
      <c r="L1546" s="4" t="str">
        <f>HYPERLINK("http://141.218.60.56/~jnz1568/getInfo.php?workbook=16_15.xlsx&amp;sheet=A0&amp;row=1546&amp;col=12&amp;number=2418.12257235&amp;sourceID=53","2418.12257235")</f>
        <v>2418.12257235</v>
      </c>
      <c r="M1546" s="4" t="str">
        <f>HYPERLINK("http://141.218.60.56/~jnz1568/getInfo.php?workbook=16_15.xlsx&amp;sheet=A0&amp;row=1546&amp;col=13&amp;number=&amp;sourceID=53","")</f>
        <v/>
      </c>
      <c r="N1546" s="4" t="str">
        <f>HYPERLINK("http://141.218.60.56/~jnz1568/getInfo.php?workbook=16_15.xlsx&amp;sheet=A0&amp;row=1546&amp;col=14&amp;number=&amp;sourceID=53","")</f>
        <v/>
      </c>
      <c r="O1546" s="4" t="str">
        <f>HYPERLINK("http://141.218.60.56/~jnz1568/getInfo.php?workbook=16_15.xlsx&amp;sheet=A0&amp;row=1546&amp;col=15&amp;number=&amp;sourceID=55","")</f>
        <v/>
      </c>
      <c r="P1546" s="4" t="str">
        <f>HYPERLINK("http://141.218.60.56/~jnz1568/getInfo.php?workbook=16_15.xlsx&amp;sheet=A0&amp;row=1546&amp;col=16&amp;number=&amp;sourceID=55","")</f>
        <v/>
      </c>
      <c r="Q1546" s="4" t="str">
        <f>HYPERLINK("http://141.218.60.56/~jnz1568/getInfo.php?workbook=16_15.xlsx&amp;sheet=A0&amp;row=1546&amp;col=17&amp;number=&amp;sourceID=56","")</f>
        <v/>
      </c>
      <c r="R1546" s="4" t="str">
        <f>HYPERLINK("http://141.218.60.56/~jnz1568/getInfo.php?workbook=16_15.xlsx&amp;sheet=A0&amp;row=1546&amp;col=18&amp;number=&amp;sourceID=56","")</f>
        <v/>
      </c>
      <c r="S1546" s="4" t="str">
        <f>HYPERLINK("http://141.218.60.56/~jnz1568/getInfo.php?workbook=16_15.xlsx&amp;sheet=A0&amp;row=1546&amp;col=19&amp;number=&amp;sourceID=57","")</f>
        <v/>
      </c>
      <c r="T1546" s="4" t="str">
        <f>HYPERLINK("http://141.218.60.56/~jnz1568/getInfo.php?workbook=16_15.xlsx&amp;sheet=A0&amp;row=1546&amp;col=20&amp;number=&amp;sourceID=57","")</f>
        <v/>
      </c>
      <c r="U1546" s="4" t="str">
        <f>HYPERLINK("http://141.218.60.56/~jnz1568/getInfo.php?workbook=16_15.xlsx&amp;sheet=A0&amp;row=1546&amp;col=21&amp;number=&amp;sourceID=47","")</f>
        <v/>
      </c>
      <c r="V1546" s="4" t="str">
        <f>HYPERLINK("http://141.218.60.56/~jnz1568/getInfo.php?workbook=16_15.xlsx&amp;sheet=A0&amp;row=1546&amp;col=22&amp;number=&amp;sourceID=47","")</f>
        <v/>
      </c>
    </row>
    <row r="1547" spans="1:22">
      <c r="A1547" s="3">
        <v>16</v>
      </c>
      <c r="B1547" s="3">
        <v>15</v>
      </c>
      <c r="C1547" s="3">
        <v>63</v>
      </c>
      <c r="D1547" s="3">
        <v>36</v>
      </c>
      <c r="E1547" s="3">
        <f>((1/(INDEX(E0!J$4:J$73,C1547,1)-INDEX(E0!J$4:J$73,D1547,1))))*100000000</f>
        <v>0</v>
      </c>
      <c r="F1547" s="4" t="str">
        <f>HYPERLINK("http://141.218.60.56/~jnz1568/getInfo.php?workbook=16_15.xlsx&amp;sheet=A0&amp;row=1547&amp;col=6&amp;number=1488.5&amp;sourceID=54","1488.5")</f>
        <v>1488.5</v>
      </c>
      <c r="G1547" s="4" t="str">
        <f>HYPERLINK("http://141.218.60.56/~jnz1568/getInfo.php?workbook=16_15.xlsx&amp;sheet=A0&amp;row=1547&amp;col=7&amp;number=&amp;sourceID=54","")</f>
        <v/>
      </c>
      <c r="H1547" s="4" t="str">
        <f>HYPERLINK("http://141.218.60.56/~jnz1568/getInfo.php?workbook=16_15.xlsx&amp;sheet=A0&amp;row=1547&amp;col=8&amp;number=&amp;sourceID=54","")</f>
        <v/>
      </c>
      <c r="I1547" s="4" t="str">
        <f>HYPERLINK("http://141.218.60.56/~jnz1568/getInfo.php?workbook=16_15.xlsx&amp;sheet=A0&amp;row=1547&amp;col=9&amp;number=1235.7&amp;sourceID=54","1235.7")</f>
        <v>1235.7</v>
      </c>
      <c r="J1547" s="4" t="str">
        <f>HYPERLINK("http://141.218.60.56/~jnz1568/getInfo.php?workbook=16_15.xlsx&amp;sheet=A0&amp;row=1547&amp;col=10&amp;number=&amp;sourceID=54","")</f>
        <v/>
      </c>
      <c r="K1547" s="4" t="str">
        <f>HYPERLINK("http://141.218.60.56/~jnz1568/getInfo.php?workbook=16_15.xlsx&amp;sheet=A0&amp;row=1547&amp;col=11&amp;number=&amp;sourceID=54","")</f>
        <v/>
      </c>
      <c r="L1547" s="4" t="str">
        <f>HYPERLINK("http://141.218.60.56/~jnz1568/getInfo.php?workbook=16_15.xlsx&amp;sheet=A0&amp;row=1547&amp;col=12&amp;number=2549.42378858&amp;sourceID=53","2549.42378858")</f>
        <v>2549.42378858</v>
      </c>
      <c r="M1547" s="4" t="str">
        <f>HYPERLINK("http://141.218.60.56/~jnz1568/getInfo.php?workbook=16_15.xlsx&amp;sheet=A0&amp;row=1547&amp;col=13&amp;number=&amp;sourceID=53","")</f>
        <v/>
      </c>
      <c r="N1547" s="4" t="str">
        <f>HYPERLINK("http://141.218.60.56/~jnz1568/getInfo.php?workbook=16_15.xlsx&amp;sheet=A0&amp;row=1547&amp;col=14&amp;number=&amp;sourceID=53","")</f>
        <v/>
      </c>
      <c r="O1547" s="4" t="str">
        <f>HYPERLINK("http://141.218.60.56/~jnz1568/getInfo.php?workbook=16_15.xlsx&amp;sheet=A0&amp;row=1547&amp;col=15&amp;number=&amp;sourceID=55","")</f>
        <v/>
      </c>
      <c r="P1547" s="4" t="str">
        <f>HYPERLINK("http://141.218.60.56/~jnz1568/getInfo.php?workbook=16_15.xlsx&amp;sheet=A0&amp;row=1547&amp;col=16&amp;number=&amp;sourceID=55","")</f>
        <v/>
      </c>
      <c r="Q1547" s="4" t="str">
        <f>HYPERLINK("http://141.218.60.56/~jnz1568/getInfo.php?workbook=16_15.xlsx&amp;sheet=A0&amp;row=1547&amp;col=17&amp;number=&amp;sourceID=56","")</f>
        <v/>
      </c>
      <c r="R1547" s="4" t="str">
        <f>HYPERLINK("http://141.218.60.56/~jnz1568/getInfo.php?workbook=16_15.xlsx&amp;sheet=A0&amp;row=1547&amp;col=18&amp;number=&amp;sourceID=56","")</f>
        <v/>
      </c>
      <c r="S1547" s="4" t="str">
        <f>HYPERLINK("http://141.218.60.56/~jnz1568/getInfo.php?workbook=16_15.xlsx&amp;sheet=A0&amp;row=1547&amp;col=19&amp;number=&amp;sourceID=57","")</f>
        <v/>
      </c>
      <c r="T1547" s="4" t="str">
        <f>HYPERLINK("http://141.218.60.56/~jnz1568/getInfo.php?workbook=16_15.xlsx&amp;sheet=A0&amp;row=1547&amp;col=20&amp;number=&amp;sourceID=57","")</f>
        <v/>
      </c>
      <c r="U1547" s="4" t="str">
        <f>HYPERLINK("http://141.218.60.56/~jnz1568/getInfo.php?workbook=16_15.xlsx&amp;sheet=A0&amp;row=1547&amp;col=21&amp;number=&amp;sourceID=47","")</f>
        <v/>
      </c>
      <c r="V1547" s="4" t="str">
        <f>HYPERLINK("http://141.218.60.56/~jnz1568/getInfo.php?workbook=16_15.xlsx&amp;sheet=A0&amp;row=1547&amp;col=22&amp;number=&amp;sourceID=47","")</f>
        <v/>
      </c>
    </row>
    <row r="1548" spans="1:22">
      <c r="A1548" s="3">
        <v>16</v>
      </c>
      <c r="B1548" s="3">
        <v>15</v>
      </c>
      <c r="C1548" s="3">
        <v>63</v>
      </c>
      <c r="D1548" s="3">
        <v>38</v>
      </c>
      <c r="E1548" s="3">
        <f>((1/(INDEX(E0!J$4:J$73,C1548,1)-INDEX(E0!J$4:J$73,D1548,1))))*100000000</f>
        <v>0</v>
      </c>
      <c r="F1548" s="4" t="str">
        <f>HYPERLINK("http://141.218.60.56/~jnz1568/getInfo.php?workbook=16_15.xlsx&amp;sheet=A0&amp;row=1548&amp;col=6&amp;number=8879.4&amp;sourceID=54","8879.4")</f>
        <v>8879.4</v>
      </c>
      <c r="G1548" s="4" t="str">
        <f>HYPERLINK("http://141.218.60.56/~jnz1568/getInfo.php?workbook=16_15.xlsx&amp;sheet=A0&amp;row=1548&amp;col=7&amp;number=&amp;sourceID=54","")</f>
        <v/>
      </c>
      <c r="H1548" s="4" t="str">
        <f>HYPERLINK("http://141.218.60.56/~jnz1568/getInfo.php?workbook=16_15.xlsx&amp;sheet=A0&amp;row=1548&amp;col=8&amp;number=&amp;sourceID=54","")</f>
        <v/>
      </c>
      <c r="I1548" s="4" t="str">
        <f>HYPERLINK("http://141.218.60.56/~jnz1568/getInfo.php?workbook=16_15.xlsx&amp;sheet=A0&amp;row=1548&amp;col=9&amp;number=6166.5&amp;sourceID=54","6166.5")</f>
        <v>6166.5</v>
      </c>
      <c r="J1548" s="4" t="str">
        <f>HYPERLINK("http://141.218.60.56/~jnz1568/getInfo.php?workbook=16_15.xlsx&amp;sheet=A0&amp;row=1548&amp;col=10&amp;number=&amp;sourceID=54","")</f>
        <v/>
      </c>
      <c r="K1548" s="4" t="str">
        <f>HYPERLINK("http://141.218.60.56/~jnz1568/getInfo.php?workbook=16_15.xlsx&amp;sheet=A0&amp;row=1548&amp;col=11&amp;number=&amp;sourceID=54","")</f>
        <v/>
      </c>
      <c r="L1548" s="4" t="str">
        <f>HYPERLINK("http://141.218.60.56/~jnz1568/getInfo.php?workbook=16_15.xlsx&amp;sheet=A0&amp;row=1548&amp;col=12&amp;number=15580.7647125&amp;sourceID=53","15580.7647125")</f>
        <v>15580.7647125</v>
      </c>
      <c r="M1548" s="4" t="str">
        <f>HYPERLINK("http://141.218.60.56/~jnz1568/getInfo.php?workbook=16_15.xlsx&amp;sheet=A0&amp;row=1548&amp;col=13&amp;number=&amp;sourceID=53","")</f>
        <v/>
      </c>
      <c r="N1548" s="4" t="str">
        <f>HYPERLINK("http://141.218.60.56/~jnz1568/getInfo.php?workbook=16_15.xlsx&amp;sheet=A0&amp;row=1548&amp;col=14&amp;number=&amp;sourceID=53","")</f>
        <v/>
      </c>
      <c r="O1548" s="4" t="str">
        <f>HYPERLINK("http://141.218.60.56/~jnz1568/getInfo.php?workbook=16_15.xlsx&amp;sheet=A0&amp;row=1548&amp;col=15&amp;number=&amp;sourceID=55","")</f>
        <v/>
      </c>
      <c r="P1548" s="4" t="str">
        <f>HYPERLINK("http://141.218.60.56/~jnz1568/getInfo.php?workbook=16_15.xlsx&amp;sheet=A0&amp;row=1548&amp;col=16&amp;number=&amp;sourceID=55","")</f>
        <v/>
      </c>
      <c r="Q1548" s="4" t="str">
        <f>HYPERLINK("http://141.218.60.56/~jnz1568/getInfo.php?workbook=16_15.xlsx&amp;sheet=A0&amp;row=1548&amp;col=17&amp;number=&amp;sourceID=56","")</f>
        <v/>
      </c>
      <c r="R1548" s="4" t="str">
        <f>HYPERLINK("http://141.218.60.56/~jnz1568/getInfo.php?workbook=16_15.xlsx&amp;sheet=A0&amp;row=1548&amp;col=18&amp;number=&amp;sourceID=56","")</f>
        <v/>
      </c>
      <c r="S1548" s="4" t="str">
        <f>HYPERLINK("http://141.218.60.56/~jnz1568/getInfo.php?workbook=16_15.xlsx&amp;sheet=A0&amp;row=1548&amp;col=19&amp;number=&amp;sourceID=57","")</f>
        <v/>
      </c>
      <c r="T1548" s="4" t="str">
        <f>HYPERLINK("http://141.218.60.56/~jnz1568/getInfo.php?workbook=16_15.xlsx&amp;sheet=A0&amp;row=1548&amp;col=20&amp;number=&amp;sourceID=57","")</f>
        <v/>
      </c>
      <c r="U1548" s="4" t="str">
        <f>HYPERLINK("http://141.218.60.56/~jnz1568/getInfo.php?workbook=16_15.xlsx&amp;sheet=A0&amp;row=1548&amp;col=21&amp;number=&amp;sourceID=47","")</f>
        <v/>
      </c>
      <c r="V1548" s="4" t="str">
        <f>HYPERLINK("http://141.218.60.56/~jnz1568/getInfo.php?workbook=16_15.xlsx&amp;sheet=A0&amp;row=1548&amp;col=22&amp;number=&amp;sourceID=47","")</f>
        <v/>
      </c>
    </row>
    <row r="1549" spans="1:22">
      <c r="A1549" s="3">
        <v>16</v>
      </c>
      <c r="B1549" s="3">
        <v>15</v>
      </c>
      <c r="C1549" s="3">
        <v>63</v>
      </c>
      <c r="D1549" s="3">
        <v>39</v>
      </c>
      <c r="E1549" s="3">
        <f>((1/(INDEX(E0!J$4:J$73,C1549,1)-INDEX(E0!J$4:J$73,D1549,1))))*100000000</f>
        <v>0</v>
      </c>
      <c r="F1549" s="4" t="str">
        <f>HYPERLINK("http://141.218.60.56/~jnz1568/getInfo.php?workbook=16_15.xlsx&amp;sheet=A0&amp;row=1549&amp;col=6&amp;number=6940.8&amp;sourceID=54","6940.8")</f>
        <v>6940.8</v>
      </c>
      <c r="G1549" s="4" t="str">
        <f>HYPERLINK("http://141.218.60.56/~jnz1568/getInfo.php?workbook=16_15.xlsx&amp;sheet=A0&amp;row=1549&amp;col=7&amp;number=&amp;sourceID=54","")</f>
        <v/>
      </c>
      <c r="H1549" s="4" t="str">
        <f>HYPERLINK("http://141.218.60.56/~jnz1568/getInfo.php?workbook=16_15.xlsx&amp;sheet=A0&amp;row=1549&amp;col=8&amp;number=&amp;sourceID=54","")</f>
        <v/>
      </c>
      <c r="I1549" s="4" t="str">
        <f>HYPERLINK("http://141.218.60.56/~jnz1568/getInfo.php?workbook=16_15.xlsx&amp;sheet=A0&amp;row=1549&amp;col=9&amp;number=5327.8&amp;sourceID=54","5327.8")</f>
        <v>5327.8</v>
      </c>
      <c r="J1549" s="4" t="str">
        <f>HYPERLINK("http://141.218.60.56/~jnz1568/getInfo.php?workbook=16_15.xlsx&amp;sheet=A0&amp;row=1549&amp;col=10&amp;number=&amp;sourceID=54","")</f>
        <v/>
      </c>
      <c r="K1549" s="4" t="str">
        <f>HYPERLINK("http://141.218.60.56/~jnz1568/getInfo.php?workbook=16_15.xlsx&amp;sheet=A0&amp;row=1549&amp;col=11&amp;number=&amp;sourceID=54","")</f>
        <v/>
      </c>
      <c r="L1549" s="4" t="str">
        <f>HYPERLINK("http://141.218.60.56/~jnz1568/getInfo.php?workbook=16_15.xlsx&amp;sheet=A0&amp;row=1549&amp;col=12&amp;number=19043.3812367&amp;sourceID=53","19043.3812367")</f>
        <v>19043.3812367</v>
      </c>
      <c r="M1549" s="4" t="str">
        <f>HYPERLINK("http://141.218.60.56/~jnz1568/getInfo.php?workbook=16_15.xlsx&amp;sheet=A0&amp;row=1549&amp;col=13&amp;number=&amp;sourceID=53","")</f>
        <v/>
      </c>
      <c r="N1549" s="4" t="str">
        <f>HYPERLINK("http://141.218.60.56/~jnz1568/getInfo.php?workbook=16_15.xlsx&amp;sheet=A0&amp;row=1549&amp;col=14&amp;number=&amp;sourceID=53","")</f>
        <v/>
      </c>
      <c r="O1549" s="4" t="str">
        <f>HYPERLINK("http://141.218.60.56/~jnz1568/getInfo.php?workbook=16_15.xlsx&amp;sheet=A0&amp;row=1549&amp;col=15&amp;number=&amp;sourceID=55","")</f>
        <v/>
      </c>
      <c r="P1549" s="4" t="str">
        <f>HYPERLINK("http://141.218.60.56/~jnz1568/getInfo.php?workbook=16_15.xlsx&amp;sheet=A0&amp;row=1549&amp;col=16&amp;number=&amp;sourceID=55","")</f>
        <v/>
      </c>
      <c r="Q1549" s="4" t="str">
        <f>HYPERLINK("http://141.218.60.56/~jnz1568/getInfo.php?workbook=16_15.xlsx&amp;sheet=A0&amp;row=1549&amp;col=17&amp;number=&amp;sourceID=56","")</f>
        <v/>
      </c>
      <c r="R1549" s="4" t="str">
        <f>HYPERLINK("http://141.218.60.56/~jnz1568/getInfo.php?workbook=16_15.xlsx&amp;sheet=A0&amp;row=1549&amp;col=18&amp;number=&amp;sourceID=56","")</f>
        <v/>
      </c>
      <c r="S1549" s="4" t="str">
        <f>HYPERLINK("http://141.218.60.56/~jnz1568/getInfo.php?workbook=16_15.xlsx&amp;sheet=A0&amp;row=1549&amp;col=19&amp;number=&amp;sourceID=57","")</f>
        <v/>
      </c>
      <c r="T1549" s="4" t="str">
        <f>HYPERLINK("http://141.218.60.56/~jnz1568/getInfo.php?workbook=16_15.xlsx&amp;sheet=A0&amp;row=1549&amp;col=20&amp;number=&amp;sourceID=57","")</f>
        <v/>
      </c>
      <c r="U1549" s="4" t="str">
        <f>HYPERLINK("http://141.218.60.56/~jnz1568/getInfo.php?workbook=16_15.xlsx&amp;sheet=A0&amp;row=1549&amp;col=21&amp;number=&amp;sourceID=47","")</f>
        <v/>
      </c>
      <c r="V1549" s="4" t="str">
        <f>HYPERLINK("http://141.218.60.56/~jnz1568/getInfo.php?workbook=16_15.xlsx&amp;sheet=A0&amp;row=1549&amp;col=22&amp;number=&amp;sourceID=47","")</f>
        <v/>
      </c>
    </row>
    <row r="1550" spans="1:22">
      <c r="A1550" s="3">
        <v>16</v>
      </c>
      <c r="B1550" s="3">
        <v>15</v>
      </c>
      <c r="C1550" s="3">
        <v>63</v>
      </c>
      <c r="D1550" s="3">
        <v>40</v>
      </c>
      <c r="E1550" s="3">
        <f>((1/(INDEX(E0!J$4:J$73,C1550,1)-INDEX(E0!J$4:J$73,D1550,1))))*100000000</f>
        <v>0</v>
      </c>
      <c r="F1550" s="4" t="str">
        <f>HYPERLINK("http://141.218.60.56/~jnz1568/getInfo.php?workbook=16_15.xlsx&amp;sheet=A0&amp;row=1550&amp;col=6&amp;number=1345.6&amp;sourceID=54","1345.6")</f>
        <v>1345.6</v>
      </c>
      <c r="G1550" s="4" t="str">
        <f>HYPERLINK("http://141.218.60.56/~jnz1568/getInfo.php?workbook=16_15.xlsx&amp;sheet=A0&amp;row=1550&amp;col=7&amp;number=&amp;sourceID=54","")</f>
        <v/>
      </c>
      <c r="H1550" s="4" t="str">
        <f>HYPERLINK("http://141.218.60.56/~jnz1568/getInfo.php?workbook=16_15.xlsx&amp;sheet=A0&amp;row=1550&amp;col=8&amp;number=&amp;sourceID=54","")</f>
        <v/>
      </c>
      <c r="I1550" s="4" t="str">
        <f>HYPERLINK("http://141.218.60.56/~jnz1568/getInfo.php?workbook=16_15.xlsx&amp;sheet=A0&amp;row=1550&amp;col=9&amp;number=1182.8&amp;sourceID=54","1182.8")</f>
        <v>1182.8</v>
      </c>
      <c r="J1550" s="4" t="str">
        <f>HYPERLINK("http://141.218.60.56/~jnz1568/getInfo.php?workbook=16_15.xlsx&amp;sheet=A0&amp;row=1550&amp;col=10&amp;number=&amp;sourceID=54","")</f>
        <v/>
      </c>
      <c r="K1550" s="4" t="str">
        <f>HYPERLINK("http://141.218.60.56/~jnz1568/getInfo.php?workbook=16_15.xlsx&amp;sheet=A0&amp;row=1550&amp;col=11&amp;number=&amp;sourceID=54","")</f>
        <v/>
      </c>
      <c r="L1550" s="4" t="str">
        <f>HYPERLINK("http://141.218.60.56/~jnz1568/getInfo.php?workbook=16_15.xlsx&amp;sheet=A0&amp;row=1550&amp;col=12&amp;number=3926.30613607&amp;sourceID=53","3926.30613607")</f>
        <v>3926.30613607</v>
      </c>
      <c r="M1550" s="4" t="str">
        <f>HYPERLINK("http://141.218.60.56/~jnz1568/getInfo.php?workbook=16_15.xlsx&amp;sheet=A0&amp;row=1550&amp;col=13&amp;number=&amp;sourceID=53","")</f>
        <v/>
      </c>
      <c r="N1550" s="4" t="str">
        <f>HYPERLINK("http://141.218.60.56/~jnz1568/getInfo.php?workbook=16_15.xlsx&amp;sheet=A0&amp;row=1550&amp;col=14&amp;number=&amp;sourceID=53","")</f>
        <v/>
      </c>
      <c r="O1550" s="4" t="str">
        <f>HYPERLINK("http://141.218.60.56/~jnz1568/getInfo.php?workbook=16_15.xlsx&amp;sheet=A0&amp;row=1550&amp;col=15&amp;number=&amp;sourceID=55","")</f>
        <v/>
      </c>
      <c r="P1550" s="4" t="str">
        <f>HYPERLINK("http://141.218.60.56/~jnz1568/getInfo.php?workbook=16_15.xlsx&amp;sheet=A0&amp;row=1550&amp;col=16&amp;number=&amp;sourceID=55","")</f>
        <v/>
      </c>
      <c r="Q1550" s="4" t="str">
        <f>HYPERLINK("http://141.218.60.56/~jnz1568/getInfo.php?workbook=16_15.xlsx&amp;sheet=A0&amp;row=1550&amp;col=17&amp;number=&amp;sourceID=56","")</f>
        <v/>
      </c>
      <c r="R1550" s="4" t="str">
        <f>HYPERLINK("http://141.218.60.56/~jnz1568/getInfo.php?workbook=16_15.xlsx&amp;sheet=A0&amp;row=1550&amp;col=18&amp;number=&amp;sourceID=56","")</f>
        <v/>
      </c>
      <c r="S1550" s="4" t="str">
        <f>HYPERLINK("http://141.218.60.56/~jnz1568/getInfo.php?workbook=16_15.xlsx&amp;sheet=A0&amp;row=1550&amp;col=19&amp;number=&amp;sourceID=57","")</f>
        <v/>
      </c>
      <c r="T1550" s="4" t="str">
        <f>HYPERLINK("http://141.218.60.56/~jnz1568/getInfo.php?workbook=16_15.xlsx&amp;sheet=A0&amp;row=1550&amp;col=20&amp;number=&amp;sourceID=57","")</f>
        <v/>
      </c>
      <c r="U1550" s="4" t="str">
        <f>HYPERLINK("http://141.218.60.56/~jnz1568/getInfo.php?workbook=16_15.xlsx&amp;sheet=A0&amp;row=1550&amp;col=21&amp;number=&amp;sourceID=47","")</f>
        <v/>
      </c>
      <c r="V1550" s="4" t="str">
        <f>HYPERLINK("http://141.218.60.56/~jnz1568/getInfo.php?workbook=16_15.xlsx&amp;sheet=A0&amp;row=1550&amp;col=22&amp;number=&amp;sourceID=47","")</f>
        <v/>
      </c>
    </row>
    <row r="1551" spans="1:22">
      <c r="A1551" s="3">
        <v>16</v>
      </c>
      <c r="B1551" s="3">
        <v>15</v>
      </c>
      <c r="C1551" s="3">
        <v>63</v>
      </c>
      <c r="D1551" s="3">
        <v>41</v>
      </c>
      <c r="E1551" s="3">
        <f>((1/(INDEX(E0!J$4:J$73,C1551,1)-INDEX(E0!J$4:J$73,D1551,1))))*100000000</f>
        <v>0</v>
      </c>
      <c r="F1551" s="4" t="str">
        <f>HYPERLINK("http://141.218.60.56/~jnz1568/getInfo.php?workbook=16_15.xlsx&amp;sheet=A0&amp;row=1551&amp;col=6&amp;number=&amp;sourceID=54","")</f>
        <v/>
      </c>
      <c r="G1551" s="4" t="str">
        <f>HYPERLINK("http://141.218.60.56/~jnz1568/getInfo.php?workbook=16_15.xlsx&amp;sheet=A0&amp;row=1551&amp;col=7&amp;number=4.5401e-05&amp;sourceID=54","4.5401e-05")</f>
        <v>4.5401e-05</v>
      </c>
      <c r="H1551" s="4" t="str">
        <f>HYPERLINK("http://141.218.60.56/~jnz1568/getInfo.php?workbook=16_15.xlsx&amp;sheet=A0&amp;row=1551&amp;col=8&amp;number=1.4747e-05&amp;sourceID=54","1.4747e-05")</f>
        <v>1.4747e-05</v>
      </c>
      <c r="I1551" s="4" t="str">
        <f>HYPERLINK("http://141.218.60.56/~jnz1568/getInfo.php?workbook=16_15.xlsx&amp;sheet=A0&amp;row=1551&amp;col=9&amp;number=&amp;sourceID=54","")</f>
        <v/>
      </c>
      <c r="J1551" s="4" t="str">
        <f>HYPERLINK("http://141.218.60.56/~jnz1568/getInfo.php?workbook=16_15.xlsx&amp;sheet=A0&amp;row=1551&amp;col=10&amp;number=2.5061e-05&amp;sourceID=54","2.5061e-05")</f>
        <v>2.5061e-05</v>
      </c>
      <c r="K1551" s="4" t="str">
        <f>HYPERLINK("http://141.218.60.56/~jnz1568/getInfo.php?workbook=16_15.xlsx&amp;sheet=A0&amp;row=1551&amp;col=11&amp;number=1.2948e-05&amp;sourceID=54","1.2948e-05")</f>
        <v>1.2948e-05</v>
      </c>
      <c r="L1551" s="4" t="str">
        <f>HYPERLINK("http://141.218.60.56/~jnz1568/getInfo.php?workbook=16_15.xlsx&amp;sheet=A0&amp;row=1551&amp;col=12&amp;number=&amp;sourceID=53","")</f>
        <v/>
      </c>
      <c r="M1551" s="4" t="str">
        <f>HYPERLINK("http://141.218.60.56/~jnz1568/getInfo.php?workbook=16_15.xlsx&amp;sheet=A0&amp;row=1551&amp;col=13&amp;number=&amp;sourceID=53","")</f>
        <v/>
      </c>
      <c r="N1551" s="4" t="str">
        <f>HYPERLINK("http://141.218.60.56/~jnz1568/getInfo.php?workbook=16_15.xlsx&amp;sheet=A0&amp;row=1551&amp;col=14&amp;number=&amp;sourceID=53","")</f>
        <v/>
      </c>
      <c r="O1551" s="4" t="str">
        <f>HYPERLINK("http://141.218.60.56/~jnz1568/getInfo.php?workbook=16_15.xlsx&amp;sheet=A0&amp;row=1551&amp;col=15&amp;number=&amp;sourceID=55","")</f>
        <v/>
      </c>
      <c r="P1551" s="4" t="str">
        <f>HYPERLINK("http://141.218.60.56/~jnz1568/getInfo.php?workbook=16_15.xlsx&amp;sheet=A0&amp;row=1551&amp;col=16&amp;number=&amp;sourceID=55","")</f>
        <v/>
      </c>
      <c r="Q1551" s="4" t="str">
        <f>HYPERLINK("http://141.218.60.56/~jnz1568/getInfo.php?workbook=16_15.xlsx&amp;sheet=A0&amp;row=1551&amp;col=17&amp;number=&amp;sourceID=56","")</f>
        <v/>
      </c>
      <c r="R1551" s="4" t="str">
        <f>HYPERLINK("http://141.218.60.56/~jnz1568/getInfo.php?workbook=16_15.xlsx&amp;sheet=A0&amp;row=1551&amp;col=18&amp;number=&amp;sourceID=56","")</f>
        <v/>
      </c>
      <c r="S1551" s="4" t="str">
        <f>HYPERLINK("http://141.218.60.56/~jnz1568/getInfo.php?workbook=16_15.xlsx&amp;sheet=A0&amp;row=1551&amp;col=19&amp;number=&amp;sourceID=57","")</f>
        <v/>
      </c>
      <c r="T1551" s="4" t="str">
        <f>HYPERLINK("http://141.218.60.56/~jnz1568/getInfo.php?workbook=16_15.xlsx&amp;sheet=A0&amp;row=1551&amp;col=20&amp;number=&amp;sourceID=57","")</f>
        <v/>
      </c>
      <c r="U1551" s="4" t="str">
        <f>HYPERLINK("http://141.218.60.56/~jnz1568/getInfo.php?workbook=16_15.xlsx&amp;sheet=A0&amp;row=1551&amp;col=21&amp;number=&amp;sourceID=47","")</f>
        <v/>
      </c>
      <c r="V1551" s="4" t="str">
        <f>HYPERLINK("http://141.218.60.56/~jnz1568/getInfo.php?workbook=16_15.xlsx&amp;sheet=A0&amp;row=1551&amp;col=22&amp;number=&amp;sourceID=47","")</f>
        <v/>
      </c>
    </row>
    <row r="1552" spans="1:22">
      <c r="A1552" s="3">
        <v>16</v>
      </c>
      <c r="B1552" s="3">
        <v>15</v>
      </c>
      <c r="C1552" s="3">
        <v>63</v>
      </c>
      <c r="D1552" s="3">
        <v>42</v>
      </c>
      <c r="E1552" s="3">
        <f>((1/(INDEX(E0!J$4:J$73,C1552,1)-INDEX(E0!J$4:J$73,D1552,1))))*100000000</f>
        <v>0</v>
      </c>
      <c r="F1552" s="4" t="str">
        <f>HYPERLINK("http://141.218.60.56/~jnz1568/getInfo.php?workbook=16_15.xlsx&amp;sheet=A0&amp;row=1552&amp;col=6&amp;number=8793.5&amp;sourceID=54","8793.5")</f>
        <v>8793.5</v>
      </c>
      <c r="G1552" s="4" t="str">
        <f>HYPERLINK("http://141.218.60.56/~jnz1568/getInfo.php?workbook=16_15.xlsx&amp;sheet=A0&amp;row=1552&amp;col=7&amp;number=&amp;sourceID=54","")</f>
        <v/>
      </c>
      <c r="H1552" s="4" t="str">
        <f>HYPERLINK("http://141.218.60.56/~jnz1568/getInfo.php?workbook=16_15.xlsx&amp;sheet=A0&amp;row=1552&amp;col=8&amp;number=&amp;sourceID=54","")</f>
        <v/>
      </c>
      <c r="I1552" s="4" t="str">
        <f>HYPERLINK("http://141.218.60.56/~jnz1568/getInfo.php?workbook=16_15.xlsx&amp;sheet=A0&amp;row=1552&amp;col=9&amp;number=7114.9&amp;sourceID=54","7114.9")</f>
        <v>7114.9</v>
      </c>
      <c r="J1552" s="4" t="str">
        <f>HYPERLINK("http://141.218.60.56/~jnz1568/getInfo.php?workbook=16_15.xlsx&amp;sheet=A0&amp;row=1552&amp;col=10&amp;number=&amp;sourceID=54","")</f>
        <v/>
      </c>
      <c r="K1552" s="4" t="str">
        <f>HYPERLINK("http://141.218.60.56/~jnz1568/getInfo.php?workbook=16_15.xlsx&amp;sheet=A0&amp;row=1552&amp;col=11&amp;number=&amp;sourceID=54","")</f>
        <v/>
      </c>
      <c r="L1552" s="4" t="str">
        <f>HYPERLINK("http://141.218.60.56/~jnz1568/getInfo.php?workbook=16_15.xlsx&amp;sheet=A0&amp;row=1552&amp;col=12&amp;number=496126.426&amp;sourceID=53","496126.426")</f>
        <v>496126.426</v>
      </c>
      <c r="M1552" s="4" t="str">
        <f>HYPERLINK("http://141.218.60.56/~jnz1568/getInfo.php?workbook=16_15.xlsx&amp;sheet=A0&amp;row=1552&amp;col=13&amp;number=&amp;sourceID=53","")</f>
        <v/>
      </c>
      <c r="N1552" s="4" t="str">
        <f>HYPERLINK("http://141.218.60.56/~jnz1568/getInfo.php?workbook=16_15.xlsx&amp;sheet=A0&amp;row=1552&amp;col=14&amp;number=&amp;sourceID=53","")</f>
        <v/>
      </c>
      <c r="O1552" s="4" t="str">
        <f>HYPERLINK("http://141.218.60.56/~jnz1568/getInfo.php?workbook=16_15.xlsx&amp;sheet=A0&amp;row=1552&amp;col=15&amp;number=&amp;sourceID=55","")</f>
        <v/>
      </c>
      <c r="P1552" s="4" t="str">
        <f>HYPERLINK("http://141.218.60.56/~jnz1568/getInfo.php?workbook=16_15.xlsx&amp;sheet=A0&amp;row=1552&amp;col=16&amp;number=&amp;sourceID=55","")</f>
        <v/>
      </c>
      <c r="Q1552" s="4" t="str">
        <f>HYPERLINK("http://141.218.60.56/~jnz1568/getInfo.php?workbook=16_15.xlsx&amp;sheet=A0&amp;row=1552&amp;col=17&amp;number=&amp;sourceID=56","")</f>
        <v/>
      </c>
      <c r="R1552" s="4" t="str">
        <f>HYPERLINK("http://141.218.60.56/~jnz1568/getInfo.php?workbook=16_15.xlsx&amp;sheet=A0&amp;row=1552&amp;col=18&amp;number=&amp;sourceID=56","")</f>
        <v/>
      </c>
      <c r="S1552" s="4" t="str">
        <f>HYPERLINK("http://141.218.60.56/~jnz1568/getInfo.php?workbook=16_15.xlsx&amp;sheet=A0&amp;row=1552&amp;col=19&amp;number=&amp;sourceID=57","")</f>
        <v/>
      </c>
      <c r="T1552" s="4" t="str">
        <f>HYPERLINK("http://141.218.60.56/~jnz1568/getInfo.php?workbook=16_15.xlsx&amp;sheet=A0&amp;row=1552&amp;col=20&amp;number=&amp;sourceID=57","")</f>
        <v/>
      </c>
      <c r="U1552" s="4" t="str">
        <f>HYPERLINK("http://141.218.60.56/~jnz1568/getInfo.php?workbook=16_15.xlsx&amp;sheet=A0&amp;row=1552&amp;col=21&amp;number=&amp;sourceID=47","")</f>
        <v/>
      </c>
      <c r="V1552" s="4" t="str">
        <f>HYPERLINK("http://141.218.60.56/~jnz1568/getInfo.php?workbook=16_15.xlsx&amp;sheet=A0&amp;row=1552&amp;col=22&amp;number=&amp;sourceID=47","")</f>
        <v/>
      </c>
    </row>
    <row r="1553" spans="1:22">
      <c r="A1553" s="3">
        <v>16</v>
      </c>
      <c r="B1553" s="3">
        <v>15</v>
      </c>
      <c r="C1553" s="3">
        <v>63</v>
      </c>
      <c r="D1553" s="3">
        <v>43</v>
      </c>
      <c r="E1553" s="3">
        <f>((1/(INDEX(E0!J$4:J$73,C1553,1)-INDEX(E0!J$4:J$73,D1553,1))))*100000000</f>
        <v>0</v>
      </c>
      <c r="F1553" s="4" t="str">
        <f>HYPERLINK("http://141.218.60.56/~jnz1568/getInfo.php?workbook=16_15.xlsx&amp;sheet=A0&amp;row=1553&amp;col=6&amp;number=&amp;sourceID=54","")</f>
        <v/>
      </c>
      <c r="G1553" s="4" t="str">
        <f>HYPERLINK("http://141.218.60.56/~jnz1568/getInfo.php?workbook=16_15.xlsx&amp;sheet=A0&amp;row=1553&amp;col=7&amp;number=3.5254e-05&amp;sourceID=54","3.5254e-05")</f>
        <v>3.5254e-05</v>
      </c>
      <c r="H1553" s="4" t="str">
        <f>HYPERLINK("http://141.218.60.56/~jnz1568/getInfo.php?workbook=16_15.xlsx&amp;sheet=A0&amp;row=1553&amp;col=8&amp;number=0.00035613&amp;sourceID=54","0.00035613")</f>
        <v>0.00035613</v>
      </c>
      <c r="I1553" s="4" t="str">
        <f>HYPERLINK("http://141.218.60.56/~jnz1568/getInfo.php?workbook=16_15.xlsx&amp;sheet=A0&amp;row=1553&amp;col=9&amp;number=&amp;sourceID=54","")</f>
        <v/>
      </c>
      <c r="J1553" s="4" t="str">
        <f>HYPERLINK("http://141.218.60.56/~jnz1568/getInfo.php?workbook=16_15.xlsx&amp;sheet=A0&amp;row=1553&amp;col=10&amp;number=2.264e-05&amp;sourceID=54","2.264e-05")</f>
        <v>2.264e-05</v>
      </c>
      <c r="K1553" s="4" t="str">
        <f>HYPERLINK("http://141.218.60.56/~jnz1568/getInfo.php?workbook=16_15.xlsx&amp;sheet=A0&amp;row=1553&amp;col=11&amp;number=0.00035127&amp;sourceID=54","0.00035127")</f>
        <v>0.00035127</v>
      </c>
      <c r="L1553" s="4" t="str">
        <f>HYPERLINK("http://141.218.60.56/~jnz1568/getInfo.php?workbook=16_15.xlsx&amp;sheet=A0&amp;row=1553&amp;col=12&amp;number=&amp;sourceID=53","")</f>
        <v/>
      </c>
      <c r="M1553" s="4" t="str">
        <f>HYPERLINK("http://141.218.60.56/~jnz1568/getInfo.php?workbook=16_15.xlsx&amp;sheet=A0&amp;row=1553&amp;col=13&amp;number=&amp;sourceID=53","")</f>
        <v/>
      </c>
      <c r="N1553" s="4" t="str">
        <f>HYPERLINK("http://141.218.60.56/~jnz1568/getInfo.php?workbook=16_15.xlsx&amp;sheet=A0&amp;row=1553&amp;col=14&amp;number=&amp;sourceID=53","")</f>
        <v/>
      </c>
      <c r="O1553" s="4" t="str">
        <f>HYPERLINK("http://141.218.60.56/~jnz1568/getInfo.php?workbook=16_15.xlsx&amp;sheet=A0&amp;row=1553&amp;col=15&amp;number=&amp;sourceID=55","")</f>
        <v/>
      </c>
      <c r="P1553" s="4" t="str">
        <f>HYPERLINK("http://141.218.60.56/~jnz1568/getInfo.php?workbook=16_15.xlsx&amp;sheet=A0&amp;row=1553&amp;col=16&amp;number=&amp;sourceID=55","")</f>
        <v/>
      </c>
      <c r="Q1553" s="4" t="str">
        <f>HYPERLINK("http://141.218.60.56/~jnz1568/getInfo.php?workbook=16_15.xlsx&amp;sheet=A0&amp;row=1553&amp;col=17&amp;number=&amp;sourceID=56","")</f>
        <v/>
      </c>
      <c r="R1553" s="4" t="str">
        <f>HYPERLINK("http://141.218.60.56/~jnz1568/getInfo.php?workbook=16_15.xlsx&amp;sheet=A0&amp;row=1553&amp;col=18&amp;number=&amp;sourceID=56","")</f>
        <v/>
      </c>
      <c r="S1553" s="4" t="str">
        <f>HYPERLINK("http://141.218.60.56/~jnz1568/getInfo.php?workbook=16_15.xlsx&amp;sheet=A0&amp;row=1553&amp;col=19&amp;number=&amp;sourceID=57","")</f>
        <v/>
      </c>
      <c r="T1553" s="4" t="str">
        <f>HYPERLINK("http://141.218.60.56/~jnz1568/getInfo.php?workbook=16_15.xlsx&amp;sheet=A0&amp;row=1553&amp;col=20&amp;number=&amp;sourceID=57","")</f>
        <v/>
      </c>
      <c r="U1553" s="4" t="str">
        <f>HYPERLINK("http://141.218.60.56/~jnz1568/getInfo.php?workbook=16_15.xlsx&amp;sheet=A0&amp;row=1553&amp;col=21&amp;number=&amp;sourceID=47","")</f>
        <v/>
      </c>
      <c r="V1553" s="4" t="str">
        <f>HYPERLINK("http://141.218.60.56/~jnz1568/getInfo.php?workbook=16_15.xlsx&amp;sheet=A0&amp;row=1553&amp;col=22&amp;number=&amp;sourceID=47","")</f>
        <v/>
      </c>
    </row>
    <row r="1554" spans="1:22">
      <c r="A1554" s="3">
        <v>16</v>
      </c>
      <c r="B1554" s="3">
        <v>15</v>
      </c>
      <c r="C1554" s="3">
        <v>63</v>
      </c>
      <c r="D1554" s="3">
        <v>44</v>
      </c>
      <c r="E1554" s="3">
        <f>((1/(INDEX(E0!J$4:J$73,C1554,1)-INDEX(E0!J$4:J$73,D1554,1))))*100000000</f>
        <v>0</v>
      </c>
      <c r="F1554" s="4" t="str">
        <f>HYPERLINK("http://141.218.60.56/~jnz1568/getInfo.php?workbook=16_15.xlsx&amp;sheet=A0&amp;row=1554&amp;col=6&amp;number=&amp;sourceID=54","")</f>
        <v/>
      </c>
      <c r="G1554" s="4" t="str">
        <f>HYPERLINK("http://141.218.60.56/~jnz1568/getInfo.php?workbook=16_15.xlsx&amp;sheet=A0&amp;row=1554&amp;col=7&amp;number=0.00010575&amp;sourceID=54","0.00010575")</f>
        <v>0.00010575</v>
      </c>
      <c r="H1554" s="4" t="str">
        <f>HYPERLINK("http://141.218.60.56/~jnz1568/getInfo.php?workbook=16_15.xlsx&amp;sheet=A0&amp;row=1554&amp;col=8&amp;number=9.2768e-05&amp;sourceID=54","9.2768e-05")</f>
        <v>9.2768e-05</v>
      </c>
      <c r="I1554" s="4" t="str">
        <f>HYPERLINK("http://141.218.60.56/~jnz1568/getInfo.php?workbook=16_15.xlsx&amp;sheet=A0&amp;row=1554&amp;col=9&amp;number=&amp;sourceID=54","")</f>
        <v/>
      </c>
      <c r="J1554" s="4" t="str">
        <f>HYPERLINK("http://141.218.60.56/~jnz1568/getInfo.php?workbook=16_15.xlsx&amp;sheet=A0&amp;row=1554&amp;col=10&amp;number=8.5777e-05&amp;sourceID=54","8.5777e-05")</f>
        <v>8.5777e-05</v>
      </c>
      <c r="K1554" s="4" t="str">
        <f>HYPERLINK("http://141.218.60.56/~jnz1568/getInfo.php?workbook=16_15.xlsx&amp;sheet=A0&amp;row=1554&amp;col=11&amp;number=8.6504e-05&amp;sourceID=54","8.6504e-05")</f>
        <v>8.6504e-05</v>
      </c>
      <c r="L1554" s="4" t="str">
        <f>HYPERLINK("http://141.218.60.56/~jnz1568/getInfo.php?workbook=16_15.xlsx&amp;sheet=A0&amp;row=1554&amp;col=12&amp;number=&amp;sourceID=53","")</f>
        <v/>
      </c>
      <c r="M1554" s="4" t="str">
        <f>HYPERLINK("http://141.218.60.56/~jnz1568/getInfo.php?workbook=16_15.xlsx&amp;sheet=A0&amp;row=1554&amp;col=13&amp;number=&amp;sourceID=53","")</f>
        <v/>
      </c>
      <c r="N1554" s="4" t="str">
        <f>HYPERLINK("http://141.218.60.56/~jnz1568/getInfo.php?workbook=16_15.xlsx&amp;sheet=A0&amp;row=1554&amp;col=14&amp;number=&amp;sourceID=53","")</f>
        <v/>
      </c>
      <c r="O1554" s="4" t="str">
        <f>HYPERLINK("http://141.218.60.56/~jnz1568/getInfo.php?workbook=16_15.xlsx&amp;sheet=A0&amp;row=1554&amp;col=15&amp;number=&amp;sourceID=55","")</f>
        <v/>
      </c>
      <c r="P1554" s="4" t="str">
        <f>HYPERLINK("http://141.218.60.56/~jnz1568/getInfo.php?workbook=16_15.xlsx&amp;sheet=A0&amp;row=1554&amp;col=16&amp;number=&amp;sourceID=55","")</f>
        <v/>
      </c>
      <c r="Q1554" s="4" t="str">
        <f>HYPERLINK("http://141.218.60.56/~jnz1568/getInfo.php?workbook=16_15.xlsx&amp;sheet=A0&amp;row=1554&amp;col=17&amp;number=&amp;sourceID=56","")</f>
        <v/>
      </c>
      <c r="R1554" s="4" t="str">
        <f>HYPERLINK("http://141.218.60.56/~jnz1568/getInfo.php?workbook=16_15.xlsx&amp;sheet=A0&amp;row=1554&amp;col=18&amp;number=&amp;sourceID=56","")</f>
        <v/>
      </c>
      <c r="S1554" s="4" t="str">
        <f>HYPERLINK("http://141.218.60.56/~jnz1568/getInfo.php?workbook=16_15.xlsx&amp;sheet=A0&amp;row=1554&amp;col=19&amp;number=&amp;sourceID=57","")</f>
        <v/>
      </c>
      <c r="T1554" s="4" t="str">
        <f>HYPERLINK("http://141.218.60.56/~jnz1568/getInfo.php?workbook=16_15.xlsx&amp;sheet=A0&amp;row=1554&amp;col=20&amp;number=&amp;sourceID=57","")</f>
        <v/>
      </c>
      <c r="U1554" s="4" t="str">
        <f>HYPERLINK("http://141.218.60.56/~jnz1568/getInfo.php?workbook=16_15.xlsx&amp;sheet=A0&amp;row=1554&amp;col=21&amp;number=&amp;sourceID=47","")</f>
        <v/>
      </c>
      <c r="V1554" s="4" t="str">
        <f>HYPERLINK("http://141.218.60.56/~jnz1568/getInfo.php?workbook=16_15.xlsx&amp;sheet=A0&amp;row=1554&amp;col=22&amp;number=&amp;sourceID=47","")</f>
        <v/>
      </c>
    </row>
    <row r="1555" spans="1:22">
      <c r="A1555" s="3">
        <v>16</v>
      </c>
      <c r="B1555" s="3">
        <v>15</v>
      </c>
      <c r="C1555" s="3">
        <v>63</v>
      </c>
      <c r="D1555" s="3">
        <v>45</v>
      </c>
      <c r="E1555" s="3">
        <f>((1/(INDEX(E0!J$4:J$73,C1555,1)-INDEX(E0!J$4:J$73,D1555,1))))*100000000</f>
        <v>0</v>
      </c>
      <c r="F1555" s="4" t="str">
        <f>HYPERLINK("http://141.218.60.56/~jnz1568/getInfo.php?workbook=16_15.xlsx&amp;sheet=A0&amp;row=1555&amp;col=6&amp;number=48.733&amp;sourceID=54","48.733")</f>
        <v>48.733</v>
      </c>
      <c r="G1555" s="4" t="str">
        <f>HYPERLINK("http://141.218.60.56/~jnz1568/getInfo.php?workbook=16_15.xlsx&amp;sheet=A0&amp;row=1555&amp;col=7&amp;number=&amp;sourceID=54","")</f>
        <v/>
      </c>
      <c r="H1555" s="4" t="str">
        <f>HYPERLINK("http://141.218.60.56/~jnz1568/getInfo.php?workbook=16_15.xlsx&amp;sheet=A0&amp;row=1555&amp;col=8&amp;number=&amp;sourceID=54","")</f>
        <v/>
      </c>
      <c r="I1555" s="4" t="str">
        <f>HYPERLINK("http://141.218.60.56/~jnz1568/getInfo.php?workbook=16_15.xlsx&amp;sheet=A0&amp;row=1555&amp;col=9&amp;number=96.36&amp;sourceID=54","96.36")</f>
        <v>96.36</v>
      </c>
      <c r="J1555" s="4" t="str">
        <f>HYPERLINK("http://141.218.60.56/~jnz1568/getInfo.php?workbook=16_15.xlsx&amp;sheet=A0&amp;row=1555&amp;col=10&amp;number=&amp;sourceID=54","")</f>
        <v/>
      </c>
      <c r="K1555" s="4" t="str">
        <f>HYPERLINK("http://141.218.60.56/~jnz1568/getInfo.php?workbook=16_15.xlsx&amp;sheet=A0&amp;row=1555&amp;col=11&amp;number=&amp;sourceID=54","")</f>
        <v/>
      </c>
      <c r="L1555" s="4" t="str">
        <f>HYPERLINK("http://141.218.60.56/~jnz1568/getInfo.php?workbook=16_15.xlsx&amp;sheet=A0&amp;row=1555&amp;col=12&amp;number=21.2449923825&amp;sourceID=53","21.2449923825")</f>
        <v>21.2449923825</v>
      </c>
      <c r="M1555" s="4" t="str">
        <f>HYPERLINK("http://141.218.60.56/~jnz1568/getInfo.php?workbook=16_15.xlsx&amp;sheet=A0&amp;row=1555&amp;col=13&amp;number=&amp;sourceID=53","")</f>
        <v/>
      </c>
      <c r="N1555" s="4" t="str">
        <f>HYPERLINK("http://141.218.60.56/~jnz1568/getInfo.php?workbook=16_15.xlsx&amp;sheet=A0&amp;row=1555&amp;col=14&amp;number=&amp;sourceID=53","")</f>
        <v/>
      </c>
      <c r="O1555" s="4" t="str">
        <f>HYPERLINK("http://141.218.60.56/~jnz1568/getInfo.php?workbook=16_15.xlsx&amp;sheet=A0&amp;row=1555&amp;col=15&amp;number=&amp;sourceID=55","")</f>
        <v/>
      </c>
      <c r="P1555" s="4" t="str">
        <f>HYPERLINK("http://141.218.60.56/~jnz1568/getInfo.php?workbook=16_15.xlsx&amp;sheet=A0&amp;row=1555&amp;col=16&amp;number=&amp;sourceID=55","")</f>
        <v/>
      </c>
      <c r="Q1555" s="4" t="str">
        <f>HYPERLINK("http://141.218.60.56/~jnz1568/getInfo.php?workbook=16_15.xlsx&amp;sheet=A0&amp;row=1555&amp;col=17&amp;number=&amp;sourceID=56","")</f>
        <v/>
      </c>
      <c r="R1555" s="4" t="str">
        <f>HYPERLINK("http://141.218.60.56/~jnz1568/getInfo.php?workbook=16_15.xlsx&amp;sheet=A0&amp;row=1555&amp;col=18&amp;number=&amp;sourceID=56","")</f>
        <v/>
      </c>
      <c r="S1555" s="4" t="str">
        <f>HYPERLINK("http://141.218.60.56/~jnz1568/getInfo.php?workbook=16_15.xlsx&amp;sheet=A0&amp;row=1555&amp;col=19&amp;number=&amp;sourceID=57","")</f>
        <v/>
      </c>
      <c r="T1555" s="4" t="str">
        <f>HYPERLINK("http://141.218.60.56/~jnz1568/getInfo.php?workbook=16_15.xlsx&amp;sheet=A0&amp;row=1555&amp;col=20&amp;number=&amp;sourceID=57","")</f>
        <v/>
      </c>
      <c r="U1555" s="4" t="str">
        <f>HYPERLINK("http://141.218.60.56/~jnz1568/getInfo.php?workbook=16_15.xlsx&amp;sheet=A0&amp;row=1555&amp;col=21&amp;number=&amp;sourceID=47","")</f>
        <v/>
      </c>
      <c r="V1555" s="4" t="str">
        <f>HYPERLINK("http://141.218.60.56/~jnz1568/getInfo.php?workbook=16_15.xlsx&amp;sheet=A0&amp;row=1555&amp;col=22&amp;number=&amp;sourceID=47","")</f>
        <v/>
      </c>
    </row>
    <row r="1556" spans="1:22">
      <c r="A1556" s="3">
        <v>16</v>
      </c>
      <c r="B1556" s="3">
        <v>15</v>
      </c>
      <c r="C1556" s="3">
        <v>63</v>
      </c>
      <c r="D1556" s="3">
        <v>46</v>
      </c>
      <c r="E1556" s="3">
        <f>((1/(INDEX(E0!J$4:J$73,C1556,1)-INDEX(E0!J$4:J$73,D1556,1))))*100000000</f>
        <v>0</v>
      </c>
      <c r="F1556" s="4" t="str">
        <f>HYPERLINK("http://141.218.60.56/~jnz1568/getInfo.php?workbook=16_15.xlsx&amp;sheet=A0&amp;row=1556&amp;col=6&amp;number=4272.3&amp;sourceID=54","4272.3")</f>
        <v>4272.3</v>
      </c>
      <c r="G1556" s="4" t="str">
        <f>HYPERLINK("http://141.218.60.56/~jnz1568/getInfo.php?workbook=16_15.xlsx&amp;sheet=A0&amp;row=1556&amp;col=7&amp;number=&amp;sourceID=54","")</f>
        <v/>
      </c>
      <c r="H1556" s="4" t="str">
        <f>HYPERLINK("http://141.218.60.56/~jnz1568/getInfo.php?workbook=16_15.xlsx&amp;sheet=A0&amp;row=1556&amp;col=8&amp;number=&amp;sourceID=54","")</f>
        <v/>
      </c>
      <c r="I1556" s="4" t="str">
        <f>HYPERLINK("http://141.218.60.56/~jnz1568/getInfo.php?workbook=16_15.xlsx&amp;sheet=A0&amp;row=1556&amp;col=9&amp;number=3480&amp;sourceID=54","3480")</f>
        <v>3480</v>
      </c>
      <c r="J1556" s="4" t="str">
        <f>HYPERLINK("http://141.218.60.56/~jnz1568/getInfo.php?workbook=16_15.xlsx&amp;sheet=A0&amp;row=1556&amp;col=10&amp;number=&amp;sourceID=54","")</f>
        <v/>
      </c>
      <c r="K1556" s="4" t="str">
        <f>HYPERLINK("http://141.218.60.56/~jnz1568/getInfo.php?workbook=16_15.xlsx&amp;sheet=A0&amp;row=1556&amp;col=11&amp;number=&amp;sourceID=54","")</f>
        <v/>
      </c>
      <c r="L1556" s="4" t="str">
        <f>HYPERLINK("http://141.218.60.56/~jnz1568/getInfo.php?workbook=16_15.xlsx&amp;sheet=A0&amp;row=1556&amp;col=12&amp;number=46586.0891494&amp;sourceID=53","46586.0891494")</f>
        <v>46586.0891494</v>
      </c>
      <c r="M1556" s="4" t="str">
        <f>HYPERLINK("http://141.218.60.56/~jnz1568/getInfo.php?workbook=16_15.xlsx&amp;sheet=A0&amp;row=1556&amp;col=13&amp;number=&amp;sourceID=53","")</f>
        <v/>
      </c>
      <c r="N1556" s="4" t="str">
        <f>HYPERLINK("http://141.218.60.56/~jnz1568/getInfo.php?workbook=16_15.xlsx&amp;sheet=A0&amp;row=1556&amp;col=14&amp;number=&amp;sourceID=53","")</f>
        <v/>
      </c>
      <c r="O1556" s="4" t="str">
        <f>HYPERLINK("http://141.218.60.56/~jnz1568/getInfo.php?workbook=16_15.xlsx&amp;sheet=A0&amp;row=1556&amp;col=15&amp;number=&amp;sourceID=55","")</f>
        <v/>
      </c>
      <c r="P1556" s="4" t="str">
        <f>HYPERLINK("http://141.218.60.56/~jnz1568/getInfo.php?workbook=16_15.xlsx&amp;sheet=A0&amp;row=1556&amp;col=16&amp;number=&amp;sourceID=55","")</f>
        <v/>
      </c>
      <c r="Q1556" s="4" t="str">
        <f>HYPERLINK("http://141.218.60.56/~jnz1568/getInfo.php?workbook=16_15.xlsx&amp;sheet=A0&amp;row=1556&amp;col=17&amp;number=&amp;sourceID=56","")</f>
        <v/>
      </c>
      <c r="R1556" s="4" t="str">
        <f>HYPERLINK("http://141.218.60.56/~jnz1568/getInfo.php?workbook=16_15.xlsx&amp;sheet=A0&amp;row=1556&amp;col=18&amp;number=&amp;sourceID=56","")</f>
        <v/>
      </c>
      <c r="S1556" s="4" t="str">
        <f>HYPERLINK("http://141.218.60.56/~jnz1568/getInfo.php?workbook=16_15.xlsx&amp;sheet=A0&amp;row=1556&amp;col=19&amp;number=&amp;sourceID=57","")</f>
        <v/>
      </c>
      <c r="T1556" s="4" t="str">
        <f>HYPERLINK("http://141.218.60.56/~jnz1568/getInfo.php?workbook=16_15.xlsx&amp;sheet=A0&amp;row=1556&amp;col=20&amp;number=&amp;sourceID=57","")</f>
        <v/>
      </c>
      <c r="U1556" s="4" t="str">
        <f>HYPERLINK("http://141.218.60.56/~jnz1568/getInfo.php?workbook=16_15.xlsx&amp;sheet=A0&amp;row=1556&amp;col=21&amp;number=&amp;sourceID=47","")</f>
        <v/>
      </c>
      <c r="V1556" s="4" t="str">
        <f>HYPERLINK("http://141.218.60.56/~jnz1568/getInfo.php?workbook=16_15.xlsx&amp;sheet=A0&amp;row=1556&amp;col=22&amp;number=&amp;sourceID=47","")</f>
        <v/>
      </c>
    </row>
    <row r="1557" spans="1:22">
      <c r="A1557" s="3">
        <v>16</v>
      </c>
      <c r="B1557" s="3">
        <v>15</v>
      </c>
      <c r="C1557" s="3">
        <v>63</v>
      </c>
      <c r="D1557" s="3">
        <v>47</v>
      </c>
      <c r="E1557" s="3">
        <f>((1/(INDEX(E0!J$4:J$73,C1557,1)-INDEX(E0!J$4:J$73,D1557,1))))*100000000</f>
        <v>0</v>
      </c>
      <c r="F1557" s="4" t="str">
        <f>HYPERLINK("http://141.218.60.56/~jnz1568/getInfo.php?workbook=16_15.xlsx&amp;sheet=A0&amp;row=1557&amp;col=6&amp;number=2659200&amp;sourceID=54","2659200")</f>
        <v>2659200</v>
      </c>
      <c r="G1557" s="4" t="str">
        <f>HYPERLINK("http://141.218.60.56/~jnz1568/getInfo.php?workbook=16_15.xlsx&amp;sheet=A0&amp;row=1557&amp;col=7&amp;number=&amp;sourceID=54","")</f>
        <v/>
      </c>
      <c r="H1557" s="4" t="str">
        <f>HYPERLINK("http://141.218.60.56/~jnz1568/getInfo.php?workbook=16_15.xlsx&amp;sheet=A0&amp;row=1557&amp;col=8&amp;number=&amp;sourceID=54","")</f>
        <v/>
      </c>
      <c r="I1557" s="4" t="str">
        <f>HYPERLINK("http://141.218.60.56/~jnz1568/getInfo.php?workbook=16_15.xlsx&amp;sheet=A0&amp;row=1557&amp;col=9&amp;number=1902900&amp;sourceID=54","1902900")</f>
        <v>1902900</v>
      </c>
      <c r="J1557" s="4" t="str">
        <f>HYPERLINK("http://141.218.60.56/~jnz1568/getInfo.php?workbook=16_15.xlsx&amp;sheet=A0&amp;row=1557&amp;col=10&amp;number=&amp;sourceID=54","")</f>
        <v/>
      </c>
      <c r="K1557" s="4" t="str">
        <f>HYPERLINK("http://141.218.60.56/~jnz1568/getInfo.php?workbook=16_15.xlsx&amp;sheet=A0&amp;row=1557&amp;col=11&amp;number=&amp;sourceID=54","")</f>
        <v/>
      </c>
      <c r="L1557" s="4" t="str">
        <f>HYPERLINK("http://141.218.60.56/~jnz1568/getInfo.php?workbook=16_15.xlsx&amp;sheet=A0&amp;row=1557&amp;col=12&amp;number=2819682.62076&amp;sourceID=53","2819682.62076")</f>
        <v>2819682.62076</v>
      </c>
      <c r="M1557" s="4" t="str">
        <f>HYPERLINK("http://141.218.60.56/~jnz1568/getInfo.php?workbook=16_15.xlsx&amp;sheet=A0&amp;row=1557&amp;col=13&amp;number=&amp;sourceID=53","")</f>
        <v/>
      </c>
      <c r="N1557" s="4" t="str">
        <f>HYPERLINK("http://141.218.60.56/~jnz1568/getInfo.php?workbook=16_15.xlsx&amp;sheet=A0&amp;row=1557&amp;col=14&amp;number=&amp;sourceID=53","")</f>
        <v/>
      </c>
      <c r="O1557" s="4" t="str">
        <f>HYPERLINK("http://141.218.60.56/~jnz1568/getInfo.php?workbook=16_15.xlsx&amp;sheet=A0&amp;row=1557&amp;col=15&amp;number=&amp;sourceID=55","")</f>
        <v/>
      </c>
      <c r="P1557" s="4" t="str">
        <f>HYPERLINK("http://141.218.60.56/~jnz1568/getInfo.php?workbook=16_15.xlsx&amp;sheet=A0&amp;row=1557&amp;col=16&amp;number=&amp;sourceID=55","")</f>
        <v/>
      </c>
      <c r="Q1557" s="4" t="str">
        <f>HYPERLINK("http://141.218.60.56/~jnz1568/getInfo.php?workbook=16_15.xlsx&amp;sheet=A0&amp;row=1557&amp;col=17&amp;number=&amp;sourceID=56","")</f>
        <v/>
      </c>
      <c r="R1557" s="4" t="str">
        <f>HYPERLINK("http://141.218.60.56/~jnz1568/getInfo.php?workbook=16_15.xlsx&amp;sheet=A0&amp;row=1557&amp;col=18&amp;number=&amp;sourceID=56","")</f>
        <v/>
      </c>
      <c r="S1557" s="4" t="str">
        <f>HYPERLINK("http://141.218.60.56/~jnz1568/getInfo.php?workbook=16_15.xlsx&amp;sheet=A0&amp;row=1557&amp;col=19&amp;number=&amp;sourceID=57","")</f>
        <v/>
      </c>
      <c r="T1557" s="4" t="str">
        <f>HYPERLINK("http://141.218.60.56/~jnz1568/getInfo.php?workbook=16_15.xlsx&amp;sheet=A0&amp;row=1557&amp;col=20&amp;number=&amp;sourceID=57","")</f>
        <v/>
      </c>
      <c r="U1557" s="4" t="str">
        <f>HYPERLINK("http://141.218.60.56/~jnz1568/getInfo.php?workbook=16_15.xlsx&amp;sheet=A0&amp;row=1557&amp;col=21&amp;number=&amp;sourceID=47","")</f>
        <v/>
      </c>
      <c r="V1557" s="4" t="str">
        <f>HYPERLINK("http://141.218.60.56/~jnz1568/getInfo.php?workbook=16_15.xlsx&amp;sheet=A0&amp;row=1557&amp;col=22&amp;number=&amp;sourceID=47","")</f>
        <v/>
      </c>
    </row>
    <row r="1558" spans="1:22">
      <c r="A1558" s="3">
        <v>16</v>
      </c>
      <c r="B1558" s="3">
        <v>15</v>
      </c>
      <c r="C1558" s="3">
        <v>63</v>
      </c>
      <c r="D1558" s="3">
        <v>48</v>
      </c>
      <c r="E1558" s="3">
        <f>((1/(INDEX(E0!J$4:J$73,C1558,1)-INDEX(E0!J$4:J$73,D1558,1))))*100000000</f>
        <v>0</v>
      </c>
      <c r="F1558" s="4" t="str">
        <f>HYPERLINK("http://141.218.60.56/~jnz1568/getInfo.php?workbook=16_15.xlsx&amp;sheet=A0&amp;row=1558&amp;col=6&amp;number=&amp;sourceID=54","")</f>
        <v/>
      </c>
      <c r="G1558" s="4" t="str">
        <f>HYPERLINK("http://141.218.60.56/~jnz1568/getInfo.php?workbook=16_15.xlsx&amp;sheet=A0&amp;row=1558&amp;col=7&amp;number=0.00076819&amp;sourceID=54","0.00076819")</f>
        <v>0.00076819</v>
      </c>
      <c r="H1558" s="4" t="str">
        <f>HYPERLINK("http://141.218.60.56/~jnz1568/getInfo.php?workbook=16_15.xlsx&amp;sheet=A0&amp;row=1558&amp;col=8&amp;number=2.6143e-06&amp;sourceID=54","2.6143e-06")</f>
        <v>2.6143e-06</v>
      </c>
      <c r="I1558" s="4" t="str">
        <f>HYPERLINK("http://141.218.60.56/~jnz1568/getInfo.php?workbook=16_15.xlsx&amp;sheet=A0&amp;row=1558&amp;col=9&amp;number=&amp;sourceID=54","")</f>
        <v/>
      </c>
      <c r="J1558" s="4" t="str">
        <f>HYPERLINK("http://141.218.60.56/~jnz1568/getInfo.php?workbook=16_15.xlsx&amp;sheet=A0&amp;row=1558&amp;col=10&amp;number=0.00073845&amp;sourceID=54","0.00073845")</f>
        <v>0.00073845</v>
      </c>
      <c r="K1558" s="4" t="str">
        <f>HYPERLINK("http://141.218.60.56/~jnz1568/getInfo.php?workbook=16_15.xlsx&amp;sheet=A0&amp;row=1558&amp;col=11&amp;number=9.0178e-07&amp;sourceID=54","9.0178e-07")</f>
        <v>9.0178e-07</v>
      </c>
      <c r="L1558" s="4" t="str">
        <f>HYPERLINK("http://141.218.60.56/~jnz1568/getInfo.php?workbook=16_15.xlsx&amp;sheet=A0&amp;row=1558&amp;col=12&amp;number=&amp;sourceID=53","")</f>
        <v/>
      </c>
      <c r="M1558" s="4" t="str">
        <f>HYPERLINK("http://141.218.60.56/~jnz1568/getInfo.php?workbook=16_15.xlsx&amp;sheet=A0&amp;row=1558&amp;col=13&amp;number=&amp;sourceID=53","")</f>
        <v/>
      </c>
      <c r="N1558" s="4" t="str">
        <f>HYPERLINK("http://141.218.60.56/~jnz1568/getInfo.php?workbook=16_15.xlsx&amp;sheet=A0&amp;row=1558&amp;col=14&amp;number=&amp;sourceID=53","")</f>
        <v/>
      </c>
      <c r="O1558" s="4" t="str">
        <f>HYPERLINK("http://141.218.60.56/~jnz1568/getInfo.php?workbook=16_15.xlsx&amp;sheet=A0&amp;row=1558&amp;col=15&amp;number=&amp;sourceID=55","")</f>
        <v/>
      </c>
      <c r="P1558" s="4" t="str">
        <f>HYPERLINK("http://141.218.60.56/~jnz1568/getInfo.php?workbook=16_15.xlsx&amp;sheet=A0&amp;row=1558&amp;col=16&amp;number=&amp;sourceID=55","")</f>
        <v/>
      </c>
      <c r="Q1558" s="4" t="str">
        <f>HYPERLINK("http://141.218.60.56/~jnz1568/getInfo.php?workbook=16_15.xlsx&amp;sheet=A0&amp;row=1558&amp;col=17&amp;number=&amp;sourceID=56","")</f>
        <v/>
      </c>
      <c r="R1558" s="4" t="str">
        <f>HYPERLINK("http://141.218.60.56/~jnz1568/getInfo.php?workbook=16_15.xlsx&amp;sheet=A0&amp;row=1558&amp;col=18&amp;number=&amp;sourceID=56","")</f>
        <v/>
      </c>
      <c r="S1558" s="4" t="str">
        <f>HYPERLINK("http://141.218.60.56/~jnz1568/getInfo.php?workbook=16_15.xlsx&amp;sheet=A0&amp;row=1558&amp;col=19&amp;number=&amp;sourceID=57","")</f>
        <v/>
      </c>
      <c r="T1558" s="4" t="str">
        <f>HYPERLINK("http://141.218.60.56/~jnz1568/getInfo.php?workbook=16_15.xlsx&amp;sheet=A0&amp;row=1558&amp;col=20&amp;number=&amp;sourceID=57","")</f>
        <v/>
      </c>
      <c r="U1558" s="4" t="str">
        <f>HYPERLINK("http://141.218.60.56/~jnz1568/getInfo.php?workbook=16_15.xlsx&amp;sheet=A0&amp;row=1558&amp;col=21&amp;number=&amp;sourceID=47","")</f>
        <v/>
      </c>
      <c r="V1558" s="4" t="str">
        <f>HYPERLINK("http://141.218.60.56/~jnz1568/getInfo.php?workbook=16_15.xlsx&amp;sheet=A0&amp;row=1558&amp;col=22&amp;number=&amp;sourceID=47","")</f>
        <v/>
      </c>
    </row>
    <row r="1559" spans="1:22">
      <c r="A1559" s="3">
        <v>16</v>
      </c>
      <c r="B1559" s="3">
        <v>15</v>
      </c>
      <c r="C1559" s="3">
        <v>63</v>
      </c>
      <c r="D1559" s="3">
        <v>49</v>
      </c>
      <c r="E1559" s="3">
        <f>((1/(INDEX(E0!J$4:J$73,C1559,1)-INDEX(E0!J$4:J$73,D1559,1))))*100000000</f>
        <v>0</v>
      </c>
      <c r="F1559" s="4" t="str">
        <f>HYPERLINK("http://141.218.60.56/~jnz1568/getInfo.php?workbook=16_15.xlsx&amp;sheet=A0&amp;row=1559&amp;col=6&amp;number=258890&amp;sourceID=54","258890")</f>
        <v>258890</v>
      </c>
      <c r="G1559" s="4" t="str">
        <f>HYPERLINK("http://141.218.60.56/~jnz1568/getInfo.php?workbook=16_15.xlsx&amp;sheet=A0&amp;row=1559&amp;col=7&amp;number=&amp;sourceID=54","")</f>
        <v/>
      </c>
      <c r="H1559" s="4" t="str">
        <f>HYPERLINK("http://141.218.60.56/~jnz1568/getInfo.php?workbook=16_15.xlsx&amp;sheet=A0&amp;row=1559&amp;col=8&amp;number=&amp;sourceID=54","")</f>
        <v/>
      </c>
      <c r="I1559" s="4" t="str">
        <f>HYPERLINK("http://141.218.60.56/~jnz1568/getInfo.php?workbook=16_15.xlsx&amp;sheet=A0&amp;row=1559&amp;col=9&amp;number=197480&amp;sourceID=54","197480")</f>
        <v>197480</v>
      </c>
      <c r="J1559" s="4" t="str">
        <f>HYPERLINK("http://141.218.60.56/~jnz1568/getInfo.php?workbook=16_15.xlsx&amp;sheet=A0&amp;row=1559&amp;col=10&amp;number=&amp;sourceID=54","")</f>
        <v/>
      </c>
      <c r="K1559" s="4" t="str">
        <f>HYPERLINK("http://141.218.60.56/~jnz1568/getInfo.php?workbook=16_15.xlsx&amp;sheet=A0&amp;row=1559&amp;col=11&amp;number=&amp;sourceID=54","")</f>
        <v/>
      </c>
      <c r="L1559" s="4" t="str">
        <f>HYPERLINK("http://141.218.60.56/~jnz1568/getInfo.php?workbook=16_15.xlsx&amp;sheet=A0&amp;row=1559&amp;col=12&amp;number=86021.2416815&amp;sourceID=53","86021.2416815")</f>
        <v>86021.2416815</v>
      </c>
      <c r="M1559" s="4" t="str">
        <f>HYPERLINK("http://141.218.60.56/~jnz1568/getInfo.php?workbook=16_15.xlsx&amp;sheet=A0&amp;row=1559&amp;col=13&amp;number=&amp;sourceID=53","")</f>
        <v/>
      </c>
      <c r="N1559" s="4" t="str">
        <f>HYPERLINK("http://141.218.60.56/~jnz1568/getInfo.php?workbook=16_15.xlsx&amp;sheet=A0&amp;row=1559&amp;col=14&amp;number=&amp;sourceID=53","")</f>
        <v/>
      </c>
      <c r="O1559" s="4" t="str">
        <f>HYPERLINK("http://141.218.60.56/~jnz1568/getInfo.php?workbook=16_15.xlsx&amp;sheet=A0&amp;row=1559&amp;col=15&amp;number=&amp;sourceID=55","")</f>
        <v/>
      </c>
      <c r="P1559" s="4" t="str">
        <f>HYPERLINK("http://141.218.60.56/~jnz1568/getInfo.php?workbook=16_15.xlsx&amp;sheet=A0&amp;row=1559&amp;col=16&amp;number=&amp;sourceID=55","")</f>
        <v/>
      </c>
      <c r="Q1559" s="4" t="str">
        <f>HYPERLINK("http://141.218.60.56/~jnz1568/getInfo.php?workbook=16_15.xlsx&amp;sheet=A0&amp;row=1559&amp;col=17&amp;number=&amp;sourceID=56","")</f>
        <v/>
      </c>
      <c r="R1559" s="4" t="str">
        <f>HYPERLINK("http://141.218.60.56/~jnz1568/getInfo.php?workbook=16_15.xlsx&amp;sheet=A0&amp;row=1559&amp;col=18&amp;number=&amp;sourceID=56","")</f>
        <v/>
      </c>
      <c r="S1559" s="4" t="str">
        <f>HYPERLINK("http://141.218.60.56/~jnz1568/getInfo.php?workbook=16_15.xlsx&amp;sheet=A0&amp;row=1559&amp;col=19&amp;number=&amp;sourceID=57","")</f>
        <v/>
      </c>
      <c r="T1559" s="4" t="str">
        <f>HYPERLINK("http://141.218.60.56/~jnz1568/getInfo.php?workbook=16_15.xlsx&amp;sheet=A0&amp;row=1559&amp;col=20&amp;number=&amp;sourceID=57","")</f>
        <v/>
      </c>
      <c r="U1559" s="4" t="str">
        <f>HYPERLINK("http://141.218.60.56/~jnz1568/getInfo.php?workbook=16_15.xlsx&amp;sheet=A0&amp;row=1559&amp;col=21&amp;number=&amp;sourceID=47","")</f>
        <v/>
      </c>
      <c r="V1559" s="4" t="str">
        <f>HYPERLINK("http://141.218.60.56/~jnz1568/getInfo.php?workbook=16_15.xlsx&amp;sheet=A0&amp;row=1559&amp;col=22&amp;number=&amp;sourceID=47","")</f>
        <v/>
      </c>
    </row>
    <row r="1560" spans="1:22">
      <c r="A1560" s="3">
        <v>16</v>
      </c>
      <c r="B1560" s="3">
        <v>15</v>
      </c>
      <c r="C1560" s="3">
        <v>63</v>
      </c>
      <c r="D1560" s="3">
        <v>50</v>
      </c>
      <c r="E1560" s="3">
        <f>((1/(INDEX(E0!J$4:J$73,C1560,1)-INDEX(E0!J$4:J$73,D1560,1))))*100000000</f>
        <v>0</v>
      </c>
      <c r="F1560" s="4" t="str">
        <f>HYPERLINK("http://141.218.60.56/~jnz1568/getInfo.php?workbook=16_15.xlsx&amp;sheet=A0&amp;row=1560&amp;col=6&amp;number=&amp;sourceID=54","")</f>
        <v/>
      </c>
      <c r="G1560" s="4" t="str">
        <f>HYPERLINK("http://141.218.60.56/~jnz1568/getInfo.php?workbook=16_15.xlsx&amp;sheet=A0&amp;row=1560&amp;col=7&amp;number=0.0048385&amp;sourceID=54","0.0048385")</f>
        <v>0.0048385</v>
      </c>
      <c r="H1560" s="4" t="str">
        <f>HYPERLINK("http://141.218.60.56/~jnz1568/getInfo.php?workbook=16_15.xlsx&amp;sheet=A0&amp;row=1560&amp;col=8&amp;number=0.017154&amp;sourceID=54","0.017154")</f>
        <v>0.017154</v>
      </c>
      <c r="I1560" s="4" t="str">
        <f>HYPERLINK("http://141.218.60.56/~jnz1568/getInfo.php?workbook=16_15.xlsx&amp;sheet=A0&amp;row=1560&amp;col=9&amp;number=&amp;sourceID=54","")</f>
        <v/>
      </c>
      <c r="J1560" s="4" t="str">
        <f>HYPERLINK("http://141.218.60.56/~jnz1568/getInfo.php?workbook=16_15.xlsx&amp;sheet=A0&amp;row=1560&amp;col=10&amp;number=0.0039057&amp;sourceID=54","0.0039057")</f>
        <v>0.0039057</v>
      </c>
      <c r="K1560" s="4" t="str">
        <f>HYPERLINK("http://141.218.60.56/~jnz1568/getInfo.php?workbook=16_15.xlsx&amp;sheet=A0&amp;row=1560&amp;col=11&amp;number=0.01529&amp;sourceID=54","0.01529")</f>
        <v>0.01529</v>
      </c>
      <c r="L1560" s="4" t="str">
        <f>HYPERLINK("http://141.218.60.56/~jnz1568/getInfo.php?workbook=16_15.xlsx&amp;sheet=A0&amp;row=1560&amp;col=12&amp;number=&amp;sourceID=53","")</f>
        <v/>
      </c>
      <c r="M1560" s="4" t="str">
        <f>HYPERLINK("http://141.218.60.56/~jnz1568/getInfo.php?workbook=16_15.xlsx&amp;sheet=A0&amp;row=1560&amp;col=13&amp;number=&amp;sourceID=53","")</f>
        <v/>
      </c>
      <c r="N1560" s="4" t="str">
        <f>HYPERLINK("http://141.218.60.56/~jnz1568/getInfo.php?workbook=16_15.xlsx&amp;sheet=A0&amp;row=1560&amp;col=14&amp;number=&amp;sourceID=53","")</f>
        <v/>
      </c>
      <c r="O1560" s="4" t="str">
        <f>HYPERLINK("http://141.218.60.56/~jnz1568/getInfo.php?workbook=16_15.xlsx&amp;sheet=A0&amp;row=1560&amp;col=15&amp;number=&amp;sourceID=55","")</f>
        <v/>
      </c>
      <c r="P1560" s="4" t="str">
        <f>HYPERLINK("http://141.218.60.56/~jnz1568/getInfo.php?workbook=16_15.xlsx&amp;sheet=A0&amp;row=1560&amp;col=16&amp;number=&amp;sourceID=55","")</f>
        <v/>
      </c>
      <c r="Q1560" s="4" t="str">
        <f>HYPERLINK("http://141.218.60.56/~jnz1568/getInfo.php?workbook=16_15.xlsx&amp;sheet=A0&amp;row=1560&amp;col=17&amp;number=&amp;sourceID=56","")</f>
        <v/>
      </c>
      <c r="R1560" s="4" t="str">
        <f>HYPERLINK("http://141.218.60.56/~jnz1568/getInfo.php?workbook=16_15.xlsx&amp;sheet=A0&amp;row=1560&amp;col=18&amp;number=&amp;sourceID=56","")</f>
        <v/>
      </c>
      <c r="S1560" s="4" t="str">
        <f>HYPERLINK("http://141.218.60.56/~jnz1568/getInfo.php?workbook=16_15.xlsx&amp;sheet=A0&amp;row=1560&amp;col=19&amp;number=&amp;sourceID=57","")</f>
        <v/>
      </c>
      <c r="T1560" s="4" t="str">
        <f>HYPERLINK("http://141.218.60.56/~jnz1568/getInfo.php?workbook=16_15.xlsx&amp;sheet=A0&amp;row=1560&amp;col=20&amp;number=&amp;sourceID=57","")</f>
        <v/>
      </c>
      <c r="U1560" s="4" t="str">
        <f>HYPERLINK("http://141.218.60.56/~jnz1568/getInfo.php?workbook=16_15.xlsx&amp;sheet=A0&amp;row=1560&amp;col=21&amp;number=&amp;sourceID=47","")</f>
        <v/>
      </c>
      <c r="V1560" s="4" t="str">
        <f>HYPERLINK("http://141.218.60.56/~jnz1568/getInfo.php?workbook=16_15.xlsx&amp;sheet=A0&amp;row=1560&amp;col=22&amp;number=&amp;sourceID=47","")</f>
        <v/>
      </c>
    </row>
    <row r="1561" spans="1:22">
      <c r="A1561" s="3">
        <v>16</v>
      </c>
      <c r="B1561" s="3">
        <v>15</v>
      </c>
      <c r="C1561" s="3">
        <v>63</v>
      </c>
      <c r="D1561" s="3">
        <v>51</v>
      </c>
      <c r="E1561" s="3">
        <f>((1/(INDEX(E0!J$4:J$73,C1561,1)-INDEX(E0!J$4:J$73,D1561,1))))*100000000</f>
        <v>0</v>
      </c>
      <c r="F1561" s="4" t="str">
        <f>HYPERLINK("http://141.218.60.56/~jnz1568/getInfo.php?workbook=16_15.xlsx&amp;sheet=A0&amp;row=1561&amp;col=6&amp;number=&amp;sourceID=54","")</f>
        <v/>
      </c>
      <c r="G1561" s="4" t="str">
        <f>HYPERLINK("http://141.218.60.56/~jnz1568/getInfo.php?workbook=16_15.xlsx&amp;sheet=A0&amp;row=1561&amp;col=7&amp;number=0.01455&amp;sourceID=54","0.01455")</f>
        <v>0.01455</v>
      </c>
      <c r="H1561" s="4" t="str">
        <f>HYPERLINK("http://141.218.60.56/~jnz1568/getInfo.php?workbook=16_15.xlsx&amp;sheet=A0&amp;row=1561&amp;col=8&amp;number=1.1543e-07&amp;sourceID=54","1.1543e-07")</f>
        <v>1.1543e-07</v>
      </c>
      <c r="I1561" s="4" t="str">
        <f>HYPERLINK("http://141.218.60.56/~jnz1568/getInfo.php?workbook=16_15.xlsx&amp;sheet=A0&amp;row=1561&amp;col=9&amp;number=&amp;sourceID=54","")</f>
        <v/>
      </c>
      <c r="J1561" s="4" t="str">
        <f>HYPERLINK("http://141.218.60.56/~jnz1568/getInfo.php?workbook=16_15.xlsx&amp;sheet=A0&amp;row=1561&amp;col=10&amp;number=0.0067041&amp;sourceID=54","0.0067041")</f>
        <v>0.0067041</v>
      </c>
      <c r="K1561" s="4" t="str">
        <f>HYPERLINK("http://141.218.60.56/~jnz1568/getInfo.php?workbook=16_15.xlsx&amp;sheet=A0&amp;row=1561&amp;col=11&amp;number=5.5251e-08&amp;sourceID=54","5.5251e-08")</f>
        <v>5.5251e-08</v>
      </c>
      <c r="L1561" s="4" t="str">
        <f>HYPERLINK("http://141.218.60.56/~jnz1568/getInfo.php?workbook=16_15.xlsx&amp;sheet=A0&amp;row=1561&amp;col=12&amp;number=&amp;sourceID=53","")</f>
        <v/>
      </c>
      <c r="M1561" s="4" t="str">
        <f>HYPERLINK("http://141.218.60.56/~jnz1568/getInfo.php?workbook=16_15.xlsx&amp;sheet=A0&amp;row=1561&amp;col=13&amp;number=&amp;sourceID=53","")</f>
        <v/>
      </c>
      <c r="N1561" s="4" t="str">
        <f>HYPERLINK("http://141.218.60.56/~jnz1568/getInfo.php?workbook=16_15.xlsx&amp;sheet=A0&amp;row=1561&amp;col=14&amp;number=&amp;sourceID=53","")</f>
        <v/>
      </c>
      <c r="O1561" s="4" t="str">
        <f>HYPERLINK("http://141.218.60.56/~jnz1568/getInfo.php?workbook=16_15.xlsx&amp;sheet=A0&amp;row=1561&amp;col=15&amp;number=&amp;sourceID=55","")</f>
        <v/>
      </c>
      <c r="P1561" s="4" t="str">
        <f>HYPERLINK("http://141.218.60.56/~jnz1568/getInfo.php?workbook=16_15.xlsx&amp;sheet=A0&amp;row=1561&amp;col=16&amp;number=&amp;sourceID=55","")</f>
        <v/>
      </c>
      <c r="Q1561" s="4" t="str">
        <f>HYPERLINK("http://141.218.60.56/~jnz1568/getInfo.php?workbook=16_15.xlsx&amp;sheet=A0&amp;row=1561&amp;col=17&amp;number=&amp;sourceID=56","")</f>
        <v/>
      </c>
      <c r="R1561" s="4" t="str">
        <f>HYPERLINK("http://141.218.60.56/~jnz1568/getInfo.php?workbook=16_15.xlsx&amp;sheet=A0&amp;row=1561&amp;col=18&amp;number=&amp;sourceID=56","")</f>
        <v/>
      </c>
      <c r="S1561" s="4" t="str">
        <f>HYPERLINK("http://141.218.60.56/~jnz1568/getInfo.php?workbook=16_15.xlsx&amp;sheet=A0&amp;row=1561&amp;col=19&amp;number=&amp;sourceID=57","")</f>
        <v/>
      </c>
      <c r="T1561" s="4" t="str">
        <f>HYPERLINK("http://141.218.60.56/~jnz1568/getInfo.php?workbook=16_15.xlsx&amp;sheet=A0&amp;row=1561&amp;col=20&amp;number=&amp;sourceID=57","")</f>
        <v/>
      </c>
      <c r="U1561" s="4" t="str">
        <f>HYPERLINK("http://141.218.60.56/~jnz1568/getInfo.php?workbook=16_15.xlsx&amp;sheet=A0&amp;row=1561&amp;col=21&amp;number=&amp;sourceID=47","")</f>
        <v/>
      </c>
      <c r="V1561" s="4" t="str">
        <f>HYPERLINK("http://141.218.60.56/~jnz1568/getInfo.php?workbook=16_15.xlsx&amp;sheet=A0&amp;row=1561&amp;col=22&amp;number=&amp;sourceID=47","")</f>
        <v/>
      </c>
    </row>
    <row r="1562" spans="1:22">
      <c r="A1562" s="3">
        <v>16</v>
      </c>
      <c r="B1562" s="3">
        <v>15</v>
      </c>
      <c r="C1562" s="3">
        <v>63</v>
      </c>
      <c r="D1562" s="3">
        <v>52</v>
      </c>
      <c r="E1562" s="3">
        <f>((1/(INDEX(E0!J$4:J$73,C1562,1)-INDEX(E0!J$4:J$73,D1562,1))))*100000000</f>
        <v>0</v>
      </c>
      <c r="F1562" s="4" t="str">
        <f>HYPERLINK("http://141.218.60.56/~jnz1568/getInfo.php?workbook=16_15.xlsx&amp;sheet=A0&amp;row=1562&amp;col=6&amp;number=&amp;sourceID=54","")</f>
        <v/>
      </c>
      <c r="G1562" s="4" t="str">
        <f>HYPERLINK("http://141.218.60.56/~jnz1568/getInfo.php?workbook=16_15.xlsx&amp;sheet=A0&amp;row=1562&amp;col=7&amp;number=0.0069459&amp;sourceID=54","0.0069459")</f>
        <v>0.0069459</v>
      </c>
      <c r="H1562" s="4" t="str">
        <f>HYPERLINK("http://141.218.60.56/~jnz1568/getInfo.php?workbook=16_15.xlsx&amp;sheet=A0&amp;row=1562&amp;col=8&amp;number=0.0011943&amp;sourceID=54","0.0011943")</f>
        <v>0.0011943</v>
      </c>
      <c r="I1562" s="4" t="str">
        <f>HYPERLINK("http://141.218.60.56/~jnz1568/getInfo.php?workbook=16_15.xlsx&amp;sheet=A0&amp;row=1562&amp;col=9&amp;number=&amp;sourceID=54","")</f>
        <v/>
      </c>
      <c r="J1562" s="4" t="str">
        <f>HYPERLINK("http://141.218.60.56/~jnz1568/getInfo.php?workbook=16_15.xlsx&amp;sheet=A0&amp;row=1562&amp;col=10&amp;number=0.010663&amp;sourceID=54","0.010663")</f>
        <v>0.010663</v>
      </c>
      <c r="K1562" s="4" t="str">
        <f>HYPERLINK("http://141.218.60.56/~jnz1568/getInfo.php?workbook=16_15.xlsx&amp;sheet=A0&amp;row=1562&amp;col=11&amp;number=0.0010569&amp;sourceID=54","0.0010569")</f>
        <v>0.0010569</v>
      </c>
      <c r="L1562" s="4" t="str">
        <f>HYPERLINK("http://141.218.60.56/~jnz1568/getInfo.php?workbook=16_15.xlsx&amp;sheet=A0&amp;row=1562&amp;col=12&amp;number=&amp;sourceID=53","")</f>
        <v/>
      </c>
      <c r="M1562" s="4" t="str">
        <f>HYPERLINK("http://141.218.60.56/~jnz1568/getInfo.php?workbook=16_15.xlsx&amp;sheet=A0&amp;row=1562&amp;col=13&amp;number=&amp;sourceID=53","")</f>
        <v/>
      </c>
      <c r="N1562" s="4" t="str">
        <f>HYPERLINK("http://141.218.60.56/~jnz1568/getInfo.php?workbook=16_15.xlsx&amp;sheet=A0&amp;row=1562&amp;col=14&amp;number=&amp;sourceID=53","")</f>
        <v/>
      </c>
      <c r="O1562" s="4" t="str">
        <f>HYPERLINK("http://141.218.60.56/~jnz1568/getInfo.php?workbook=16_15.xlsx&amp;sheet=A0&amp;row=1562&amp;col=15&amp;number=&amp;sourceID=55","")</f>
        <v/>
      </c>
      <c r="P1562" s="4" t="str">
        <f>HYPERLINK("http://141.218.60.56/~jnz1568/getInfo.php?workbook=16_15.xlsx&amp;sheet=A0&amp;row=1562&amp;col=16&amp;number=&amp;sourceID=55","")</f>
        <v/>
      </c>
      <c r="Q1562" s="4" t="str">
        <f>HYPERLINK("http://141.218.60.56/~jnz1568/getInfo.php?workbook=16_15.xlsx&amp;sheet=A0&amp;row=1562&amp;col=17&amp;number=&amp;sourceID=56","")</f>
        <v/>
      </c>
      <c r="R1562" s="4" t="str">
        <f>HYPERLINK("http://141.218.60.56/~jnz1568/getInfo.php?workbook=16_15.xlsx&amp;sheet=A0&amp;row=1562&amp;col=18&amp;number=&amp;sourceID=56","")</f>
        <v/>
      </c>
      <c r="S1562" s="4" t="str">
        <f>HYPERLINK("http://141.218.60.56/~jnz1568/getInfo.php?workbook=16_15.xlsx&amp;sheet=A0&amp;row=1562&amp;col=19&amp;number=&amp;sourceID=57","")</f>
        <v/>
      </c>
      <c r="T1562" s="4" t="str">
        <f>HYPERLINK("http://141.218.60.56/~jnz1568/getInfo.php?workbook=16_15.xlsx&amp;sheet=A0&amp;row=1562&amp;col=20&amp;number=&amp;sourceID=57","")</f>
        <v/>
      </c>
      <c r="U1562" s="4" t="str">
        <f>HYPERLINK("http://141.218.60.56/~jnz1568/getInfo.php?workbook=16_15.xlsx&amp;sheet=A0&amp;row=1562&amp;col=21&amp;number=&amp;sourceID=47","")</f>
        <v/>
      </c>
      <c r="V1562" s="4" t="str">
        <f>HYPERLINK("http://141.218.60.56/~jnz1568/getInfo.php?workbook=16_15.xlsx&amp;sheet=A0&amp;row=1562&amp;col=22&amp;number=&amp;sourceID=47","")</f>
        <v/>
      </c>
    </row>
    <row r="1563" spans="1:22">
      <c r="A1563" s="3">
        <v>16</v>
      </c>
      <c r="B1563" s="3">
        <v>15</v>
      </c>
      <c r="C1563" s="3">
        <v>63</v>
      </c>
      <c r="D1563" s="3">
        <v>53</v>
      </c>
      <c r="E1563" s="3">
        <f>((1/(INDEX(E0!J$4:J$73,C1563,1)-INDEX(E0!J$4:J$73,D1563,1))))*100000000</f>
        <v>0</v>
      </c>
      <c r="F1563" s="4" t="str">
        <f>HYPERLINK("http://141.218.60.56/~jnz1568/getInfo.php?workbook=16_15.xlsx&amp;sheet=A0&amp;row=1563&amp;col=6&amp;number=&amp;sourceID=54","")</f>
        <v/>
      </c>
      <c r="G1563" s="4" t="str">
        <f>HYPERLINK("http://141.218.60.56/~jnz1568/getInfo.php?workbook=16_15.xlsx&amp;sheet=A0&amp;row=1563&amp;col=7&amp;number=0.0012146&amp;sourceID=54","0.0012146")</f>
        <v>0.0012146</v>
      </c>
      <c r="H1563" s="4" t="str">
        <f>HYPERLINK("http://141.218.60.56/~jnz1568/getInfo.php?workbook=16_15.xlsx&amp;sheet=A0&amp;row=1563&amp;col=8&amp;number=&amp;sourceID=54","")</f>
        <v/>
      </c>
      <c r="I1563" s="4" t="str">
        <f>HYPERLINK("http://141.218.60.56/~jnz1568/getInfo.php?workbook=16_15.xlsx&amp;sheet=A0&amp;row=1563&amp;col=9&amp;number=&amp;sourceID=54","")</f>
        <v/>
      </c>
      <c r="J1563" s="4" t="str">
        <f>HYPERLINK("http://141.218.60.56/~jnz1568/getInfo.php?workbook=16_15.xlsx&amp;sheet=A0&amp;row=1563&amp;col=10&amp;number=0.0018739&amp;sourceID=54","0.0018739")</f>
        <v>0.0018739</v>
      </c>
      <c r="K1563" s="4" t="str">
        <f>HYPERLINK("http://141.218.60.56/~jnz1568/getInfo.php?workbook=16_15.xlsx&amp;sheet=A0&amp;row=1563&amp;col=11&amp;number=&amp;sourceID=54","")</f>
        <v/>
      </c>
      <c r="L1563" s="4" t="str">
        <f>HYPERLINK("http://141.218.60.56/~jnz1568/getInfo.php?workbook=16_15.xlsx&amp;sheet=A0&amp;row=1563&amp;col=12&amp;number=&amp;sourceID=53","")</f>
        <v/>
      </c>
      <c r="M1563" s="4" t="str">
        <f>HYPERLINK("http://141.218.60.56/~jnz1568/getInfo.php?workbook=16_15.xlsx&amp;sheet=A0&amp;row=1563&amp;col=13&amp;number=&amp;sourceID=53","")</f>
        <v/>
      </c>
      <c r="N1563" s="4" t="str">
        <f>HYPERLINK("http://141.218.60.56/~jnz1568/getInfo.php?workbook=16_15.xlsx&amp;sheet=A0&amp;row=1563&amp;col=14&amp;number=&amp;sourceID=53","")</f>
        <v/>
      </c>
      <c r="O1563" s="4" t="str">
        <f>HYPERLINK("http://141.218.60.56/~jnz1568/getInfo.php?workbook=16_15.xlsx&amp;sheet=A0&amp;row=1563&amp;col=15&amp;number=&amp;sourceID=55","")</f>
        <v/>
      </c>
      <c r="P1563" s="4" t="str">
        <f>HYPERLINK("http://141.218.60.56/~jnz1568/getInfo.php?workbook=16_15.xlsx&amp;sheet=A0&amp;row=1563&amp;col=16&amp;number=&amp;sourceID=55","")</f>
        <v/>
      </c>
      <c r="Q1563" s="4" t="str">
        <f>HYPERLINK("http://141.218.60.56/~jnz1568/getInfo.php?workbook=16_15.xlsx&amp;sheet=A0&amp;row=1563&amp;col=17&amp;number=&amp;sourceID=56","")</f>
        <v/>
      </c>
      <c r="R1563" s="4" t="str">
        <f>HYPERLINK("http://141.218.60.56/~jnz1568/getInfo.php?workbook=16_15.xlsx&amp;sheet=A0&amp;row=1563&amp;col=18&amp;number=&amp;sourceID=56","")</f>
        <v/>
      </c>
      <c r="S1563" s="4" t="str">
        <f>HYPERLINK("http://141.218.60.56/~jnz1568/getInfo.php?workbook=16_15.xlsx&amp;sheet=A0&amp;row=1563&amp;col=19&amp;number=&amp;sourceID=57","")</f>
        <v/>
      </c>
      <c r="T1563" s="4" t="str">
        <f>HYPERLINK("http://141.218.60.56/~jnz1568/getInfo.php?workbook=16_15.xlsx&amp;sheet=A0&amp;row=1563&amp;col=20&amp;number=&amp;sourceID=57","")</f>
        <v/>
      </c>
      <c r="U1563" s="4" t="str">
        <f>HYPERLINK("http://141.218.60.56/~jnz1568/getInfo.php?workbook=16_15.xlsx&amp;sheet=A0&amp;row=1563&amp;col=21&amp;number=&amp;sourceID=47","")</f>
        <v/>
      </c>
      <c r="V1563" s="4" t="str">
        <f>HYPERLINK("http://141.218.60.56/~jnz1568/getInfo.php?workbook=16_15.xlsx&amp;sheet=A0&amp;row=1563&amp;col=22&amp;number=&amp;sourceID=47","")</f>
        <v/>
      </c>
    </row>
    <row r="1564" spans="1:22">
      <c r="A1564" s="3">
        <v>16</v>
      </c>
      <c r="B1564" s="3">
        <v>15</v>
      </c>
      <c r="C1564" s="3">
        <v>63</v>
      </c>
      <c r="D1564" s="3">
        <v>54</v>
      </c>
      <c r="E1564" s="3">
        <f>((1/(INDEX(E0!J$4:J$73,C1564,1)-INDEX(E0!J$4:J$73,D1564,1))))*100000000</f>
        <v>0</v>
      </c>
      <c r="F1564" s="4" t="str">
        <f>HYPERLINK("http://141.218.60.56/~jnz1568/getInfo.php?workbook=16_15.xlsx&amp;sheet=A0&amp;row=1564&amp;col=6&amp;number=&amp;sourceID=54","")</f>
        <v/>
      </c>
      <c r="G1564" s="4" t="str">
        <f>HYPERLINK("http://141.218.60.56/~jnz1568/getInfo.php?workbook=16_15.xlsx&amp;sheet=A0&amp;row=1564&amp;col=7&amp;number=0.00022689&amp;sourceID=54","0.00022689")</f>
        <v>0.00022689</v>
      </c>
      <c r="H1564" s="4" t="str">
        <f>HYPERLINK("http://141.218.60.56/~jnz1568/getInfo.php?workbook=16_15.xlsx&amp;sheet=A0&amp;row=1564&amp;col=8&amp;number=6.9891e-05&amp;sourceID=54","6.9891e-05")</f>
        <v>6.9891e-05</v>
      </c>
      <c r="I1564" s="4" t="str">
        <f>HYPERLINK("http://141.218.60.56/~jnz1568/getInfo.php?workbook=16_15.xlsx&amp;sheet=A0&amp;row=1564&amp;col=9&amp;number=&amp;sourceID=54","")</f>
        <v/>
      </c>
      <c r="J1564" s="4" t="str">
        <f>HYPERLINK("http://141.218.60.56/~jnz1568/getInfo.php?workbook=16_15.xlsx&amp;sheet=A0&amp;row=1564&amp;col=10&amp;number=0.0001553&amp;sourceID=54","0.0001553")</f>
        <v>0.0001553</v>
      </c>
      <c r="K1564" s="4" t="str">
        <f>HYPERLINK("http://141.218.60.56/~jnz1568/getInfo.php?workbook=16_15.xlsx&amp;sheet=A0&amp;row=1564&amp;col=11&amp;number=6.5288e-05&amp;sourceID=54","6.5288e-05")</f>
        <v>6.5288e-05</v>
      </c>
      <c r="L1564" s="4" t="str">
        <f>HYPERLINK("http://141.218.60.56/~jnz1568/getInfo.php?workbook=16_15.xlsx&amp;sheet=A0&amp;row=1564&amp;col=12&amp;number=&amp;sourceID=53","")</f>
        <v/>
      </c>
      <c r="M1564" s="4" t="str">
        <f>HYPERLINK("http://141.218.60.56/~jnz1568/getInfo.php?workbook=16_15.xlsx&amp;sheet=A0&amp;row=1564&amp;col=13&amp;number=&amp;sourceID=53","")</f>
        <v/>
      </c>
      <c r="N1564" s="4" t="str">
        <f>HYPERLINK("http://141.218.60.56/~jnz1568/getInfo.php?workbook=16_15.xlsx&amp;sheet=A0&amp;row=1564&amp;col=14&amp;number=&amp;sourceID=53","")</f>
        <v/>
      </c>
      <c r="O1564" s="4" t="str">
        <f>HYPERLINK("http://141.218.60.56/~jnz1568/getInfo.php?workbook=16_15.xlsx&amp;sheet=A0&amp;row=1564&amp;col=15&amp;number=&amp;sourceID=55","")</f>
        <v/>
      </c>
      <c r="P1564" s="4" t="str">
        <f>HYPERLINK("http://141.218.60.56/~jnz1568/getInfo.php?workbook=16_15.xlsx&amp;sheet=A0&amp;row=1564&amp;col=16&amp;number=&amp;sourceID=55","")</f>
        <v/>
      </c>
      <c r="Q1564" s="4" t="str">
        <f>HYPERLINK("http://141.218.60.56/~jnz1568/getInfo.php?workbook=16_15.xlsx&amp;sheet=A0&amp;row=1564&amp;col=17&amp;number=&amp;sourceID=56","")</f>
        <v/>
      </c>
      <c r="R1564" s="4" t="str">
        <f>HYPERLINK("http://141.218.60.56/~jnz1568/getInfo.php?workbook=16_15.xlsx&amp;sheet=A0&amp;row=1564&amp;col=18&amp;number=&amp;sourceID=56","")</f>
        <v/>
      </c>
      <c r="S1564" s="4" t="str">
        <f>HYPERLINK("http://141.218.60.56/~jnz1568/getInfo.php?workbook=16_15.xlsx&amp;sheet=A0&amp;row=1564&amp;col=19&amp;number=&amp;sourceID=57","")</f>
        <v/>
      </c>
      <c r="T1564" s="4" t="str">
        <f>HYPERLINK("http://141.218.60.56/~jnz1568/getInfo.php?workbook=16_15.xlsx&amp;sheet=A0&amp;row=1564&amp;col=20&amp;number=&amp;sourceID=57","")</f>
        <v/>
      </c>
      <c r="U1564" s="4" t="str">
        <f>HYPERLINK("http://141.218.60.56/~jnz1568/getInfo.php?workbook=16_15.xlsx&amp;sheet=A0&amp;row=1564&amp;col=21&amp;number=&amp;sourceID=47","")</f>
        <v/>
      </c>
      <c r="V1564" s="4" t="str">
        <f>HYPERLINK("http://141.218.60.56/~jnz1568/getInfo.php?workbook=16_15.xlsx&amp;sheet=A0&amp;row=1564&amp;col=22&amp;number=&amp;sourceID=47","")</f>
        <v/>
      </c>
    </row>
    <row r="1565" spans="1:22">
      <c r="A1565" s="3">
        <v>16</v>
      </c>
      <c r="B1565" s="3">
        <v>15</v>
      </c>
      <c r="C1565" s="3">
        <v>63</v>
      </c>
      <c r="D1565" s="3">
        <v>55</v>
      </c>
      <c r="E1565" s="3">
        <f>((1/(INDEX(E0!J$4:J$73,C1565,1)-INDEX(E0!J$4:J$73,D1565,1))))*100000000</f>
        <v>0</v>
      </c>
      <c r="F1565" s="4" t="str">
        <f>HYPERLINK("http://141.218.60.56/~jnz1568/getInfo.php?workbook=16_15.xlsx&amp;sheet=A0&amp;row=1565&amp;col=6&amp;number=&amp;sourceID=54","")</f>
        <v/>
      </c>
      <c r="G1565" s="4" t="str">
        <f>HYPERLINK("http://141.218.60.56/~jnz1568/getInfo.php?workbook=16_15.xlsx&amp;sheet=A0&amp;row=1565&amp;col=7&amp;number=0.00012659&amp;sourceID=54","0.00012659")</f>
        <v>0.00012659</v>
      </c>
      <c r="H1565" s="4" t="str">
        <f>HYPERLINK("http://141.218.60.56/~jnz1568/getInfo.php?workbook=16_15.xlsx&amp;sheet=A0&amp;row=1565&amp;col=8&amp;number=0.00026026&amp;sourceID=54","0.00026026")</f>
        <v>0.00026026</v>
      </c>
      <c r="I1565" s="4" t="str">
        <f>HYPERLINK("http://141.218.60.56/~jnz1568/getInfo.php?workbook=16_15.xlsx&amp;sheet=A0&amp;row=1565&amp;col=9&amp;number=&amp;sourceID=54","")</f>
        <v/>
      </c>
      <c r="J1565" s="4" t="str">
        <f>HYPERLINK("http://141.218.60.56/~jnz1568/getInfo.php?workbook=16_15.xlsx&amp;sheet=A0&amp;row=1565&amp;col=10&amp;number=8.8904e-05&amp;sourceID=54","8.8904e-05")</f>
        <v>8.8904e-05</v>
      </c>
      <c r="K1565" s="4" t="str">
        <f>HYPERLINK("http://141.218.60.56/~jnz1568/getInfo.php?workbook=16_15.xlsx&amp;sheet=A0&amp;row=1565&amp;col=11&amp;number=0.00022101&amp;sourceID=54","0.00022101")</f>
        <v>0.00022101</v>
      </c>
      <c r="L1565" s="4" t="str">
        <f>HYPERLINK("http://141.218.60.56/~jnz1568/getInfo.php?workbook=16_15.xlsx&amp;sheet=A0&amp;row=1565&amp;col=12&amp;number=&amp;sourceID=53","")</f>
        <v/>
      </c>
      <c r="M1565" s="4" t="str">
        <f>HYPERLINK("http://141.218.60.56/~jnz1568/getInfo.php?workbook=16_15.xlsx&amp;sheet=A0&amp;row=1565&amp;col=13&amp;number=&amp;sourceID=53","")</f>
        <v/>
      </c>
      <c r="N1565" s="4" t="str">
        <f>HYPERLINK("http://141.218.60.56/~jnz1568/getInfo.php?workbook=16_15.xlsx&amp;sheet=A0&amp;row=1565&amp;col=14&amp;number=&amp;sourceID=53","")</f>
        <v/>
      </c>
      <c r="O1565" s="4" t="str">
        <f>HYPERLINK("http://141.218.60.56/~jnz1568/getInfo.php?workbook=16_15.xlsx&amp;sheet=A0&amp;row=1565&amp;col=15&amp;number=&amp;sourceID=55","")</f>
        <v/>
      </c>
      <c r="P1565" s="4" t="str">
        <f>HYPERLINK("http://141.218.60.56/~jnz1568/getInfo.php?workbook=16_15.xlsx&amp;sheet=A0&amp;row=1565&amp;col=16&amp;number=&amp;sourceID=55","")</f>
        <v/>
      </c>
      <c r="Q1565" s="4" t="str">
        <f>HYPERLINK("http://141.218.60.56/~jnz1568/getInfo.php?workbook=16_15.xlsx&amp;sheet=A0&amp;row=1565&amp;col=17&amp;number=&amp;sourceID=56","")</f>
        <v/>
      </c>
      <c r="R1565" s="4" t="str">
        <f>HYPERLINK("http://141.218.60.56/~jnz1568/getInfo.php?workbook=16_15.xlsx&amp;sheet=A0&amp;row=1565&amp;col=18&amp;number=&amp;sourceID=56","")</f>
        <v/>
      </c>
      <c r="S1565" s="4" t="str">
        <f>HYPERLINK("http://141.218.60.56/~jnz1568/getInfo.php?workbook=16_15.xlsx&amp;sheet=A0&amp;row=1565&amp;col=19&amp;number=&amp;sourceID=57","")</f>
        <v/>
      </c>
      <c r="T1565" s="4" t="str">
        <f>HYPERLINK("http://141.218.60.56/~jnz1568/getInfo.php?workbook=16_15.xlsx&amp;sheet=A0&amp;row=1565&amp;col=20&amp;number=&amp;sourceID=57","")</f>
        <v/>
      </c>
      <c r="U1565" s="4" t="str">
        <f>HYPERLINK("http://141.218.60.56/~jnz1568/getInfo.php?workbook=16_15.xlsx&amp;sheet=A0&amp;row=1565&amp;col=21&amp;number=&amp;sourceID=47","")</f>
        <v/>
      </c>
      <c r="V1565" s="4" t="str">
        <f>HYPERLINK("http://141.218.60.56/~jnz1568/getInfo.php?workbook=16_15.xlsx&amp;sheet=A0&amp;row=1565&amp;col=22&amp;number=&amp;sourceID=47","")</f>
        <v/>
      </c>
    </row>
    <row r="1566" spans="1:22">
      <c r="A1566" s="3">
        <v>16</v>
      </c>
      <c r="B1566" s="3">
        <v>15</v>
      </c>
      <c r="C1566" s="3">
        <v>63</v>
      </c>
      <c r="D1566" s="3">
        <v>56</v>
      </c>
      <c r="E1566" s="3">
        <f>((1/(INDEX(E0!J$4:J$73,C1566,1)-INDEX(E0!J$4:J$73,D1566,1))))*100000000</f>
        <v>0</v>
      </c>
      <c r="F1566" s="4" t="str">
        <f>HYPERLINK("http://141.218.60.56/~jnz1568/getInfo.php?workbook=16_15.xlsx&amp;sheet=A0&amp;row=1566&amp;col=6&amp;number=102710&amp;sourceID=54","102710")</f>
        <v>102710</v>
      </c>
      <c r="G1566" s="4" t="str">
        <f>HYPERLINK("http://141.218.60.56/~jnz1568/getInfo.php?workbook=16_15.xlsx&amp;sheet=A0&amp;row=1566&amp;col=7&amp;number=&amp;sourceID=54","")</f>
        <v/>
      </c>
      <c r="H1566" s="4" t="str">
        <f>HYPERLINK("http://141.218.60.56/~jnz1568/getInfo.php?workbook=16_15.xlsx&amp;sheet=A0&amp;row=1566&amp;col=8&amp;number=&amp;sourceID=54","")</f>
        <v/>
      </c>
      <c r="I1566" s="4" t="str">
        <f>HYPERLINK("http://141.218.60.56/~jnz1568/getInfo.php?workbook=16_15.xlsx&amp;sheet=A0&amp;row=1566&amp;col=9&amp;number=61862&amp;sourceID=54","61862")</f>
        <v>61862</v>
      </c>
      <c r="J1566" s="4" t="str">
        <f>HYPERLINK("http://141.218.60.56/~jnz1568/getInfo.php?workbook=16_15.xlsx&amp;sheet=A0&amp;row=1566&amp;col=10&amp;number=&amp;sourceID=54","")</f>
        <v/>
      </c>
      <c r="K1566" s="4" t="str">
        <f>HYPERLINK("http://141.218.60.56/~jnz1568/getInfo.php?workbook=16_15.xlsx&amp;sheet=A0&amp;row=1566&amp;col=11&amp;number=&amp;sourceID=54","")</f>
        <v/>
      </c>
      <c r="L1566" s="4" t="str">
        <f>HYPERLINK("http://141.218.60.56/~jnz1568/getInfo.php?workbook=16_15.xlsx&amp;sheet=A0&amp;row=1566&amp;col=12&amp;number=76422.935075&amp;sourceID=53","76422.935075")</f>
        <v>76422.935075</v>
      </c>
      <c r="M1566" s="4" t="str">
        <f>HYPERLINK("http://141.218.60.56/~jnz1568/getInfo.php?workbook=16_15.xlsx&amp;sheet=A0&amp;row=1566&amp;col=13&amp;number=&amp;sourceID=53","")</f>
        <v/>
      </c>
      <c r="N1566" s="4" t="str">
        <f>HYPERLINK("http://141.218.60.56/~jnz1568/getInfo.php?workbook=16_15.xlsx&amp;sheet=A0&amp;row=1566&amp;col=14&amp;number=&amp;sourceID=53","")</f>
        <v/>
      </c>
      <c r="O1566" s="4" t="str">
        <f>HYPERLINK("http://141.218.60.56/~jnz1568/getInfo.php?workbook=16_15.xlsx&amp;sheet=A0&amp;row=1566&amp;col=15&amp;number=&amp;sourceID=55","")</f>
        <v/>
      </c>
      <c r="P1566" s="4" t="str">
        <f>HYPERLINK("http://141.218.60.56/~jnz1568/getInfo.php?workbook=16_15.xlsx&amp;sheet=A0&amp;row=1566&amp;col=16&amp;number=&amp;sourceID=55","")</f>
        <v/>
      </c>
      <c r="Q1566" s="4" t="str">
        <f>HYPERLINK("http://141.218.60.56/~jnz1568/getInfo.php?workbook=16_15.xlsx&amp;sheet=A0&amp;row=1566&amp;col=17&amp;number=&amp;sourceID=56","")</f>
        <v/>
      </c>
      <c r="R1566" s="4" t="str">
        <f>HYPERLINK("http://141.218.60.56/~jnz1568/getInfo.php?workbook=16_15.xlsx&amp;sheet=A0&amp;row=1566&amp;col=18&amp;number=&amp;sourceID=56","")</f>
        <v/>
      </c>
      <c r="S1566" s="4" t="str">
        <f>HYPERLINK("http://141.218.60.56/~jnz1568/getInfo.php?workbook=16_15.xlsx&amp;sheet=A0&amp;row=1566&amp;col=19&amp;number=&amp;sourceID=57","")</f>
        <v/>
      </c>
      <c r="T1566" s="4" t="str">
        <f>HYPERLINK("http://141.218.60.56/~jnz1568/getInfo.php?workbook=16_15.xlsx&amp;sheet=A0&amp;row=1566&amp;col=20&amp;number=&amp;sourceID=57","")</f>
        <v/>
      </c>
      <c r="U1566" s="4" t="str">
        <f>HYPERLINK("http://141.218.60.56/~jnz1568/getInfo.php?workbook=16_15.xlsx&amp;sheet=A0&amp;row=1566&amp;col=21&amp;number=&amp;sourceID=47","")</f>
        <v/>
      </c>
      <c r="V1566" s="4" t="str">
        <f>HYPERLINK("http://141.218.60.56/~jnz1568/getInfo.php?workbook=16_15.xlsx&amp;sheet=A0&amp;row=1566&amp;col=22&amp;number=&amp;sourceID=47","")</f>
        <v/>
      </c>
    </row>
    <row r="1567" spans="1:22">
      <c r="A1567" s="3">
        <v>16</v>
      </c>
      <c r="B1567" s="3">
        <v>15</v>
      </c>
      <c r="C1567" s="3">
        <v>63</v>
      </c>
      <c r="D1567" s="3">
        <v>58</v>
      </c>
      <c r="E1567" s="3">
        <f>((1/(INDEX(E0!J$4:J$73,C1567,1)-INDEX(E0!J$4:J$73,D1567,1))))*100000000</f>
        <v>0</v>
      </c>
      <c r="F1567" s="4" t="str">
        <f>HYPERLINK("http://141.218.60.56/~jnz1568/getInfo.php?workbook=16_15.xlsx&amp;sheet=A0&amp;row=1567&amp;col=6&amp;number=37401&amp;sourceID=54","37401")</f>
        <v>37401</v>
      </c>
      <c r="G1567" s="4" t="str">
        <f>HYPERLINK("http://141.218.60.56/~jnz1568/getInfo.php?workbook=16_15.xlsx&amp;sheet=A0&amp;row=1567&amp;col=7&amp;number=&amp;sourceID=54","")</f>
        <v/>
      </c>
      <c r="H1567" s="4" t="str">
        <f>HYPERLINK("http://141.218.60.56/~jnz1568/getInfo.php?workbook=16_15.xlsx&amp;sheet=A0&amp;row=1567&amp;col=8&amp;number=&amp;sourceID=54","")</f>
        <v/>
      </c>
      <c r="I1567" s="4" t="str">
        <f>HYPERLINK("http://141.218.60.56/~jnz1568/getInfo.php?workbook=16_15.xlsx&amp;sheet=A0&amp;row=1567&amp;col=9&amp;number=18931&amp;sourceID=54","18931")</f>
        <v>18931</v>
      </c>
      <c r="J1567" s="4" t="str">
        <f>HYPERLINK("http://141.218.60.56/~jnz1568/getInfo.php?workbook=16_15.xlsx&amp;sheet=A0&amp;row=1567&amp;col=10&amp;number=&amp;sourceID=54","")</f>
        <v/>
      </c>
      <c r="K1567" s="4" t="str">
        <f>HYPERLINK("http://141.218.60.56/~jnz1568/getInfo.php?workbook=16_15.xlsx&amp;sheet=A0&amp;row=1567&amp;col=11&amp;number=&amp;sourceID=54","")</f>
        <v/>
      </c>
      <c r="L1567" s="4" t="str">
        <f>HYPERLINK("http://141.218.60.56/~jnz1568/getInfo.php?workbook=16_15.xlsx&amp;sheet=A0&amp;row=1567&amp;col=12&amp;number=11130.9019397&amp;sourceID=53","11130.9019397")</f>
        <v>11130.9019397</v>
      </c>
      <c r="M1567" s="4" t="str">
        <f>HYPERLINK("http://141.218.60.56/~jnz1568/getInfo.php?workbook=16_15.xlsx&amp;sheet=A0&amp;row=1567&amp;col=13&amp;number=&amp;sourceID=53","")</f>
        <v/>
      </c>
      <c r="N1567" s="4" t="str">
        <f>HYPERLINK("http://141.218.60.56/~jnz1568/getInfo.php?workbook=16_15.xlsx&amp;sheet=A0&amp;row=1567&amp;col=14&amp;number=&amp;sourceID=53","")</f>
        <v/>
      </c>
      <c r="O1567" s="4" t="str">
        <f>HYPERLINK("http://141.218.60.56/~jnz1568/getInfo.php?workbook=16_15.xlsx&amp;sheet=A0&amp;row=1567&amp;col=15&amp;number=&amp;sourceID=55","")</f>
        <v/>
      </c>
      <c r="P1567" s="4" t="str">
        <f>HYPERLINK("http://141.218.60.56/~jnz1568/getInfo.php?workbook=16_15.xlsx&amp;sheet=A0&amp;row=1567&amp;col=16&amp;number=&amp;sourceID=55","")</f>
        <v/>
      </c>
      <c r="Q1567" s="4" t="str">
        <f>HYPERLINK("http://141.218.60.56/~jnz1568/getInfo.php?workbook=16_15.xlsx&amp;sheet=A0&amp;row=1567&amp;col=17&amp;number=&amp;sourceID=56","")</f>
        <v/>
      </c>
      <c r="R1567" s="4" t="str">
        <f>HYPERLINK("http://141.218.60.56/~jnz1568/getInfo.php?workbook=16_15.xlsx&amp;sheet=A0&amp;row=1567&amp;col=18&amp;number=&amp;sourceID=56","")</f>
        <v/>
      </c>
      <c r="S1567" s="4" t="str">
        <f>HYPERLINK("http://141.218.60.56/~jnz1568/getInfo.php?workbook=16_15.xlsx&amp;sheet=A0&amp;row=1567&amp;col=19&amp;number=&amp;sourceID=57","")</f>
        <v/>
      </c>
      <c r="T1567" s="4" t="str">
        <f>HYPERLINK("http://141.218.60.56/~jnz1568/getInfo.php?workbook=16_15.xlsx&amp;sheet=A0&amp;row=1567&amp;col=20&amp;number=&amp;sourceID=57","")</f>
        <v/>
      </c>
      <c r="U1567" s="4" t="str">
        <f>HYPERLINK("http://141.218.60.56/~jnz1568/getInfo.php?workbook=16_15.xlsx&amp;sheet=A0&amp;row=1567&amp;col=21&amp;number=&amp;sourceID=47","")</f>
        <v/>
      </c>
      <c r="V1567" s="4" t="str">
        <f>HYPERLINK("http://141.218.60.56/~jnz1568/getInfo.php?workbook=16_15.xlsx&amp;sheet=A0&amp;row=1567&amp;col=22&amp;number=&amp;sourceID=47","")</f>
        <v/>
      </c>
    </row>
    <row r="1568" spans="1:22">
      <c r="A1568" s="3">
        <v>16</v>
      </c>
      <c r="B1568" s="3">
        <v>15</v>
      </c>
      <c r="C1568" s="3">
        <v>63</v>
      </c>
      <c r="D1568" s="3">
        <v>59</v>
      </c>
      <c r="E1568" s="3">
        <f>((1/(INDEX(E0!J$4:J$73,C1568,1)-INDEX(E0!J$4:J$73,D1568,1))))*100000000</f>
        <v>0</v>
      </c>
      <c r="F1568" s="4" t="str">
        <f>HYPERLINK("http://141.218.60.56/~jnz1568/getInfo.php?workbook=16_15.xlsx&amp;sheet=A0&amp;row=1568&amp;col=6&amp;number=243370&amp;sourceID=54","243370")</f>
        <v>243370</v>
      </c>
      <c r="G1568" s="4" t="str">
        <f>HYPERLINK("http://141.218.60.56/~jnz1568/getInfo.php?workbook=16_15.xlsx&amp;sheet=A0&amp;row=1568&amp;col=7&amp;number=&amp;sourceID=54","")</f>
        <v/>
      </c>
      <c r="H1568" s="4" t="str">
        <f>HYPERLINK("http://141.218.60.56/~jnz1568/getInfo.php?workbook=16_15.xlsx&amp;sheet=A0&amp;row=1568&amp;col=8&amp;number=&amp;sourceID=54","")</f>
        <v/>
      </c>
      <c r="I1568" s="4" t="str">
        <f>HYPERLINK("http://141.218.60.56/~jnz1568/getInfo.php?workbook=16_15.xlsx&amp;sheet=A0&amp;row=1568&amp;col=9&amp;number=124010&amp;sourceID=54","124010")</f>
        <v>124010</v>
      </c>
      <c r="J1568" s="4" t="str">
        <f>HYPERLINK("http://141.218.60.56/~jnz1568/getInfo.php?workbook=16_15.xlsx&amp;sheet=A0&amp;row=1568&amp;col=10&amp;number=&amp;sourceID=54","")</f>
        <v/>
      </c>
      <c r="K1568" s="4" t="str">
        <f>HYPERLINK("http://141.218.60.56/~jnz1568/getInfo.php?workbook=16_15.xlsx&amp;sheet=A0&amp;row=1568&amp;col=11&amp;number=&amp;sourceID=54","")</f>
        <v/>
      </c>
      <c r="L1568" s="4" t="str">
        <f>HYPERLINK("http://141.218.60.56/~jnz1568/getInfo.php?workbook=16_15.xlsx&amp;sheet=A0&amp;row=1568&amp;col=12&amp;number=62656.2362708&amp;sourceID=53","62656.2362708")</f>
        <v>62656.2362708</v>
      </c>
      <c r="M1568" s="4" t="str">
        <f>HYPERLINK("http://141.218.60.56/~jnz1568/getInfo.php?workbook=16_15.xlsx&amp;sheet=A0&amp;row=1568&amp;col=13&amp;number=&amp;sourceID=53","")</f>
        <v/>
      </c>
      <c r="N1568" s="4" t="str">
        <f>HYPERLINK("http://141.218.60.56/~jnz1568/getInfo.php?workbook=16_15.xlsx&amp;sheet=A0&amp;row=1568&amp;col=14&amp;number=&amp;sourceID=53","")</f>
        <v/>
      </c>
      <c r="O1568" s="4" t="str">
        <f>HYPERLINK("http://141.218.60.56/~jnz1568/getInfo.php?workbook=16_15.xlsx&amp;sheet=A0&amp;row=1568&amp;col=15&amp;number=&amp;sourceID=55","")</f>
        <v/>
      </c>
      <c r="P1568" s="4" t="str">
        <f>HYPERLINK("http://141.218.60.56/~jnz1568/getInfo.php?workbook=16_15.xlsx&amp;sheet=A0&amp;row=1568&amp;col=16&amp;number=&amp;sourceID=55","")</f>
        <v/>
      </c>
      <c r="Q1568" s="4" t="str">
        <f>HYPERLINK("http://141.218.60.56/~jnz1568/getInfo.php?workbook=16_15.xlsx&amp;sheet=A0&amp;row=1568&amp;col=17&amp;number=&amp;sourceID=56","")</f>
        <v/>
      </c>
      <c r="R1568" s="4" t="str">
        <f>HYPERLINK("http://141.218.60.56/~jnz1568/getInfo.php?workbook=16_15.xlsx&amp;sheet=A0&amp;row=1568&amp;col=18&amp;number=&amp;sourceID=56","")</f>
        <v/>
      </c>
      <c r="S1568" s="4" t="str">
        <f>HYPERLINK("http://141.218.60.56/~jnz1568/getInfo.php?workbook=16_15.xlsx&amp;sheet=A0&amp;row=1568&amp;col=19&amp;number=&amp;sourceID=57","")</f>
        <v/>
      </c>
      <c r="T1568" s="4" t="str">
        <f>HYPERLINK("http://141.218.60.56/~jnz1568/getInfo.php?workbook=16_15.xlsx&amp;sheet=A0&amp;row=1568&amp;col=20&amp;number=&amp;sourceID=57","")</f>
        <v/>
      </c>
      <c r="U1568" s="4" t="str">
        <f>HYPERLINK("http://141.218.60.56/~jnz1568/getInfo.php?workbook=16_15.xlsx&amp;sheet=A0&amp;row=1568&amp;col=21&amp;number=&amp;sourceID=47","")</f>
        <v/>
      </c>
      <c r="V1568" s="4" t="str">
        <f>HYPERLINK("http://141.218.60.56/~jnz1568/getInfo.php?workbook=16_15.xlsx&amp;sheet=A0&amp;row=1568&amp;col=22&amp;number=&amp;sourceID=47","")</f>
        <v/>
      </c>
    </row>
    <row r="1569" spans="1:22">
      <c r="A1569" s="3">
        <v>16</v>
      </c>
      <c r="B1569" s="3">
        <v>15</v>
      </c>
      <c r="C1569" s="3">
        <v>63</v>
      </c>
      <c r="D1569" s="3">
        <v>60</v>
      </c>
      <c r="E1569" s="3">
        <f>((1/(INDEX(E0!J$4:J$73,C1569,1)-INDEX(E0!J$4:J$73,D1569,1))))*100000000</f>
        <v>0</v>
      </c>
      <c r="F1569" s="4" t="str">
        <f>HYPERLINK("http://141.218.60.56/~jnz1568/getInfo.php?workbook=16_15.xlsx&amp;sheet=A0&amp;row=1569&amp;col=6&amp;number=5702.6&amp;sourceID=54","5702.6")</f>
        <v>5702.6</v>
      </c>
      <c r="G1569" s="4" t="str">
        <f>HYPERLINK("http://141.218.60.56/~jnz1568/getInfo.php?workbook=16_15.xlsx&amp;sheet=A0&amp;row=1569&amp;col=7&amp;number=&amp;sourceID=54","")</f>
        <v/>
      </c>
      <c r="H1569" s="4" t="str">
        <f>HYPERLINK("http://141.218.60.56/~jnz1568/getInfo.php?workbook=16_15.xlsx&amp;sheet=A0&amp;row=1569&amp;col=8&amp;number=&amp;sourceID=54","")</f>
        <v/>
      </c>
      <c r="I1569" s="4" t="str">
        <f>HYPERLINK("http://141.218.60.56/~jnz1568/getInfo.php?workbook=16_15.xlsx&amp;sheet=A0&amp;row=1569&amp;col=9&amp;number=520.47&amp;sourceID=54","520.47")</f>
        <v>520.47</v>
      </c>
      <c r="J1569" s="4" t="str">
        <f>HYPERLINK("http://141.218.60.56/~jnz1568/getInfo.php?workbook=16_15.xlsx&amp;sheet=A0&amp;row=1569&amp;col=10&amp;number=&amp;sourceID=54","")</f>
        <v/>
      </c>
      <c r="K1569" s="4" t="str">
        <f>HYPERLINK("http://141.218.60.56/~jnz1568/getInfo.php?workbook=16_15.xlsx&amp;sheet=A0&amp;row=1569&amp;col=11&amp;number=&amp;sourceID=54","")</f>
        <v/>
      </c>
      <c r="L1569" s="4" t="str">
        <f>HYPERLINK("http://141.218.60.56/~jnz1568/getInfo.php?workbook=16_15.xlsx&amp;sheet=A0&amp;row=1569&amp;col=12&amp;number=2724.72348105&amp;sourceID=53","2724.72348105")</f>
        <v>2724.72348105</v>
      </c>
      <c r="M1569" s="4" t="str">
        <f>HYPERLINK("http://141.218.60.56/~jnz1568/getInfo.php?workbook=16_15.xlsx&amp;sheet=A0&amp;row=1569&amp;col=13&amp;number=&amp;sourceID=53","")</f>
        <v/>
      </c>
      <c r="N1569" s="4" t="str">
        <f>HYPERLINK("http://141.218.60.56/~jnz1568/getInfo.php?workbook=16_15.xlsx&amp;sheet=A0&amp;row=1569&amp;col=14&amp;number=&amp;sourceID=53","")</f>
        <v/>
      </c>
      <c r="O1569" s="4" t="str">
        <f>HYPERLINK("http://141.218.60.56/~jnz1568/getInfo.php?workbook=16_15.xlsx&amp;sheet=A0&amp;row=1569&amp;col=15&amp;number=&amp;sourceID=55","")</f>
        <v/>
      </c>
      <c r="P1569" s="4" t="str">
        <f>HYPERLINK("http://141.218.60.56/~jnz1568/getInfo.php?workbook=16_15.xlsx&amp;sheet=A0&amp;row=1569&amp;col=16&amp;number=&amp;sourceID=55","")</f>
        <v/>
      </c>
      <c r="Q1569" s="4" t="str">
        <f>HYPERLINK("http://141.218.60.56/~jnz1568/getInfo.php?workbook=16_15.xlsx&amp;sheet=A0&amp;row=1569&amp;col=17&amp;number=&amp;sourceID=56","")</f>
        <v/>
      </c>
      <c r="R1569" s="4" t="str">
        <f>HYPERLINK("http://141.218.60.56/~jnz1568/getInfo.php?workbook=16_15.xlsx&amp;sheet=A0&amp;row=1569&amp;col=18&amp;number=&amp;sourceID=56","")</f>
        <v/>
      </c>
      <c r="S1569" s="4" t="str">
        <f>HYPERLINK("http://141.218.60.56/~jnz1568/getInfo.php?workbook=16_15.xlsx&amp;sheet=A0&amp;row=1569&amp;col=19&amp;number=&amp;sourceID=57","")</f>
        <v/>
      </c>
      <c r="T1569" s="4" t="str">
        <f>HYPERLINK("http://141.218.60.56/~jnz1568/getInfo.php?workbook=16_15.xlsx&amp;sheet=A0&amp;row=1569&amp;col=20&amp;number=&amp;sourceID=57","")</f>
        <v/>
      </c>
      <c r="U1569" s="4" t="str">
        <f>HYPERLINK("http://141.218.60.56/~jnz1568/getInfo.php?workbook=16_15.xlsx&amp;sheet=A0&amp;row=1569&amp;col=21&amp;number=&amp;sourceID=47","")</f>
        <v/>
      </c>
      <c r="V1569" s="4" t="str">
        <f>HYPERLINK("http://141.218.60.56/~jnz1568/getInfo.php?workbook=16_15.xlsx&amp;sheet=A0&amp;row=1569&amp;col=22&amp;number=&amp;sourceID=47","")</f>
        <v/>
      </c>
    </row>
    <row r="1570" spans="1:22">
      <c r="A1570" s="3">
        <v>16</v>
      </c>
      <c r="B1570" s="3">
        <v>15</v>
      </c>
      <c r="C1570" s="3">
        <v>63</v>
      </c>
      <c r="D1570" s="3">
        <v>61</v>
      </c>
      <c r="E1570" s="3">
        <f>((1/(INDEX(E0!J$4:J$73,C1570,1)-INDEX(E0!J$4:J$73,D1570,1))))*100000000</f>
        <v>0</v>
      </c>
      <c r="F1570" s="4" t="str">
        <f>HYPERLINK("http://141.218.60.56/~jnz1568/getInfo.php?workbook=16_15.xlsx&amp;sheet=A0&amp;row=1570&amp;col=6&amp;number=593.64&amp;sourceID=54","593.64")</f>
        <v>593.64</v>
      </c>
      <c r="G1570" s="4" t="str">
        <f>HYPERLINK("http://141.218.60.56/~jnz1568/getInfo.php?workbook=16_15.xlsx&amp;sheet=A0&amp;row=1570&amp;col=7&amp;number=&amp;sourceID=54","")</f>
        <v/>
      </c>
      <c r="H1570" s="4" t="str">
        <f>HYPERLINK("http://141.218.60.56/~jnz1568/getInfo.php?workbook=16_15.xlsx&amp;sheet=A0&amp;row=1570&amp;col=8&amp;number=&amp;sourceID=54","")</f>
        <v/>
      </c>
      <c r="I1570" s="4" t="str">
        <f>HYPERLINK("http://141.218.60.56/~jnz1568/getInfo.php?workbook=16_15.xlsx&amp;sheet=A0&amp;row=1570&amp;col=9&amp;number=37.791&amp;sourceID=54","37.791")</f>
        <v>37.791</v>
      </c>
      <c r="J1570" s="4" t="str">
        <f>HYPERLINK("http://141.218.60.56/~jnz1568/getInfo.php?workbook=16_15.xlsx&amp;sheet=A0&amp;row=1570&amp;col=10&amp;number=&amp;sourceID=54","")</f>
        <v/>
      </c>
      <c r="K1570" s="4" t="str">
        <f>HYPERLINK("http://141.218.60.56/~jnz1568/getInfo.php?workbook=16_15.xlsx&amp;sheet=A0&amp;row=1570&amp;col=11&amp;number=&amp;sourceID=54","")</f>
        <v/>
      </c>
      <c r="L1570" s="4" t="str">
        <f>HYPERLINK("http://141.218.60.56/~jnz1568/getInfo.php?workbook=16_15.xlsx&amp;sheet=A0&amp;row=1570&amp;col=12&amp;number=333.461874482&amp;sourceID=53","333.461874482")</f>
        <v>333.461874482</v>
      </c>
      <c r="M1570" s="4" t="str">
        <f>HYPERLINK("http://141.218.60.56/~jnz1568/getInfo.php?workbook=16_15.xlsx&amp;sheet=A0&amp;row=1570&amp;col=13&amp;number=&amp;sourceID=53","")</f>
        <v/>
      </c>
      <c r="N1570" s="4" t="str">
        <f>HYPERLINK("http://141.218.60.56/~jnz1568/getInfo.php?workbook=16_15.xlsx&amp;sheet=A0&amp;row=1570&amp;col=14&amp;number=&amp;sourceID=53","")</f>
        <v/>
      </c>
      <c r="O1570" s="4" t="str">
        <f>HYPERLINK("http://141.218.60.56/~jnz1568/getInfo.php?workbook=16_15.xlsx&amp;sheet=A0&amp;row=1570&amp;col=15&amp;number=&amp;sourceID=55","")</f>
        <v/>
      </c>
      <c r="P1570" s="4" t="str">
        <f>HYPERLINK("http://141.218.60.56/~jnz1568/getInfo.php?workbook=16_15.xlsx&amp;sheet=A0&amp;row=1570&amp;col=16&amp;number=&amp;sourceID=55","")</f>
        <v/>
      </c>
      <c r="Q1570" s="4" t="str">
        <f>HYPERLINK("http://141.218.60.56/~jnz1568/getInfo.php?workbook=16_15.xlsx&amp;sheet=A0&amp;row=1570&amp;col=17&amp;number=&amp;sourceID=56","")</f>
        <v/>
      </c>
      <c r="R1570" s="4" t="str">
        <f>HYPERLINK("http://141.218.60.56/~jnz1568/getInfo.php?workbook=16_15.xlsx&amp;sheet=A0&amp;row=1570&amp;col=18&amp;number=&amp;sourceID=56","")</f>
        <v/>
      </c>
      <c r="S1570" s="4" t="str">
        <f>HYPERLINK("http://141.218.60.56/~jnz1568/getInfo.php?workbook=16_15.xlsx&amp;sheet=A0&amp;row=1570&amp;col=19&amp;number=&amp;sourceID=57","")</f>
        <v/>
      </c>
      <c r="T1570" s="4" t="str">
        <f>HYPERLINK("http://141.218.60.56/~jnz1568/getInfo.php?workbook=16_15.xlsx&amp;sheet=A0&amp;row=1570&amp;col=20&amp;number=&amp;sourceID=57","")</f>
        <v/>
      </c>
      <c r="U1570" s="4" t="str">
        <f>HYPERLINK("http://141.218.60.56/~jnz1568/getInfo.php?workbook=16_15.xlsx&amp;sheet=A0&amp;row=1570&amp;col=21&amp;number=&amp;sourceID=47","")</f>
        <v/>
      </c>
      <c r="V1570" s="4" t="str">
        <f>HYPERLINK("http://141.218.60.56/~jnz1568/getInfo.php?workbook=16_15.xlsx&amp;sheet=A0&amp;row=1570&amp;col=22&amp;number=&amp;sourceID=47","")</f>
        <v/>
      </c>
    </row>
    <row r="1571" spans="1:22">
      <c r="A1571" s="3">
        <v>16</v>
      </c>
      <c r="B1571" s="3">
        <v>15</v>
      </c>
      <c r="C1571" s="3">
        <v>63</v>
      </c>
      <c r="D1571" s="3">
        <v>62</v>
      </c>
      <c r="E1571" s="3">
        <f>((1/(INDEX(E0!J$4:J$73,C1571,1)-INDEX(E0!J$4:J$73,D1571,1))))*100000000</f>
        <v>0</v>
      </c>
      <c r="F1571" s="4" t="str">
        <f>HYPERLINK("http://141.218.60.56/~jnz1568/getInfo.php?workbook=16_15.xlsx&amp;sheet=A0&amp;row=1571&amp;col=6&amp;number=&amp;sourceID=54","")</f>
        <v/>
      </c>
      <c r="G1571" s="4" t="str">
        <f>HYPERLINK("http://141.218.60.56/~jnz1568/getInfo.php?workbook=16_15.xlsx&amp;sheet=A0&amp;row=1571&amp;col=7&amp;number=1.5825e-11&amp;sourceID=54","1.5825e-11")</f>
        <v>1.5825e-11</v>
      </c>
      <c r="H1571" s="4" t="str">
        <f>HYPERLINK("http://141.218.60.56/~jnz1568/getInfo.php?workbook=16_15.xlsx&amp;sheet=A0&amp;row=1571&amp;col=8&amp;number=6.1057e-05&amp;sourceID=54","6.1057e-05")</f>
        <v>6.1057e-05</v>
      </c>
      <c r="I1571" s="4" t="str">
        <f>HYPERLINK("http://141.218.60.56/~jnz1568/getInfo.php?workbook=16_15.xlsx&amp;sheet=A0&amp;row=1571&amp;col=9&amp;number=&amp;sourceID=54","")</f>
        <v/>
      </c>
      <c r="J1571" s="4" t="str">
        <f>HYPERLINK("http://141.218.60.56/~jnz1568/getInfo.php?workbook=16_15.xlsx&amp;sheet=A0&amp;row=1571&amp;col=10&amp;number=1.5877e-11&amp;sourceID=54","1.5877e-11")</f>
        <v>1.5877e-11</v>
      </c>
      <c r="K1571" s="4" t="str">
        <f>HYPERLINK("http://141.218.60.56/~jnz1568/getInfo.php?workbook=16_15.xlsx&amp;sheet=A0&amp;row=1571&amp;col=11&amp;number=6.1199e-05&amp;sourceID=54","6.1199e-05")</f>
        <v>6.1199e-05</v>
      </c>
      <c r="L1571" s="4" t="str">
        <f>HYPERLINK("http://141.218.60.56/~jnz1568/getInfo.php?workbook=16_15.xlsx&amp;sheet=A0&amp;row=1571&amp;col=12&amp;number=&amp;sourceID=53","")</f>
        <v/>
      </c>
      <c r="M1571" s="4" t="str">
        <f>HYPERLINK("http://141.218.60.56/~jnz1568/getInfo.php?workbook=16_15.xlsx&amp;sheet=A0&amp;row=1571&amp;col=13&amp;number=&amp;sourceID=53","")</f>
        <v/>
      </c>
      <c r="N1571" s="4" t="str">
        <f>HYPERLINK("http://141.218.60.56/~jnz1568/getInfo.php?workbook=16_15.xlsx&amp;sheet=A0&amp;row=1571&amp;col=14&amp;number=&amp;sourceID=53","")</f>
        <v/>
      </c>
      <c r="O1571" s="4" t="str">
        <f>HYPERLINK("http://141.218.60.56/~jnz1568/getInfo.php?workbook=16_15.xlsx&amp;sheet=A0&amp;row=1571&amp;col=15&amp;number=&amp;sourceID=55","")</f>
        <v/>
      </c>
      <c r="P1571" s="4" t="str">
        <f>HYPERLINK("http://141.218.60.56/~jnz1568/getInfo.php?workbook=16_15.xlsx&amp;sheet=A0&amp;row=1571&amp;col=16&amp;number=&amp;sourceID=55","")</f>
        <v/>
      </c>
      <c r="Q1571" s="4" t="str">
        <f>HYPERLINK("http://141.218.60.56/~jnz1568/getInfo.php?workbook=16_15.xlsx&amp;sheet=A0&amp;row=1571&amp;col=17&amp;number=&amp;sourceID=56","")</f>
        <v/>
      </c>
      <c r="R1571" s="4" t="str">
        <f>HYPERLINK("http://141.218.60.56/~jnz1568/getInfo.php?workbook=16_15.xlsx&amp;sheet=A0&amp;row=1571&amp;col=18&amp;number=&amp;sourceID=56","")</f>
        <v/>
      </c>
      <c r="S1571" s="4" t="str">
        <f>HYPERLINK("http://141.218.60.56/~jnz1568/getInfo.php?workbook=16_15.xlsx&amp;sheet=A0&amp;row=1571&amp;col=19&amp;number=&amp;sourceID=57","")</f>
        <v/>
      </c>
      <c r="T1571" s="4" t="str">
        <f>HYPERLINK("http://141.218.60.56/~jnz1568/getInfo.php?workbook=16_15.xlsx&amp;sheet=A0&amp;row=1571&amp;col=20&amp;number=&amp;sourceID=57","")</f>
        <v/>
      </c>
      <c r="U1571" s="4" t="str">
        <f>HYPERLINK("http://141.218.60.56/~jnz1568/getInfo.php?workbook=16_15.xlsx&amp;sheet=A0&amp;row=1571&amp;col=21&amp;number=&amp;sourceID=47","")</f>
        <v/>
      </c>
      <c r="V1571" s="4" t="str">
        <f>HYPERLINK("http://141.218.60.56/~jnz1568/getInfo.php?workbook=16_15.xlsx&amp;sheet=A0&amp;row=1571&amp;col=22&amp;number=&amp;sourceID=47","")</f>
        <v/>
      </c>
    </row>
    <row r="1572" spans="1:22">
      <c r="A1572" s="3">
        <v>16</v>
      </c>
      <c r="B1572" s="3">
        <v>15</v>
      </c>
      <c r="C1572" s="3">
        <v>64</v>
      </c>
      <c r="D1572" s="3">
        <v>1</v>
      </c>
      <c r="E1572" s="3">
        <f>((1/(INDEX(E0!J$4:J$73,C1572,1)-INDEX(E0!J$4:J$73,D1572,1))))*100000000</f>
        <v>0</v>
      </c>
      <c r="F1572" s="4" t="str">
        <f>HYPERLINK("http://141.218.60.56/~jnz1568/getInfo.php?workbook=16_15.xlsx&amp;sheet=A0&amp;row=1572&amp;col=6&amp;number=51965&amp;sourceID=54","51965")</f>
        <v>51965</v>
      </c>
      <c r="G1572" s="4" t="str">
        <f>HYPERLINK("http://141.218.60.56/~jnz1568/getInfo.php?workbook=16_15.xlsx&amp;sheet=A0&amp;row=1572&amp;col=7&amp;number=&amp;sourceID=54","")</f>
        <v/>
      </c>
      <c r="H1572" s="4" t="str">
        <f>HYPERLINK("http://141.218.60.56/~jnz1568/getInfo.php?workbook=16_15.xlsx&amp;sheet=A0&amp;row=1572&amp;col=8&amp;number=&amp;sourceID=54","")</f>
        <v/>
      </c>
      <c r="I1572" s="4" t="str">
        <f>HYPERLINK("http://141.218.60.56/~jnz1568/getInfo.php?workbook=16_15.xlsx&amp;sheet=A0&amp;row=1572&amp;col=9&amp;number=128780&amp;sourceID=54","128780")</f>
        <v>128780</v>
      </c>
      <c r="J1572" s="4" t="str">
        <f>HYPERLINK("http://141.218.60.56/~jnz1568/getInfo.php?workbook=16_15.xlsx&amp;sheet=A0&amp;row=1572&amp;col=10&amp;number=&amp;sourceID=54","")</f>
        <v/>
      </c>
      <c r="K1572" s="4" t="str">
        <f>HYPERLINK("http://141.218.60.56/~jnz1568/getInfo.php?workbook=16_15.xlsx&amp;sheet=A0&amp;row=1572&amp;col=11&amp;number=&amp;sourceID=54","")</f>
        <v/>
      </c>
      <c r="L1572" s="4" t="str">
        <f>HYPERLINK("http://141.218.60.56/~jnz1568/getInfo.php?workbook=16_15.xlsx&amp;sheet=A0&amp;row=1572&amp;col=12&amp;number=42756.051543&amp;sourceID=53","42756.051543")</f>
        <v>42756.051543</v>
      </c>
      <c r="M1572" s="4" t="str">
        <f>HYPERLINK("http://141.218.60.56/~jnz1568/getInfo.php?workbook=16_15.xlsx&amp;sheet=A0&amp;row=1572&amp;col=13&amp;number=&amp;sourceID=53","")</f>
        <v/>
      </c>
      <c r="N1572" s="4" t="str">
        <f>HYPERLINK("http://141.218.60.56/~jnz1568/getInfo.php?workbook=16_15.xlsx&amp;sheet=A0&amp;row=1572&amp;col=14&amp;number=&amp;sourceID=53","")</f>
        <v/>
      </c>
      <c r="O1572" s="4" t="str">
        <f>HYPERLINK("http://141.218.60.56/~jnz1568/getInfo.php?workbook=16_15.xlsx&amp;sheet=A0&amp;row=1572&amp;col=15&amp;number=&amp;sourceID=55","")</f>
        <v/>
      </c>
      <c r="P1572" s="4" t="str">
        <f>HYPERLINK("http://141.218.60.56/~jnz1568/getInfo.php?workbook=16_15.xlsx&amp;sheet=A0&amp;row=1572&amp;col=16&amp;number=&amp;sourceID=55","")</f>
        <v/>
      </c>
      <c r="Q1572" s="4" t="str">
        <f>HYPERLINK("http://141.218.60.56/~jnz1568/getInfo.php?workbook=16_15.xlsx&amp;sheet=A0&amp;row=1572&amp;col=17&amp;number=&amp;sourceID=56","")</f>
        <v/>
      </c>
      <c r="R1572" s="4" t="str">
        <f>HYPERLINK("http://141.218.60.56/~jnz1568/getInfo.php?workbook=16_15.xlsx&amp;sheet=A0&amp;row=1572&amp;col=18&amp;number=&amp;sourceID=56","")</f>
        <v/>
      </c>
      <c r="S1572" s="4" t="str">
        <f>HYPERLINK("http://141.218.60.56/~jnz1568/getInfo.php?workbook=16_15.xlsx&amp;sheet=A0&amp;row=1572&amp;col=19&amp;number=&amp;sourceID=57","")</f>
        <v/>
      </c>
      <c r="T1572" s="4" t="str">
        <f>HYPERLINK("http://141.218.60.56/~jnz1568/getInfo.php?workbook=16_15.xlsx&amp;sheet=A0&amp;row=1572&amp;col=20&amp;number=&amp;sourceID=57","")</f>
        <v/>
      </c>
      <c r="U1572" s="4" t="str">
        <f>HYPERLINK("http://141.218.60.56/~jnz1568/getInfo.php?workbook=16_15.xlsx&amp;sheet=A0&amp;row=1572&amp;col=21&amp;number=&amp;sourceID=47","")</f>
        <v/>
      </c>
      <c r="V1572" s="4" t="str">
        <f>HYPERLINK("http://141.218.60.56/~jnz1568/getInfo.php?workbook=16_15.xlsx&amp;sheet=A0&amp;row=1572&amp;col=22&amp;number=&amp;sourceID=47","")</f>
        <v/>
      </c>
    </row>
    <row r="1573" spans="1:22">
      <c r="A1573" s="3">
        <v>16</v>
      </c>
      <c r="B1573" s="3">
        <v>15</v>
      </c>
      <c r="C1573" s="3">
        <v>64</v>
      </c>
      <c r="D1573" s="3">
        <v>2</v>
      </c>
      <c r="E1573" s="3">
        <f>((1/(INDEX(E0!J$4:J$73,C1573,1)-INDEX(E0!J$4:J$73,D1573,1))))*100000000</f>
        <v>0</v>
      </c>
      <c r="F1573" s="4" t="str">
        <f>HYPERLINK("http://141.218.60.56/~jnz1568/getInfo.php?workbook=16_15.xlsx&amp;sheet=A0&amp;row=1573&amp;col=6&amp;number=3526700000&amp;sourceID=54","3526700000")</f>
        <v>3526700000</v>
      </c>
      <c r="G1573" s="4" t="str">
        <f>HYPERLINK("http://141.218.60.56/~jnz1568/getInfo.php?workbook=16_15.xlsx&amp;sheet=A0&amp;row=1573&amp;col=7&amp;number=&amp;sourceID=54","")</f>
        <v/>
      </c>
      <c r="H1573" s="4" t="str">
        <f>HYPERLINK("http://141.218.60.56/~jnz1568/getInfo.php?workbook=16_15.xlsx&amp;sheet=A0&amp;row=1573&amp;col=8&amp;number=&amp;sourceID=54","")</f>
        <v/>
      </c>
      <c r="I1573" s="4" t="str">
        <f>HYPERLINK("http://141.218.60.56/~jnz1568/getInfo.php?workbook=16_15.xlsx&amp;sheet=A0&amp;row=1573&amp;col=9&amp;number=1039400000&amp;sourceID=54","1039400000")</f>
        <v>1039400000</v>
      </c>
      <c r="J1573" s="4" t="str">
        <f>HYPERLINK("http://141.218.60.56/~jnz1568/getInfo.php?workbook=16_15.xlsx&amp;sheet=A0&amp;row=1573&amp;col=10&amp;number=&amp;sourceID=54","")</f>
        <v/>
      </c>
      <c r="K1573" s="4" t="str">
        <f>HYPERLINK("http://141.218.60.56/~jnz1568/getInfo.php?workbook=16_15.xlsx&amp;sheet=A0&amp;row=1573&amp;col=11&amp;number=&amp;sourceID=54","")</f>
        <v/>
      </c>
      <c r="L1573" s="4" t="str">
        <f>HYPERLINK("http://141.218.60.56/~jnz1568/getInfo.php?workbook=16_15.xlsx&amp;sheet=A0&amp;row=1573&amp;col=12&amp;number=202216154.18&amp;sourceID=53","202216154.18")</f>
        <v>202216154.18</v>
      </c>
      <c r="M1573" s="4" t="str">
        <f>HYPERLINK("http://141.218.60.56/~jnz1568/getInfo.php?workbook=16_15.xlsx&amp;sheet=A0&amp;row=1573&amp;col=13&amp;number=&amp;sourceID=53","")</f>
        <v/>
      </c>
      <c r="N1573" s="4" t="str">
        <f>HYPERLINK("http://141.218.60.56/~jnz1568/getInfo.php?workbook=16_15.xlsx&amp;sheet=A0&amp;row=1573&amp;col=14&amp;number=&amp;sourceID=53","")</f>
        <v/>
      </c>
      <c r="O1573" s="4" t="str">
        <f>HYPERLINK("http://141.218.60.56/~jnz1568/getInfo.php?workbook=16_15.xlsx&amp;sheet=A0&amp;row=1573&amp;col=15&amp;number=&amp;sourceID=55","")</f>
        <v/>
      </c>
      <c r="P1573" s="4" t="str">
        <f>HYPERLINK("http://141.218.60.56/~jnz1568/getInfo.php?workbook=16_15.xlsx&amp;sheet=A0&amp;row=1573&amp;col=16&amp;number=&amp;sourceID=55","")</f>
        <v/>
      </c>
      <c r="Q1573" s="4" t="str">
        <f>HYPERLINK("http://141.218.60.56/~jnz1568/getInfo.php?workbook=16_15.xlsx&amp;sheet=A0&amp;row=1573&amp;col=17&amp;number=&amp;sourceID=56","")</f>
        <v/>
      </c>
      <c r="R1573" s="4" t="str">
        <f>HYPERLINK("http://141.218.60.56/~jnz1568/getInfo.php?workbook=16_15.xlsx&amp;sheet=A0&amp;row=1573&amp;col=18&amp;number=&amp;sourceID=56","")</f>
        <v/>
      </c>
      <c r="S1573" s="4" t="str">
        <f>HYPERLINK("http://141.218.60.56/~jnz1568/getInfo.php?workbook=16_15.xlsx&amp;sheet=A0&amp;row=1573&amp;col=19&amp;number=&amp;sourceID=57","")</f>
        <v/>
      </c>
      <c r="T1573" s="4" t="str">
        <f>HYPERLINK("http://141.218.60.56/~jnz1568/getInfo.php?workbook=16_15.xlsx&amp;sheet=A0&amp;row=1573&amp;col=20&amp;number=&amp;sourceID=57","")</f>
        <v/>
      </c>
      <c r="U1573" s="4" t="str">
        <f>HYPERLINK("http://141.218.60.56/~jnz1568/getInfo.php?workbook=16_15.xlsx&amp;sheet=A0&amp;row=1573&amp;col=21&amp;number=&amp;sourceID=47","")</f>
        <v/>
      </c>
      <c r="V1573" s="4" t="str">
        <f>HYPERLINK("http://141.218.60.56/~jnz1568/getInfo.php?workbook=16_15.xlsx&amp;sheet=A0&amp;row=1573&amp;col=22&amp;number=&amp;sourceID=47","")</f>
        <v/>
      </c>
    </row>
    <row r="1574" spans="1:22">
      <c r="A1574" s="3">
        <v>16</v>
      </c>
      <c r="B1574" s="3">
        <v>15</v>
      </c>
      <c r="C1574" s="3">
        <v>64</v>
      </c>
      <c r="D1574" s="3">
        <v>3</v>
      </c>
      <c r="E1574" s="3">
        <f>((1/(INDEX(E0!J$4:J$73,C1574,1)-INDEX(E0!J$4:J$73,D1574,1))))*100000000</f>
        <v>0</v>
      </c>
      <c r="F1574" s="4" t="str">
        <f>HYPERLINK("http://141.218.60.56/~jnz1568/getInfo.php?workbook=16_15.xlsx&amp;sheet=A0&amp;row=1574&amp;col=6&amp;number=1365900000&amp;sourceID=54","1365900000")</f>
        <v>1365900000</v>
      </c>
      <c r="G1574" s="4" t="str">
        <f>HYPERLINK("http://141.218.60.56/~jnz1568/getInfo.php?workbook=16_15.xlsx&amp;sheet=A0&amp;row=1574&amp;col=7&amp;number=&amp;sourceID=54","")</f>
        <v/>
      </c>
      <c r="H1574" s="4" t="str">
        <f>HYPERLINK("http://141.218.60.56/~jnz1568/getInfo.php?workbook=16_15.xlsx&amp;sheet=A0&amp;row=1574&amp;col=8&amp;number=&amp;sourceID=54","")</f>
        <v/>
      </c>
      <c r="I1574" s="4" t="str">
        <f>HYPERLINK("http://141.218.60.56/~jnz1568/getInfo.php?workbook=16_15.xlsx&amp;sheet=A0&amp;row=1574&amp;col=9&amp;number=3276900000&amp;sourceID=54","3276900000")</f>
        <v>3276900000</v>
      </c>
      <c r="J1574" s="4" t="str">
        <f>HYPERLINK("http://141.218.60.56/~jnz1568/getInfo.php?workbook=16_15.xlsx&amp;sheet=A0&amp;row=1574&amp;col=10&amp;number=&amp;sourceID=54","")</f>
        <v/>
      </c>
      <c r="K1574" s="4" t="str">
        <f>HYPERLINK("http://141.218.60.56/~jnz1568/getInfo.php?workbook=16_15.xlsx&amp;sheet=A0&amp;row=1574&amp;col=11&amp;number=&amp;sourceID=54","")</f>
        <v/>
      </c>
      <c r="L1574" s="4" t="str">
        <f>HYPERLINK("http://141.218.60.56/~jnz1568/getInfo.php?workbook=16_15.xlsx&amp;sheet=A0&amp;row=1574&amp;col=12&amp;number=3725286715.16&amp;sourceID=53","3725286715.16")</f>
        <v>3725286715.16</v>
      </c>
      <c r="M1574" s="4" t="str">
        <f>HYPERLINK("http://141.218.60.56/~jnz1568/getInfo.php?workbook=16_15.xlsx&amp;sheet=A0&amp;row=1574&amp;col=13&amp;number=&amp;sourceID=53","")</f>
        <v/>
      </c>
      <c r="N1574" s="4" t="str">
        <f>HYPERLINK("http://141.218.60.56/~jnz1568/getInfo.php?workbook=16_15.xlsx&amp;sheet=A0&amp;row=1574&amp;col=14&amp;number=&amp;sourceID=53","")</f>
        <v/>
      </c>
      <c r="O1574" s="4" t="str">
        <f>HYPERLINK("http://141.218.60.56/~jnz1568/getInfo.php?workbook=16_15.xlsx&amp;sheet=A0&amp;row=1574&amp;col=15&amp;number=&amp;sourceID=55","")</f>
        <v/>
      </c>
      <c r="P1574" s="4" t="str">
        <f>HYPERLINK("http://141.218.60.56/~jnz1568/getInfo.php?workbook=16_15.xlsx&amp;sheet=A0&amp;row=1574&amp;col=16&amp;number=&amp;sourceID=55","")</f>
        <v/>
      </c>
      <c r="Q1574" s="4" t="str">
        <f>HYPERLINK("http://141.218.60.56/~jnz1568/getInfo.php?workbook=16_15.xlsx&amp;sheet=A0&amp;row=1574&amp;col=17&amp;number=&amp;sourceID=56","")</f>
        <v/>
      </c>
      <c r="R1574" s="4" t="str">
        <f>HYPERLINK("http://141.218.60.56/~jnz1568/getInfo.php?workbook=16_15.xlsx&amp;sheet=A0&amp;row=1574&amp;col=18&amp;number=&amp;sourceID=56","")</f>
        <v/>
      </c>
      <c r="S1574" s="4" t="str">
        <f>HYPERLINK("http://141.218.60.56/~jnz1568/getInfo.php?workbook=16_15.xlsx&amp;sheet=A0&amp;row=1574&amp;col=19&amp;number=&amp;sourceID=57","")</f>
        <v/>
      </c>
      <c r="T1574" s="4" t="str">
        <f>HYPERLINK("http://141.218.60.56/~jnz1568/getInfo.php?workbook=16_15.xlsx&amp;sheet=A0&amp;row=1574&amp;col=20&amp;number=&amp;sourceID=57","")</f>
        <v/>
      </c>
      <c r="U1574" s="4" t="str">
        <f>HYPERLINK("http://141.218.60.56/~jnz1568/getInfo.php?workbook=16_15.xlsx&amp;sheet=A0&amp;row=1574&amp;col=21&amp;number=&amp;sourceID=47","")</f>
        <v/>
      </c>
      <c r="V1574" s="4" t="str">
        <f>HYPERLINK("http://141.218.60.56/~jnz1568/getInfo.php?workbook=16_15.xlsx&amp;sheet=A0&amp;row=1574&amp;col=22&amp;number=&amp;sourceID=47","")</f>
        <v/>
      </c>
    </row>
    <row r="1575" spans="1:22">
      <c r="A1575" s="3">
        <v>16</v>
      </c>
      <c r="B1575" s="3">
        <v>15</v>
      </c>
      <c r="C1575" s="3">
        <v>64</v>
      </c>
      <c r="D1575" s="3">
        <v>4</v>
      </c>
      <c r="E1575" s="3">
        <f>((1/(INDEX(E0!J$4:J$73,C1575,1)-INDEX(E0!J$4:J$73,D1575,1))))*100000000</f>
        <v>0</v>
      </c>
      <c r="F1575" s="4" t="str">
        <f>HYPERLINK("http://141.218.60.56/~jnz1568/getInfo.php?workbook=16_15.xlsx&amp;sheet=A0&amp;row=1575&amp;col=6&amp;number=18933000&amp;sourceID=54","18933000")</f>
        <v>18933000</v>
      </c>
      <c r="G1575" s="4" t="str">
        <f>HYPERLINK("http://141.218.60.56/~jnz1568/getInfo.php?workbook=16_15.xlsx&amp;sheet=A0&amp;row=1575&amp;col=7&amp;number=&amp;sourceID=54","")</f>
        <v/>
      </c>
      <c r="H1575" s="4" t="str">
        <f>HYPERLINK("http://141.218.60.56/~jnz1568/getInfo.php?workbook=16_15.xlsx&amp;sheet=A0&amp;row=1575&amp;col=8&amp;number=&amp;sourceID=54","")</f>
        <v/>
      </c>
      <c r="I1575" s="4" t="str">
        <f>HYPERLINK("http://141.218.60.56/~jnz1568/getInfo.php?workbook=16_15.xlsx&amp;sheet=A0&amp;row=1575&amp;col=9&amp;number=171220000&amp;sourceID=54","171220000")</f>
        <v>171220000</v>
      </c>
      <c r="J1575" s="4" t="str">
        <f>HYPERLINK("http://141.218.60.56/~jnz1568/getInfo.php?workbook=16_15.xlsx&amp;sheet=A0&amp;row=1575&amp;col=10&amp;number=&amp;sourceID=54","")</f>
        <v/>
      </c>
      <c r="K1575" s="4" t="str">
        <f>HYPERLINK("http://141.218.60.56/~jnz1568/getInfo.php?workbook=16_15.xlsx&amp;sheet=A0&amp;row=1575&amp;col=11&amp;number=&amp;sourceID=54","")</f>
        <v/>
      </c>
      <c r="L1575" s="4" t="str">
        <f>HYPERLINK("http://141.218.60.56/~jnz1568/getInfo.php?workbook=16_15.xlsx&amp;sheet=A0&amp;row=1575&amp;col=12&amp;number=316615299.643&amp;sourceID=53","316615299.643")</f>
        <v>316615299.643</v>
      </c>
      <c r="M1575" s="4" t="str">
        <f>HYPERLINK("http://141.218.60.56/~jnz1568/getInfo.php?workbook=16_15.xlsx&amp;sheet=A0&amp;row=1575&amp;col=13&amp;number=&amp;sourceID=53","")</f>
        <v/>
      </c>
      <c r="N1575" s="4" t="str">
        <f>HYPERLINK("http://141.218.60.56/~jnz1568/getInfo.php?workbook=16_15.xlsx&amp;sheet=A0&amp;row=1575&amp;col=14&amp;number=&amp;sourceID=53","")</f>
        <v/>
      </c>
      <c r="O1575" s="4" t="str">
        <f>HYPERLINK("http://141.218.60.56/~jnz1568/getInfo.php?workbook=16_15.xlsx&amp;sheet=A0&amp;row=1575&amp;col=15&amp;number=&amp;sourceID=55","")</f>
        <v/>
      </c>
      <c r="P1575" s="4" t="str">
        <f>HYPERLINK("http://141.218.60.56/~jnz1568/getInfo.php?workbook=16_15.xlsx&amp;sheet=A0&amp;row=1575&amp;col=16&amp;number=&amp;sourceID=55","")</f>
        <v/>
      </c>
      <c r="Q1575" s="4" t="str">
        <f>HYPERLINK("http://141.218.60.56/~jnz1568/getInfo.php?workbook=16_15.xlsx&amp;sheet=A0&amp;row=1575&amp;col=17&amp;number=&amp;sourceID=56","")</f>
        <v/>
      </c>
      <c r="R1575" s="4" t="str">
        <f>HYPERLINK("http://141.218.60.56/~jnz1568/getInfo.php?workbook=16_15.xlsx&amp;sheet=A0&amp;row=1575&amp;col=18&amp;number=&amp;sourceID=56","")</f>
        <v/>
      </c>
      <c r="S1575" s="4" t="str">
        <f>HYPERLINK("http://141.218.60.56/~jnz1568/getInfo.php?workbook=16_15.xlsx&amp;sheet=A0&amp;row=1575&amp;col=19&amp;number=&amp;sourceID=57","")</f>
        <v/>
      </c>
      <c r="T1575" s="4" t="str">
        <f>HYPERLINK("http://141.218.60.56/~jnz1568/getInfo.php?workbook=16_15.xlsx&amp;sheet=A0&amp;row=1575&amp;col=20&amp;number=&amp;sourceID=57","")</f>
        <v/>
      </c>
      <c r="U1575" s="4" t="str">
        <f>HYPERLINK("http://141.218.60.56/~jnz1568/getInfo.php?workbook=16_15.xlsx&amp;sheet=A0&amp;row=1575&amp;col=21&amp;number=&amp;sourceID=47","")</f>
        <v/>
      </c>
      <c r="V1575" s="4" t="str">
        <f>HYPERLINK("http://141.218.60.56/~jnz1568/getInfo.php?workbook=16_15.xlsx&amp;sheet=A0&amp;row=1575&amp;col=22&amp;number=&amp;sourceID=47","")</f>
        <v/>
      </c>
    </row>
    <row r="1576" spans="1:22">
      <c r="A1576" s="3">
        <v>16</v>
      </c>
      <c r="B1576" s="3">
        <v>15</v>
      </c>
      <c r="C1576" s="3">
        <v>64</v>
      </c>
      <c r="D1576" s="3">
        <v>5</v>
      </c>
      <c r="E1576" s="3">
        <f>((1/(INDEX(E0!J$4:J$73,C1576,1)-INDEX(E0!J$4:J$73,D1576,1))))*100000000</f>
        <v>0</v>
      </c>
      <c r="F1576" s="4" t="str">
        <f>HYPERLINK("http://141.218.60.56/~jnz1568/getInfo.php?workbook=16_15.xlsx&amp;sheet=A0&amp;row=1576&amp;col=6&amp;number=1076900000&amp;sourceID=54","1076900000")</f>
        <v>1076900000</v>
      </c>
      <c r="G1576" s="4" t="str">
        <f>HYPERLINK("http://141.218.60.56/~jnz1568/getInfo.php?workbook=16_15.xlsx&amp;sheet=A0&amp;row=1576&amp;col=7&amp;number=&amp;sourceID=54","")</f>
        <v/>
      </c>
      <c r="H1576" s="4" t="str">
        <f>HYPERLINK("http://141.218.60.56/~jnz1568/getInfo.php?workbook=16_15.xlsx&amp;sheet=A0&amp;row=1576&amp;col=8&amp;number=&amp;sourceID=54","")</f>
        <v/>
      </c>
      <c r="I1576" s="4" t="str">
        <f>HYPERLINK("http://141.218.60.56/~jnz1568/getInfo.php?workbook=16_15.xlsx&amp;sheet=A0&amp;row=1576&amp;col=9&amp;number=1443000000&amp;sourceID=54","1443000000")</f>
        <v>1443000000</v>
      </c>
      <c r="J1576" s="4" t="str">
        <f>HYPERLINK("http://141.218.60.56/~jnz1568/getInfo.php?workbook=16_15.xlsx&amp;sheet=A0&amp;row=1576&amp;col=10&amp;number=&amp;sourceID=54","")</f>
        <v/>
      </c>
      <c r="K1576" s="4" t="str">
        <f>HYPERLINK("http://141.218.60.56/~jnz1568/getInfo.php?workbook=16_15.xlsx&amp;sheet=A0&amp;row=1576&amp;col=11&amp;number=&amp;sourceID=54","")</f>
        <v/>
      </c>
      <c r="L1576" s="4" t="str">
        <f>HYPERLINK("http://141.218.60.56/~jnz1568/getInfo.php?workbook=16_15.xlsx&amp;sheet=A0&amp;row=1576&amp;col=12&amp;number=2105338447.27&amp;sourceID=53","2105338447.27")</f>
        <v>2105338447.27</v>
      </c>
      <c r="M1576" s="4" t="str">
        <f>HYPERLINK("http://141.218.60.56/~jnz1568/getInfo.php?workbook=16_15.xlsx&amp;sheet=A0&amp;row=1576&amp;col=13&amp;number=&amp;sourceID=53","")</f>
        <v/>
      </c>
      <c r="N1576" s="4" t="str">
        <f>HYPERLINK("http://141.218.60.56/~jnz1568/getInfo.php?workbook=16_15.xlsx&amp;sheet=A0&amp;row=1576&amp;col=14&amp;number=&amp;sourceID=53","")</f>
        <v/>
      </c>
      <c r="O1576" s="4" t="str">
        <f>HYPERLINK("http://141.218.60.56/~jnz1568/getInfo.php?workbook=16_15.xlsx&amp;sheet=A0&amp;row=1576&amp;col=15&amp;number=&amp;sourceID=55","")</f>
        <v/>
      </c>
      <c r="P1576" s="4" t="str">
        <f>HYPERLINK("http://141.218.60.56/~jnz1568/getInfo.php?workbook=16_15.xlsx&amp;sheet=A0&amp;row=1576&amp;col=16&amp;number=&amp;sourceID=55","")</f>
        <v/>
      </c>
      <c r="Q1576" s="4" t="str">
        <f>HYPERLINK("http://141.218.60.56/~jnz1568/getInfo.php?workbook=16_15.xlsx&amp;sheet=A0&amp;row=1576&amp;col=17&amp;number=&amp;sourceID=56","")</f>
        <v/>
      </c>
      <c r="R1576" s="4" t="str">
        <f>HYPERLINK("http://141.218.60.56/~jnz1568/getInfo.php?workbook=16_15.xlsx&amp;sheet=A0&amp;row=1576&amp;col=18&amp;number=&amp;sourceID=56","")</f>
        <v/>
      </c>
      <c r="S1576" s="4" t="str">
        <f>HYPERLINK("http://141.218.60.56/~jnz1568/getInfo.php?workbook=16_15.xlsx&amp;sheet=A0&amp;row=1576&amp;col=19&amp;number=&amp;sourceID=57","")</f>
        <v/>
      </c>
      <c r="T1576" s="4" t="str">
        <f>HYPERLINK("http://141.218.60.56/~jnz1568/getInfo.php?workbook=16_15.xlsx&amp;sheet=A0&amp;row=1576&amp;col=20&amp;number=&amp;sourceID=57","")</f>
        <v/>
      </c>
      <c r="U1576" s="4" t="str">
        <f>HYPERLINK("http://141.218.60.56/~jnz1568/getInfo.php?workbook=16_15.xlsx&amp;sheet=A0&amp;row=1576&amp;col=21&amp;number=&amp;sourceID=47","")</f>
        <v/>
      </c>
      <c r="V1576" s="4" t="str">
        <f>HYPERLINK("http://141.218.60.56/~jnz1568/getInfo.php?workbook=16_15.xlsx&amp;sheet=A0&amp;row=1576&amp;col=22&amp;number=&amp;sourceID=47","")</f>
        <v/>
      </c>
    </row>
    <row r="1577" spans="1:22">
      <c r="A1577" s="3">
        <v>16</v>
      </c>
      <c r="B1577" s="3">
        <v>15</v>
      </c>
      <c r="C1577" s="3">
        <v>64</v>
      </c>
      <c r="D1577" s="3">
        <v>6</v>
      </c>
      <c r="E1577" s="3">
        <f>((1/(INDEX(E0!J$4:J$73,C1577,1)-INDEX(E0!J$4:J$73,D1577,1))))*100000000</f>
        <v>0</v>
      </c>
      <c r="F1577" s="4" t="str">
        <f>HYPERLINK("http://141.218.60.56/~jnz1568/getInfo.php?workbook=16_15.xlsx&amp;sheet=A0&amp;row=1577&amp;col=6&amp;number=&amp;sourceID=54","")</f>
        <v/>
      </c>
      <c r="G1577" s="4" t="str">
        <f>HYPERLINK("http://141.218.60.56/~jnz1568/getInfo.php?workbook=16_15.xlsx&amp;sheet=A0&amp;row=1577&amp;col=7&amp;number=0.0012874&amp;sourceID=54","0.0012874")</f>
        <v>0.0012874</v>
      </c>
      <c r="H1577" s="4" t="str">
        <f>HYPERLINK("http://141.218.60.56/~jnz1568/getInfo.php?workbook=16_15.xlsx&amp;sheet=A0&amp;row=1577&amp;col=8&amp;number=0.0059254&amp;sourceID=54","0.0059254")</f>
        <v>0.0059254</v>
      </c>
      <c r="I1577" s="4" t="str">
        <f>HYPERLINK("http://141.218.60.56/~jnz1568/getInfo.php?workbook=16_15.xlsx&amp;sheet=A0&amp;row=1577&amp;col=9&amp;number=&amp;sourceID=54","")</f>
        <v/>
      </c>
      <c r="J1577" s="4" t="str">
        <f>HYPERLINK("http://141.218.60.56/~jnz1568/getInfo.php?workbook=16_15.xlsx&amp;sheet=A0&amp;row=1577&amp;col=10&amp;number=0.00017765&amp;sourceID=54","0.00017765")</f>
        <v>0.00017765</v>
      </c>
      <c r="K1577" s="4" t="str">
        <f>HYPERLINK("http://141.218.60.56/~jnz1568/getInfo.php?workbook=16_15.xlsx&amp;sheet=A0&amp;row=1577&amp;col=11&amp;number=0.012853&amp;sourceID=54","0.012853")</f>
        <v>0.012853</v>
      </c>
      <c r="L1577" s="4" t="str">
        <f>HYPERLINK("http://141.218.60.56/~jnz1568/getInfo.php?workbook=16_15.xlsx&amp;sheet=A0&amp;row=1577&amp;col=12&amp;number=&amp;sourceID=53","")</f>
        <v/>
      </c>
      <c r="M1577" s="4" t="str">
        <f>HYPERLINK("http://141.218.60.56/~jnz1568/getInfo.php?workbook=16_15.xlsx&amp;sheet=A0&amp;row=1577&amp;col=13&amp;number=&amp;sourceID=53","")</f>
        <v/>
      </c>
      <c r="N1577" s="4" t="str">
        <f>HYPERLINK("http://141.218.60.56/~jnz1568/getInfo.php?workbook=16_15.xlsx&amp;sheet=A0&amp;row=1577&amp;col=14&amp;number=&amp;sourceID=53","")</f>
        <v/>
      </c>
      <c r="O1577" s="4" t="str">
        <f>HYPERLINK("http://141.218.60.56/~jnz1568/getInfo.php?workbook=16_15.xlsx&amp;sheet=A0&amp;row=1577&amp;col=15&amp;number=&amp;sourceID=55","")</f>
        <v/>
      </c>
      <c r="P1577" s="4" t="str">
        <f>HYPERLINK("http://141.218.60.56/~jnz1568/getInfo.php?workbook=16_15.xlsx&amp;sheet=A0&amp;row=1577&amp;col=16&amp;number=&amp;sourceID=55","")</f>
        <v/>
      </c>
      <c r="Q1577" s="4" t="str">
        <f>HYPERLINK("http://141.218.60.56/~jnz1568/getInfo.php?workbook=16_15.xlsx&amp;sheet=A0&amp;row=1577&amp;col=17&amp;number=&amp;sourceID=56","")</f>
        <v/>
      </c>
      <c r="R1577" s="4" t="str">
        <f>HYPERLINK("http://141.218.60.56/~jnz1568/getInfo.php?workbook=16_15.xlsx&amp;sheet=A0&amp;row=1577&amp;col=18&amp;number=&amp;sourceID=56","")</f>
        <v/>
      </c>
      <c r="S1577" s="4" t="str">
        <f>HYPERLINK("http://141.218.60.56/~jnz1568/getInfo.php?workbook=16_15.xlsx&amp;sheet=A0&amp;row=1577&amp;col=19&amp;number=&amp;sourceID=57","")</f>
        <v/>
      </c>
      <c r="T1577" s="4" t="str">
        <f>HYPERLINK("http://141.218.60.56/~jnz1568/getInfo.php?workbook=16_15.xlsx&amp;sheet=A0&amp;row=1577&amp;col=20&amp;number=&amp;sourceID=57","")</f>
        <v/>
      </c>
      <c r="U1577" s="4" t="str">
        <f>HYPERLINK("http://141.218.60.56/~jnz1568/getInfo.php?workbook=16_15.xlsx&amp;sheet=A0&amp;row=1577&amp;col=21&amp;number=&amp;sourceID=47","")</f>
        <v/>
      </c>
      <c r="V1577" s="4" t="str">
        <f>HYPERLINK("http://141.218.60.56/~jnz1568/getInfo.php?workbook=16_15.xlsx&amp;sheet=A0&amp;row=1577&amp;col=22&amp;number=&amp;sourceID=47","")</f>
        <v/>
      </c>
    </row>
    <row r="1578" spans="1:22">
      <c r="A1578" s="3">
        <v>16</v>
      </c>
      <c r="B1578" s="3">
        <v>15</v>
      </c>
      <c r="C1578" s="3">
        <v>64</v>
      </c>
      <c r="D1578" s="3">
        <v>7</v>
      </c>
      <c r="E1578" s="3">
        <f>((1/(INDEX(E0!J$4:J$73,C1578,1)-INDEX(E0!J$4:J$73,D1578,1))))*100000000</f>
        <v>0</v>
      </c>
      <c r="F1578" s="4" t="str">
        <f>HYPERLINK("http://141.218.60.56/~jnz1568/getInfo.php?workbook=16_15.xlsx&amp;sheet=A0&amp;row=1578&amp;col=6&amp;number=&amp;sourceID=54","")</f>
        <v/>
      </c>
      <c r="G1578" s="4" t="str">
        <f>HYPERLINK("http://141.218.60.56/~jnz1568/getInfo.php?workbook=16_15.xlsx&amp;sheet=A0&amp;row=1578&amp;col=7&amp;number=9.1436e-05&amp;sourceID=54","9.1436e-05")</f>
        <v>9.1436e-05</v>
      </c>
      <c r="H1578" s="4" t="str">
        <f>HYPERLINK("http://141.218.60.56/~jnz1568/getInfo.php?workbook=16_15.xlsx&amp;sheet=A0&amp;row=1578&amp;col=8&amp;number=0.015475&amp;sourceID=54","0.015475")</f>
        <v>0.015475</v>
      </c>
      <c r="I1578" s="4" t="str">
        <f>HYPERLINK("http://141.218.60.56/~jnz1568/getInfo.php?workbook=16_15.xlsx&amp;sheet=A0&amp;row=1578&amp;col=9&amp;number=&amp;sourceID=54","")</f>
        <v/>
      </c>
      <c r="J1578" s="4" t="str">
        <f>HYPERLINK("http://141.218.60.56/~jnz1568/getInfo.php?workbook=16_15.xlsx&amp;sheet=A0&amp;row=1578&amp;col=10&amp;number=0.00013639&amp;sourceID=54","0.00013639")</f>
        <v>0.00013639</v>
      </c>
      <c r="K1578" s="4" t="str">
        <f>HYPERLINK("http://141.218.60.56/~jnz1568/getInfo.php?workbook=16_15.xlsx&amp;sheet=A0&amp;row=1578&amp;col=11&amp;number=0.010849&amp;sourceID=54","0.010849")</f>
        <v>0.010849</v>
      </c>
      <c r="L1578" s="4" t="str">
        <f>HYPERLINK("http://141.218.60.56/~jnz1568/getInfo.php?workbook=16_15.xlsx&amp;sheet=A0&amp;row=1578&amp;col=12&amp;number=&amp;sourceID=53","")</f>
        <v/>
      </c>
      <c r="M1578" s="4" t="str">
        <f>HYPERLINK("http://141.218.60.56/~jnz1568/getInfo.php?workbook=16_15.xlsx&amp;sheet=A0&amp;row=1578&amp;col=13&amp;number=&amp;sourceID=53","")</f>
        <v/>
      </c>
      <c r="N1578" s="4" t="str">
        <f>HYPERLINK("http://141.218.60.56/~jnz1568/getInfo.php?workbook=16_15.xlsx&amp;sheet=A0&amp;row=1578&amp;col=14&amp;number=&amp;sourceID=53","")</f>
        <v/>
      </c>
      <c r="O1578" s="4" t="str">
        <f>HYPERLINK("http://141.218.60.56/~jnz1568/getInfo.php?workbook=16_15.xlsx&amp;sheet=A0&amp;row=1578&amp;col=15&amp;number=&amp;sourceID=55","")</f>
        <v/>
      </c>
      <c r="P1578" s="4" t="str">
        <f>HYPERLINK("http://141.218.60.56/~jnz1568/getInfo.php?workbook=16_15.xlsx&amp;sheet=A0&amp;row=1578&amp;col=16&amp;number=&amp;sourceID=55","")</f>
        <v/>
      </c>
      <c r="Q1578" s="4" t="str">
        <f>HYPERLINK("http://141.218.60.56/~jnz1568/getInfo.php?workbook=16_15.xlsx&amp;sheet=A0&amp;row=1578&amp;col=17&amp;number=&amp;sourceID=56","")</f>
        <v/>
      </c>
      <c r="R1578" s="4" t="str">
        <f>HYPERLINK("http://141.218.60.56/~jnz1568/getInfo.php?workbook=16_15.xlsx&amp;sheet=A0&amp;row=1578&amp;col=18&amp;number=&amp;sourceID=56","")</f>
        <v/>
      </c>
      <c r="S1578" s="4" t="str">
        <f>HYPERLINK("http://141.218.60.56/~jnz1568/getInfo.php?workbook=16_15.xlsx&amp;sheet=A0&amp;row=1578&amp;col=19&amp;number=&amp;sourceID=57","")</f>
        <v/>
      </c>
      <c r="T1578" s="4" t="str">
        <f>HYPERLINK("http://141.218.60.56/~jnz1568/getInfo.php?workbook=16_15.xlsx&amp;sheet=A0&amp;row=1578&amp;col=20&amp;number=&amp;sourceID=57","")</f>
        <v/>
      </c>
      <c r="U1578" s="4" t="str">
        <f>HYPERLINK("http://141.218.60.56/~jnz1568/getInfo.php?workbook=16_15.xlsx&amp;sheet=A0&amp;row=1578&amp;col=21&amp;number=&amp;sourceID=47","")</f>
        <v/>
      </c>
      <c r="V1578" s="4" t="str">
        <f>HYPERLINK("http://141.218.60.56/~jnz1568/getInfo.php?workbook=16_15.xlsx&amp;sheet=A0&amp;row=1578&amp;col=22&amp;number=&amp;sourceID=47","")</f>
        <v/>
      </c>
    </row>
    <row r="1579" spans="1:22">
      <c r="A1579" s="3">
        <v>16</v>
      </c>
      <c r="B1579" s="3">
        <v>15</v>
      </c>
      <c r="C1579" s="3">
        <v>64</v>
      </c>
      <c r="D1579" s="3">
        <v>8</v>
      </c>
      <c r="E1579" s="3">
        <f>((1/(INDEX(E0!J$4:J$73,C1579,1)-INDEX(E0!J$4:J$73,D1579,1))))*100000000</f>
        <v>0</v>
      </c>
      <c r="F1579" s="4" t="str">
        <f>HYPERLINK("http://141.218.60.56/~jnz1568/getInfo.php?workbook=16_15.xlsx&amp;sheet=A0&amp;row=1579&amp;col=6&amp;number=&amp;sourceID=54","")</f>
        <v/>
      </c>
      <c r="G1579" s="4" t="str">
        <f>HYPERLINK("http://141.218.60.56/~jnz1568/getInfo.php?workbook=16_15.xlsx&amp;sheet=A0&amp;row=1579&amp;col=7&amp;number=0.0030802&amp;sourceID=54","0.0030802")</f>
        <v>0.0030802</v>
      </c>
      <c r="H1579" s="4" t="str">
        <f>HYPERLINK("http://141.218.60.56/~jnz1568/getInfo.php?workbook=16_15.xlsx&amp;sheet=A0&amp;row=1579&amp;col=8&amp;number=0.0064199&amp;sourceID=54","0.0064199")</f>
        <v>0.0064199</v>
      </c>
      <c r="I1579" s="4" t="str">
        <f>HYPERLINK("http://141.218.60.56/~jnz1568/getInfo.php?workbook=16_15.xlsx&amp;sheet=A0&amp;row=1579&amp;col=9&amp;number=&amp;sourceID=54","")</f>
        <v/>
      </c>
      <c r="J1579" s="4" t="str">
        <f>HYPERLINK("http://141.218.60.56/~jnz1568/getInfo.php?workbook=16_15.xlsx&amp;sheet=A0&amp;row=1579&amp;col=10&amp;number=0.00035289&amp;sourceID=54","0.00035289")</f>
        <v>0.00035289</v>
      </c>
      <c r="K1579" s="4" t="str">
        <f>HYPERLINK("http://141.218.60.56/~jnz1568/getInfo.php?workbook=16_15.xlsx&amp;sheet=A0&amp;row=1579&amp;col=11&amp;number=0.0053673&amp;sourceID=54","0.0053673")</f>
        <v>0.0053673</v>
      </c>
      <c r="L1579" s="4" t="str">
        <f>HYPERLINK("http://141.218.60.56/~jnz1568/getInfo.php?workbook=16_15.xlsx&amp;sheet=A0&amp;row=1579&amp;col=12&amp;number=&amp;sourceID=53","")</f>
        <v/>
      </c>
      <c r="M1579" s="4" t="str">
        <f>HYPERLINK("http://141.218.60.56/~jnz1568/getInfo.php?workbook=16_15.xlsx&amp;sheet=A0&amp;row=1579&amp;col=13&amp;number=&amp;sourceID=53","")</f>
        <v/>
      </c>
      <c r="N1579" s="4" t="str">
        <f>HYPERLINK("http://141.218.60.56/~jnz1568/getInfo.php?workbook=16_15.xlsx&amp;sheet=A0&amp;row=1579&amp;col=14&amp;number=&amp;sourceID=53","")</f>
        <v/>
      </c>
      <c r="O1579" s="4" t="str">
        <f>HYPERLINK("http://141.218.60.56/~jnz1568/getInfo.php?workbook=16_15.xlsx&amp;sheet=A0&amp;row=1579&amp;col=15&amp;number=&amp;sourceID=55","")</f>
        <v/>
      </c>
      <c r="P1579" s="4" t="str">
        <f>HYPERLINK("http://141.218.60.56/~jnz1568/getInfo.php?workbook=16_15.xlsx&amp;sheet=A0&amp;row=1579&amp;col=16&amp;number=&amp;sourceID=55","")</f>
        <v/>
      </c>
      <c r="Q1579" s="4" t="str">
        <f>HYPERLINK("http://141.218.60.56/~jnz1568/getInfo.php?workbook=16_15.xlsx&amp;sheet=A0&amp;row=1579&amp;col=17&amp;number=&amp;sourceID=56","")</f>
        <v/>
      </c>
      <c r="R1579" s="4" t="str">
        <f>HYPERLINK("http://141.218.60.56/~jnz1568/getInfo.php?workbook=16_15.xlsx&amp;sheet=A0&amp;row=1579&amp;col=18&amp;number=&amp;sourceID=56","")</f>
        <v/>
      </c>
      <c r="S1579" s="4" t="str">
        <f>HYPERLINK("http://141.218.60.56/~jnz1568/getInfo.php?workbook=16_15.xlsx&amp;sheet=A0&amp;row=1579&amp;col=19&amp;number=&amp;sourceID=57","")</f>
        <v/>
      </c>
      <c r="T1579" s="4" t="str">
        <f>HYPERLINK("http://141.218.60.56/~jnz1568/getInfo.php?workbook=16_15.xlsx&amp;sheet=A0&amp;row=1579&amp;col=20&amp;number=&amp;sourceID=57","")</f>
        <v/>
      </c>
      <c r="U1579" s="4" t="str">
        <f>HYPERLINK("http://141.218.60.56/~jnz1568/getInfo.php?workbook=16_15.xlsx&amp;sheet=A0&amp;row=1579&amp;col=21&amp;number=&amp;sourceID=47","")</f>
        <v/>
      </c>
      <c r="V1579" s="4" t="str">
        <f>HYPERLINK("http://141.218.60.56/~jnz1568/getInfo.php?workbook=16_15.xlsx&amp;sheet=A0&amp;row=1579&amp;col=22&amp;number=&amp;sourceID=47","")</f>
        <v/>
      </c>
    </row>
    <row r="1580" spans="1:22">
      <c r="A1580" s="3">
        <v>16</v>
      </c>
      <c r="B1580" s="3">
        <v>15</v>
      </c>
      <c r="C1580" s="3">
        <v>64</v>
      </c>
      <c r="D1580" s="3">
        <v>9</v>
      </c>
      <c r="E1580" s="3">
        <f>((1/(INDEX(E0!J$4:J$73,C1580,1)-INDEX(E0!J$4:J$73,D1580,1))))*100000000</f>
        <v>0</v>
      </c>
      <c r="F1580" s="4" t="str">
        <f>HYPERLINK("http://141.218.60.56/~jnz1568/getInfo.php?workbook=16_15.xlsx&amp;sheet=A0&amp;row=1580&amp;col=6&amp;number=&amp;sourceID=54","")</f>
        <v/>
      </c>
      <c r="G1580" s="4" t="str">
        <f>HYPERLINK("http://141.218.60.56/~jnz1568/getInfo.php?workbook=16_15.xlsx&amp;sheet=A0&amp;row=1580&amp;col=7&amp;number=9.2833&amp;sourceID=54","9.2833")</f>
        <v>9.2833</v>
      </c>
      <c r="H1580" s="4" t="str">
        <f>HYPERLINK("http://141.218.60.56/~jnz1568/getInfo.php?workbook=16_15.xlsx&amp;sheet=A0&amp;row=1580&amp;col=8&amp;number=0.0084114&amp;sourceID=54","0.0084114")</f>
        <v>0.0084114</v>
      </c>
      <c r="I1580" s="4" t="str">
        <f>HYPERLINK("http://141.218.60.56/~jnz1568/getInfo.php?workbook=16_15.xlsx&amp;sheet=A0&amp;row=1580&amp;col=9&amp;number=&amp;sourceID=54","")</f>
        <v/>
      </c>
      <c r="J1580" s="4" t="str">
        <f>HYPERLINK("http://141.218.60.56/~jnz1568/getInfo.php?workbook=16_15.xlsx&amp;sheet=A0&amp;row=1580&amp;col=10&amp;number=4.1443&amp;sourceID=54","4.1443")</f>
        <v>4.1443</v>
      </c>
      <c r="K1580" s="4" t="str">
        <f>HYPERLINK("http://141.218.60.56/~jnz1568/getInfo.php?workbook=16_15.xlsx&amp;sheet=A0&amp;row=1580&amp;col=11&amp;number=0.011821&amp;sourceID=54","0.011821")</f>
        <v>0.011821</v>
      </c>
      <c r="L1580" s="4" t="str">
        <f>HYPERLINK("http://141.218.60.56/~jnz1568/getInfo.php?workbook=16_15.xlsx&amp;sheet=A0&amp;row=1580&amp;col=12&amp;number=&amp;sourceID=53","")</f>
        <v/>
      </c>
      <c r="M1580" s="4" t="str">
        <f>HYPERLINK("http://141.218.60.56/~jnz1568/getInfo.php?workbook=16_15.xlsx&amp;sheet=A0&amp;row=1580&amp;col=13&amp;number=&amp;sourceID=53","")</f>
        <v/>
      </c>
      <c r="N1580" s="4" t="str">
        <f>HYPERLINK("http://141.218.60.56/~jnz1568/getInfo.php?workbook=16_15.xlsx&amp;sheet=A0&amp;row=1580&amp;col=14&amp;number=&amp;sourceID=53","")</f>
        <v/>
      </c>
      <c r="O1580" s="4" t="str">
        <f>HYPERLINK("http://141.218.60.56/~jnz1568/getInfo.php?workbook=16_15.xlsx&amp;sheet=A0&amp;row=1580&amp;col=15&amp;number=&amp;sourceID=55","")</f>
        <v/>
      </c>
      <c r="P1580" s="4" t="str">
        <f>HYPERLINK("http://141.218.60.56/~jnz1568/getInfo.php?workbook=16_15.xlsx&amp;sheet=A0&amp;row=1580&amp;col=16&amp;number=&amp;sourceID=55","")</f>
        <v/>
      </c>
      <c r="Q1580" s="4" t="str">
        <f>HYPERLINK("http://141.218.60.56/~jnz1568/getInfo.php?workbook=16_15.xlsx&amp;sheet=A0&amp;row=1580&amp;col=17&amp;number=&amp;sourceID=56","")</f>
        <v/>
      </c>
      <c r="R1580" s="4" t="str">
        <f>HYPERLINK("http://141.218.60.56/~jnz1568/getInfo.php?workbook=16_15.xlsx&amp;sheet=A0&amp;row=1580&amp;col=18&amp;number=&amp;sourceID=56","")</f>
        <v/>
      </c>
      <c r="S1580" s="4" t="str">
        <f>HYPERLINK("http://141.218.60.56/~jnz1568/getInfo.php?workbook=16_15.xlsx&amp;sheet=A0&amp;row=1580&amp;col=19&amp;number=&amp;sourceID=57","")</f>
        <v/>
      </c>
      <c r="T1580" s="4" t="str">
        <f>HYPERLINK("http://141.218.60.56/~jnz1568/getInfo.php?workbook=16_15.xlsx&amp;sheet=A0&amp;row=1580&amp;col=20&amp;number=&amp;sourceID=57","")</f>
        <v/>
      </c>
      <c r="U1580" s="4" t="str">
        <f>HYPERLINK("http://141.218.60.56/~jnz1568/getInfo.php?workbook=16_15.xlsx&amp;sheet=A0&amp;row=1580&amp;col=21&amp;number=&amp;sourceID=47","")</f>
        <v/>
      </c>
      <c r="V1580" s="4" t="str">
        <f>HYPERLINK("http://141.218.60.56/~jnz1568/getInfo.php?workbook=16_15.xlsx&amp;sheet=A0&amp;row=1580&amp;col=22&amp;number=&amp;sourceID=47","")</f>
        <v/>
      </c>
    </row>
    <row r="1581" spans="1:22">
      <c r="A1581" s="3">
        <v>16</v>
      </c>
      <c r="B1581" s="3">
        <v>15</v>
      </c>
      <c r="C1581" s="3">
        <v>64</v>
      </c>
      <c r="D1581" s="3">
        <v>10</v>
      </c>
      <c r="E1581" s="3">
        <f>((1/(INDEX(E0!J$4:J$73,C1581,1)-INDEX(E0!J$4:J$73,D1581,1))))*100000000</f>
        <v>0</v>
      </c>
      <c r="F1581" s="4" t="str">
        <f>HYPERLINK("http://141.218.60.56/~jnz1568/getInfo.php?workbook=16_15.xlsx&amp;sheet=A0&amp;row=1581&amp;col=6&amp;number=&amp;sourceID=54","")</f>
        <v/>
      </c>
      <c r="G1581" s="4" t="str">
        <f>HYPERLINK("http://141.218.60.56/~jnz1568/getInfo.php?workbook=16_15.xlsx&amp;sheet=A0&amp;row=1581&amp;col=7&amp;number=1.1859&amp;sourceID=54","1.1859")</f>
        <v>1.1859</v>
      </c>
      <c r="H1581" s="4" t="str">
        <f>HYPERLINK("http://141.218.60.56/~jnz1568/getInfo.php?workbook=16_15.xlsx&amp;sheet=A0&amp;row=1581&amp;col=8&amp;number=0.00852&amp;sourceID=54","0.00852")</f>
        <v>0.00852</v>
      </c>
      <c r="I1581" s="4" t="str">
        <f>HYPERLINK("http://141.218.60.56/~jnz1568/getInfo.php?workbook=16_15.xlsx&amp;sheet=A0&amp;row=1581&amp;col=9&amp;number=&amp;sourceID=54","")</f>
        <v/>
      </c>
      <c r="J1581" s="4" t="str">
        <f>HYPERLINK("http://141.218.60.56/~jnz1568/getInfo.php?workbook=16_15.xlsx&amp;sheet=A0&amp;row=1581&amp;col=10&amp;number=4.7498&amp;sourceID=54","4.7498")</f>
        <v>4.7498</v>
      </c>
      <c r="K1581" s="4" t="str">
        <f>HYPERLINK("http://141.218.60.56/~jnz1568/getInfo.php?workbook=16_15.xlsx&amp;sheet=A0&amp;row=1581&amp;col=11&amp;number=0.0073336&amp;sourceID=54","0.0073336")</f>
        <v>0.0073336</v>
      </c>
      <c r="L1581" s="4" t="str">
        <f>HYPERLINK("http://141.218.60.56/~jnz1568/getInfo.php?workbook=16_15.xlsx&amp;sheet=A0&amp;row=1581&amp;col=12&amp;number=&amp;sourceID=53","")</f>
        <v/>
      </c>
      <c r="M1581" s="4" t="str">
        <f>HYPERLINK("http://141.218.60.56/~jnz1568/getInfo.php?workbook=16_15.xlsx&amp;sheet=A0&amp;row=1581&amp;col=13&amp;number=&amp;sourceID=53","")</f>
        <v/>
      </c>
      <c r="N1581" s="4" t="str">
        <f>HYPERLINK("http://141.218.60.56/~jnz1568/getInfo.php?workbook=16_15.xlsx&amp;sheet=A0&amp;row=1581&amp;col=14&amp;number=&amp;sourceID=53","")</f>
        <v/>
      </c>
      <c r="O1581" s="4" t="str">
        <f>HYPERLINK("http://141.218.60.56/~jnz1568/getInfo.php?workbook=16_15.xlsx&amp;sheet=A0&amp;row=1581&amp;col=15&amp;number=&amp;sourceID=55","")</f>
        <v/>
      </c>
      <c r="P1581" s="4" t="str">
        <f>HYPERLINK("http://141.218.60.56/~jnz1568/getInfo.php?workbook=16_15.xlsx&amp;sheet=A0&amp;row=1581&amp;col=16&amp;number=&amp;sourceID=55","")</f>
        <v/>
      </c>
      <c r="Q1581" s="4" t="str">
        <f>HYPERLINK("http://141.218.60.56/~jnz1568/getInfo.php?workbook=16_15.xlsx&amp;sheet=A0&amp;row=1581&amp;col=17&amp;number=&amp;sourceID=56","")</f>
        <v/>
      </c>
      <c r="R1581" s="4" t="str">
        <f>HYPERLINK("http://141.218.60.56/~jnz1568/getInfo.php?workbook=16_15.xlsx&amp;sheet=A0&amp;row=1581&amp;col=18&amp;number=&amp;sourceID=56","")</f>
        <v/>
      </c>
      <c r="S1581" s="4" t="str">
        <f>HYPERLINK("http://141.218.60.56/~jnz1568/getInfo.php?workbook=16_15.xlsx&amp;sheet=A0&amp;row=1581&amp;col=19&amp;number=&amp;sourceID=57","")</f>
        <v/>
      </c>
      <c r="T1581" s="4" t="str">
        <f>HYPERLINK("http://141.218.60.56/~jnz1568/getInfo.php?workbook=16_15.xlsx&amp;sheet=A0&amp;row=1581&amp;col=20&amp;number=&amp;sourceID=57","")</f>
        <v/>
      </c>
      <c r="U1581" s="4" t="str">
        <f>HYPERLINK("http://141.218.60.56/~jnz1568/getInfo.php?workbook=16_15.xlsx&amp;sheet=A0&amp;row=1581&amp;col=21&amp;number=&amp;sourceID=47","")</f>
        <v/>
      </c>
      <c r="V1581" s="4" t="str">
        <f>HYPERLINK("http://141.218.60.56/~jnz1568/getInfo.php?workbook=16_15.xlsx&amp;sheet=A0&amp;row=1581&amp;col=22&amp;number=&amp;sourceID=47","")</f>
        <v/>
      </c>
    </row>
    <row r="1582" spans="1:22">
      <c r="A1582" s="3">
        <v>16</v>
      </c>
      <c r="B1582" s="3">
        <v>15</v>
      </c>
      <c r="C1582" s="3">
        <v>64</v>
      </c>
      <c r="D1582" s="3">
        <v>11</v>
      </c>
      <c r="E1582" s="3">
        <f>((1/(INDEX(E0!J$4:J$73,C1582,1)-INDEX(E0!J$4:J$73,D1582,1))))*100000000</f>
        <v>0</v>
      </c>
      <c r="F1582" s="4" t="str">
        <f>HYPERLINK("http://141.218.60.56/~jnz1568/getInfo.php?workbook=16_15.xlsx&amp;sheet=A0&amp;row=1582&amp;col=6&amp;number=&amp;sourceID=54","")</f>
        <v/>
      </c>
      <c r="G1582" s="4" t="str">
        <f>HYPERLINK("http://141.218.60.56/~jnz1568/getInfo.php?workbook=16_15.xlsx&amp;sheet=A0&amp;row=1582&amp;col=7&amp;number=12.498&amp;sourceID=54","12.498")</f>
        <v>12.498</v>
      </c>
      <c r="H1582" s="4" t="str">
        <f>HYPERLINK("http://141.218.60.56/~jnz1568/getInfo.php?workbook=16_15.xlsx&amp;sheet=A0&amp;row=1582&amp;col=8&amp;number=2.031&amp;sourceID=54","2.031")</f>
        <v>2.031</v>
      </c>
      <c r="I1582" s="4" t="str">
        <f>HYPERLINK("http://141.218.60.56/~jnz1568/getInfo.php?workbook=16_15.xlsx&amp;sheet=A0&amp;row=1582&amp;col=9&amp;number=&amp;sourceID=54","")</f>
        <v/>
      </c>
      <c r="J1582" s="4" t="str">
        <f>HYPERLINK("http://141.218.60.56/~jnz1568/getInfo.php?workbook=16_15.xlsx&amp;sheet=A0&amp;row=1582&amp;col=10&amp;number=9.5542&amp;sourceID=54","9.5542")</f>
        <v>9.5542</v>
      </c>
      <c r="K1582" s="4" t="str">
        <f>HYPERLINK("http://141.218.60.56/~jnz1568/getInfo.php?workbook=16_15.xlsx&amp;sheet=A0&amp;row=1582&amp;col=11&amp;number=2.9208&amp;sourceID=54","2.9208")</f>
        <v>2.9208</v>
      </c>
      <c r="L1582" s="4" t="str">
        <f>HYPERLINK("http://141.218.60.56/~jnz1568/getInfo.php?workbook=16_15.xlsx&amp;sheet=A0&amp;row=1582&amp;col=12&amp;number=&amp;sourceID=53","")</f>
        <v/>
      </c>
      <c r="M1582" s="4" t="str">
        <f>HYPERLINK("http://141.218.60.56/~jnz1568/getInfo.php?workbook=16_15.xlsx&amp;sheet=A0&amp;row=1582&amp;col=13&amp;number=&amp;sourceID=53","")</f>
        <v/>
      </c>
      <c r="N1582" s="4" t="str">
        <f>HYPERLINK("http://141.218.60.56/~jnz1568/getInfo.php?workbook=16_15.xlsx&amp;sheet=A0&amp;row=1582&amp;col=14&amp;number=&amp;sourceID=53","")</f>
        <v/>
      </c>
      <c r="O1582" s="4" t="str">
        <f>HYPERLINK("http://141.218.60.56/~jnz1568/getInfo.php?workbook=16_15.xlsx&amp;sheet=A0&amp;row=1582&amp;col=15&amp;number=&amp;sourceID=55","")</f>
        <v/>
      </c>
      <c r="P1582" s="4" t="str">
        <f>HYPERLINK("http://141.218.60.56/~jnz1568/getInfo.php?workbook=16_15.xlsx&amp;sheet=A0&amp;row=1582&amp;col=16&amp;number=&amp;sourceID=55","")</f>
        <v/>
      </c>
      <c r="Q1582" s="4" t="str">
        <f>HYPERLINK("http://141.218.60.56/~jnz1568/getInfo.php?workbook=16_15.xlsx&amp;sheet=A0&amp;row=1582&amp;col=17&amp;number=&amp;sourceID=56","")</f>
        <v/>
      </c>
      <c r="R1582" s="4" t="str">
        <f>HYPERLINK("http://141.218.60.56/~jnz1568/getInfo.php?workbook=16_15.xlsx&amp;sheet=A0&amp;row=1582&amp;col=18&amp;number=&amp;sourceID=56","")</f>
        <v/>
      </c>
      <c r="S1582" s="4" t="str">
        <f>HYPERLINK("http://141.218.60.56/~jnz1568/getInfo.php?workbook=16_15.xlsx&amp;sheet=A0&amp;row=1582&amp;col=19&amp;number=&amp;sourceID=57","")</f>
        <v/>
      </c>
      <c r="T1582" s="4" t="str">
        <f>HYPERLINK("http://141.218.60.56/~jnz1568/getInfo.php?workbook=16_15.xlsx&amp;sheet=A0&amp;row=1582&amp;col=20&amp;number=&amp;sourceID=57","")</f>
        <v/>
      </c>
      <c r="U1582" s="4" t="str">
        <f>HYPERLINK("http://141.218.60.56/~jnz1568/getInfo.php?workbook=16_15.xlsx&amp;sheet=A0&amp;row=1582&amp;col=21&amp;number=&amp;sourceID=47","")</f>
        <v/>
      </c>
      <c r="V1582" s="4" t="str">
        <f>HYPERLINK("http://141.218.60.56/~jnz1568/getInfo.php?workbook=16_15.xlsx&amp;sheet=A0&amp;row=1582&amp;col=22&amp;number=&amp;sourceID=47","")</f>
        <v/>
      </c>
    </row>
    <row r="1583" spans="1:22">
      <c r="A1583" s="3">
        <v>16</v>
      </c>
      <c r="B1583" s="3">
        <v>15</v>
      </c>
      <c r="C1583" s="3">
        <v>64</v>
      </c>
      <c r="D1583" s="3">
        <v>12</v>
      </c>
      <c r="E1583" s="3">
        <f>((1/(INDEX(E0!J$4:J$73,C1583,1)-INDEX(E0!J$4:J$73,D1583,1))))*100000000</f>
        <v>0</v>
      </c>
      <c r="F1583" s="4" t="str">
        <f>HYPERLINK("http://141.218.60.56/~jnz1568/getInfo.php?workbook=16_15.xlsx&amp;sheet=A0&amp;row=1583&amp;col=6&amp;number=&amp;sourceID=54","")</f>
        <v/>
      </c>
      <c r="G1583" s="4" t="str">
        <f>HYPERLINK("http://141.218.60.56/~jnz1568/getInfo.php?workbook=16_15.xlsx&amp;sheet=A0&amp;row=1583&amp;col=7&amp;number=2.1617&amp;sourceID=54","2.1617")</f>
        <v>2.1617</v>
      </c>
      <c r="H1583" s="4" t="str">
        <f>HYPERLINK("http://141.218.60.56/~jnz1568/getInfo.php?workbook=16_15.xlsx&amp;sheet=A0&amp;row=1583&amp;col=8&amp;number=0.094221&amp;sourceID=54","0.094221")</f>
        <v>0.094221</v>
      </c>
      <c r="I1583" s="4" t="str">
        <f>HYPERLINK("http://141.218.60.56/~jnz1568/getInfo.php?workbook=16_15.xlsx&amp;sheet=A0&amp;row=1583&amp;col=9&amp;number=&amp;sourceID=54","")</f>
        <v/>
      </c>
      <c r="J1583" s="4" t="str">
        <f>HYPERLINK("http://141.218.60.56/~jnz1568/getInfo.php?workbook=16_15.xlsx&amp;sheet=A0&amp;row=1583&amp;col=10&amp;number=7.521&amp;sourceID=54","7.521")</f>
        <v>7.521</v>
      </c>
      <c r="K1583" s="4" t="str">
        <f>HYPERLINK("http://141.218.60.56/~jnz1568/getInfo.php?workbook=16_15.xlsx&amp;sheet=A0&amp;row=1583&amp;col=11&amp;number=0.13543&amp;sourceID=54","0.13543")</f>
        <v>0.13543</v>
      </c>
      <c r="L1583" s="4" t="str">
        <f>HYPERLINK("http://141.218.60.56/~jnz1568/getInfo.php?workbook=16_15.xlsx&amp;sheet=A0&amp;row=1583&amp;col=12&amp;number=&amp;sourceID=53","")</f>
        <v/>
      </c>
      <c r="M1583" s="4" t="str">
        <f>HYPERLINK("http://141.218.60.56/~jnz1568/getInfo.php?workbook=16_15.xlsx&amp;sheet=A0&amp;row=1583&amp;col=13&amp;number=&amp;sourceID=53","")</f>
        <v/>
      </c>
      <c r="N1583" s="4" t="str">
        <f>HYPERLINK("http://141.218.60.56/~jnz1568/getInfo.php?workbook=16_15.xlsx&amp;sheet=A0&amp;row=1583&amp;col=14&amp;number=&amp;sourceID=53","")</f>
        <v/>
      </c>
      <c r="O1583" s="4" t="str">
        <f>HYPERLINK("http://141.218.60.56/~jnz1568/getInfo.php?workbook=16_15.xlsx&amp;sheet=A0&amp;row=1583&amp;col=15&amp;number=&amp;sourceID=55","")</f>
        <v/>
      </c>
      <c r="P1583" s="4" t="str">
        <f>HYPERLINK("http://141.218.60.56/~jnz1568/getInfo.php?workbook=16_15.xlsx&amp;sheet=A0&amp;row=1583&amp;col=16&amp;number=&amp;sourceID=55","")</f>
        <v/>
      </c>
      <c r="Q1583" s="4" t="str">
        <f>HYPERLINK("http://141.218.60.56/~jnz1568/getInfo.php?workbook=16_15.xlsx&amp;sheet=A0&amp;row=1583&amp;col=17&amp;number=&amp;sourceID=56","")</f>
        <v/>
      </c>
      <c r="R1583" s="4" t="str">
        <f>HYPERLINK("http://141.218.60.56/~jnz1568/getInfo.php?workbook=16_15.xlsx&amp;sheet=A0&amp;row=1583&amp;col=18&amp;number=&amp;sourceID=56","")</f>
        <v/>
      </c>
      <c r="S1583" s="4" t="str">
        <f>HYPERLINK("http://141.218.60.56/~jnz1568/getInfo.php?workbook=16_15.xlsx&amp;sheet=A0&amp;row=1583&amp;col=19&amp;number=&amp;sourceID=57","")</f>
        <v/>
      </c>
      <c r="T1583" s="4" t="str">
        <f>HYPERLINK("http://141.218.60.56/~jnz1568/getInfo.php?workbook=16_15.xlsx&amp;sheet=A0&amp;row=1583&amp;col=20&amp;number=&amp;sourceID=57","")</f>
        <v/>
      </c>
      <c r="U1583" s="4" t="str">
        <f>HYPERLINK("http://141.218.60.56/~jnz1568/getInfo.php?workbook=16_15.xlsx&amp;sheet=A0&amp;row=1583&amp;col=21&amp;number=&amp;sourceID=47","")</f>
        <v/>
      </c>
      <c r="V1583" s="4" t="str">
        <f>HYPERLINK("http://141.218.60.56/~jnz1568/getInfo.php?workbook=16_15.xlsx&amp;sheet=A0&amp;row=1583&amp;col=22&amp;number=&amp;sourceID=47","")</f>
        <v/>
      </c>
    </row>
    <row r="1584" spans="1:22">
      <c r="A1584" s="3">
        <v>16</v>
      </c>
      <c r="B1584" s="3">
        <v>15</v>
      </c>
      <c r="C1584" s="3">
        <v>64</v>
      </c>
      <c r="D1584" s="3">
        <v>13</v>
      </c>
      <c r="E1584" s="3">
        <f>((1/(INDEX(E0!J$4:J$73,C1584,1)-INDEX(E0!J$4:J$73,D1584,1))))*100000000</f>
        <v>0</v>
      </c>
      <c r="F1584" s="4" t="str">
        <f>HYPERLINK("http://141.218.60.56/~jnz1568/getInfo.php?workbook=16_15.xlsx&amp;sheet=A0&amp;row=1584&amp;col=6&amp;number=&amp;sourceID=54","")</f>
        <v/>
      </c>
      <c r="G1584" s="4" t="str">
        <f>HYPERLINK("http://141.218.60.56/~jnz1568/getInfo.php?workbook=16_15.xlsx&amp;sheet=A0&amp;row=1584&amp;col=7&amp;number=0.30321&amp;sourceID=54","0.30321")</f>
        <v>0.30321</v>
      </c>
      <c r="H1584" s="4" t="str">
        <f>HYPERLINK("http://141.218.60.56/~jnz1568/getInfo.php?workbook=16_15.xlsx&amp;sheet=A0&amp;row=1584&amp;col=8&amp;number=0.00038856&amp;sourceID=54","0.00038856")</f>
        <v>0.00038856</v>
      </c>
      <c r="I1584" s="4" t="str">
        <f>HYPERLINK("http://141.218.60.56/~jnz1568/getInfo.php?workbook=16_15.xlsx&amp;sheet=A0&amp;row=1584&amp;col=9&amp;number=&amp;sourceID=54","")</f>
        <v/>
      </c>
      <c r="J1584" s="4" t="str">
        <f>HYPERLINK("http://141.218.60.56/~jnz1568/getInfo.php?workbook=16_15.xlsx&amp;sheet=A0&amp;row=1584&amp;col=10&amp;number=0.46827&amp;sourceID=54","0.46827")</f>
        <v>0.46827</v>
      </c>
      <c r="K1584" s="4" t="str">
        <f>HYPERLINK("http://141.218.60.56/~jnz1568/getInfo.php?workbook=16_15.xlsx&amp;sheet=A0&amp;row=1584&amp;col=11&amp;number=0.0001532&amp;sourceID=54","0.0001532")</f>
        <v>0.0001532</v>
      </c>
      <c r="L1584" s="4" t="str">
        <f>HYPERLINK("http://141.218.60.56/~jnz1568/getInfo.php?workbook=16_15.xlsx&amp;sheet=A0&amp;row=1584&amp;col=12&amp;number=&amp;sourceID=53","")</f>
        <v/>
      </c>
      <c r="M1584" s="4" t="str">
        <f>HYPERLINK("http://141.218.60.56/~jnz1568/getInfo.php?workbook=16_15.xlsx&amp;sheet=A0&amp;row=1584&amp;col=13&amp;number=&amp;sourceID=53","")</f>
        <v/>
      </c>
      <c r="N1584" s="4" t="str">
        <f>HYPERLINK("http://141.218.60.56/~jnz1568/getInfo.php?workbook=16_15.xlsx&amp;sheet=A0&amp;row=1584&amp;col=14&amp;number=&amp;sourceID=53","")</f>
        <v/>
      </c>
      <c r="O1584" s="4" t="str">
        <f>HYPERLINK("http://141.218.60.56/~jnz1568/getInfo.php?workbook=16_15.xlsx&amp;sheet=A0&amp;row=1584&amp;col=15&amp;number=&amp;sourceID=55","")</f>
        <v/>
      </c>
      <c r="P1584" s="4" t="str">
        <f>HYPERLINK("http://141.218.60.56/~jnz1568/getInfo.php?workbook=16_15.xlsx&amp;sheet=A0&amp;row=1584&amp;col=16&amp;number=&amp;sourceID=55","")</f>
        <v/>
      </c>
      <c r="Q1584" s="4" t="str">
        <f>HYPERLINK("http://141.218.60.56/~jnz1568/getInfo.php?workbook=16_15.xlsx&amp;sheet=A0&amp;row=1584&amp;col=17&amp;number=&amp;sourceID=56","")</f>
        <v/>
      </c>
      <c r="R1584" s="4" t="str">
        <f>HYPERLINK("http://141.218.60.56/~jnz1568/getInfo.php?workbook=16_15.xlsx&amp;sheet=A0&amp;row=1584&amp;col=18&amp;number=&amp;sourceID=56","")</f>
        <v/>
      </c>
      <c r="S1584" s="4" t="str">
        <f>HYPERLINK("http://141.218.60.56/~jnz1568/getInfo.php?workbook=16_15.xlsx&amp;sheet=A0&amp;row=1584&amp;col=19&amp;number=&amp;sourceID=57","")</f>
        <v/>
      </c>
      <c r="T1584" s="4" t="str">
        <f>HYPERLINK("http://141.218.60.56/~jnz1568/getInfo.php?workbook=16_15.xlsx&amp;sheet=A0&amp;row=1584&amp;col=20&amp;number=&amp;sourceID=57","")</f>
        <v/>
      </c>
      <c r="U1584" s="4" t="str">
        <f>HYPERLINK("http://141.218.60.56/~jnz1568/getInfo.php?workbook=16_15.xlsx&amp;sheet=A0&amp;row=1584&amp;col=21&amp;number=&amp;sourceID=47","")</f>
        <v/>
      </c>
      <c r="V1584" s="4" t="str">
        <f>HYPERLINK("http://141.218.60.56/~jnz1568/getInfo.php?workbook=16_15.xlsx&amp;sheet=A0&amp;row=1584&amp;col=22&amp;number=&amp;sourceID=47","")</f>
        <v/>
      </c>
    </row>
    <row r="1585" spans="1:22">
      <c r="A1585" s="3">
        <v>16</v>
      </c>
      <c r="B1585" s="3">
        <v>15</v>
      </c>
      <c r="C1585" s="3">
        <v>64</v>
      </c>
      <c r="D1585" s="3">
        <v>14</v>
      </c>
      <c r="E1585" s="3">
        <f>((1/(INDEX(E0!J$4:J$73,C1585,1)-INDEX(E0!J$4:J$73,D1585,1))))*100000000</f>
        <v>0</v>
      </c>
      <c r="F1585" s="4" t="str">
        <f>HYPERLINK("http://141.218.60.56/~jnz1568/getInfo.php?workbook=16_15.xlsx&amp;sheet=A0&amp;row=1585&amp;col=6&amp;number=&amp;sourceID=54","")</f>
        <v/>
      </c>
      <c r="G1585" s="4" t="str">
        <f>HYPERLINK("http://141.218.60.56/~jnz1568/getInfo.php?workbook=16_15.xlsx&amp;sheet=A0&amp;row=1585&amp;col=7&amp;number=0.1898&amp;sourceID=54","0.1898")</f>
        <v>0.1898</v>
      </c>
      <c r="H1585" s="4" t="str">
        <f>HYPERLINK("http://141.218.60.56/~jnz1568/getInfo.php?workbook=16_15.xlsx&amp;sheet=A0&amp;row=1585&amp;col=8&amp;number=0.00043957&amp;sourceID=54","0.00043957")</f>
        <v>0.00043957</v>
      </c>
      <c r="I1585" s="4" t="str">
        <f>HYPERLINK("http://141.218.60.56/~jnz1568/getInfo.php?workbook=16_15.xlsx&amp;sheet=A0&amp;row=1585&amp;col=9&amp;number=&amp;sourceID=54","")</f>
        <v/>
      </c>
      <c r="J1585" s="4" t="str">
        <f>HYPERLINK("http://141.218.60.56/~jnz1568/getInfo.php?workbook=16_15.xlsx&amp;sheet=A0&amp;row=1585&amp;col=10&amp;number=0.65169&amp;sourceID=54","0.65169")</f>
        <v>0.65169</v>
      </c>
      <c r="K1585" s="4" t="str">
        <f>HYPERLINK("http://141.218.60.56/~jnz1568/getInfo.php?workbook=16_15.xlsx&amp;sheet=A0&amp;row=1585&amp;col=11&amp;number=4.5068e-05&amp;sourceID=54","4.5068e-05")</f>
        <v>4.5068e-05</v>
      </c>
      <c r="L1585" s="4" t="str">
        <f>HYPERLINK("http://141.218.60.56/~jnz1568/getInfo.php?workbook=16_15.xlsx&amp;sheet=A0&amp;row=1585&amp;col=12&amp;number=&amp;sourceID=53","")</f>
        <v/>
      </c>
      <c r="M1585" s="4" t="str">
        <f>HYPERLINK("http://141.218.60.56/~jnz1568/getInfo.php?workbook=16_15.xlsx&amp;sheet=A0&amp;row=1585&amp;col=13&amp;number=&amp;sourceID=53","")</f>
        <v/>
      </c>
      <c r="N1585" s="4" t="str">
        <f>HYPERLINK("http://141.218.60.56/~jnz1568/getInfo.php?workbook=16_15.xlsx&amp;sheet=A0&amp;row=1585&amp;col=14&amp;number=&amp;sourceID=53","")</f>
        <v/>
      </c>
      <c r="O1585" s="4" t="str">
        <f>HYPERLINK("http://141.218.60.56/~jnz1568/getInfo.php?workbook=16_15.xlsx&amp;sheet=A0&amp;row=1585&amp;col=15&amp;number=&amp;sourceID=55","")</f>
        <v/>
      </c>
      <c r="P1585" s="4" t="str">
        <f>HYPERLINK("http://141.218.60.56/~jnz1568/getInfo.php?workbook=16_15.xlsx&amp;sheet=A0&amp;row=1585&amp;col=16&amp;number=&amp;sourceID=55","")</f>
        <v/>
      </c>
      <c r="Q1585" s="4" t="str">
        <f>HYPERLINK("http://141.218.60.56/~jnz1568/getInfo.php?workbook=16_15.xlsx&amp;sheet=A0&amp;row=1585&amp;col=17&amp;number=&amp;sourceID=56","")</f>
        <v/>
      </c>
      <c r="R1585" s="4" t="str">
        <f>HYPERLINK("http://141.218.60.56/~jnz1568/getInfo.php?workbook=16_15.xlsx&amp;sheet=A0&amp;row=1585&amp;col=18&amp;number=&amp;sourceID=56","")</f>
        <v/>
      </c>
      <c r="S1585" s="4" t="str">
        <f>HYPERLINK("http://141.218.60.56/~jnz1568/getInfo.php?workbook=16_15.xlsx&amp;sheet=A0&amp;row=1585&amp;col=19&amp;number=&amp;sourceID=57","")</f>
        <v/>
      </c>
      <c r="T1585" s="4" t="str">
        <f>HYPERLINK("http://141.218.60.56/~jnz1568/getInfo.php?workbook=16_15.xlsx&amp;sheet=A0&amp;row=1585&amp;col=20&amp;number=&amp;sourceID=57","")</f>
        <v/>
      </c>
      <c r="U1585" s="4" t="str">
        <f>HYPERLINK("http://141.218.60.56/~jnz1568/getInfo.php?workbook=16_15.xlsx&amp;sheet=A0&amp;row=1585&amp;col=21&amp;number=&amp;sourceID=47","")</f>
        <v/>
      </c>
      <c r="V1585" s="4" t="str">
        <f>HYPERLINK("http://141.218.60.56/~jnz1568/getInfo.php?workbook=16_15.xlsx&amp;sheet=A0&amp;row=1585&amp;col=22&amp;number=&amp;sourceID=47","")</f>
        <v/>
      </c>
    </row>
    <row r="1586" spans="1:22">
      <c r="A1586" s="3">
        <v>16</v>
      </c>
      <c r="B1586" s="3">
        <v>15</v>
      </c>
      <c r="C1586" s="3">
        <v>64</v>
      </c>
      <c r="D1586" s="3">
        <v>15</v>
      </c>
      <c r="E1586" s="3">
        <f>((1/(INDEX(E0!J$4:J$73,C1586,1)-INDEX(E0!J$4:J$73,D1586,1))))*100000000</f>
        <v>0</v>
      </c>
      <c r="F1586" s="4" t="str">
        <f>HYPERLINK("http://141.218.60.56/~jnz1568/getInfo.php?workbook=16_15.xlsx&amp;sheet=A0&amp;row=1586&amp;col=6&amp;number=&amp;sourceID=54","")</f>
        <v/>
      </c>
      <c r="G1586" s="4" t="str">
        <f>HYPERLINK("http://141.218.60.56/~jnz1568/getInfo.php?workbook=16_15.xlsx&amp;sheet=A0&amp;row=1586&amp;col=7&amp;number=5.5952e-06&amp;sourceID=54","5.5952e-06")</f>
        <v>5.5952e-06</v>
      </c>
      <c r="H1586" s="4" t="str">
        <f>HYPERLINK("http://141.218.60.56/~jnz1568/getInfo.php?workbook=16_15.xlsx&amp;sheet=A0&amp;row=1586&amp;col=8&amp;number=0.0043526&amp;sourceID=54","0.0043526")</f>
        <v>0.0043526</v>
      </c>
      <c r="I1586" s="4" t="str">
        <f>HYPERLINK("http://141.218.60.56/~jnz1568/getInfo.php?workbook=16_15.xlsx&amp;sheet=A0&amp;row=1586&amp;col=9&amp;number=&amp;sourceID=54","")</f>
        <v/>
      </c>
      <c r="J1586" s="4" t="str">
        <f>HYPERLINK("http://141.218.60.56/~jnz1568/getInfo.php?workbook=16_15.xlsx&amp;sheet=A0&amp;row=1586&amp;col=10&amp;number=0.0022086&amp;sourceID=54","0.0022086")</f>
        <v>0.0022086</v>
      </c>
      <c r="K1586" s="4" t="str">
        <f>HYPERLINK("http://141.218.60.56/~jnz1568/getInfo.php?workbook=16_15.xlsx&amp;sheet=A0&amp;row=1586&amp;col=11&amp;number=0.00012898&amp;sourceID=54","0.00012898")</f>
        <v>0.00012898</v>
      </c>
      <c r="L1586" s="4" t="str">
        <f>HYPERLINK("http://141.218.60.56/~jnz1568/getInfo.php?workbook=16_15.xlsx&amp;sheet=A0&amp;row=1586&amp;col=12&amp;number=&amp;sourceID=53","")</f>
        <v/>
      </c>
      <c r="M1586" s="4" t="str">
        <f>HYPERLINK("http://141.218.60.56/~jnz1568/getInfo.php?workbook=16_15.xlsx&amp;sheet=A0&amp;row=1586&amp;col=13&amp;number=&amp;sourceID=53","")</f>
        <v/>
      </c>
      <c r="N1586" s="4" t="str">
        <f>HYPERLINK("http://141.218.60.56/~jnz1568/getInfo.php?workbook=16_15.xlsx&amp;sheet=A0&amp;row=1586&amp;col=14&amp;number=&amp;sourceID=53","")</f>
        <v/>
      </c>
      <c r="O1586" s="4" t="str">
        <f>HYPERLINK("http://141.218.60.56/~jnz1568/getInfo.php?workbook=16_15.xlsx&amp;sheet=A0&amp;row=1586&amp;col=15&amp;number=&amp;sourceID=55","")</f>
        <v/>
      </c>
      <c r="P1586" s="4" t="str">
        <f>HYPERLINK("http://141.218.60.56/~jnz1568/getInfo.php?workbook=16_15.xlsx&amp;sheet=A0&amp;row=1586&amp;col=16&amp;number=&amp;sourceID=55","")</f>
        <v/>
      </c>
      <c r="Q1586" s="4" t="str">
        <f>HYPERLINK("http://141.218.60.56/~jnz1568/getInfo.php?workbook=16_15.xlsx&amp;sheet=A0&amp;row=1586&amp;col=17&amp;number=&amp;sourceID=56","")</f>
        <v/>
      </c>
      <c r="R1586" s="4" t="str">
        <f>HYPERLINK("http://141.218.60.56/~jnz1568/getInfo.php?workbook=16_15.xlsx&amp;sheet=A0&amp;row=1586&amp;col=18&amp;number=&amp;sourceID=56","")</f>
        <v/>
      </c>
      <c r="S1586" s="4" t="str">
        <f>HYPERLINK("http://141.218.60.56/~jnz1568/getInfo.php?workbook=16_15.xlsx&amp;sheet=A0&amp;row=1586&amp;col=19&amp;number=&amp;sourceID=57","")</f>
        <v/>
      </c>
      <c r="T1586" s="4" t="str">
        <f>HYPERLINK("http://141.218.60.56/~jnz1568/getInfo.php?workbook=16_15.xlsx&amp;sheet=A0&amp;row=1586&amp;col=20&amp;number=&amp;sourceID=57","")</f>
        <v/>
      </c>
      <c r="U1586" s="4" t="str">
        <f>HYPERLINK("http://141.218.60.56/~jnz1568/getInfo.php?workbook=16_15.xlsx&amp;sheet=A0&amp;row=1586&amp;col=21&amp;number=&amp;sourceID=47","")</f>
        <v/>
      </c>
      <c r="V1586" s="4" t="str">
        <f>HYPERLINK("http://141.218.60.56/~jnz1568/getInfo.php?workbook=16_15.xlsx&amp;sheet=A0&amp;row=1586&amp;col=22&amp;number=&amp;sourceID=47","")</f>
        <v/>
      </c>
    </row>
    <row r="1587" spans="1:22">
      <c r="A1587" s="3">
        <v>16</v>
      </c>
      <c r="B1587" s="3">
        <v>15</v>
      </c>
      <c r="C1587" s="3">
        <v>64</v>
      </c>
      <c r="D1587" s="3">
        <v>16</v>
      </c>
      <c r="E1587" s="3">
        <f>((1/(INDEX(E0!J$4:J$73,C1587,1)-INDEX(E0!J$4:J$73,D1587,1))))*100000000</f>
        <v>0</v>
      </c>
      <c r="F1587" s="4" t="str">
        <f>HYPERLINK("http://141.218.60.56/~jnz1568/getInfo.php?workbook=16_15.xlsx&amp;sheet=A0&amp;row=1587&amp;col=6&amp;number=&amp;sourceID=54","")</f>
        <v/>
      </c>
      <c r="G1587" s="4" t="str">
        <f>HYPERLINK("http://141.218.60.56/~jnz1568/getInfo.php?workbook=16_15.xlsx&amp;sheet=A0&amp;row=1587&amp;col=7&amp;number=0.0052699&amp;sourceID=54","0.0052699")</f>
        <v>0.0052699</v>
      </c>
      <c r="H1587" s="4" t="str">
        <f>HYPERLINK("http://141.218.60.56/~jnz1568/getInfo.php?workbook=16_15.xlsx&amp;sheet=A0&amp;row=1587&amp;col=8&amp;number=7.7866e-08&amp;sourceID=54","7.7866e-08")</f>
        <v>7.7866e-08</v>
      </c>
      <c r="I1587" s="4" t="str">
        <f>HYPERLINK("http://141.218.60.56/~jnz1568/getInfo.php?workbook=16_15.xlsx&amp;sheet=A0&amp;row=1587&amp;col=9&amp;number=&amp;sourceID=54","")</f>
        <v/>
      </c>
      <c r="J1587" s="4" t="str">
        <f>HYPERLINK("http://141.218.60.56/~jnz1568/getInfo.php?workbook=16_15.xlsx&amp;sheet=A0&amp;row=1587&amp;col=10&amp;number=0.0077778&amp;sourceID=54","0.0077778")</f>
        <v>0.0077778</v>
      </c>
      <c r="K1587" s="4" t="str">
        <f>HYPERLINK("http://141.218.60.56/~jnz1568/getInfo.php?workbook=16_15.xlsx&amp;sheet=A0&amp;row=1587&amp;col=11&amp;number=0.00028153&amp;sourceID=54","0.00028153")</f>
        <v>0.00028153</v>
      </c>
      <c r="L1587" s="4" t="str">
        <f>HYPERLINK("http://141.218.60.56/~jnz1568/getInfo.php?workbook=16_15.xlsx&amp;sheet=A0&amp;row=1587&amp;col=12&amp;number=&amp;sourceID=53","")</f>
        <v/>
      </c>
      <c r="M1587" s="4" t="str">
        <f>HYPERLINK("http://141.218.60.56/~jnz1568/getInfo.php?workbook=16_15.xlsx&amp;sheet=A0&amp;row=1587&amp;col=13&amp;number=&amp;sourceID=53","")</f>
        <v/>
      </c>
      <c r="N1587" s="4" t="str">
        <f>HYPERLINK("http://141.218.60.56/~jnz1568/getInfo.php?workbook=16_15.xlsx&amp;sheet=A0&amp;row=1587&amp;col=14&amp;number=&amp;sourceID=53","")</f>
        <v/>
      </c>
      <c r="O1587" s="4" t="str">
        <f>HYPERLINK("http://141.218.60.56/~jnz1568/getInfo.php?workbook=16_15.xlsx&amp;sheet=A0&amp;row=1587&amp;col=15&amp;number=&amp;sourceID=55","")</f>
        <v/>
      </c>
      <c r="P1587" s="4" t="str">
        <f>HYPERLINK("http://141.218.60.56/~jnz1568/getInfo.php?workbook=16_15.xlsx&amp;sheet=A0&amp;row=1587&amp;col=16&amp;number=&amp;sourceID=55","")</f>
        <v/>
      </c>
      <c r="Q1587" s="4" t="str">
        <f>HYPERLINK("http://141.218.60.56/~jnz1568/getInfo.php?workbook=16_15.xlsx&amp;sheet=A0&amp;row=1587&amp;col=17&amp;number=&amp;sourceID=56","")</f>
        <v/>
      </c>
      <c r="R1587" s="4" t="str">
        <f>HYPERLINK("http://141.218.60.56/~jnz1568/getInfo.php?workbook=16_15.xlsx&amp;sheet=A0&amp;row=1587&amp;col=18&amp;number=&amp;sourceID=56","")</f>
        <v/>
      </c>
      <c r="S1587" s="4" t="str">
        <f>HYPERLINK("http://141.218.60.56/~jnz1568/getInfo.php?workbook=16_15.xlsx&amp;sheet=A0&amp;row=1587&amp;col=19&amp;number=&amp;sourceID=57","")</f>
        <v/>
      </c>
      <c r="T1587" s="4" t="str">
        <f>HYPERLINK("http://141.218.60.56/~jnz1568/getInfo.php?workbook=16_15.xlsx&amp;sheet=A0&amp;row=1587&amp;col=20&amp;number=&amp;sourceID=57","")</f>
        <v/>
      </c>
      <c r="U1587" s="4" t="str">
        <f>HYPERLINK("http://141.218.60.56/~jnz1568/getInfo.php?workbook=16_15.xlsx&amp;sheet=A0&amp;row=1587&amp;col=21&amp;number=&amp;sourceID=47","")</f>
        <v/>
      </c>
      <c r="V1587" s="4" t="str">
        <f>HYPERLINK("http://141.218.60.56/~jnz1568/getInfo.php?workbook=16_15.xlsx&amp;sheet=A0&amp;row=1587&amp;col=22&amp;number=&amp;sourceID=47","")</f>
        <v/>
      </c>
    </row>
    <row r="1588" spans="1:22">
      <c r="A1588" s="3">
        <v>16</v>
      </c>
      <c r="B1588" s="3">
        <v>15</v>
      </c>
      <c r="C1588" s="3">
        <v>64</v>
      </c>
      <c r="D1588" s="3">
        <v>17</v>
      </c>
      <c r="E1588" s="3">
        <f>((1/(INDEX(E0!J$4:J$73,C1588,1)-INDEX(E0!J$4:J$73,D1588,1))))*100000000</f>
        <v>0</v>
      </c>
      <c r="F1588" s="4" t="str">
        <f>HYPERLINK("http://141.218.60.56/~jnz1568/getInfo.php?workbook=16_15.xlsx&amp;sheet=A0&amp;row=1588&amp;col=6&amp;number=&amp;sourceID=54","")</f>
        <v/>
      </c>
      <c r="G1588" s="4" t="str">
        <f>HYPERLINK("http://141.218.60.56/~jnz1568/getInfo.php?workbook=16_15.xlsx&amp;sheet=A0&amp;row=1588&amp;col=7&amp;number=0.00070397&amp;sourceID=54","0.00070397")</f>
        <v>0.00070397</v>
      </c>
      <c r="H1588" s="4" t="str">
        <f>HYPERLINK("http://141.218.60.56/~jnz1568/getInfo.php?workbook=16_15.xlsx&amp;sheet=A0&amp;row=1588&amp;col=8&amp;number=0.00080431&amp;sourceID=54","0.00080431")</f>
        <v>0.00080431</v>
      </c>
      <c r="I1588" s="4" t="str">
        <f>HYPERLINK("http://141.218.60.56/~jnz1568/getInfo.php?workbook=16_15.xlsx&amp;sheet=A0&amp;row=1588&amp;col=9&amp;number=&amp;sourceID=54","")</f>
        <v/>
      </c>
      <c r="J1588" s="4" t="str">
        <f>HYPERLINK("http://141.218.60.56/~jnz1568/getInfo.php?workbook=16_15.xlsx&amp;sheet=A0&amp;row=1588&amp;col=10&amp;number=0.0017488&amp;sourceID=54","0.0017488")</f>
        <v>0.0017488</v>
      </c>
      <c r="K1588" s="4" t="str">
        <f>HYPERLINK("http://141.218.60.56/~jnz1568/getInfo.php?workbook=16_15.xlsx&amp;sheet=A0&amp;row=1588&amp;col=11&amp;number=6.1185e-05&amp;sourceID=54","6.1185e-05")</f>
        <v>6.1185e-05</v>
      </c>
      <c r="L1588" s="4" t="str">
        <f>HYPERLINK("http://141.218.60.56/~jnz1568/getInfo.php?workbook=16_15.xlsx&amp;sheet=A0&amp;row=1588&amp;col=12&amp;number=&amp;sourceID=53","")</f>
        <v/>
      </c>
      <c r="M1588" s="4" t="str">
        <f>HYPERLINK("http://141.218.60.56/~jnz1568/getInfo.php?workbook=16_15.xlsx&amp;sheet=A0&amp;row=1588&amp;col=13&amp;number=&amp;sourceID=53","")</f>
        <v/>
      </c>
      <c r="N1588" s="4" t="str">
        <f>HYPERLINK("http://141.218.60.56/~jnz1568/getInfo.php?workbook=16_15.xlsx&amp;sheet=A0&amp;row=1588&amp;col=14&amp;number=&amp;sourceID=53","")</f>
        <v/>
      </c>
      <c r="O1588" s="4" t="str">
        <f>HYPERLINK("http://141.218.60.56/~jnz1568/getInfo.php?workbook=16_15.xlsx&amp;sheet=A0&amp;row=1588&amp;col=15&amp;number=&amp;sourceID=55","")</f>
        <v/>
      </c>
      <c r="P1588" s="4" t="str">
        <f>HYPERLINK("http://141.218.60.56/~jnz1568/getInfo.php?workbook=16_15.xlsx&amp;sheet=A0&amp;row=1588&amp;col=16&amp;number=&amp;sourceID=55","")</f>
        <v/>
      </c>
      <c r="Q1588" s="4" t="str">
        <f>HYPERLINK("http://141.218.60.56/~jnz1568/getInfo.php?workbook=16_15.xlsx&amp;sheet=A0&amp;row=1588&amp;col=17&amp;number=&amp;sourceID=56","")</f>
        <v/>
      </c>
      <c r="R1588" s="4" t="str">
        <f>HYPERLINK("http://141.218.60.56/~jnz1568/getInfo.php?workbook=16_15.xlsx&amp;sheet=A0&amp;row=1588&amp;col=18&amp;number=&amp;sourceID=56","")</f>
        <v/>
      </c>
      <c r="S1588" s="4" t="str">
        <f>HYPERLINK("http://141.218.60.56/~jnz1568/getInfo.php?workbook=16_15.xlsx&amp;sheet=A0&amp;row=1588&amp;col=19&amp;number=&amp;sourceID=57","")</f>
        <v/>
      </c>
      <c r="T1588" s="4" t="str">
        <f>HYPERLINK("http://141.218.60.56/~jnz1568/getInfo.php?workbook=16_15.xlsx&amp;sheet=A0&amp;row=1588&amp;col=20&amp;number=&amp;sourceID=57","")</f>
        <v/>
      </c>
      <c r="U1588" s="4" t="str">
        <f>HYPERLINK("http://141.218.60.56/~jnz1568/getInfo.php?workbook=16_15.xlsx&amp;sheet=A0&amp;row=1588&amp;col=21&amp;number=&amp;sourceID=47","")</f>
        <v/>
      </c>
      <c r="V1588" s="4" t="str">
        <f>HYPERLINK("http://141.218.60.56/~jnz1568/getInfo.php?workbook=16_15.xlsx&amp;sheet=A0&amp;row=1588&amp;col=22&amp;number=&amp;sourceID=47","")</f>
        <v/>
      </c>
    </row>
    <row r="1589" spans="1:22">
      <c r="A1589" s="3">
        <v>16</v>
      </c>
      <c r="B1589" s="3">
        <v>15</v>
      </c>
      <c r="C1589" s="3">
        <v>64</v>
      </c>
      <c r="D1589" s="3">
        <v>18</v>
      </c>
      <c r="E1589" s="3">
        <f>((1/(INDEX(E0!J$4:J$73,C1589,1)-INDEX(E0!J$4:J$73,D1589,1))))*100000000</f>
        <v>0</v>
      </c>
      <c r="F1589" s="4" t="str">
        <f>HYPERLINK("http://141.218.60.56/~jnz1568/getInfo.php?workbook=16_15.xlsx&amp;sheet=A0&amp;row=1589&amp;col=6&amp;number=&amp;sourceID=54","")</f>
        <v/>
      </c>
      <c r="G1589" s="4" t="str">
        <f>HYPERLINK("http://141.218.60.56/~jnz1568/getInfo.php?workbook=16_15.xlsx&amp;sheet=A0&amp;row=1589&amp;col=7&amp;number=0.0037568&amp;sourceID=54","0.0037568")</f>
        <v>0.0037568</v>
      </c>
      <c r="H1589" s="4" t="str">
        <f>HYPERLINK("http://141.218.60.56/~jnz1568/getInfo.php?workbook=16_15.xlsx&amp;sheet=A0&amp;row=1589&amp;col=8&amp;number=&amp;sourceID=54","")</f>
        <v/>
      </c>
      <c r="I1589" s="4" t="str">
        <f>HYPERLINK("http://141.218.60.56/~jnz1568/getInfo.php?workbook=16_15.xlsx&amp;sheet=A0&amp;row=1589&amp;col=9&amp;number=&amp;sourceID=54","")</f>
        <v/>
      </c>
      <c r="J1589" s="4" t="str">
        <f>HYPERLINK("http://141.218.60.56/~jnz1568/getInfo.php?workbook=16_15.xlsx&amp;sheet=A0&amp;row=1589&amp;col=10&amp;number=2.7016e-07&amp;sourceID=54","2.7016e-07")</f>
        <v>2.7016e-07</v>
      </c>
      <c r="K1589" s="4" t="str">
        <f>HYPERLINK("http://141.218.60.56/~jnz1568/getInfo.php?workbook=16_15.xlsx&amp;sheet=A0&amp;row=1589&amp;col=11&amp;number=&amp;sourceID=54","")</f>
        <v/>
      </c>
      <c r="L1589" s="4" t="str">
        <f>HYPERLINK("http://141.218.60.56/~jnz1568/getInfo.php?workbook=16_15.xlsx&amp;sheet=A0&amp;row=1589&amp;col=12&amp;number=&amp;sourceID=53","")</f>
        <v/>
      </c>
      <c r="M1589" s="4" t="str">
        <f>HYPERLINK("http://141.218.60.56/~jnz1568/getInfo.php?workbook=16_15.xlsx&amp;sheet=A0&amp;row=1589&amp;col=13&amp;number=&amp;sourceID=53","")</f>
        <v/>
      </c>
      <c r="N1589" s="4" t="str">
        <f>HYPERLINK("http://141.218.60.56/~jnz1568/getInfo.php?workbook=16_15.xlsx&amp;sheet=A0&amp;row=1589&amp;col=14&amp;number=&amp;sourceID=53","")</f>
        <v/>
      </c>
      <c r="O1589" s="4" t="str">
        <f>HYPERLINK("http://141.218.60.56/~jnz1568/getInfo.php?workbook=16_15.xlsx&amp;sheet=A0&amp;row=1589&amp;col=15&amp;number=&amp;sourceID=55","")</f>
        <v/>
      </c>
      <c r="P1589" s="4" t="str">
        <f>HYPERLINK("http://141.218.60.56/~jnz1568/getInfo.php?workbook=16_15.xlsx&amp;sheet=A0&amp;row=1589&amp;col=16&amp;number=&amp;sourceID=55","")</f>
        <v/>
      </c>
      <c r="Q1589" s="4" t="str">
        <f>HYPERLINK("http://141.218.60.56/~jnz1568/getInfo.php?workbook=16_15.xlsx&amp;sheet=A0&amp;row=1589&amp;col=17&amp;number=&amp;sourceID=56","")</f>
        <v/>
      </c>
      <c r="R1589" s="4" t="str">
        <f>HYPERLINK("http://141.218.60.56/~jnz1568/getInfo.php?workbook=16_15.xlsx&amp;sheet=A0&amp;row=1589&amp;col=18&amp;number=&amp;sourceID=56","")</f>
        <v/>
      </c>
      <c r="S1589" s="4" t="str">
        <f>HYPERLINK("http://141.218.60.56/~jnz1568/getInfo.php?workbook=16_15.xlsx&amp;sheet=A0&amp;row=1589&amp;col=19&amp;number=&amp;sourceID=57","")</f>
        <v/>
      </c>
      <c r="T1589" s="4" t="str">
        <f>HYPERLINK("http://141.218.60.56/~jnz1568/getInfo.php?workbook=16_15.xlsx&amp;sheet=A0&amp;row=1589&amp;col=20&amp;number=&amp;sourceID=57","")</f>
        <v/>
      </c>
      <c r="U1589" s="4" t="str">
        <f>HYPERLINK("http://141.218.60.56/~jnz1568/getInfo.php?workbook=16_15.xlsx&amp;sheet=A0&amp;row=1589&amp;col=21&amp;number=&amp;sourceID=47","")</f>
        <v/>
      </c>
      <c r="V1589" s="4" t="str">
        <f>HYPERLINK("http://141.218.60.56/~jnz1568/getInfo.php?workbook=16_15.xlsx&amp;sheet=A0&amp;row=1589&amp;col=22&amp;number=&amp;sourceID=47","")</f>
        <v/>
      </c>
    </row>
    <row r="1590" spans="1:22">
      <c r="A1590" s="3">
        <v>16</v>
      </c>
      <c r="B1590" s="3">
        <v>15</v>
      </c>
      <c r="C1590" s="3">
        <v>64</v>
      </c>
      <c r="D1590" s="3">
        <v>20</v>
      </c>
      <c r="E1590" s="3">
        <f>((1/(INDEX(E0!J$4:J$73,C1590,1)-INDEX(E0!J$4:J$73,D1590,1))))*100000000</f>
        <v>0</v>
      </c>
      <c r="F1590" s="4" t="str">
        <f>HYPERLINK("http://141.218.60.56/~jnz1568/getInfo.php?workbook=16_15.xlsx&amp;sheet=A0&amp;row=1590&amp;col=6&amp;number=&amp;sourceID=54","")</f>
        <v/>
      </c>
      <c r="G1590" s="4" t="str">
        <f>HYPERLINK("http://141.218.60.56/~jnz1568/getInfo.php?workbook=16_15.xlsx&amp;sheet=A0&amp;row=1590&amp;col=7&amp;number=190.14&amp;sourceID=54","190.14")</f>
        <v>190.14</v>
      </c>
      <c r="H1590" s="4" t="str">
        <f>HYPERLINK("http://141.218.60.56/~jnz1568/getInfo.php?workbook=16_15.xlsx&amp;sheet=A0&amp;row=1590&amp;col=8&amp;number=0.0092953&amp;sourceID=54","0.0092953")</f>
        <v>0.0092953</v>
      </c>
      <c r="I1590" s="4" t="str">
        <f>HYPERLINK("http://141.218.60.56/~jnz1568/getInfo.php?workbook=16_15.xlsx&amp;sheet=A0&amp;row=1590&amp;col=9&amp;number=&amp;sourceID=54","")</f>
        <v/>
      </c>
      <c r="J1590" s="4" t="str">
        <f>HYPERLINK("http://141.218.60.56/~jnz1568/getInfo.php?workbook=16_15.xlsx&amp;sheet=A0&amp;row=1590&amp;col=10&amp;number=192.18&amp;sourceID=54","192.18")</f>
        <v>192.18</v>
      </c>
      <c r="K1590" s="4" t="str">
        <f>HYPERLINK("http://141.218.60.56/~jnz1568/getInfo.php?workbook=16_15.xlsx&amp;sheet=A0&amp;row=1590&amp;col=11&amp;number=0.010068&amp;sourceID=54","0.010068")</f>
        <v>0.010068</v>
      </c>
      <c r="L1590" s="4" t="str">
        <f>HYPERLINK("http://141.218.60.56/~jnz1568/getInfo.php?workbook=16_15.xlsx&amp;sheet=A0&amp;row=1590&amp;col=12&amp;number=&amp;sourceID=53","")</f>
        <v/>
      </c>
      <c r="M1590" s="4" t="str">
        <f>HYPERLINK("http://141.218.60.56/~jnz1568/getInfo.php?workbook=16_15.xlsx&amp;sheet=A0&amp;row=1590&amp;col=13&amp;number=&amp;sourceID=53","")</f>
        <v/>
      </c>
      <c r="N1590" s="4" t="str">
        <f>HYPERLINK("http://141.218.60.56/~jnz1568/getInfo.php?workbook=16_15.xlsx&amp;sheet=A0&amp;row=1590&amp;col=14&amp;number=&amp;sourceID=53","")</f>
        <v/>
      </c>
      <c r="O1590" s="4" t="str">
        <f>HYPERLINK("http://141.218.60.56/~jnz1568/getInfo.php?workbook=16_15.xlsx&amp;sheet=A0&amp;row=1590&amp;col=15&amp;number=&amp;sourceID=55","")</f>
        <v/>
      </c>
      <c r="P1590" s="4" t="str">
        <f>HYPERLINK("http://141.218.60.56/~jnz1568/getInfo.php?workbook=16_15.xlsx&amp;sheet=A0&amp;row=1590&amp;col=16&amp;number=&amp;sourceID=55","")</f>
        <v/>
      </c>
      <c r="Q1590" s="4" t="str">
        <f>HYPERLINK("http://141.218.60.56/~jnz1568/getInfo.php?workbook=16_15.xlsx&amp;sheet=A0&amp;row=1590&amp;col=17&amp;number=&amp;sourceID=56","")</f>
        <v/>
      </c>
      <c r="R1590" s="4" t="str">
        <f>HYPERLINK("http://141.218.60.56/~jnz1568/getInfo.php?workbook=16_15.xlsx&amp;sheet=A0&amp;row=1590&amp;col=18&amp;number=&amp;sourceID=56","")</f>
        <v/>
      </c>
      <c r="S1590" s="4" t="str">
        <f>HYPERLINK("http://141.218.60.56/~jnz1568/getInfo.php?workbook=16_15.xlsx&amp;sheet=A0&amp;row=1590&amp;col=19&amp;number=&amp;sourceID=57","")</f>
        <v/>
      </c>
      <c r="T1590" s="4" t="str">
        <f>HYPERLINK("http://141.218.60.56/~jnz1568/getInfo.php?workbook=16_15.xlsx&amp;sheet=A0&amp;row=1590&amp;col=20&amp;number=&amp;sourceID=57","")</f>
        <v/>
      </c>
      <c r="U1590" s="4" t="str">
        <f>HYPERLINK("http://141.218.60.56/~jnz1568/getInfo.php?workbook=16_15.xlsx&amp;sheet=A0&amp;row=1590&amp;col=21&amp;number=&amp;sourceID=47","")</f>
        <v/>
      </c>
      <c r="V1590" s="4" t="str">
        <f>HYPERLINK("http://141.218.60.56/~jnz1568/getInfo.php?workbook=16_15.xlsx&amp;sheet=A0&amp;row=1590&amp;col=22&amp;number=&amp;sourceID=47","")</f>
        <v/>
      </c>
    </row>
    <row r="1591" spans="1:22">
      <c r="A1591" s="3">
        <v>16</v>
      </c>
      <c r="B1591" s="3">
        <v>15</v>
      </c>
      <c r="C1591" s="3">
        <v>64</v>
      </c>
      <c r="D1591" s="3">
        <v>21</v>
      </c>
      <c r="E1591" s="3">
        <f>((1/(INDEX(E0!J$4:J$73,C1591,1)-INDEX(E0!J$4:J$73,D1591,1))))*100000000</f>
        <v>0</v>
      </c>
      <c r="F1591" s="4" t="str">
        <f>HYPERLINK("http://141.218.60.56/~jnz1568/getInfo.php?workbook=16_15.xlsx&amp;sheet=A0&amp;row=1591&amp;col=6&amp;number=&amp;sourceID=54","")</f>
        <v/>
      </c>
      <c r="G1591" s="4" t="str">
        <f>HYPERLINK("http://141.218.60.56/~jnz1568/getInfo.php?workbook=16_15.xlsx&amp;sheet=A0&amp;row=1591&amp;col=7&amp;number=109.81&amp;sourceID=54","109.81")</f>
        <v>109.81</v>
      </c>
      <c r="H1591" s="4" t="str">
        <f>HYPERLINK("http://141.218.60.56/~jnz1568/getInfo.php?workbook=16_15.xlsx&amp;sheet=A0&amp;row=1591&amp;col=8&amp;number=0.058825&amp;sourceID=54","0.058825")</f>
        <v>0.058825</v>
      </c>
      <c r="I1591" s="4" t="str">
        <f>HYPERLINK("http://141.218.60.56/~jnz1568/getInfo.php?workbook=16_15.xlsx&amp;sheet=A0&amp;row=1591&amp;col=9&amp;number=&amp;sourceID=54","")</f>
        <v/>
      </c>
      <c r="J1591" s="4" t="str">
        <f>HYPERLINK("http://141.218.60.56/~jnz1568/getInfo.php?workbook=16_15.xlsx&amp;sheet=A0&amp;row=1591&amp;col=10&amp;number=173.17&amp;sourceID=54","173.17")</f>
        <v>173.17</v>
      </c>
      <c r="K1591" s="4" t="str">
        <f>HYPERLINK("http://141.218.60.56/~jnz1568/getInfo.php?workbook=16_15.xlsx&amp;sheet=A0&amp;row=1591&amp;col=11&amp;number=0.074165&amp;sourceID=54","0.074165")</f>
        <v>0.074165</v>
      </c>
      <c r="L1591" s="4" t="str">
        <f>HYPERLINK("http://141.218.60.56/~jnz1568/getInfo.php?workbook=16_15.xlsx&amp;sheet=A0&amp;row=1591&amp;col=12&amp;number=&amp;sourceID=53","")</f>
        <v/>
      </c>
      <c r="M1591" s="4" t="str">
        <f>HYPERLINK("http://141.218.60.56/~jnz1568/getInfo.php?workbook=16_15.xlsx&amp;sheet=A0&amp;row=1591&amp;col=13&amp;number=&amp;sourceID=53","")</f>
        <v/>
      </c>
      <c r="N1591" s="4" t="str">
        <f>HYPERLINK("http://141.218.60.56/~jnz1568/getInfo.php?workbook=16_15.xlsx&amp;sheet=A0&amp;row=1591&amp;col=14&amp;number=&amp;sourceID=53","")</f>
        <v/>
      </c>
      <c r="O1591" s="4" t="str">
        <f>HYPERLINK("http://141.218.60.56/~jnz1568/getInfo.php?workbook=16_15.xlsx&amp;sheet=A0&amp;row=1591&amp;col=15&amp;number=&amp;sourceID=55","")</f>
        <v/>
      </c>
      <c r="P1591" s="4" t="str">
        <f>HYPERLINK("http://141.218.60.56/~jnz1568/getInfo.php?workbook=16_15.xlsx&amp;sheet=A0&amp;row=1591&amp;col=16&amp;number=&amp;sourceID=55","")</f>
        <v/>
      </c>
      <c r="Q1591" s="4" t="str">
        <f>HYPERLINK("http://141.218.60.56/~jnz1568/getInfo.php?workbook=16_15.xlsx&amp;sheet=A0&amp;row=1591&amp;col=17&amp;number=&amp;sourceID=56","")</f>
        <v/>
      </c>
      <c r="R1591" s="4" t="str">
        <f>HYPERLINK("http://141.218.60.56/~jnz1568/getInfo.php?workbook=16_15.xlsx&amp;sheet=A0&amp;row=1591&amp;col=18&amp;number=&amp;sourceID=56","")</f>
        <v/>
      </c>
      <c r="S1591" s="4" t="str">
        <f>HYPERLINK("http://141.218.60.56/~jnz1568/getInfo.php?workbook=16_15.xlsx&amp;sheet=A0&amp;row=1591&amp;col=19&amp;number=&amp;sourceID=57","")</f>
        <v/>
      </c>
      <c r="T1591" s="4" t="str">
        <f>HYPERLINK("http://141.218.60.56/~jnz1568/getInfo.php?workbook=16_15.xlsx&amp;sheet=A0&amp;row=1591&amp;col=20&amp;number=&amp;sourceID=57","")</f>
        <v/>
      </c>
      <c r="U1591" s="4" t="str">
        <f>HYPERLINK("http://141.218.60.56/~jnz1568/getInfo.php?workbook=16_15.xlsx&amp;sheet=A0&amp;row=1591&amp;col=21&amp;number=&amp;sourceID=47","")</f>
        <v/>
      </c>
      <c r="V1591" s="4" t="str">
        <f>HYPERLINK("http://141.218.60.56/~jnz1568/getInfo.php?workbook=16_15.xlsx&amp;sheet=A0&amp;row=1591&amp;col=22&amp;number=&amp;sourceID=47","")</f>
        <v/>
      </c>
    </row>
    <row r="1592" spans="1:22">
      <c r="A1592" s="3">
        <v>16</v>
      </c>
      <c r="B1592" s="3">
        <v>15</v>
      </c>
      <c r="C1592" s="3">
        <v>64</v>
      </c>
      <c r="D1592" s="3">
        <v>22</v>
      </c>
      <c r="E1592" s="3">
        <f>((1/(INDEX(E0!J$4:J$73,C1592,1)-INDEX(E0!J$4:J$73,D1592,1))))*100000000</f>
        <v>0</v>
      </c>
      <c r="F1592" s="4" t="str">
        <f>HYPERLINK("http://141.218.60.56/~jnz1568/getInfo.php?workbook=16_15.xlsx&amp;sheet=A0&amp;row=1592&amp;col=6&amp;number=&amp;sourceID=54","")</f>
        <v/>
      </c>
      <c r="G1592" s="4" t="str">
        <f>HYPERLINK("http://141.218.60.56/~jnz1568/getInfo.php?workbook=16_15.xlsx&amp;sheet=A0&amp;row=1592&amp;col=7&amp;number=0.00030154&amp;sourceID=54","0.00030154")</f>
        <v>0.00030154</v>
      </c>
      <c r="H1592" s="4" t="str">
        <f>HYPERLINK("http://141.218.60.56/~jnz1568/getInfo.php?workbook=16_15.xlsx&amp;sheet=A0&amp;row=1592&amp;col=8&amp;number=0.0007794&amp;sourceID=54","0.0007794")</f>
        <v>0.0007794</v>
      </c>
      <c r="I1592" s="4" t="str">
        <f>HYPERLINK("http://141.218.60.56/~jnz1568/getInfo.php?workbook=16_15.xlsx&amp;sheet=A0&amp;row=1592&amp;col=9&amp;number=&amp;sourceID=54","")</f>
        <v/>
      </c>
      <c r="J1592" s="4" t="str">
        <f>HYPERLINK("http://141.218.60.56/~jnz1568/getInfo.php?workbook=16_15.xlsx&amp;sheet=A0&amp;row=1592&amp;col=10&amp;number=0.00066003&amp;sourceID=54","0.00066003")</f>
        <v>0.00066003</v>
      </c>
      <c r="K1592" s="4" t="str">
        <f>HYPERLINK("http://141.218.60.56/~jnz1568/getInfo.php?workbook=16_15.xlsx&amp;sheet=A0&amp;row=1592&amp;col=11&amp;number=0.0010544&amp;sourceID=54","0.0010544")</f>
        <v>0.0010544</v>
      </c>
      <c r="L1592" s="4" t="str">
        <f>HYPERLINK("http://141.218.60.56/~jnz1568/getInfo.php?workbook=16_15.xlsx&amp;sheet=A0&amp;row=1592&amp;col=12&amp;number=&amp;sourceID=53","")</f>
        <v/>
      </c>
      <c r="M1592" s="4" t="str">
        <f>HYPERLINK("http://141.218.60.56/~jnz1568/getInfo.php?workbook=16_15.xlsx&amp;sheet=A0&amp;row=1592&amp;col=13&amp;number=&amp;sourceID=53","")</f>
        <v/>
      </c>
      <c r="N1592" s="4" t="str">
        <f>HYPERLINK("http://141.218.60.56/~jnz1568/getInfo.php?workbook=16_15.xlsx&amp;sheet=A0&amp;row=1592&amp;col=14&amp;number=&amp;sourceID=53","")</f>
        <v/>
      </c>
      <c r="O1592" s="4" t="str">
        <f>HYPERLINK("http://141.218.60.56/~jnz1568/getInfo.php?workbook=16_15.xlsx&amp;sheet=A0&amp;row=1592&amp;col=15&amp;number=&amp;sourceID=55","")</f>
        <v/>
      </c>
      <c r="P1592" s="4" t="str">
        <f>HYPERLINK("http://141.218.60.56/~jnz1568/getInfo.php?workbook=16_15.xlsx&amp;sheet=A0&amp;row=1592&amp;col=16&amp;number=&amp;sourceID=55","")</f>
        <v/>
      </c>
      <c r="Q1592" s="4" t="str">
        <f>HYPERLINK("http://141.218.60.56/~jnz1568/getInfo.php?workbook=16_15.xlsx&amp;sheet=A0&amp;row=1592&amp;col=17&amp;number=&amp;sourceID=56","")</f>
        <v/>
      </c>
      <c r="R1592" s="4" t="str">
        <f>HYPERLINK("http://141.218.60.56/~jnz1568/getInfo.php?workbook=16_15.xlsx&amp;sheet=A0&amp;row=1592&amp;col=18&amp;number=&amp;sourceID=56","")</f>
        <v/>
      </c>
      <c r="S1592" s="4" t="str">
        <f>HYPERLINK("http://141.218.60.56/~jnz1568/getInfo.php?workbook=16_15.xlsx&amp;sheet=A0&amp;row=1592&amp;col=19&amp;number=&amp;sourceID=57","")</f>
        <v/>
      </c>
      <c r="T1592" s="4" t="str">
        <f>HYPERLINK("http://141.218.60.56/~jnz1568/getInfo.php?workbook=16_15.xlsx&amp;sheet=A0&amp;row=1592&amp;col=20&amp;number=&amp;sourceID=57","")</f>
        <v/>
      </c>
      <c r="U1592" s="4" t="str">
        <f>HYPERLINK("http://141.218.60.56/~jnz1568/getInfo.php?workbook=16_15.xlsx&amp;sheet=A0&amp;row=1592&amp;col=21&amp;number=&amp;sourceID=47","")</f>
        <v/>
      </c>
      <c r="V1592" s="4" t="str">
        <f>HYPERLINK("http://141.218.60.56/~jnz1568/getInfo.php?workbook=16_15.xlsx&amp;sheet=A0&amp;row=1592&amp;col=22&amp;number=&amp;sourceID=47","")</f>
        <v/>
      </c>
    </row>
    <row r="1593" spans="1:22">
      <c r="A1593" s="3">
        <v>16</v>
      </c>
      <c r="B1593" s="3">
        <v>15</v>
      </c>
      <c r="C1593" s="3">
        <v>64</v>
      </c>
      <c r="D1593" s="3">
        <v>23</v>
      </c>
      <c r="E1593" s="3">
        <f>((1/(INDEX(E0!J$4:J$73,C1593,1)-INDEX(E0!J$4:J$73,D1593,1))))*100000000</f>
        <v>0</v>
      </c>
      <c r="F1593" s="4" t="str">
        <f>HYPERLINK("http://141.218.60.56/~jnz1568/getInfo.php?workbook=16_15.xlsx&amp;sheet=A0&amp;row=1593&amp;col=6&amp;number=&amp;sourceID=54","")</f>
        <v/>
      </c>
      <c r="G1593" s="4" t="str">
        <f>HYPERLINK("http://141.218.60.56/~jnz1568/getInfo.php?workbook=16_15.xlsx&amp;sheet=A0&amp;row=1593&amp;col=7&amp;number=0.00070469&amp;sourceID=54","0.00070469")</f>
        <v>0.00070469</v>
      </c>
      <c r="H1593" s="4" t="str">
        <f>HYPERLINK("http://141.218.60.56/~jnz1568/getInfo.php?workbook=16_15.xlsx&amp;sheet=A0&amp;row=1593&amp;col=8&amp;number=0.0095382&amp;sourceID=54","0.0095382")</f>
        <v>0.0095382</v>
      </c>
      <c r="I1593" s="4" t="str">
        <f>HYPERLINK("http://141.218.60.56/~jnz1568/getInfo.php?workbook=16_15.xlsx&amp;sheet=A0&amp;row=1593&amp;col=9&amp;number=&amp;sourceID=54","")</f>
        <v/>
      </c>
      <c r="J1593" s="4" t="str">
        <f>HYPERLINK("http://141.218.60.56/~jnz1568/getInfo.php?workbook=16_15.xlsx&amp;sheet=A0&amp;row=1593&amp;col=10&amp;number=0.00078043&amp;sourceID=54","0.00078043")</f>
        <v>0.00078043</v>
      </c>
      <c r="K1593" s="4" t="str">
        <f>HYPERLINK("http://141.218.60.56/~jnz1568/getInfo.php?workbook=16_15.xlsx&amp;sheet=A0&amp;row=1593&amp;col=11&amp;number=0.003403&amp;sourceID=54","0.003403")</f>
        <v>0.003403</v>
      </c>
      <c r="L1593" s="4" t="str">
        <f>HYPERLINK("http://141.218.60.56/~jnz1568/getInfo.php?workbook=16_15.xlsx&amp;sheet=A0&amp;row=1593&amp;col=12&amp;number=&amp;sourceID=53","")</f>
        <v/>
      </c>
      <c r="M1593" s="4" t="str">
        <f>HYPERLINK("http://141.218.60.56/~jnz1568/getInfo.php?workbook=16_15.xlsx&amp;sheet=A0&amp;row=1593&amp;col=13&amp;number=&amp;sourceID=53","")</f>
        <v/>
      </c>
      <c r="N1593" s="4" t="str">
        <f>HYPERLINK("http://141.218.60.56/~jnz1568/getInfo.php?workbook=16_15.xlsx&amp;sheet=A0&amp;row=1593&amp;col=14&amp;number=&amp;sourceID=53","")</f>
        <v/>
      </c>
      <c r="O1593" s="4" t="str">
        <f>HYPERLINK("http://141.218.60.56/~jnz1568/getInfo.php?workbook=16_15.xlsx&amp;sheet=A0&amp;row=1593&amp;col=15&amp;number=&amp;sourceID=55","")</f>
        <v/>
      </c>
      <c r="P1593" s="4" t="str">
        <f>HYPERLINK("http://141.218.60.56/~jnz1568/getInfo.php?workbook=16_15.xlsx&amp;sheet=A0&amp;row=1593&amp;col=16&amp;number=&amp;sourceID=55","")</f>
        <v/>
      </c>
      <c r="Q1593" s="4" t="str">
        <f>HYPERLINK("http://141.218.60.56/~jnz1568/getInfo.php?workbook=16_15.xlsx&amp;sheet=A0&amp;row=1593&amp;col=17&amp;number=&amp;sourceID=56","")</f>
        <v/>
      </c>
      <c r="R1593" s="4" t="str">
        <f>HYPERLINK("http://141.218.60.56/~jnz1568/getInfo.php?workbook=16_15.xlsx&amp;sheet=A0&amp;row=1593&amp;col=18&amp;number=&amp;sourceID=56","")</f>
        <v/>
      </c>
      <c r="S1593" s="4" t="str">
        <f>HYPERLINK("http://141.218.60.56/~jnz1568/getInfo.php?workbook=16_15.xlsx&amp;sheet=A0&amp;row=1593&amp;col=19&amp;number=&amp;sourceID=57","")</f>
        <v/>
      </c>
      <c r="T1593" s="4" t="str">
        <f>HYPERLINK("http://141.218.60.56/~jnz1568/getInfo.php?workbook=16_15.xlsx&amp;sheet=A0&amp;row=1593&amp;col=20&amp;number=&amp;sourceID=57","")</f>
        <v/>
      </c>
      <c r="U1593" s="4" t="str">
        <f>HYPERLINK("http://141.218.60.56/~jnz1568/getInfo.php?workbook=16_15.xlsx&amp;sheet=A0&amp;row=1593&amp;col=21&amp;number=&amp;sourceID=47","")</f>
        <v/>
      </c>
      <c r="V1593" s="4" t="str">
        <f>HYPERLINK("http://141.218.60.56/~jnz1568/getInfo.php?workbook=16_15.xlsx&amp;sheet=A0&amp;row=1593&amp;col=22&amp;number=&amp;sourceID=47","")</f>
        <v/>
      </c>
    </row>
    <row r="1594" spans="1:22">
      <c r="A1594" s="3">
        <v>16</v>
      </c>
      <c r="B1594" s="3">
        <v>15</v>
      </c>
      <c r="C1594" s="3">
        <v>64</v>
      </c>
      <c r="D1594" s="3">
        <v>24</v>
      </c>
      <c r="E1594" s="3">
        <f>((1/(INDEX(E0!J$4:J$73,C1594,1)-INDEX(E0!J$4:J$73,D1594,1))))*100000000</f>
        <v>0</v>
      </c>
      <c r="F1594" s="4" t="str">
        <f>HYPERLINK("http://141.218.60.56/~jnz1568/getInfo.php?workbook=16_15.xlsx&amp;sheet=A0&amp;row=1594&amp;col=6&amp;number=&amp;sourceID=54","")</f>
        <v/>
      </c>
      <c r="G1594" s="4" t="str">
        <f>HYPERLINK("http://141.218.60.56/~jnz1568/getInfo.php?workbook=16_15.xlsx&amp;sheet=A0&amp;row=1594&amp;col=7&amp;number=0.048887&amp;sourceID=54","0.048887")</f>
        <v>0.048887</v>
      </c>
      <c r="H1594" s="4" t="str">
        <f>HYPERLINK("http://141.218.60.56/~jnz1568/getInfo.php?workbook=16_15.xlsx&amp;sheet=A0&amp;row=1594&amp;col=8&amp;number=0.014153&amp;sourceID=54","0.014153")</f>
        <v>0.014153</v>
      </c>
      <c r="I1594" s="4" t="str">
        <f>HYPERLINK("http://141.218.60.56/~jnz1568/getInfo.php?workbook=16_15.xlsx&amp;sheet=A0&amp;row=1594&amp;col=9&amp;number=&amp;sourceID=54","")</f>
        <v/>
      </c>
      <c r="J1594" s="4" t="str">
        <f>HYPERLINK("http://141.218.60.56/~jnz1568/getInfo.php?workbook=16_15.xlsx&amp;sheet=A0&amp;row=1594&amp;col=10&amp;number=0.030332&amp;sourceID=54","0.030332")</f>
        <v>0.030332</v>
      </c>
      <c r="K1594" s="4" t="str">
        <f>HYPERLINK("http://141.218.60.56/~jnz1568/getInfo.php?workbook=16_15.xlsx&amp;sheet=A0&amp;row=1594&amp;col=11&amp;number=0.00088579&amp;sourceID=54","0.00088579")</f>
        <v>0.00088579</v>
      </c>
      <c r="L1594" s="4" t="str">
        <f>HYPERLINK("http://141.218.60.56/~jnz1568/getInfo.php?workbook=16_15.xlsx&amp;sheet=A0&amp;row=1594&amp;col=12&amp;number=&amp;sourceID=53","")</f>
        <v/>
      </c>
      <c r="M1594" s="4" t="str">
        <f>HYPERLINK("http://141.218.60.56/~jnz1568/getInfo.php?workbook=16_15.xlsx&amp;sheet=A0&amp;row=1594&amp;col=13&amp;number=&amp;sourceID=53","")</f>
        <v/>
      </c>
      <c r="N1594" s="4" t="str">
        <f>HYPERLINK("http://141.218.60.56/~jnz1568/getInfo.php?workbook=16_15.xlsx&amp;sheet=A0&amp;row=1594&amp;col=14&amp;number=&amp;sourceID=53","")</f>
        <v/>
      </c>
      <c r="O1594" s="4" t="str">
        <f>HYPERLINK("http://141.218.60.56/~jnz1568/getInfo.php?workbook=16_15.xlsx&amp;sheet=A0&amp;row=1594&amp;col=15&amp;number=&amp;sourceID=55","")</f>
        <v/>
      </c>
      <c r="P1594" s="4" t="str">
        <f>HYPERLINK("http://141.218.60.56/~jnz1568/getInfo.php?workbook=16_15.xlsx&amp;sheet=A0&amp;row=1594&amp;col=16&amp;number=&amp;sourceID=55","")</f>
        <v/>
      </c>
      <c r="Q1594" s="4" t="str">
        <f>HYPERLINK("http://141.218.60.56/~jnz1568/getInfo.php?workbook=16_15.xlsx&amp;sheet=A0&amp;row=1594&amp;col=17&amp;number=&amp;sourceID=56","")</f>
        <v/>
      </c>
      <c r="R1594" s="4" t="str">
        <f>HYPERLINK("http://141.218.60.56/~jnz1568/getInfo.php?workbook=16_15.xlsx&amp;sheet=A0&amp;row=1594&amp;col=18&amp;number=&amp;sourceID=56","")</f>
        <v/>
      </c>
      <c r="S1594" s="4" t="str">
        <f>HYPERLINK("http://141.218.60.56/~jnz1568/getInfo.php?workbook=16_15.xlsx&amp;sheet=A0&amp;row=1594&amp;col=19&amp;number=&amp;sourceID=57","")</f>
        <v/>
      </c>
      <c r="T1594" s="4" t="str">
        <f>HYPERLINK("http://141.218.60.56/~jnz1568/getInfo.php?workbook=16_15.xlsx&amp;sheet=A0&amp;row=1594&amp;col=20&amp;number=&amp;sourceID=57","")</f>
        <v/>
      </c>
      <c r="U1594" s="4" t="str">
        <f>HYPERLINK("http://141.218.60.56/~jnz1568/getInfo.php?workbook=16_15.xlsx&amp;sheet=A0&amp;row=1594&amp;col=21&amp;number=&amp;sourceID=47","")</f>
        <v/>
      </c>
      <c r="V1594" s="4" t="str">
        <f>HYPERLINK("http://141.218.60.56/~jnz1568/getInfo.php?workbook=16_15.xlsx&amp;sheet=A0&amp;row=1594&amp;col=22&amp;number=&amp;sourceID=47","")</f>
        <v/>
      </c>
    </row>
    <row r="1595" spans="1:22">
      <c r="A1595" s="3">
        <v>16</v>
      </c>
      <c r="B1595" s="3">
        <v>15</v>
      </c>
      <c r="C1595" s="3">
        <v>64</v>
      </c>
      <c r="D1595" s="3">
        <v>25</v>
      </c>
      <c r="E1595" s="3">
        <f>((1/(INDEX(E0!J$4:J$73,C1595,1)-INDEX(E0!J$4:J$73,D1595,1))))*100000000</f>
        <v>0</v>
      </c>
      <c r="F1595" s="4" t="str">
        <f>HYPERLINK("http://141.218.60.56/~jnz1568/getInfo.php?workbook=16_15.xlsx&amp;sheet=A0&amp;row=1595&amp;col=6&amp;number=&amp;sourceID=54","")</f>
        <v/>
      </c>
      <c r="G1595" s="4" t="str">
        <f>HYPERLINK("http://141.218.60.56/~jnz1568/getInfo.php?workbook=16_15.xlsx&amp;sheet=A0&amp;row=1595&amp;col=7&amp;number=0.0061168&amp;sourceID=54","0.0061168")</f>
        <v>0.0061168</v>
      </c>
      <c r="H1595" s="4" t="str">
        <f>HYPERLINK("http://141.218.60.56/~jnz1568/getInfo.php?workbook=16_15.xlsx&amp;sheet=A0&amp;row=1595&amp;col=8&amp;number=&amp;sourceID=54","")</f>
        <v/>
      </c>
      <c r="I1595" s="4" t="str">
        <f>HYPERLINK("http://141.218.60.56/~jnz1568/getInfo.php?workbook=16_15.xlsx&amp;sheet=A0&amp;row=1595&amp;col=9&amp;number=&amp;sourceID=54","")</f>
        <v/>
      </c>
      <c r="J1595" s="4" t="str">
        <f>HYPERLINK("http://141.218.60.56/~jnz1568/getInfo.php?workbook=16_15.xlsx&amp;sheet=A0&amp;row=1595&amp;col=10&amp;number=0.05868&amp;sourceID=54","0.05868")</f>
        <v>0.05868</v>
      </c>
      <c r="K1595" s="4" t="str">
        <f>HYPERLINK("http://141.218.60.56/~jnz1568/getInfo.php?workbook=16_15.xlsx&amp;sheet=A0&amp;row=1595&amp;col=11&amp;number=&amp;sourceID=54","")</f>
        <v/>
      </c>
      <c r="L1595" s="4" t="str">
        <f>HYPERLINK("http://141.218.60.56/~jnz1568/getInfo.php?workbook=16_15.xlsx&amp;sheet=A0&amp;row=1595&amp;col=12&amp;number=&amp;sourceID=53","")</f>
        <v/>
      </c>
      <c r="M1595" s="4" t="str">
        <f>HYPERLINK("http://141.218.60.56/~jnz1568/getInfo.php?workbook=16_15.xlsx&amp;sheet=A0&amp;row=1595&amp;col=13&amp;number=&amp;sourceID=53","")</f>
        <v/>
      </c>
      <c r="N1595" s="4" t="str">
        <f>HYPERLINK("http://141.218.60.56/~jnz1568/getInfo.php?workbook=16_15.xlsx&amp;sheet=A0&amp;row=1595&amp;col=14&amp;number=&amp;sourceID=53","")</f>
        <v/>
      </c>
      <c r="O1595" s="4" t="str">
        <f>HYPERLINK("http://141.218.60.56/~jnz1568/getInfo.php?workbook=16_15.xlsx&amp;sheet=A0&amp;row=1595&amp;col=15&amp;number=&amp;sourceID=55","")</f>
        <v/>
      </c>
      <c r="P1595" s="4" t="str">
        <f>HYPERLINK("http://141.218.60.56/~jnz1568/getInfo.php?workbook=16_15.xlsx&amp;sheet=A0&amp;row=1595&amp;col=16&amp;number=&amp;sourceID=55","")</f>
        <v/>
      </c>
      <c r="Q1595" s="4" t="str">
        <f>HYPERLINK("http://141.218.60.56/~jnz1568/getInfo.php?workbook=16_15.xlsx&amp;sheet=A0&amp;row=1595&amp;col=17&amp;number=&amp;sourceID=56","")</f>
        <v/>
      </c>
      <c r="R1595" s="4" t="str">
        <f>HYPERLINK("http://141.218.60.56/~jnz1568/getInfo.php?workbook=16_15.xlsx&amp;sheet=A0&amp;row=1595&amp;col=18&amp;number=&amp;sourceID=56","")</f>
        <v/>
      </c>
      <c r="S1595" s="4" t="str">
        <f>HYPERLINK("http://141.218.60.56/~jnz1568/getInfo.php?workbook=16_15.xlsx&amp;sheet=A0&amp;row=1595&amp;col=19&amp;number=&amp;sourceID=57","")</f>
        <v/>
      </c>
      <c r="T1595" s="4" t="str">
        <f>HYPERLINK("http://141.218.60.56/~jnz1568/getInfo.php?workbook=16_15.xlsx&amp;sheet=A0&amp;row=1595&amp;col=20&amp;number=&amp;sourceID=57","")</f>
        <v/>
      </c>
      <c r="U1595" s="4" t="str">
        <f>HYPERLINK("http://141.218.60.56/~jnz1568/getInfo.php?workbook=16_15.xlsx&amp;sheet=A0&amp;row=1595&amp;col=21&amp;number=&amp;sourceID=47","")</f>
        <v/>
      </c>
      <c r="V1595" s="4" t="str">
        <f>HYPERLINK("http://141.218.60.56/~jnz1568/getInfo.php?workbook=16_15.xlsx&amp;sheet=A0&amp;row=1595&amp;col=22&amp;number=&amp;sourceID=47","")</f>
        <v/>
      </c>
    </row>
    <row r="1596" spans="1:22">
      <c r="A1596" s="3">
        <v>16</v>
      </c>
      <c r="B1596" s="3">
        <v>15</v>
      </c>
      <c r="C1596" s="3">
        <v>64</v>
      </c>
      <c r="D1596" s="3">
        <v>26</v>
      </c>
      <c r="E1596" s="3">
        <f>((1/(INDEX(E0!J$4:J$73,C1596,1)-INDEX(E0!J$4:J$73,D1596,1))))*100000000</f>
        <v>0</v>
      </c>
      <c r="F1596" s="4" t="str">
        <f>HYPERLINK("http://141.218.60.56/~jnz1568/getInfo.php?workbook=16_15.xlsx&amp;sheet=A0&amp;row=1596&amp;col=6&amp;number=&amp;sourceID=54","")</f>
        <v/>
      </c>
      <c r="G1596" s="4" t="str">
        <f>HYPERLINK("http://141.218.60.56/~jnz1568/getInfo.php?workbook=16_15.xlsx&amp;sheet=A0&amp;row=1596&amp;col=7&amp;number=2.0262&amp;sourceID=54","2.0262")</f>
        <v>2.0262</v>
      </c>
      <c r="H1596" s="4" t="str">
        <f>HYPERLINK("http://141.218.60.56/~jnz1568/getInfo.php?workbook=16_15.xlsx&amp;sheet=A0&amp;row=1596&amp;col=8&amp;number=3.947e-06&amp;sourceID=54","3.947e-06")</f>
        <v>3.947e-06</v>
      </c>
      <c r="I1596" s="4" t="str">
        <f>HYPERLINK("http://141.218.60.56/~jnz1568/getInfo.php?workbook=16_15.xlsx&amp;sheet=A0&amp;row=1596&amp;col=9&amp;number=&amp;sourceID=54","")</f>
        <v/>
      </c>
      <c r="J1596" s="4" t="str">
        <f>HYPERLINK("http://141.218.60.56/~jnz1568/getInfo.php?workbook=16_15.xlsx&amp;sheet=A0&amp;row=1596&amp;col=10&amp;number=0.57473&amp;sourceID=54","0.57473")</f>
        <v>0.57473</v>
      </c>
      <c r="K1596" s="4" t="str">
        <f>HYPERLINK("http://141.218.60.56/~jnz1568/getInfo.php?workbook=16_15.xlsx&amp;sheet=A0&amp;row=1596&amp;col=11&amp;number=2.3746e-06&amp;sourceID=54","2.3746e-06")</f>
        <v>2.3746e-06</v>
      </c>
      <c r="L1596" s="4" t="str">
        <f>HYPERLINK("http://141.218.60.56/~jnz1568/getInfo.php?workbook=16_15.xlsx&amp;sheet=A0&amp;row=1596&amp;col=12&amp;number=&amp;sourceID=53","")</f>
        <v/>
      </c>
      <c r="M1596" s="4" t="str">
        <f>HYPERLINK("http://141.218.60.56/~jnz1568/getInfo.php?workbook=16_15.xlsx&amp;sheet=A0&amp;row=1596&amp;col=13&amp;number=&amp;sourceID=53","")</f>
        <v/>
      </c>
      <c r="N1596" s="4" t="str">
        <f>HYPERLINK("http://141.218.60.56/~jnz1568/getInfo.php?workbook=16_15.xlsx&amp;sheet=A0&amp;row=1596&amp;col=14&amp;number=&amp;sourceID=53","")</f>
        <v/>
      </c>
      <c r="O1596" s="4" t="str">
        <f>HYPERLINK("http://141.218.60.56/~jnz1568/getInfo.php?workbook=16_15.xlsx&amp;sheet=A0&amp;row=1596&amp;col=15&amp;number=&amp;sourceID=55","")</f>
        <v/>
      </c>
      <c r="P1596" s="4" t="str">
        <f>HYPERLINK("http://141.218.60.56/~jnz1568/getInfo.php?workbook=16_15.xlsx&amp;sheet=A0&amp;row=1596&amp;col=16&amp;number=&amp;sourceID=55","")</f>
        <v/>
      </c>
      <c r="Q1596" s="4" t="str">
        <f>HYPERLINK("http://141.218.60.56/~jnz1568/getInfo.php?workbook=16_15.xlsx&amp;sheet=A0&amp;row=1596&amp;col=17&amp;number=&amp;sourceID=56","")</f>
        <v/>
      </c>
      <c r="R1596" s="4" t="str">
        <f>HYPERLINK("http://141.218.60.56/~jnz1568/getInfo.php?workbook=16_15.xlsx&amp;sheet=A0&amp;row=1596&amp;col=18&amp;number=&amp;sourceID=56","")</f>
        <v/>
      </c>
      <c r="S1596" s="4" t="str">
        <f>HYPERLINK("http://141.218.60.56/~jnz1568/getInfo.php?workbook=16_15.xlsx&amp;sheet=A0&amp;row=1596&amp;col=19&amp;number=&amp;sourceID=57","")</f>
        <v/>
      </c>
      <c r="T1596" s="4" t="str">
        <f>HYPERLINK("http://141.218.60.56/~jnz1568/getInfo.php?workbook=16_15.xlsx&amp;sheet=A0&amp;row=1596&amp;col=20&amp;number=&amp;sourceID=57","")</f>
        <v/>
      </c>
      <c r="U1596" s="4" t="str">
        <f>HYPERLINK("http://141.218.60.56/~jnz1568/getInfo.php?workbook=16_15.xlsx&amp;sheet=A0&amp;row=1596&amp;col=21&amp;number=&amp;sourceID=47","")</f>
        <v/>
      </c>
      <c r="V1596" s="4" t="str">
        <f>HYPERLINK("http://141.218.60.56/~jnz1568/getInfo.php?workbook=16_15.xlsx&amp;sheet=A0&amp;row=1596&amp;col=22&amp;number=&amp;sourceID=47","")</f>
        <v/>
      </c>
    </row>
    <row r="1597" spans="1:22">
      <c r="A1597" s="3">
        <v>16</v>
      </c>
      <c r="B1597" s="3">
        <v>15</v>
      </c>
      <c r="C1597" s="3">
        <v>64</v>
      </c>
      <c r="D1597" s="3">
        <v>27</v>
      </c>
      <c r="E1597" s="3">
        <f>((1/(INDEX(E0!J$4:J$73,C1597,1)-INDEX(E0!J$4:J$73,D1597,1))))*100000000</f>
        <v>0</v>
      </c>
      <c r="F1597" s="4" t="str">
        <f>HYPERLINK("http://141.218.60.56/~jnz1568/getInfo.php?workbook=16_15.xlsx&amp;sheet=A0&amp;row=1597&amp;col=6&amp;number=&amp;sourceID=54","")</f>
        <v/>
      </c>
      <c r="G1597" s="4" t="str">
        <f>HYPERLINK("http://141.218.60.56/~jnz1568/getInfo.php?workbook=16_15.xlsx&amp;sheet=A0&amp;row=1597&amp;col=7&amp;number=0.093569&amp;sourceID=54","0.093569")</f>
        <v>0.093569</v>
      </c>
      <c r="H1597" s="4" t="str">
        <f>HYPERLINK("http://141.218.60.56/~jnz1568/getInfo.php?workbook=16_15.xlsx&amp;sheet=A0&amp;row=1597&amp;col=8&amp;number=&amp;sourceID=54","")</f>
        <v/>
      </c>
      <c r="I1597" s="4" t="str">
        <f>HYPERLINK("http://141.218.60.56/~jnz1568/getInfo.php?workbook=16_15.xlsx&amp;sheet=A0&amp;row=1597&amp;col=9&amp;number=&amp;sourceID=54","")</f>
        <v/>
      </c>
      <c r="J1597" s="4" t="str">
        <f>HYPERLINK("http://141.218.60.56/~jnz1568/getInfo.php?workbook=16_15.xlsx&amp;sheet=A0&amp;row=1597&amp;col=10&amp;number=0.535&amp;sourceID=54","0.535")</f>
        <v>0.535</v>
      </c>
      <c r="K1597" s="4" t="str">
        <f>HYPERLINK("http://141.218.60.56/~jnz1568/getInfo.php?workbook=16_15.xlsx&amp;sheet=A0&amp;row=1597&amp;col=11&amp;number=&amp;sourceID=54","")</f>
        <v/>
      </c>
      <c r="L1597" s="4" t="str">
        <f>HYPERLINK("http://141.218.60.56/~jnz1568/getInfo.php?workbook=16_15.xlsx&amp;sheet=A0&amp;row=1597&amp;col=12&amp;number=&amp;sourceID=53","")</f>
        <v/>
      </c>
      <c r="M1597" s="4" t="str">
        <f>HYPERLINK("http://141.218.60.56/~jnz1568/getInfo.php?workbook=16_15.xlsx&amp;sheet=A0&amp;row=1597&amp;col=13&amp;number=&amp;sourceID=53","")</f>
        <v/>
      </c>
      <c r="N1597" s="4" t="str">
        <f>HYPERLINK("http://141.218.60.56/~jnz1568/getInfo.php?workbook=16_15.xlsx&amp;sheet=A0&amp;row=1597&amp;col=14&amp;number=&amp;sourceID=53","")</f>
        <v/>
      </c>
      <c r="O1597" s="4" t="str">
        <f>HYPERLINK("http://141.218.60.56/~jnz1568/getInfo.php?workbook=16_15.xlsx&amp;sheet=A0&amp;row=1597&amp;col=15&amp;number=&amp;sourceID=55","")</f>
        <v/>
      </c>
      <c r="P1597" s="4" t="str">
        <f>HYPERLINK("http://141.218.60.56/~jnz1568/getInfo.php?workbook=16_15.xlsx&amp;sheet=A0&amp;row=1597&amp;col=16&amp;number=&amp;sourceID=55","")</f>
        <v/>
      </c>
      <c r="Q1597" s="4" t="str">
        <f>HYPERLINK("http://141.218.60.56/~jnz1568/getInfo.php?workbook=16_15.xlsx&amp;sheet=A0&amp;row=1597&amp;col=17&amp;number=&amp;sourceID=56","")</f>
        <v/>
      </c>
      <c r="R1597" s="4" t="str">
        <f>HYPERLINK("http://141.218.60.56/~jnz1568/getInfo.php?workbook=16_15.xlsx&amp;sheet=A0&amp;row=1597&amp;col=18&amp;number=&amp;sourceID=56","")</f>
        <v/>
      </c>
      <c r="S1597" s="4" t="str">
        <f>HYPERLINK("http://141.218.60.56/~jnz1568/getInfo.php?workbook=16_15.xlsx&amp;sheet=A0&amp;row=1597&amp;col=19&amp;number=&amp;sourceID=57","")</f>
        <v/>
      </c>
      <c r="T1597" s="4" t="str">
        <f>HYPERLINK("http://141.218.60.56/~jnz1568/getInfo.php?workbook=16_15.xlsx&amp;sheet=A0&amp;row=1597&amp;col=20&amp;number=&amp;sourceID=57","")</f>
        <v/>
      </c>
      <c r="U1597" s="4" t="str">
        <f>HYPERLINK("http://141.218.60.56/~jnz1568/getInfo.php?workbook=16_15.xlsx&amp;sheet=A0&amp;row=1597&amp;col=21&amp;number=&amp;sourceID=47","")</f>
        <v/>
      </c>
      <c r="V1597" s="4" t="str">
        <f>HYPERLINK("http://141.218.60.56/~jnz1568/getInfo.php?workbook=16_15.xlsx&amp;sheet=A0&amp;row=1597&amp;col=22&amp;number=&amp;sourceID=47","")</f>
        <v/>
      </c>
    </row>
    <row r="1598" spans="1:22">
      <c r="A1598" s="3">
        <v>16</v>
      </c>
      <c r="B1598" s="3">
        <v>15</v>
      </c>
      <c r="C1598" s="3">
        <v>64</v>
      </c>
      <c r="D1598" s="3">
        <v>28</v>
      </c>
      <c r="E1598" s="3">
        <f>((1/(INDEX(E0!J$4:J$73,C1598,1)-INDEX(E0!J$4:J$73,D1598,1))))*100000000</f>
        <v>0</v>
      </c>
      <c r="F1598" s="4" t="str">
        <f>HYPERLINK("http://141.218.60.56/~jnz1568/getInfo.php?workbook=16_15.xlsx&amp;sheet=A0&amp;row=1598&amp;col=6&amp;number=&amp;sourceID=54","")</f>
        <v/>
      </c>
      <c r="G1598" s="4" t="str">
        <f>HYPERLINK("http://141.218.60.56/~jnz1568/getInfo.php?workbook=16_15.xlsx&amp;sheet=A0&amp;row=1598&amp;col=7&amp;number=1.859&amp;sourceID=54","1.859")</f>
        <v>1.859</v>
      </c>
      <c r="H1598" s="4" t="str">
        <f>HYPERLINK("http://141.218.60.56/~jnz1568/getInfo.php?workbook=16_15.xlsx&amp;sheet=A0&amp;row=1598&amp;col=8&amp;number=0.0028424&amp;sourceID=54","0.0028424")</f>
        <v>0.0028424</v>
      </c>
      <c r="I1598" s="4" t="str">
        <f>HYPERLINK("http://141.218.60.56/~jnz1568/getInfo.php?workbook=16_15.xlsx&amp;sheet=A0&amp;row=1598&amp;col=9&amp;number=&amp;sourceID=54","")</f>
        <v/>
      </c>
      <c r="J1598" s="4" t="str">
        <f>HYPERLINK("http://141.218.60.56/~jnz1568/getInfo.php?workbook=16_15.xlsx&amp;sheet=A0&amp;row=1598&amp;col=10&amp;number=0.11287&amp;sourceID=54","0.11287")</f>
        <v>0.11287</v>
      </c>
      <c r="K1598" s="4" t="str">
        <f>HYPERLINK("http://141.218.60.56/~jnz1568/getInfo.php?workbook=16_15.xlsx&amp;sheet=A0&amp;row=1598&amp;col=11&amp;number=0.0032643&amp;sourceID=54","0.0032643")</f>
        <v>0.0032643</v>
      </c>
      <c r="L1598" s="4" t="str">
        <f>HYPERLINK("http://141.218.60.56/~jnz1568/getInfo.php?workbook=16_15.xlsx&amp;sheet=A0&amp;row=1598&amp;col=12&amp;number=&amp;sourceID=53","")</f>
        <v/>
      </c>
      <c r="M1598" s="4" t="str">
        <f>HYPERLINK("http://141.218.60.56/~jnz1568/getInfo.php?workbook=16_15.xlsx&amp;sheet=A0&amp;row=1598&amp;col=13&amp;number=&amp;sourceID=53","")</f>
        <v/>
      </c>
      <c r="N1598" s="4" t="str">
        <f>HYPERLINK("http://141.218.60.56/~jnz1568/getInfo.php?workbook=16_15.xlsx&amp;sheet=A0&amp;row=1598&amp;col=14&amp;number=&amp;sourceID=53","")</f>
        <v/>
      </c>
      <c r="O1598" s="4" t="str">
        <f>HYPERLINK("http://141.218.60.56/~jnz1568/getInfo.php?workbook=16_15.xlsx&amp;sheet=A0&amp;row=1598&amp;col=15&amp;number=&amp;sourceID=55","")</f>
        <v/>
      </c>
      <c r="P1598" s="4" t="str">
        <f>HYPERLINK("http://141.218.60.56/~jnz1568/getInfo.php?workbook=16_15.xlsx&amp;sheet=A0&amp;row=1598&amp;col=16&amp;number=&amp;sourceID=55","")</f>
        <v/>
      </c>
      <c r="Q1598" s="4" t="str">
        <f>HYPERLINK("http://141.218.60.56/~jnz1568/getInfo.php?workbook=16_15.xlsx&amp;sheet=A0&amp;row=1598&amp;col=17&amp;number=&amp;sourceID=56","")</f>
        <v/>
      </c>
      <c r="R1598" s="4" t="str">
        <f>HYPERLINK("http://141.218.60.56/~jnz1568/getInfo.php?workbook=16_15.xlsx&amp;sheet=A0&amp;row=1598&amp;col=18&amp;number=&amp;sourceID=56","")</f>
        <v/>
      </c>
      <c r="S1598" s="4" t="str">
        <f>HYPERLINK("http://141.218.60.56/~jnz1568/getInfo.php?workbook=16_15.xlsx&amp;sheet=A0&amp;row=1598&amp;col=19&amp;number=&amp;sourceID=57","")</f>
        <v/>
      </c>
      <c r="T1598" s="4" t="str">
        <f>HYPERLINK("http://141.218.60.56/~jnz1568/getInfo.php?workbook=16_15.xlsx&amp;sheet=A0&amp;row=1598&amp;col=20&amp;number=&amp;sourceID=57","")</f>
        <v/>
      </c>
      <c r="U1598" s="4" t="str">
        <f>HYPERLINK("http://141.218.60.56/~jnz1568/getInfo.php?workbook=16_15.xlsx&amp;sheet=A0&amp;row=1598&amp;col=21&amp;number=&amp;sourceID=47","")</f>
        <v/>
      </c>
      <c r="V1598" s="4" t="str">
        <f>HYPERLINK("http://141.218.60.56/~jnz1568/getInfo.php?workbook=16_15.xlsx&amp;sheet=A0&amp;row=1598&amp;col=22&amp;number=&amp;sourceID=47","")</f>
        <v/>
      </c>
    </row>
    <row r="1599" spans="1:22">
      <c r="A1599" s="3">
        <v>16</v>
      </c>
      <c r="B1599" s="3">
        <v>15</v>
      </c>
      <c r="C1599" s="3">
        <v>64</v>
      </c>
      <c r="D1599" s="3">
        <v>29</v>
      </c>
      <c r="E1599" s="3">
        <f>((1/(INDEX(E0!J$4:J$73,C1599,1)-INDEX(E0!J$4:J$73,D1599,1))))*100000000</f>
        <v>0</v>
      </c>
      <c r="F1599" s="4" t="str">
        <f>HYPERLINK("http://141.218.60.56/~jnz1568/getInfo.php?workbook=16_15.xlsx&amp;sheet=A0&amp;row=1599&amp;col=6&amp;number=&amp;sourceID=54","")</f>
        <v/>
      </c>
      <c r="G1599" s="4" t="str">
        <f>HYPERLINK("http://141.218.60.56/~jnz1568/getInfo.php?workbook=16_15.xlsx&amp;sheet=A0&amp;row=1599&amp;col=7&amp;number=22.759&amp;sourceID=54","22.759")</f>
        <v>22.759</v>
      </c>
      <c r="H1599" s="4" t="str">
        <f>HYPERLINK("http://141.218.60.56/~jnz1568/getInfo.php?workbook=16_15.xlsx&amp;sheet=A0&amp;row=1599&amp;col=8&amp;number=0.073296&amp;sourceID=54","0.073296")</f>
        <v>0.073296</v>
      </c>
      <c r="I1599" s="4" t="str">
        <f>HYPERLINK("http://141.218.60.56/~jnz1568/getInfo.php?workbook=16_15.xlsx&amp;sheet=A0&amp;row=1599&amp;col=9&amp;number=&amp;sourceID=54","")</f>
        <v/>
      </c>
      <c r="J1599" s="4" t="str">
        <f>HYPERLINK("http://141.218.60.56/~jnz1568/getInfo.php?workbook=16_15.xlsx&amp;sheet=A0&amp;row=1599&amp;col=10&amp;number=3.274&amp;sourceID=54","3.274")</f>
        <v>3.274</v>
      </c>
      <c r="K1599" s="4" t="str">
        <f>HYPERLINK("http://141.218.60.56/~jnz1568/getInfo.php?workbook=16_15.xlsx&amp;sheet=A0&amp;row=1599&amp;col=11&amp;number=0.0047373&amp;sourceID=54","0.0047373")</f>
        <v>0.0047373</v>
      </c>
      <c r="L1599" s="4" t="str">
        <f>HYPERLINK("http://141.218.60.56/~jnz1568/getInfo.php?workbook=16_15.xlsx&amp;sheet=A0&amp;row=1599&amp;col=12&amp;number=&amp;sourceID=53","")</f>
        <v/>
      </c>
      <c r="M1599" s="4" t="str">
        <f>HYPERLINK("http://141.218.60.56/~jnz1568/getInfo.php?workbook=16_15.xlsx&amp;sheet=A0&amp;row=1599&amp;col=13&amp;number=&amp;sourceID=53","")</f>
        <v/>
      </c>
      <c r="N1599" s="4" t="str">
        <f>HYPERLINK("http://141.218.60.56/~jnz1568/getInfo.php?workbook=16_15.xlsx&amp;sheet=A0&amp;row=1599&amp;col=14&amp;number=&amp;sourceID=53","")</f>
        <v/>
      </c>
      <c r="O1599" s="4" t="str">
        <f>HYPERLINK("http://141.218.60.56/~jnz1568/getInfo.php?workbook=16_15.xlsx&amp;sheet=A0&amp;row=1599&amp;col=15&amp;number=&amp;sourceID=55","")</f>
        <v/>
      </c>
      <c r="P1599" s="4" t="str">
        <f>HYPERLINK("http://141.218.60.56/~jnz1568/getInfo.php?workbook=16_15.xlsx&amp;sheet=A0&amp;row=1599&amp;col=16&amp;number=&amp;sourceID=55","")</f>
        <v/>
      </c>
      <c r="Q1599" s="4" t="str">
        <f>HYPERLINK("http://141.218.60.56/~jnz1568/getInfo.php?workbook=16_15.xlsx&amp;sheet=A0&amp;row=1599&amp;col=17&amp;number=&amp;sourceID=56","")</f>
        <v/>
      </c>
      <c r="R1599" s="4" t="str">
        <f>HYPERLINK("http://141.218.60.56/~jnz1568/getInfo.php?workbook=16_15.xlsx&amp;sheet=A0&amp;row=1599&amp;col=18&amp;number=&amp;sourceID=56","")</f>
        <v/>
      </c>
      <c r="S1599" s="4" t="str">
        <f>HYPERLINK("http://141.218.60.56/~jnz1568/getInfo.php?workbook=16_15.xlsx&amp;sheet=A0&amp;row=1599&amp;col=19&amp;number=&amp;sourceID=57","")</f>
        <v/>
      </c>
      <c r="T1599" s="4" t="str">
        <f>HYPERLINK("http://141.218.60.56/~jnz1568/getInfo.php?workbook=16_15.xlsx&amp;sheet=A0&amp;row=1599&amp;col=20&amp;number=&amp;sourceID=57","")</f>
        <v/>
      </c>
      <c r="U1599" s="4" t="str">
        <f>HYPERLINK("http://141.218.60.56/~jnz1568/getInfo.php?workbook=16_15.xlsx&amp;sheet=A0&amp;row=1599&amp;col=21&amp;number=&amp;sourceID=47","")</f>
        <v/>
      </c>
      <c r="V1599" s="4" t="str">
        <f>HYPERLINK("http://141.218.60.56/~jnz1568/getInfo.php?workbook=16_15.xlsx&amp;sheet=A0&amp;row=1599&amp;col=22&amp;number=&amp;sourceID=47","")</f>
        <v/>
      </c>
    </row>
    <row r="1600" spans="1:22">
      <c r="A1600" s="3">
        <v>16</v>
      </c>
      <c r="B1600" s="3">
        <v>15</v>
      </c>
      <c r="C1600" s="3">
        <v>64</v>
      </c>
      <c r="D1600" s="3">
        <v>30</v>
      </c>
      <c r="E1600" s="3">
        <f>((1/(INDEX(E0!J$4:J$73,C1600,1)-INDEX(E0!J$4:J$73,D1600,1))))*100000000</f>
        <v>0</v>
      </c>
      <c r="F1600" s="4" t="str">
        <f>HYPERLINK("http://141.218.60.56/~jnz1568/getInfo.php?workbook=16_15.xlsx&amp;sheet=A0&amp;row=1600&amp;col=6&amp;number=&amp;sourceID=54","")</f>
        <v/>
      </c>
      <c r="G1600" s="4" t="str">
        <f>HYPERLINK("http://141.218.60.56/~jnz1568/getInfo.php?workbook=16_15.xlsx&amp;sheet=A0&amp;row=1600&amp;col=7&amp;number=1.6291&amp;sourceID=54","1.6291")</f>
        <v>1.6291</v>
      </c>
      <c r="H1600" s="4" t="str">
        <f>HYPERLINK("http://141.218.60.56/~jnz1568/getInfo.php?workbook=16_15.xlsx&amp;sheet=A0&amp;row=1600&amp;col=8&amp;number=0.029023&amp;sourceID=54","0.029023")</f>
        <v>0.029023</v>
      </c>
      <c r="I1600" s="4" t="str">
        <f>HYPERLINK("http://141.218.60.56/~jnz1568/getInfo.php?workbook=16_15.xlsx&amp;sheet=A0&amp;row=1600&amp;col=9&amp;number=&amp;sourceID=54","")</f>
        <v/>
      </c>
      <c r="J1600" s="4" t="str">
        <f>HYPERLINK("http://141.218.60.56/~jnz1568/getInfo.php?workbook=16_15.xlsx&amp;sheet=A0&amp;row=1600&amp;col=10&amp;number=0.7237&amp;sourceID=54","0.7237")</f>
        <v>0.7237</v>
      </c>
      <c r="K1600" s="4" t="str">
        <f>HYPERLINK("http://141.218.60.56/~jnz1568/getInfo.php?workbook=16_15.xlsx&amp;sheet=A0&amp;row=1600&amp;col=11&amp;number=0.0052548&amp;sourceID=54","0.0052548")</f>
        <v>0.0052548</v>
      </c>
      <c r="L1600" s="4" t="str">
        <f>HYPERLINK("http://141.218.60.56/~jnz1568/getInfo.php?workbook=16_15.xlsx&amp;sheet=A0&amp;row=1600&amp;col=12&amp;number=&amp;sourceID=53","")</f>
        <v/>
      </c>
      <c r="M1600" s="4" t="str">
        <f>HYPERLINK("http://141.218.60.56/~jnz1568/getInfo.php?workbook=16_15.xlsx&amp;sheet=A0&amp;row=1600&amp;col=13&amp;number=&amp;sourceID=53","")</f>
        <v/>
      </c>
      <c r="N1600" s="4" t="str">
        <f>HYPERLINK("http://141.218.60.56/~jnz1568/getInfo.php?workbook=16_15.xlsx&amp;sheet=A0&amp;row=1600&amp;col=14&amp;number=&amp;sourceID=53","")</f>
        <v/>
      </c>
      <c r="O1600" s="4" t="str">
        <f>HYPERLINK("http://141.218.60.56/~jnz1568/getInfo.php?workbook=16_15.xlsx&amp;sheet=A0&amp;row=1600&amp;col=15&amp;number=&amp;sourceID=55","")</f>
        <v/>
      </c>
      <c r="P1600" s="4" t="str">
        <f>HYPERLINK("http://141.218.60.56/~jnz1568/getInfo.php?workbook=16_15.xlsx&amp;sheet=A0&amp;row=1600&amp;col=16&amp;number=&amp;sourceID=55","")</f>
        <v/>
      </c>
      <c r="Q1600" s="4" t="str">
        <f>HYPERLINK("http://141.218.60.56/~jnz1568/getInfo.php?workbook=16_15.xlsx&amp;sheet=A0&amp;row=1600&amp;col=17&amp;number=&amp;sourceID=56","")</f>
        <v/>
      </c>
      <c r="R1600" s="4" t="str">
        <f>HYPERLINK("http://141.218.60.56/~jnz1568/getInfo.php?workbook=16_15.xlsx&amp;sheet=A0&amp;row=1600&amp;col=18&amp;number=&amp;sourceID=56","")</f>
        <v/>
      </c>
      <c r="S1600" s="4" t="str">
        <f>HYPERLINK("http://141.218.60.56/~jnz1568/getInfo.php?workbook=16_15.xlsx&amp;sheet=A0&amp;row=1600&amp;col=19&amp;number=&amp;sourceID=57","")</f>
        <v/>
      </c>
      <c r="T1600" s="4" t="str">
        <f>HYPERLINK("http://141.218.60.56/~jnz1568/getInfo.php?workbook=16_15.xlsx&amp;sheet=A0&amp;row=1600&amp;col=20&amp;number=&amp;sourceID=57","")</f>
        <v/>
      </c>
      <c r="U1600" s="4" t="str">
        <f>HYPERLINK("http://141.218.60.56/~jnz1568/getInfo.php?workbook=16_15.xlsx&amp;sheet=A0&amp;row=1600&amp;col=21&amp;number=&amp;sourceID=47","")</f>
        <v/>
      </c>
      <c r="V1600" s="4" t="str">
        <f>HYPERLINK("http://141.218.60.56/~jnz1568/getInfo.php?workbook=16_15.xlsx&amp;sheet=A0&amp;row=1600&amp;col=22&amp;number=&amp;sourceID=47","")</f>
        <v/>
      </c>
    </row>
    <row r="1601" spans="1:22">
      <c r="A1601" s="3">
        <v>16</v>
      </c>
      <c r="B1601" s="3">
        <v>15</v>
      </c>
      <c r="C1601" s="3">
        <v>64</v>
      </c>
      <c r="D1601" s="3">
        <v>31</v>
      </c>
      <c r="E1601" s="3">
        <f>((1/(INDEX(E0!J$4:J$73,C1601,1)-INDEX(E0!J$4:J$73,D1601,1))))*100000000</f>
        <v>0</v>
      </c>
      <c r="F1601" s="4" t="str">
        <f>HYPERLINK("http://141.218.60.56/~jnz1568/getInfo.php?workbook=16_15.xlsx&amp;sheet=A0&amp;row=1601&amp;col=6&amp;number=36413000&amp;sourceID=54","36413000")</f>
        <v>36413000</v>
      </c>
      <c r="G1601" s="4" t="str">
        <f>HYPERLINK("http://141.218.60.56/~jnz1568/getInfo.php?workbook=16_15.xlsx&amp;sheet=A0&amp;row=1601&amp;col=7&amp;number=&amp;sourceID=54","")</f>
        <v/>
      </c>
      <c r="H1601" s="4" t="str">
        <f>HYPERLINK("http://141.218.60.56/~jnz1568/getInfo.php?workbook=16_15.xlsx&amp;sheet=A0&amp;row=1601&amp;col=8&amp;number=&amp;sourceID=54","")</f>
        <v/>
      </c>
      <c r="I1601" s="4" t="str">
        <f>HYPERLINK("http://141.218.60.56/~jnz1568/getInfo.php?workbook=16_15.xlsx&amp;sheet=A0&amp;row=1601&amp;col=9&amp;number=45822000&amp;sourceID=54","45822000")</f>
        <v>45822000</v>
      </c>
      <c r="J1601" s="4" t="str">
        <f>HYPERLINK("http://141.218.60.56/~jnz1568/getInfo.php?workbook=16_15.xlsx&amp;sheet=A0&amp;row=1601&amp;col=10&amp;number=&amp;sourceID=54","")</f>
        <v/>
      </c>
      <c r="K1601" s="4" t="str">
        <f>HYPERLINK("http://141.218.60.56/~jnz1568/getInfo.php?workbook=16_15.xlsx&amp;sheet=A0&amp;row=1601&amp;col=11&amp;number=&amp;sourceID=54","")</f>
        <v/>
      </c>
      <c r="L1601" s="4" t="str">
        <f>HYPERLINK("http://141.218.60.56/~jnz1568/getInfo.php?workbook=16_15.xlsx&amp;sheet=A0&amp;row=1601&amp;col=12&amp;number=41459907.3889&amp;sourceID=53","41459907.3889")</f>
        <v>41459907.3889</v>
      </c>
      <c r="M1601" s="4" t="str">
        <f>HYPERLINK("http://141.218.60.56/~jnz1568/getInfo.php?workbook=16_15.xlsx&amp;sheet=A0&amp;row=1601&amp;col=13&amp;number=&amp;sourceID=53","")</f>
        <v/>
      </c>
      <c r="N1601" s="4" t="str">
        <f>HYPERLINK("http://141.218.60.56/~jnz1568/getInfo.php?workbook=16_15.xlsx&amp;sheet=A0&amp;row=1601&amp;col=14&amp;number=&amp;sourceID=53","")</f>
        <v/>
      </c>
      <c r="O1601" s="4" t="str">
        <f>HYPERLINK("http://141.218.60.56/~jnz1568/getInfo.php?workbook=16_15.xlsx&amp;sheet=A0&amp;row=1601&amp;col=15&amp;number=&amp;sourceID=55","")</f>
        <v/>
      </c>
      <c r="P1601" s="4" t="str">
        <f>HYPERLINK("http://141.218.60.56/~jnz1568/getInfo.php?workbook=16_15.xlsx&amp;sheet=A0&amp;row=1601&amp;col=16&amp;number=&amp;sourceID=55","")</f>
        <v/>
      </c>
      <c r="Q1601" s="4" t="str">
        <f>HYPERLINK("http://141.218.60.56/~jnz1568/getInfo.php?workbook=16_15.xlsx&amp;sheet=A0&amp;row=1601&amp;col=17&amp;number=&amp;sourceID=56","")</f>
        <v/>
      </c>
      <c r="R1601" s="4" t="str">
        <f>HYPERLINK("http://141.218.60.56/~jnz1568/getInfo.php?workbook=16_15.xlsx&amp;sheet=A0&amp;row=1601&amp;col=18&amp;number=&amp;sourceID=56","")</f>
        <v/>
      </c>
      <c r="S1601" s="4" t="str">
        <f>HYPERLINK("http://141.218.60.56/~jnz1568/getInfo.php?workbook=16_15.xlsx&amp;sheet=A0&amp;row=1601&amp;col=19&amp;number=&amp;sourceID=57","")</f>
        <v/>
      </c>
      <c r="T1601" s="4" t="str">
        <f>HYPERLINK("http://141.218.60.56/~jnz1568/getInfo.php?workbook=16_15.xlsx&amp;sheet=A0&amp;row=1601&amp;col=20&amp;number=&amp;sourceID=57","")</f>
        <v/>
      </c>
      <c r="U1601" s="4" t="str">
        <f>HYPERLINK("http://141.218.60.56/~jnz1568/getInfo.php?workbook=16_15.xlsx&amp;sheet=A0&amp;row=1601&amp;col=21&amp;number=&amp;sourceID=47","")</f>
        <v/>
      </c>
      <c r="V1601" s="4" t="str">
        <f>HYPERLINK("http://141.218.60.56/~jnz1568/getInfo.php?workbook=16_15.xlsx&amp;sheet=A0&amp;row=1601&amp;col=22&amp;number=&amp;sourceID=47","")</f>
        <v/>
      </c>
    </row>
    <row r="1602" spans="1:22">
      <c r="A1602" s="3">
        <v>16</v>
      </c>
      <c r="B1602" s="3">
        <v>15</v>
      </c>
      <c r="C1602" s="3">
        <v>64</v>
      </c>
      <c r="D1602" s="3">
        <v>32</v>
      </c>
      <c r="E1602" s="3">
        <f>((1/(INDEX(E0!J$4:J$73,C1602,1)-INDEX(E0!J$4:J$73,D1602,1))))*100000000</f>
        <v>0</v>
      </c>
      <c r="F1602" s="4" t="str">
        <f>HYPERLINK("http://141.218.60.56/~jnz1568/getInfo.php?workbook=16_15.xlsx&amp;sheet=A0&amp;row=1602&amp;col=6&amp;number=&amp;sourceID=54","")</f>
        <v/>
      </c>
      <c r="G1602" s="4" t="str">
        <f>HYPERLINK("http://141.218.60.56/~jnz1568/getInfo.php?workbook=16_15.xlsx&amp;sheet=A0&amp;row=1602&amp;col=7&amp;number=1.9554&amp;sourceID=54","1.9554")</f>
        <v>1.9554</v>
      </c>
      <c r="H1602" s="4" t="str">
        <f>HYPERLINK("http://141.218.60.56/~jnz1568/getInfo.php?workbook=16_15.xlsx&amp;sheet=A0&amp;row=1602&amp;col=8&amp;number=&amp;sourceID=54","")</f>
        <v/>
      </c>
      <c r="I1602" s="4" t="str">
        <f>HYPERLINK("http://141.218.60.56/~jnz1568/getInfo.php?workbook=16_15.xlsx&amp;sheet=A0&amp;row=1602&amp;col=9&amp;number=&amp;sourceID=54","")</f>
        <v/>
      </c>
      <c r="J1602" s="4" t="str">
        <f>HYPERLINK("http://141.218.60.56/~jnz1568/getInfo.php?workbook=16_15.xlsx&amp;sheet=A0&amp;row=1602&amp;col=10&amp;number=0.15482&amp;sourceID=54","0.15482")</f>
        <v>0.15482</v>
      </c>
      <c r="K1602" s="4" t="str">
        <f>HYPERLINK("http://141.218.60.56/~jnz1568/getInfo.php?workbook=16_15.xlsx&amp;sheet=A0&amp;row=1602&amp;col=11&amp;number=&amp;sourceID=54","")</f>
        <v/>
      </c>
      <c r="L1602" s="4" t="str">
        <f>HYPERLINK("http://141.218.60.56/~jnz1568/getInfo.php?workbook=16_15.xlsx&amp;sheet=A0&amp;row=1602&amp;col=12&amp;number=&amp;sourceID=53","")</f>
        <v/>
      </c>
      <c r="M1602" s="4" t="str">
        <f>HYPERLINK("http://141.218.60.56/~jnz1568/getInfo.php?workbook=16_15.xlsx&amp;sheet=A0&amp;row=1602&amp;col=13&amp;number=&amp;sourceID=53","")</f>
        <v/>
      </c>
      <c r="N1602" s="4" t="str">
        <f>HYPERLINK("http://141.218.60.56/~jnz1568/getInfo.php?workbook=16_15.xlsx&amp;sheet=A0&amp;row=1602&amp;col=14&amp;number=&amp;sourceID=53","")</f>
        <v/>
      </c>
      <c r="O1602" s="4" t="str">
        <f>HYPERLINK("http://141.218.60.56/~jnz1568/getInfo.php?workbook=16_15.xlsx&amp;sheet=A0&amp;row=1602&amp;col=15&amp;number=&amp;sourceID=55","")</f>
        <v/>
      </c>
      <c r="P1602" s="4" t="str">
        <f>HYPERLINK("http://141.218.60.56/~jnz1568/getInfo.php?workbook=16_15.xlsx&amp;sheet=A0&amp;row=1602&amp;col=16&amp;number=&amp;sourceID=55","")</f>
        <v/>
      </c>
      <c r="Q1602" s="4" t="str">
        <f>HYPERLINK("http://141.218.60.56/~jnz1568/getInfo.php?workbook=16_15.xlsx&amp;sheet=A0&amp;row=1602&amp;col=17&amp;number=&amp;sourceID=56","")</f>
        <v/>
      </c>
      <c r="R1602" s="4" t="str">
        <f>HYPERLINK("http://141.218.60.56/~jnz1568/getInfo.php?workbook=16_15.xlsx&amp;sheet=A0&amp;row=1602&amp;col=18&amp;number=&amp;sourceID=56","")</f>
        <v/>
      </c>
      <c r="S1602" s="4" t="str">
        <f>HYPERLINK("http://141.218.60.56/~jnz1568/getInfo.php?workbook=16_15.xlsx&amp;sheet=A0&amp;row=1602&amp;col=19&amp;number=&amp;sourceID=57","")</f>
        <v/>
      </c>
      <c r="T1602" s="4" t="str">
        <f>HYPERLINK("http://141.218.60.56/~jnz1568/getInfo.php?workbook=16_15.xlsx&amp;sheet=A0&amp;row=1602&amp;col=20&amp;number=&amp;sourceID=57","")</f>
        <v/>
      </c>
      <c r="U1602" s="4" t="str">
        <f>HYPERLINK("http://141.218.60.56/~jnz1568/getInfo.php?workbook=16_15.xlsx&amp;sheet=A0&amp;row=1602&amp;col=21&amp;number=&amp;sourceID=47","")</f>
        <v/>
      </c>
      <c r="V1602" s="4" t="str">
        <f>HYPERLINK("http://141.218.60.56/~jnz1568/getInfo.php?workbook=16_15.xlsx&amp;sheet=A0&amp;row=1602&amp;col=22&amp;number=&amp;sourceID=47","")</f>
        <v/>
      </c>
    </row>
    <row r="1603" spans="1:22">
      <c r="A1603" s="3">
        <v>16</v>
      </c>
      <c r="B1603" s="3">
        <v>15</v>
      </c>
      <c r="C1603" s="3">
        <v>64</v>
      </c>
      <c r="D1603" s="3">
        <v>34</v>
      </c>
      <c r="E1603" s="3">
        <f>((1/(INDEX(E0!J$4:J$73,C1603,1)-INDEX(E0!J$4:J$73,D1603,1))))*100000000</f>
        <v>0</v>
      </c>
      <c r="F1603" s="4" t="str">
        <f>HYPERLINK("http://141.218.60.56/~jnz1568/getInfo.php?workbook=16_15.xlsx&amp;sheet=A0&amp;row=1603&amp;col=6&amp;number=7167.9&amp;sourceID=54","7167.9")</f>
        <v>7167.9</v>
      </c>
      <c r="G1603" s="4" t="str">
        <f>HYPERLINK("http://141.218.60.56/~jnz1568/getInfo.php?workbook=16_15.xlsx&amp;sheet=A0&amp;row=1603&amp;col=7&amp;number=&amp;sourceID=54","")</f>
        <v/>
      </c>
      <c r="H1603" s="4" t="str">
        <f>HYPERLINK("http://141.218.60.56/~jnz1568/getInfo.php?workbook=16_15.xlsx&amp;sheet=A0&amp;row=1603&amp;col=8&amp;number=&amp;sourceID=54","")</f>
        <v/>
      </c>
      <c r="I1603" s="4" t="str">
        <f>HYPERLINK("http://141.218.60.56/~jnz1568/getInfo.php?workbook=16_15.xlsx&amp;sheet=A0&amp;row=1603&amp;col=9&amp;number=2843.8&amp;sourceID=54","2843.8")</f>
        <v>2843.8</v>
      </c>
      <c r="J1603" s="4" t="str">
        <f>HYPERLINK("http://141.218.60.56/~jnz1568/getInfo.php?workbook=16_15.xlsx&amp;sheet=A0&amp;row=1603&amp;col=10&amp;number=&amp;sourceID=54","")</f>
        <v/>
      </c>
      <c r="K1603" s="4" t="str">
        <f>HYPERLINK("http://141.218.60.56/~jnz1568/getInfo.php?workbook=16_15.xlsx&amp;sheet=A0&amp;row=1603&amp;col=11&amp;number=&amp;sourceID=54","")</f>
        <v/>
      </c>
      <c r="L1603" s="4" t="str">
        <f>HYPERLINK("http://141.218.60.56/~jnz1568/getInfo.php?workbook=16_15.xlsx&amp;sheet=A0&amp;row=1603&amp;col=12&amp;number=4955.36142489&amp;sourceID=53","4955.36142489")</f>
        <v>4955.36142489</v>
      </c>
      <c r="M1603" s="4" t="str">
        <f>HYPERLINK("http://141.218.60.56/~jnz1568/getInfo.php?workbook=16_15.xlsx&amp;sheet=A0&amp;row=1603&amp;col=13&amp;number=&amp;sourceID=53","")</f>
        <v/>
      </c>
      <c r="N1603" s="4" t="str">
        <f>HYPERLINK("http://141.218.60.56/~jnz1568/getInfo.php?workbook=16_15.xlsx&amp;sheet=A0&amp;row=1603&amp;col=14&amp;number=&amp;sourceID=53","")</f>
        <v/>
      </c>
      <c r="O1603" s="4" t="str">
        <f>HYPERLINK("http://141.218.60.56/~jnz1568/getInfo.php?workbook=16_15.xlsx&amp;sheet=A0&amp;row=1603&amp;col=15&amp;number=&amp;sourceID=55","")</f>
        <v/>
      </c>
      <c r="P1603" s="4" t="str">
        <f>HYPERLINK("http://141.218.60.56/~jnz1568/getInfo.php?workbook=16_15.xlsx&amp;sheet=A0&amp;row=1603&amp;col=16&amp;number=&amp;sourceID=55","")</f>
        <v/>
      </c>
      <c r="Q1603" s="4" t="str">
        <f>HYPERLINK("http://141.218.60.56/~jnz1568/getInfo.php?workbook=16_15.xlsx&amp;sheet=A0&amp;row=1603&amp;col=17&amp;number=&amp;sourceID=56","")</f>
        <v/>
      </c>
      <c r="R1603" s="4" t="str">
        <f>HYPERLINK("http://141.218.60.56/~jnz1568/getInfo.php?workbook=16_15.xlsx&amp;sheet=A0&amp;row=1603&amp;col=18&amp;number=&amp;sourceID=56","")</f>
        <v/>
      </c>
      <c r="S1603" s="4" t="str">
        <f>HYPERLINK("http://141.218.60.56/~jnz1568/getInfo.php?workbook=16_15.xlsx&amp;sheet=A0&amp;row=1603&amp;col=19&amp;number=&amp;sourceID=57","")</f>
        <v/>
      </c>
      <c r="T1603" s="4" t="str">
        <f>HYPERLINK("http://141.218.60.56/~jnz1568/getInfo.php?workbook=16_15.xlsx&amp;sheet=A0&amp;row=1603&amp;col=20&amp;number=&amp;sourceID=57","")</f>
        <v/>
      </c>
      <c r="U1603" s="4" t="str">
        <f>HYPERLINK("http://141.218.60.56/~jnz1568/getInfo.php?workbook=16_15.xlsx&amp;sheet=A0&amp;row=1603&amp;col=21&amp;number=&amp;sourceID=47","")</f>
        <v/>
      </c>
      <c r="V1603" s="4" t="str">
        <f>HYPERLINK("http://141.218.60.56/~jnz1568/getInfo.php?workbook=16_15.xlsx&amp;sheet=A0&amp;row=1603&amp;col=22&amp;number=&amp;sourceID=47","")</f>
        <v/>
      </c>
    </row>
    <row r="1604" spans="1:22">
      <c r="A1604" s="3">
        <v>16</v>
      </c>
      <c r="B1604" s="3">
        <v>15</v>
      </c>
      <c r="C1604" s="3">
        <v>64</v>
      </c>
      <c r="D1604" s="3">
        <v>35</v>
      </c>
      <c r="E1604" s="3">
        <f>((1/(INDEX(E0!J$4:J$73,C1604,1)-INDEX(E0!J$4:J$73,D1604,1))))*100000000</f>
        <v>0</v>
      </c>
      <c r="F1604" s="4" t="str">
        <f>HYPERLINK("http://141.218.60.56/~jnz1568/getInfo.php?workbook=16_15.xlsx&amp;sheet=A0&amp;row=1604&amp;col=6&amp;number=7737&amp;sourceID=54","7737")</f>
        <v>7737</v>
      </c>
      <c r="G1604" s="4" t="str">
        <f>HYPERLINK("http://141.218.60.56/~jnz1568/getInfo.php?workbook=16_15.xlsx&amp;sheet=A0&amp;row=1604&amp;col=7&amp;number=&amp;sourceID=54","")</f>
        <v/>
      </c>
      <c r="H1604" s="4" t="str">
        <f>HYPERLINK("http://141.218.60.56/~jnz1568/getInfo.php?workbook=16_15.xlsx&amp;sheet=A0&amp;row=1604&amp;col=8&amp;number=&amp;sourceID=54","")</f>
        <v/>
      </c>
      <c r="I1604" s="4" t="str">
        <f>HYPERLINK("http://141.218.60.56/~jnz1568/getInfo.php?workbook=16_15.xlsx&amp;sheet=A0&amp;row=1604&amp;col=9&amp;number=17899&amp;sourceID=54","17899")</f>
        <v>17899</v>
      </c>
      <c r="J1604" s="4" t="str">
        <f>HYPERLINK("http://141.218.60.56/~jnz1568/getInfo.php?workbook=16_15.xlsx&amp;sheet=A0&amp;row=1604&amp;col=10&amp;number=&amp;sourceID=54","")</f>
        <v/>
      </c>
      <c r="K1604" s="4" t="str">
        <f>HYPERLINK("http://141.218.60.56/~jnz1568/getInfo.php?workbook=16_15.xlsx&amp;sheet=A0&amp;row=1604&amp;col=11&amp;number=&amp;sourceID=54","")</f>
        <v/>
      </c>
      <c r="L1604" s="4" t="str">
        <f>HYPERLINK("http://141.218.60.56/~jnz1568/getInfo.php?workbook=16_15.xlsx&amp;sheet=A0&amp;row=1604&amp;col=12&amp;number=39288.9386513&amp;sourceID=53","39288.9386513")</f>
        <v>39288.9386513</v>
      </c>
      <c r="M1604" s="4" t="str">
        <f>HYPERLINK("http://141.218.60.56/~jnz1568/getInfo.php?workbook=16_15.xlsx&amp;sheet=A0&amp;row=1604&amp;col=13&amp;number=&amp;sourceID=53","")</f>
        <v/>
      </c>
      <c r="N1604" s="4" t="str">
        <f>HYPERLINK("http://141.218.60.56/~jnz1568/getInfo.php?workbook=16_15.xlsx&amp;sheet=A0&amp;row=1604&amp;col=14&amp;number=&amp;sourceID=53","")</f>
        <v/>
      </c>
      <c r="O1604" s="4" t="str">
        <f>HYPERLINK("http://141.218.60.56/~jnz1568/getInfo.php?workbook=16_15.xlsx&amp;sheet=A0&amp;row=1604&amp;col=15&amp;number=&amp;sourceID=55","")</f>
        <v/>
      </c>
      <c r="P1604" s="4" t="str">
        <f>HYPERLINK("http://141.218.60.56/~jnz1568/getInfo.php?workbook=16_15.xlsx&amp;sheet=A0&amp;row=1604&amp;col=16&amp;number=&amp;sourceID=55","")</f>
        <v/>
      </c>
      <c r="Q1604" s="4" t="str">
        <f>HYPERLINK("http://141.218.60.56/~jnz1568/getInfo.php?workbook=16_15.xlsx&amp;sheet=A0&amp;row=1604&amp;col=17&amp;number=&amp;sourceID=56","")</f>
        <v/>
      </c>
      <c r="R1604" s="4" t="str">
        <f>HYPERLINK("http://141.218.60.56/~jnz1568/getInfo.php?workbook=16_15.xlsx&amp;sheet=A0&amp;row=1604&amp;col=18&amp;number=&amp;sourceID=56","")</f>
        <v/>
      </c>
      <c r="S1604" s="4" t="str">
        <f>HYPERLINK("http://141.218.60.56/~jnz1568/getInfo.php?workbook=16_15.xlsx&amp;sheet=A0&amp;row=1604&amp;col=19&amp;number=&amp;sourceID=57","")</f>
        <v/>
      </c>
      <c r="T1604" s="4" t="str">
        <f>HYPERLINK("http://141.218.60.56/~jnz1568/getInfo.php?workbook=16_15.xlsx&amp;sheet=A0&amp;row=1604&amp;col=20&amp;number=&amp;sourceID=57","")</f>
        <v/>
      </c>
      <c r="U1604" s="4" t="str">
        <f>HYPERLINK("http://141.218.60.56/~jnz1568/getInfo.php?workbook=16_15.xlsx&amp;sheet=A0&amp;row=1604&amp;col=21&amp;number=&amp;sourceID=47","")</f>
        <v/>
      </c>
      <c r="V1604" s="4" t="str">
        <f>HYPERLINK("http://141.218.60.56/~jnz1568/getInfo.php?workbook=16_15.xlsx&amp;sheet=A0&amp;row=1604&amp;col=22&amp;number=&amp;sourceID=47","")</f>
        <v/>
      </c>
    </row>
    <row r="1605" spans="1:22">
      <c r="A1605" s="3">
        <v>16</v>
      </c>
      <c r="B1605" s="3">
        <v>15</v>
      </c>
      <c r="C1605" s="3">
        <v>64</v>
      </c>
      <c r="D1605" s="3">
        <v>36</v>
      </c>
      <c r="E1605" s="3">
        <f>((1/(INDEX(E0!J$4:J$73,C1605,1)-INDEX(E0!J$4:J$73,D1605,1))))*100000000</f>
        <v>0</v>
      </c>
      <c r="F1605" s="4" t="str">
        <f>HYPERLINK("http://141.218.60.56/~jnz1568/getInfo.php?workbook=16_15.xlsx&amp;sheet=A0&amp;row=1605&amp;col=6&amp;number=304.99&amp;sourceID=54","304.99")</f>
        <v>304.99</v>
      </c>
      <c r="G1605" s="4" t="str">
        <f>HYPERLINK("http://141.218.60.56/~jnz1568/getInfo.php?workbook=16_15.xlsx&amp;sheet=A0&amp;row=1605&amp;col=7&amp;number=&amp;sourceID=54","")</f>
        <v/>
      </c>
      <c r="H1605" s="4" t="str">
        <f>HYPERLINK("http://141.218.60.56/~jnz1568/getInfo.php?workbook=16_15.xlsx&amp;sheet=A0&amp;row=1605&amp;col=8&amp;number=&amp;sourceID=54","")</f>
        <v/>
      </c>
      <c r="I1605" s="4" t="str">
        <f>HYPERLINK("http://141.218.60.56/~jnz1568/getInfo.php?workbook=16_15.xlsx&amp;sheet=A0&amp;row=1605&amp;col=9&amp;number=1.9444&amp;sourceID=54","1.9444")</f>
        <v>1.9444</v>
      </c>
      <c r="J1605" s="4" t="str">
        <f>HYPERLINK("http://141.218.60.56/~jnz1568/getInfo.php?workbook=16_15.xlsx&amp;sheet=A0&amp;row=1605&amp;col=10&amp;number=&amp;sourceID=54","")</f>
        <v/>
      </c>
      <c r="K1605" s="4" t="str">
        <f>HYPERLINK("http://141.218.60.56/~jnz1568/getInfo.php?workbook=16_15.xlsx&amp;sheet=A0&amp;row=1605&amp;col=11&amp;number=&amp;sourceID=54","")</f>
        <v/>
      </c>
      <c r="L1605" s="4" t="str">
        <f>HYPERLINK("http://141.218.60.56/~jnz1568/getInfo.php?workbook=16_15.xlsx&amp;sheet=A0&amp;row=1605&amp;col=12&amp;number=30.0174027897&amp;sourceID=53","30.0174027897")</f>
        <v>30.0174027897</v>
      </c>
      <c r="M1605" s="4" t="str">
        <f>HYPERLINK("http://141.218.60.56/~jnz1568/getInfo.php?workbook=16_15.xlsx&amp;sheet=A0&amp;row=1605&amp;col=13&amp;number=&amp;sourceID=53","")</f>
        <v/>
      </c>
      <c r="N1605" s="4" t="str">
        <f>HYPERLINK("http://141.218.60.56/~jnz1568/getInfo.php?workbook=16_15.xlsx&amp;sheet=A0&amp;row=1605&amp;col=14&amp;number=&amp;sourceID=53","")</f>
        <v/>
      </c>
      <c r="O1605" s="4" t="str">
        <f>HYPERLINK("http://141.218.60.56/~jnz1568/getInfo.php?workbook=16_15.xlsx&amp;sheet=A0&amp;row=1605&amp;col=15&amp;number=&amp;sourceID=55","")</f>
        <v/>
      </c>
      <c r="P1605" s="4" t="str">
        <f>HYPERLINK("http://141.218.60.56/~jnz1568/getInfo.php?workbook=16_15.xlsx&amp;sheet=A0&amp;row=1605&amp;col=16&amp;number=&amp;sourceID=55","")</f>
        <v/>
      </c>
      <c r="Q1605" s="4" t="str">
        <f>HYPERLINK("http://141.218.60.56/~jnz1568/getInfo.php?workbook=16_15.xlsx&amp;sheet=A0&amp;row=1605&amp;col=17&amp;number=&amp;sourceID=56","")</f>
        <v/>
      </c>
      <c r="R1605" s="4" t="str">
        <f>HYPERLINK("http://141.218.60.56/~jnz1568/getInfo.php?workbook=16_15.xlsx&amp;sheet=A0&amp;row=1605&amp;col=18&amp;number=&amp;sourceID=56","")</f>
        <v/>
      </c>
      <c r="S1605" s="4" t="str">
        <f>HYPERLINK("http://141.218.60.56/~jnz1568/getInfo.php?workbook=16_15.xlsx&amp;sheet=A0&amp;row=1605&amp;col=19&amp;number=&amp;sourceID=57","")</f>
        <v/>
      </c>
      <c r="T1605" s="4" t="str">
        <f>HYPERLINK("http://141.218.60.56/~jnz1568/getInfo.php?workbook=16_15.xlsx&amp;sheet=A0&amp;row=1605&amp;col=20&amp;number=&amp;sourceID=57","")</f>
        <v/>
      </c>
      <c r="U1605" s="4" t="str">
        <f>HYPERLINK("http://141.218.60.56/~jnz1568/getInfo.php?workbook=16_15.xlsx&amp;sheet=A0&amp;row=1605&amp;col=21&amp;number=&amp;sourceID=47","")</f>
        <v/>
      </c>
      <c r="V1605" s="4" t="str">
        <f>HYPERLINK("http://141.218.60.56/~jnz1568/getInfo.php?workbook=16_15.xlsx&amp;sheet=A0&amp;row=1605&amp;col=22&amp;number=&amp;sourceID=47","")</f>
        <v/>
      </c>
    </row>
    <row r="1606" spans="1:22">
      <c r="A1606" s="3">
        <v>16</v>
      </c>
      <c r="B1606" s="3">
        <v>15</v>
      </c>
      <c r="C1606" s="3">
        <v>64</v>
      </c>
      <c r="D1606" s="3">
        <v>38</v>
      </c>
      <c r="E1606" s="3">
        <f>((1/(INDEX(E0!J$4:J$73,C1606,1)-INDEX(E0!J$4:J$73,D1606,1))))*100000000</f>
        <v>0</v>
      </c>
      <c r="F1606" s="4" t="str">
        <f>HYPERLINK("http://141.218.60.56/~jnz1568/getInfo.php?workbook=16_15.xlsx&amp;sheet=A0&amp;row=1606&amp;col=6&amp;number=81085&amp;sourceID=54","81085")</f>
        <v>81085</v>
      </c>
      <c r="G1606" s="4" t="str">
        <f>HYPERLINK("http://141.218.60.56/~jnz1568/getInfo.php?workbook=16_15.xlsx&amp;sheet=A0&amp;row=1606&amp;col=7&amp;number=&amp;sourceID=54","")</f>
        <v/>
      </c>
      <c r="H1606" s="4" t="str">
        <f>HYPERLINK("http://141.218.60.56/~jnz1568/getInfo.php?workbook=16_15.xlsx&amp;sheet=A0&amp;row=1606&amp;col=8&amp;number=&amp;sourceID=54","")</f>
        <v/>
      </c>
      <c r="I1606" s="4" t="str">
        <f>HYPERLINK("http://141.218.60.56/~jnz1568/getInfo.php?workbook=16_15.xlsx&amp;sheet=A0&amp;row=1606&amp;col=9&amp;number=76829&amp;sourceID=54","76829")</f>
        <v>76829</v>
      </c>
      <c r="J1606" s="4" t="str">
        <f>HYPERLINK("http://141.218.60.56/~jnz1568/getInfo.php?workbook=16_15.xlsx&amp;sheet=A0&amp;row=1606&amp;col=10&amp;number=&amp;sourceID=54","")</f>
        <v/>
      </c>
      <c r="K1606" s="4" t="str">
        <f>HYPERLINK("http://141.218.60.56/~jnz1568/getInfo.php?workbook=16_15.xlsx&amp;sheet=A0&amp;row=1606&amp;col=11&amp;number=&amp;sourceID=54","")</f>
        <v/>
      </c>
      <c r="L1606" s="4" t="str">
        <f>HYPERLINK("http://141.218.60.56/~jnz1568/getInfo.php?workbook=16_15.xlsx&amp;sheet=A0&amp;row=1606&amp;col=12&amp;number=44256.1430689&amp;sourceID=53","44256.1430689")</f>
        <v>44256.1430689</v>
      </c>
      <c r="M1606" s="4" t="str">
        <f>HYPERLINK("http://141.218.60.56/~jnz1568/getInfo.php?workbook=16_15.xlsx&amp;sheet=A0&amp;row=1606&amp;col=13&amp;number=&amp;sourceID=53","")</f>
        <v/>
      </c>
      <c r="N1606" s="4" t="str">
        <f>HYPERLINK("http://141.218.60.56/~jnz1568/getInfo.php?workbook=16_15.xlsx&amp;sheet=A0&amp;row=1606&amp;col=14&amp;number=&amp;sourceID=53","")</f>
        <v/>
      </c>
      <c r="O1606" s="4" t="str">
        <f>HYPERLINK("http://141.218.60.56/~jnz1568/getInfo.php?workbook=16_15.xlsx&amp;sheet=A0&amp;row=1606&amp;col=15&amp;number=&amp;sourceID=55","")</f>
        <v/>
      </c>
      <c r="P1606" s="4" t="str">
        <f>HYPERLINK("http://141.218.60.56/~jnz1568/getInfo.php?workbook=16_15.xlsx&amp;sheet=A0&amp;row=1606&amp;col=16&amp;number=&amp;sourceID=55","")</f>
        <v/>
      </c>
      <c r="Q1606" s="4" t="str">
        <f>HYPERLINK("http://141.218.60.56/~jnz1568/getInfo.php?workbook=16_15.xlsx&amp;sheet=A0&amp;row=1606&amp;col=17&amp;number=&amp;sourceID=56","")</f>
        <v/>
      </c>
      <c r="R1606" s="4" t="str">
        <f>HYPERLINK("http://141.218.60.56/~jnz1568/getInfo.php?workbook=16_15.xlsx&amp;sheet=A0&amp;row=1606&amp;col=18&amp;number=&amp;sourceID=56","")</f>
        <v/>
      </c>
      <c r="S1606" s="4" t="str">
        <f>HYPERLINK("http://141.218.60.56/~jnz1568/getInfo.php?workbook=16_15.xlsx&amp;sheet=A0&amp;row=1606&amp;col=19&amp;number=&amp;sourceID=57","")</f>
        <v/>
      </c>
      <c r="T1606" s="4" t="str">
        <f>HYPERLINK("http://141.218.60.56/~jnz1568/getInfo.php?workbook=16_15.xlsx&amp;sheet=A0&amp;row=1606&amp;col=20&amp;number=&amp;sourceID=57","")</f>
        <v/>
      </c>
      <c r="U1606" s="4" t="str">
        <f>HYPERLINK("http://141.218.60.56/~jnz1568/getInfo.php?workbook=16_15.xlsx&amp;sheet=A0&amp;row=1606&amp;col=21&amp;number=&amp;sourceID=47","")</f>
        <v/>
      </c>
      <c r="V1606" s="4" t="str">
        <f>HYPERLINK("http://141.218.60.56/~jnz1568/getInfo.php?workbook=16_15.xlsx&amp;sheet=A0&amp;row=1606&amp;col=22&amp;number=&amp;sourceID=47","")</f>
        <v/>
      </c>
    </row>
    <row r="1607" spans="1:22">
      <c r="A1607" s="3">
        <v>16</v>
      </c>
      <c r="B1607" s="3">
        <v>15</v>
      </c>
      <c r="C1607" s="3">
        <v>64</v>
      </c>
      <c r="D1607" s="3">
        <v>39</v>
      </c>
      <c r="E1607" s="3">
        <f>((1/(INDEX(E0!J$4:J$73,C1607,1)-INDEX(E0!J$4:J$73,D1607,1))))*100000000</f>
        <v>0</v>
      </c>
      <c r="F1607" s="4" t="str">
        <f>HYPERLINK("http://141.218.60.56/~jnz1568/getInfo.php?workbook=16_15.xlsx&amp;sheet=A0&amp;row=1607&amp;col=6&amp;number=4106.7&amp;sourceID=54","4106.7")</f>
        <v>4106.7</v>
      </c>
      <c r="G1607" s="4" t="str">
        <f>HYPERLINK("http://141.218.60.56/~jnz1568/getInfo.php?workbook=16_15.xlsx&amp;sheet=A0&amp;row=1607&amp;col=7&amp;number=&amp;sourceID=54","")</f>
        <v/>
      </c>
      <c r="H1607" s="4" t="str">
        <f>HYPERLINK("http://141.218.60.56/~jnz1568/getInfo.php?workbook=16_15.xlsx&amp;sheet=A0&amp;row=1607&amp;col=8&amp;number=&amp;sourceID=54","")</f>
        <v/>
      </c>
      <c r="I1607" s="4" t="str">
        <f>HYPERLINK("http://141.218.60.56/~jnz1568/getInfo.php?workbook=16_15.xlsx&amp;sheet=A0&amp;row=1607&amp;col=9&amp;number=20209&amp;sourceID=54","20209")</f>
        <v>20209</v>
      </c>
      <c r="J1607" s="4" t="str">
        <f>HYPERLINK("http://141.218.60.56/~jnz1568/getInfo.php?workbook=16_15.xlsx&amp;sheet=A0&amp;row=1607&amp;col=10&amp;number=&amp;sourceID=54","")</f>
        <v/>
      </c>
      <c r="K1607" s="4" t="str">
        <f>HYPERLINK("http://141.218.60.56/~jnz1568/getInfo.php?workbook=16_15.xlsx&amp;sheet=A0&amp;row=1607&amp;col=11&amp;number=&amp;sourceID=54","")</f>
        <v/>
      </c>
      <c r="L1607" s="4" t="str">
        <f>HYPERLINK("http://141.218.60.56/~jnz1568/getInfo.php?workbook=16_15.xlsx&amp;sheet=A0&amp;row=1607&amp;col=12&amp;number=51621.2081213&amp;sourceID=53","51621.2081213")</f>
        <v>51621.2081213</v>
      </c>
      <c r="M1607" s="4" t="str">
        <f>HYPERLINK("http://141.218.60.56/~jnz1568/getInfo.php?workbook=16_15.xlsx&amp;sheet=A0&amp;row=1607&amp;col=13&amp;number=&amp;sourceID=53","")</f>
        <v/>
      </c>
      <c r="N1607" s="4" t="str">
        <f>HYPERLINK("http://141.218.60.56/~jnz1568/getInfo.php?workbook=16_15.xlsx&amp;sheet=A0&amp;row=1607&amp;col=14&amp;number=&amp;sourceID=53","")</f>
        <v/>
      </c>
      <c r="O1607" s="4" t="str">
        <f>HYPERLINK("http://141.218.60.56/~jnz1568/getInfo.php?workbook=16_15.xlsx&amp;sheet=A0&amp;row=1607&amp;col=15&amp;number=&amp;sourceID=55","")</f>
        <v/>
      </c>
      <c r="P1607" s="4" t="str">
        <f>HYPERLINK("http://141.218.60.56/~jnz1568/getInfo.php?workbook=16_15.xlsx&amp;sheet=A0&amp;row=1607&amp;col=16&amp;number=&amp;sourceID=55","")</f>
        <v/>
      </c>
      <c r="Q1607" s="4" t="str">
        <f>HYPERLINK("http://141.218.60.56/~jnz1568/getInfo.php?workbook=16_15.xlsx&amp;sheet=A0&amp;row=1607&amp;col=17&amp;number=&amp;sourceID=56","")</f>
        <v/>
      </c>
      <c r="R1607" s="4" t="str">
        <f>HYPERLINK("http://141.218.60.56/~jnz1568/getInfo.php?workbook=16_15.xlsx&amp;sheet=A0&amp;row=1607&amp;col=18&amp;number=&amp;sourceID=56","")</f>
        <v/>
      </c>
      <c r="S1607" s="4" t="str">
        <f>HYPERLINK("http://141.218.60.56/~jnz1568/getInfo.php?workbook=16_15.xlsx&amp;sheet=A0&amp;row=1607&amp;col=19&amp;number=&amp;sourceID=57","")</f>
        <v/>
      </c>
      <c r="T1607" s="4" t="str">
        <f>HYPERLINK("http://141.218.60.56/~jnz1568/getInfo.php?workbook=16_15.xlsx&amp;sheet=A0&amp;row=1607&amp;col=20&amp;number=&amp;sourceID=57","")</f>
        <v/>
      </c>
      <c r="U1607" s="4" t="str">
        <f>HYPERLINK("http://141.218.60.56/~jnz1568/getInfo.php?workbook=16_15.xlsx&amp;sheet=A0&amp;row=1607&amp;col=21&amp;number=&amp;sourceID=47","")</f>
        <v/>
      </c>
      <c r="V1607" s="4" t="str">
        <f>HYPERLINK("http://141.218.60.56/~jnz1568/getInfo.php?workbook=16_15.xlsx&amp;sheet=A0&amp;row=1607&amp;col=22&amp;number=&amp;sourceID=47","")</f>
        <v/>
      </c>
    </row>
    <row r="1608" spans="1:22">
      <c r="A1608" s="3">
        <v>16</v>
      </c>
      <c r="B1608" s="3">
        <v>15</v>
      </c>
      <c r="C1608" s="3">
        <v>64</v>
      </c>
      <c r="D1608" s="3">
        <v>40</v>
      </c>
      <c r="E1608" s="3">
        <f>((1/(INDEX(E0!J$4:J$73,C1608,1)-INDEX(E0!J$4:J$73,D1608,1))))*100000000</f>
        <v>0</v>
      </c>
      <c r="F1608" s="4" t="str">
        <f>HYPERLINK("http://141.218.60.56/~jnz1568/getInfo.php?workbook=16_15.xlsx&amp;sheet=A0&amp;row=1608&amp;col=6&amp;number=468.82&amp;sourceID=54","468.82")</f>
        <v>468.82</v>
      </c>
      <c r="G1608" s="4" t="str">
        <f>HYPERLINK("http://141.218.60.56/~jnz1568/getInfo.php?workbook=16_15.xlsx&amp;sheet=A0&amp;row=1608&amp;col=7&amp;number=&amp;sourceID=54","")</f>
        <v/>
      </c>
      <c r="H1608" s="4" t="str">
        <f>HYPERLINK("http://141.218.60.56/~jnz1568/getInfo.php?workbook=16_15.xlsx&amp;sheet=A0&amp;row=1608&amp;col=8&amp;number=&amp;sourceID=54","")</f>
        <v/>
      </c>
      <c r="I1608" s="4" t="str">
        <f>HYPERLINK("http://141.218.60.56/~jnz1568/getInfo.php?workbook=16_15.xlsx&amp;sheet=A0&amp;row=1608&amp;col=9&amp;number=117.9&amp;sourceID=54","117.9")</f>
        <v>117.9</v>
      </c>
      <c r="J1608" s="4" t="str">
        <f>HYPERLINK("http://141.218.60.56/~jnz1568/getInfo.php?workbook=16_15.xlsx&amp;sheet=A0&amp;row=1608&amp;col=10&amp;number=&amp;sourceID=54","")</f>
        <v/>
      </c>
      <c r="K1608" s="4" t="str">
        <f>HYPERLINK("http://141.218.60.56/~jnz1568/getInfo.php?workbook=16_15.xlsx&amp;sheet=A0&amp;row=1608&amp;col=11&amp;number=&amp;sourceID=54","")</f>
        <v/>
      </c>
      <c r="L1608" s="4" t="str">
        <f>HYPERLINK("http://141.218.60.56/~jnz1568/getInfo.php?workbook=16_15.xlsx&amp;sheet=A0&amp;row=1608&amp;col=12&amp;number=17201.7959243&amp;sourceID=53","17201.7959243")</f>
        <v>17201.7959243</v>
      </c>
      <c r="M1608" s="4" t="str">
        <f>HYPERLINK("http://141.218.60.56/~jnz1568/getInfo.php?workbook=16_15.xlsx&amp;sheet=A0&amp;row=1608&amp;col=13&amp;number=&amp;sourceID=53","")</f>
        <v/>
      </c>
      <c r="N1608" s="4" t="str">
        <f>HYPERLINK("http://141.218.60.56/~jnz1568/getInfo.php?workbook=16_15.xlsx&amp;sheet=A0&amp;row=1608&amp;col=14&amp;number=&amp;sourceID=53","")</f>
        <v/>
      </c>
      <c r="O1608" s="4" t="str">
        <f>HYPERLINK("http://141.218.60.56/~jnz1568/getInfo.php?workbook=16_15.xlsx&amp;sheet=A0&amp;row=1608&amp;col=15&amp;number=&amp;sourceID=55","")</f>
        <v/>
      </c>
      <c r="P1608" s="4" t="str">
        <f>HYPERLINK("http://141.218.60.56/~jnz1568/getInfo.php?workbook=16_15.xlsx&amp;sheet=A0&amp;row=1608&amp;col=16&amp;number=&amp;sourceID=55","")</f>
        <v/>
      </c>
      <c r="Q1608" s="4" t="str">
        <f>HYPERLINK("http://141.218.60.56/~jnz1568/getInfo.php?workbook=16_15.xlsx&amp;sheet=A0&amp;row=1608&amp;col=17&amp;number=&amp;sourceID=56","")</f>
        <v/>
      </c>
      <c r="R1608" s="4" t="str">
        <f>HYPERLINK("http://141.218.60.56/~jnz1568/getInfo.php?workbook=16_15.xlsx&amp;sheet=A0&amp;row=1608&amp;col=18&amp;number=&amp;sourceID=56","")</f>
        <v/>
      </c>
      <c r="S1608" s="4" t="str">
        <f>HYPERLINK("http://141.218.60.56/~jnz1568/getInfo.php?workbook=16_15.xlsx&amp;sheet=A0&amp;row=1608&amp;col=19&amp;number=&amp;sourceID=57","")</f>
        <v/>
      </c>
      <c r="T1608" s="4" t="str">
        <f>HYPERLINK("http://141.218.60.56/~jnz1568/getInfo.php?workbook=16_15.xlsx&amp;sheet=A0&amp;row=1608&amp;col=20&amp;number=&amp;sourceID=57","")</f>
        <v/>
      </c>
      <c r="U1608" s="4" t="str">
        <f>HYPERLINK("http://141.218.60.56/~jnz1568/getInfo.php?workbook=16_15.xlsx&amp;sheet=A0&amp;row=1608&amp;col=21&amp;number=&amp;sourceID=47","")</f>
        <v/>
      </c>
      <c r="V1608" s="4" t="str">
        <f>HYPERLINK("http://141.218.60.56/~jnz1568/getInfo.php?workbook=16_15.xlsx&amp;sheet=A0&amp;row=1608&amp;col=22&amp;number=&amp;sourceID=47","")</f>
        <v/>
      </c>
    </row>
    <row r="1609" spans="1:22">
      <c r="A1609" s="3">
        <v>16</v>
      </c>
      <c r="B1609" s="3">
        <v>15</v>
      </c>
      <c r="C1609" s="3">
        <v>64</v>
      </c>
      <c r="D1609" s="3">
        <v>41</v>
      </c>
      <c r="E1609" s="3">
        <f>((1/(INDEX(E0!J$4:J$73,C1609,1)-INDEX(E0!J$4:J$73,D1609,1))))*100000000</f>
        <v>0</v>
      </c>
      <c r="F1609" s="4" t="str">
        <f>HYPERLINK("http://141.218.60.56/~jnz1568/getInfo.php?workbook=16_15.xlsx&amp;sheet=A0&amp;row=1609&amp;col=6&amp;number=&amp;sourceID=54","")</f>
        <v/>
      </c>
      <c r="G1609" s="4" t="str">
        <f>HYPERLINK("http://141.218.60.56/~jnz1568/getInfo.php?workbook=16_15.xlsx&amp;sheet=A0&amp;row=1609&amp;col=7&amp;number=0.00035542&amp;sourceID=54","0.00035542")</f>
        <v>0.00035542</v>
      </c>
      <c r="H1609" s="4" t="str">
        <f>HYPERLINK("http://141.218.60.56/~jnz1568/getInfo.php?workbook=16_15.xlsx&amp;sheet=A0&amp;row=1609&amp;col=8&amp;number=0.00011793&amp;sourceID=54","0.00011793")</f>
        <v>0.00011793</v>
      </c>
      <c r="I1609" s="4" t="str">
        <f>HYPERLINK("http://141.218.60.56/~jnz1568/getInfo.php?workbook=16_15.xlsx&amp;sheet=A0&amp;row=1609&amp;col=9&amp;number=&amp;sourceID=54","")</f>
        <v/>
      </c>
      <c r="J1609" s="4" t="str">
        <f>HYPERLINK("http://141.218.60.56/~jnz1568/getInfo.php?workbook=16_15.xlsx&amp;sheet=A0&amp;row=1609&amp;col=10&amp;number=0.00069568&amp;sourceID=54","0.00069568")</f>
        <v>0.00069568</v>
      </c>
      <c r="K1609" s="4" t="str">
        <f>HYPERLINK("http://141.218.60.56/~jnz1568/getInfo.php?workbook=16_15.xlsx&amp;sheet=A0&amp;row=1609&amp;col=11&amp;number=0.00057073&amp;sourceID=54","0.00057073")</f>
        <v>0.00057073</v>
      </c>
      <c r="L1609" s="4" t="str">
        <f>HYPERLINK("http://141.218.60.56/~jnz1568/getInfo.php?workbook=16_15.xlsx&amp;sheet=A0&amp;row=1609&amp;col=12&amp;number=&amp;sourceID=53","")</f>
        <v/>
      </c>
      <c r="M1609" s="4" t="str">
        <f>HYPERLINK("http://141.218.60.56/~jnz1568/getInfo.php?workbook=16_15.xlsx&amp;sheet=A0&amp;row=1609&amp;col=13&amp;number=&amp;sourceID=53","")</f>
        <v/>
      </c>
      <c r="N1609" s="4" t="str">
        <f>HYPERLINK("http://141.218.60.56/~jnz1568/getInfo.php?workbook=16_15.xlsx&amp;sheet=A0&amp;row=1609&amp;col=14&amp;number=&amp;sourceID=53","")</f>
        <v/>
      </c>
      <c r="O1609" s="4" t="str">
        <f>HYPERLINK("http://141.218.60.56/~jnz1568/getInfo.php?workbook=16_15.xlsx&amp;sheet=A0&amp;row=1609&amp;col=15&amp;number=&amp;sourceID=55","")</f>
        <v/>
      </c>
      <c r="P1609" s="4" t="str">
        <f>HYPERLINK("http://141.218.60.56/~jnz1568/getInfo.php?workbook=16_15.xlsx&amp;sheet=A0&amp;row=1609&amp;col=16&amp;number=&amp;sourceID=55","")</f>
        <v/>
      </c>
      <c r="Q1609" s="4" t="str">
        <f>HYPERLINK("http://141.218.60.56/~jnz1568/getInfo.php?workbook=16_15.xlsx&amp;sheet=A0&amp;row=1609&amp;col=17&amp;number=&amp;sourceID=56","")</f>
        <v/>
      </c>
      <c r="R1609" s="4" t="str">
        <f>HYPERLINK("http://141.218.60.56/~jnz1568/getInfo.php?workbook=16_15.xlsx&amp;sheet=A0&amp;row=1609&amp;col=18&amp;number=&amp;sourceID=56","")</f>
        <v/>
      </c>
      <c r="S1609" s="4" t="str">
        <f>HYPERLINK("http://141.218.60.56/~jnz1568/getInfo.php?workbook=16_15.xlsx&amp;sheet=A0&amp;row=1609&amp;col=19&amp;number=&amp;sourceID=57","")</f>
        <v/>
      </c>
      <c r="T1609" s="4" t="str">
        <f>HYPERLINK("http://141.218.60.56/~jnz1568/getInfo.php?workbook=16_15.xlsx&amp;sheet=A0&amp;row=1609&amp;col=20&amp;number=&amp;sourceID=57","")</f>
        <v/>
      </c>
      <c r="U1609" s="4" t="str">
        <f>HYPERLINK("http://141.218.60.56/~jnz1568/getInfo.php?workbook=16_15.xlsx&amp;sheet=A0&amp;row=1609&amp;col=21&amp;number=&amp;sourceID=47","")</f>
        <v/>
      </c>
      <c r="V1609" s="4" t="str">
        <f>HYPERLINK("http://141.218.60.56/~jnz1568/getInfo.php?workbook=16_15.xlsx&amp;sheet=A0&amp;row=1609&amp;col=22&amp;number=&amp;sourceID=47","")</f>
        <v/>
      </c>
    </row>
    <row r="1610" spans="1:22">
      <c r="A1610" s="3">
        <v>16</v>
      </c>
      <c r="B1610" s="3">
        <v>15</v>
      </c>
      <c r="C1610" s="3">
        <v>64</v>
      </c>
      <c r="D1610" s="3">
        <v>42</v>
      </c>
      <c r="E1610" s="3">
        <f>((1/(INDEX(E0!J$4:J$73,C1610,1)-INDEX(E0!J$4:J$73,D1610,1))))*100000000</f>
        <v>0</v>
      </c>
      <c r="F1610" s="4" t="str">
        <f>HYPERLINK("http://141.218.60.56/~jnz1568/getInfo.php?workbook=16_15.xlsx&amp;sheet=A0&amp;row=1610&amp;col=6&amp;number=46654&amp;sourceID=54","46654")</f>
        <v>46654</v>
      </c>
      <c r="G1610" s="4" t="str">
        <f>HYPERLINK("http://141.218.60.56/~jnz1568/getInfo.php?workbook=16_15.xlsx&amp;sheet=A0&amp;row=1610&amp;col=7&amp;number=&amp;sourceID=54","")</f>
        <v/>
      </c>
      <c r="H1610" s="4" t="str">
        <f>HYPERLINK("http://141.218.60.56/~jnz1568/getInfo.php?workbook=16_15.xlsx&amp;sheet=A0&amp;row=1610&amp;col=8&amp;number=&amp;sourceID=54","")</f>
        <v/>
      </c>
      <c r="I1610" s="4" t="str">
        <f>HYPERLINK("http://141.218.60.56/~jnz1568/getInfo.php?workbook=16_15.xlsx&amp;sheet=A0&amp;row=1610&amp;col=9&amp;number=1395.4&amp;sourceID=54","1395.4")</f>
        <v>1395.4</v>
      </c>
      <c r="J1610" s="4" t="str">
        <f>HYPERLINK("http://141.218.60.56/~jnz1568/getInfo.php?workbook=16_15.xlsx&amp;sheet=A0&amp;row=1610&amp;col=10&amp;number=&amp;sourceID=54","")</f>
        <v/>
      </c>
      <c r="K1610" s="4" t="str">
        <f>HYPERLINK("http://141.218.60.56/~jnz1568/getInfo.php?workbook=16_15.xlsx&amp;sheet=A0&amp;row=1610&amp;col=11&amp;number=&amp;sourceID=54","")</f>
        <v/>
      </c>
      <c r="L1610" s="4" t="str">
        <f>HYPERLINK("http://141.218.60.56/~jnz1568/getInfo.php?workbook=16_15.xlsx&amp;sheet=A0&amp;row=1610&amp;col=12&amp;number=15289.1898395&amp;sourceID=53","15289.1898395")</f>
        <v>15289.1898395</v>
      </c>
      <c r="M1610" s="4" t="str">
        <f>HYPERLINK("http://141.218.60.56/~jnz1568/getInfo.php?workbook=16_15.xlsx&amp;sheet=A0&amp;row=1610&amp;col=13&amp;number=&amp;sourceID=53","")</f>
        <v/>
      </c>
      <c r="N1610" s="4" t="str">
        <f>HYPERLINK("http://141.218.60.56/~jnz1568/getInfo.php?workbook=16_15.xlsx&amp;sheet=A0&amp;row=1610&amp;col=14&amp;number=&amp;sourceID=53","")</f>
        <v/>
      </c>
      <c r="O1610" s="4" t="str">
        <f>HYPERLINK("http://141.218.60.56/~jnz1568/getInfo.php?workbook=16_15.xlsx&amp;sheet=A0&amp;row=1610&amp;col=15&amp;number=&amp;sourceID=55","")</f>
        <v/>
      </c>
      <c r="P1610" s="4" t="str">
        <f>HYPERLINK("http://141.218.60.56/~jnz1568/getInfo.php?workbook=16_15.xlsx&amp;sheet=A0&amp;row=1610&amp;col=16&amp;number=&amp;sourceID=55","")</f>
        <v/>
      </c>
      <c r="Q1610" s="4" t="str">
        <f>HYPERLINK("http://141.218.60.56/~jnz1568/getInfo.php?workbook=16_15.xlsx&amp;sheet=A0&amp;row=1610&amp;col=17&amp;number=&amp;sourceID=56","")</f>
        <v/>
      </c>
      <c r="R1610" s="4" t="str">
        <f>HYPERLINK("http://141.218.60.56/~jnz1568/getInfo.php?workbook=16_15.xlsx&amp;sheet=A0&amp;row=1610&amp;col=18&amp;number=&amp;sourceID=56","")</f>
        <v/>
      </c>
      <c r="S1610" s="4" t="str">
        <f>HYPERLINK("http://141.218.60.56/~jnz1568/getInfo.php?workbook=16_15.xlsx&amp;sheet=A0&amp;row=1610&amp;col=19&amp;number=&amp;sourceID=57","")</f>
        <v/>
      </c>
      <c r="T1610" s="4" t="str">
        <f>HYPERLINK("http://141.218.60.56/~jnz1568/getInfo.php?workbook=16_15.xlsx&amp;sheet=A0&amp;row=1610&amp;col=20&amp;number=&amp;sourceID=57","")</f>
        <v/>
      </c>
      <c r="U1610" s="4" t="str">
        <f>HYPERLINK("http://141.218.60.56/~jnz1568/getInfo.php?workbook=16_15.xlsx&amp;sheet=A0&amp;row=1610&amp;col=21&amp;number=&amp;sourceID=47","")</f>
        <v/>
      </c>
      <c r="V1610" s="4" t="str">
        <f>HYPERLINK("http://141.218.60.56/~jnz1568/getInfo.php?workbook=16_15.xlsx&amp;sheet=A0&amp;row=1610&amp;col=22&amp;number=&amp;sourceID=47","")</f>
        <v/>
      </c>
    </row>
    <row r="1611" spans="1:22">
      <c r="A1611" s="3">
        <v>16</v>
      </c>
      <c r="B1611" s="3">
        <v>15</v>
      </c>
      <c r="C1611" s="3">
        <v>64</v>
      </c>
      <c r="D1611" s="3">
        <v>43</v>
      </c>
      <c r="E1611" s="3">
        <f>((1/(INDEX(E0!J$4:J$73,C1611,1)-INDEX(E0!J$4:J$73,D1611,1))))*100000000</f>
        <v>0</v>
      </c>
      <c r="F1611" s="4" t="str">
        <f>HYPERLINK("http://141.218.60.56/~jnz1568/getInfo.php?workbook=16_15.xlsx&amp;sheet=A0&amp;row=1611&amp;col=6&amp;number=&amp;sourceID=54","")</f>
        <v/>
      </c>
      <c r="G1611" s="4" t="str">
        <f>HYPERLINK("http://141.218.60.56/~jnz1568/getInfo.php?workbook=16_15.xlsx&amp;sheet=A0&amp;row=1611&amp;col=7&amp;number=5.6845e-06&amp;sourceID=54","5.6845e-06")</f>
        <v>5.6845e-06</v>
      </c>
      <c r="H1611" s="4" t="str">
        <f>HYPERLINK("http://141.218.60.56/~jnz1568/getInfo.php?workbook=16_15.xlsx&amp;sheet=A0&amp;row=1611&amp;col=8&amp;number=0.003896&amp;sourceID=54","0.003896")</f>
        <v>0.003896</v>
      </c>
      <c r="I1611" s="4" t="str">
        <f>HYPERLINK("http://141.218.60.56/~jnz1568/getInfo.php?workbook=16_15.xlsx&amp;sheet=A0&amp;row=1611&amp;col=9&amp;number=&amp;sourceID=54","")</f>
        <v/>
      </c>
      <c r="J1611" s="4" t="str">
        <f>HYPERLINK("http://141.218.60.56/~jnz1568/getInfo.php?workbook=16_15.xlsx&amp;sheet=A0&amp;row=1611&amp;col=10&amp;number=5.3853e-05&amp;sourceID=54","5.3853e-05")</f>
        <v>5.3853e-05</v>
      </c>
      <c r="K1611" s="4" t="str">
        <f>HYPERLINK("http://141.218.60.56/~jnz1568/getInfo.php?workbook=16_15.xlsx&amp;sheet=A0&amp;row=1611&amp;col=11&amp;number=0.0034499&amp;sourceID=54","0.0034499")</f>
        <v>0.0034499</v>
      </c>
      <c r="L1611" s="4" t="str">
        <f>HYPERLINK("http://141.218.60.56/~jnz1568/getInfo.php?workbook=16_15.xlsx&amp;sheet=A0&amp;row=1611&amp;col=12&amp;number=&amp;sourceID=53","")</f>
        <v/>
      </c>
      <c r="M1611" s="4" t="str">
        <f>HYPERLINK("http://141.218.60.56/~jnz1568/getInfo.php?workbook=16_15.xlsx&amp;sheet=A0&amp;row=1611&amp;col=13&amp;number=&amp;sourceID=53","")</f>
        <v/>
      </c>
      <c r="N1611" s="4" t="str">
        <f>HYPERLINK("http://141.218.60.56/~jnz1568/getInfo.php?workbook=16_15.xlsx&amp;sheet=A0&amp;row=1611&amp;col=14&amp;number=&amp;sourceID=53","")</f>
        <v/>
      </c>
      <c r="O1611" s="4" t="str">
        <f>HYPERLINK("http://141.218.60.56/~jnz1568/getInfo.php?workbook=16_15.xlsx&amp;sheet=A0&amp;row=1611&amp;col=15&amp;number=&amp;sourceID=55","")</f>
        <v/>
      </c>
      <c r="P1611" s="4" t="str">
        <f>HYPERLINK("http://141.218.60.56/~jnz1568/getInfo.php?workbook=16_15.xlsx&amp;sheet=A0&amp;row=1611&amp;col=16&amp;number=&amp;sourceID=55","")</f>
        <v/>
      </c>
      <c r="Q1611" s="4" t="str">
        <f>HYPERLINK("http://141.218.60.56/~jnz1568/getInfo.php?workbook=16_15.xlsx&amp;sheet=A0&amp;row=1611&amp;col=17&amp;number=&amp;sourceID=56","")</f>
        <v/>
      </c>
      <c r="R1611" s="4" t="str">
        <f>HYPERLINK("http://141.218.60.56/~jnz1568/getInfo.php?workbook=16_15.xlsx&amp;sheet=A0&amp;row=1611&amp;col=18&amp;number=&amp;sourceID=56","")</f>
        <v/>
      </c>
      <c r="S1611" s="4" t="str">
        <f>HYPERLINK("http://141.218.60.56/~jnz1568/getInfo.php?workbook=16_15.xlsx&amp;sheet=A0&amp;row=1611&amp;col=19&amp;number=&amp;sourceID=57","")</f>
        <v/>
      </c>
      <c r="T1611" s="4" t="str">
        <f>HYPERLINK("http://141.218.60.56/~jnz1568/getInfo.php?workbook=16_15.xlsx&amp;sheet=A0&amp;row=1611&amp;col=20&amp;number=&amp;sourceID=57","")</f>
        <v/>
      </c>
      <c r="U1611" s="4" t="str">
        <f>HYPERLINK("http://141.218.60.56/~jnz1568/getInfo.php?workbook=16_15.xlsx&amp;sheet=A0&amp;row=1611&amp;col=21&amp;number=&amp;sourceID=47","")</f>
        <v/>
      </c>
      <c r="V1611" s="4" t="str">
        <f>HYPERLINK("http://141.218.60.56/~jnz1568/getInfo.php?workbook=16_15.xlsx&amp;sheet=A0&amp;row=1611&amp;col=22&amp;number=&amp;sourceID=47","")</f>
        <v/>
      </c>
    </row>
    <row r="1612" spans="1:22">
      <c r="A1612" s="3">
        <v>16</v>
      </c>
      <c r="B1612" s="3">
        <v>15</v>
      </c>
      <c r="C1612" s="3">
        <v>64</v>
      </c>
      <c r="D1612" s="3">
        <v>44</v>
      </c>
      <c r="E1612" s="3">
        <f>((1/(INDEX(E0!J$4:J$73,C1612,1)-INDEX(E0!J$4:J$73,D1612,1))))*100000000</f>
        <v>0</v>
      </c>
      <c r="F1612" s="4" t="str">
        <f>HYPERLINK("http://141.218.60.56/~jnz1568/getInfo.php?workbook=16_15.xlsx&amp;sheet=A0&amp;row=1612&amp;col=6&amp;number=&amp;sourceID=54","")</f>
        <v/>
      </c>
      <c r="G1612" s="4" t="str">
        <f>HYPERLINK("http://141.218.60.56/~jnz1568/getInfo.php?workbook=16_15.xlsx&amp;sheet=A0&amp;row=1612&amp;col=7&amp;number=1.0823e-08&amp;sourceID=54","1.0823e-08")</f>
        <v>1.0823e-08</v>
      </c>
      <c r="H1612" s="4" t="str">
        <f>HYPERLINK("http://141.218.60.56/~jnz1568/getInfo.php?workbook=16_15.xlsx&amp;sheet=A0&amp;row=1612&amp;col=8&amp;number=0.00080804&amp;sourceID=54","0.00080804")</f>
        <v>0.00080804</v>
      </c>
      <c r="I1612" s="4" t="str">
        <f>HYPERLINK("http://141.218.60.56/~jnz1568/getInfo.php?workbook=16_15.xlsx&amp;sheet=A0&amp;row=1612&amp;col=9&amp;number=&amp;sourceID=54","")</f>
        <v/>
      </c>
      <c r="J1612" s="4" t="str">
        <f>HYPERLINK("http://141.218.60.56/~jnz1568/getInfo.php?workbook=16_15.xlsx&amp;sheet=A0&amp;row=1612&amp;col=10&amp;number=4.9698e-05&amp;sourceID=54","4.9698e-05")</f>
        <v>4.9698e-05</v>
      </c>
      <c r="K1612" s="4" t="str">
        <f>HYPERLINK("http://141.218.60.56/~jnz1568/getInfo.php?workbook=16_15.xlsx&amp;sheet=A0&amp;row=1612&amp;col=11&amp;number=0.00062243&amp;sourceID=54","0.00062243")</f>
        <v>0.00062243</v>
      </c>
      <c r="L1612" s="4" t="str">
        <f>HYPERLINK("http://141.218.60.56/~jnz1568/getInfo.php?workbook=16_15.xlsx&amp;sheet=A0&amp;row=1612&amp;col=12&amp;number=&amp;sourceID=53","")</f>
        <v/>
      </c>
      <c r="M1612" s="4" t="str">
        <f>HYPERLINK("http://141.218.60.56/~jnz1568/getInfo.php?workbook=16_15.xlsx&amp;sheet=A0&amp;row=1612&amp;col=13&amp;number=&amp;sourceID=53","")</f>
        <v/>
      </c>
      <c r="N1612" s="4" t="str">
        <f>HYPERLINK("http://141.218.60.56/~jnz1568/getInfo.php?workbook=16_15.xlsx&amp;sheet=A0&amp;row=1612&amp;col=14&amp;number=&amp;sourceID=53","")</f>
        <v/>
      </c>
      <c r="O1612" s="4" t="str">
        <f>HYPERLINK("http://141.218.60.56/~jnz1568/getInfo.php?workbook=16_15.xlsx&amp;sheet=A0&amp;row=1612&amp;col=15&amp;number=&amp;sourceID=55","")</f>
        <v/>
      </c>
      <c r="P1612" s="4" t="str">
        <f>HYPERLINK("http://141.218.60.56/~jnz1568/getInfo.php?workbook=16_15.xlsx&amp;sheet=A0&amp;row=1612&amp;col=16&amp;number=&amp;sourceID=55","")</f>
        <v/>
      </c>
      <c r="Q1612" s="4" t="str">
        <f>HYPERLINK("http://141.218.60.56/~jnz1568/getInfo.php?workbook=16_15.xlsx&amp;sheet=A0&amp;row=1612&amp;col=17&amp;number=&amp;sourceID=56","")</f>
        <v/>
      </c>
      <c r="R1612" s="4" t="str">
        <f>HYPERLINK("http://141.218.60.56/~jnz1568/getInfo.php?workbook=16_15.xlsx&amp;sheet=A0&amp;row=1612&amp;col=18&amp;number=&amp;sourceID=56","")</f>
        <v/>
      </c>
      <c r="S1612" s="4" t="str">
        <f>HYPERLINK("http://141.218.60.56/~jnz1568/getInfo.php?workbook=16_15.xlsx&amp;sheet=A0&amp;row=1612&amp;col=19&amp;number=&amp;sourceID=57","")</f>
        <v/>
      </c>
      <c r="T1612" s="4" t="str">
        <f>HYPERLINK("http://141.218.60.56/~jnz1568/getInfo.php?workbook=16_15.xlsx&amp;sheet=A0&amp;row=1612&amp;col=20&amp;number=&amp;sourceID=57","")</f>
        <v/>
      </c>
      <c r="U1612" s="4" t="str">
        <f>HYPERLINK("http://141.218.60.56/~jnz1568/getInfo.php?workbook=16_15.xlsx&amp;sheet=A0&amp;row=1612&amp;col=21&amp;number=&amp;sourceID=47","")</f>
        <v/>
      </c>
      <c r="V1612" s="4" t="str">
        <f>HYPERLINK("http://141.218.60.56/~jnz1568/getInfo.php?workbook=16_15.xlsx&amp;sheet=A0&amp;row=1612&amp;col=22&amp;number=&amp;sourceID=47","")</f>
        <v/>
      </c>
    </row>
    <row r="1613" spans="1:22">
      <c r="A1613" s="3">
        <v>16</v>
      </c>
      <c r="B1613" s="3">
        <v>15</v>
      </c>
      <c r="C1613" s="3">
        <v>64</v>
      </c>
      <c r="D1613" s="3">
        <v>45</v>
      </c>
      <c r="E1613" s="3">
        <f>((1/(INDEX(E0!J$4:J$73,C1613,1)-INDEX(E0!J$4:J$73,D1613,1))))*100000000</f>
        <v>0</v>
      </c>
      <c r="F1613" s="4" t="str">
        <f>HYPERLINK("http://141.218.60.56/~jnz1568/getInfo.php?workbook=16_15.xlsx&amp;sheet=A0&amp;row=1613&amp;col=6&amp;number=2115.4&amp;sourceID=54","2115.4")</f>
        <v>2115.4</v>
      </c>
      <c r="G1613" s="4" t="str">
        <f>HYPERLINK("http://141.218.60.56/~jnz1568/getInfo.php?workbook=16_15.xlsx&amp;sheet=A0&amp;row=1613&amp;col=7&amp;number=&amp;sourceID=54","")</f>
        <v/>
      </c>
      <c r="H1613" s="4" t="str">
        <f>HYPERLINK("http://141.218.60.56/~jnz1568/getInfo.php?workbook=16_15.xlsx&amp;sheet=A0&amp;row=1613&amp;col=8&amp;number=&amp;sourceID=54","")</f>
        <v/>
      </c>
      <c r="I1613" s="4" t="str">
        <f>HYPERLINK("http://141.218.60.56/~jnz1568/getInfo.php?workbook=16_15.xlsx&amp;sheet=A0&amp;row=1613&amp;col=9&amp;number=3333.3&amp;sourceID=54","3333.3")</f>
        <v>3333.3</v>
      </c>
      <c r="J1613" s="4" t="str">
        <f>HYPERLINK("http://141.218.60.56/~jnz1568/getInfo.php?workbook=16_15.xlsx&amp;sheet=A0&amp;row=1613&amp;col=10&amp;number=&amp;sourceID=54","")</f>
        <v/>
      </c>
      <c r="K1613" s="4" t="str">
        <f>HYPERLINK("http://141.218.60.56/~jnz1568/getInfo.php?workbook=16_15.xlsx&amp;sheet=A0&amp;row=1613&amp;col=11&amp;number=&amp;sourceID=54","")</f>
        <v/>
      </c>
      <c r="L1613" s="4" t="str">
        <f>HYPERLINK("http://141.218.60.56/~jnz1568/getInfo.php?workbook=16_15.xlsx&amp;sheet=A0&amp;row=1613&amp;col=12&amp;number=4364.66398227&amp;sourceID=53","4364.66398227")</f>
        <v>4364.66398227</v>
      </c>
      <c r="M1613" s="4" t="str">
        <f>HYPERLINK("http://141.218.60.56/~jnz1568/getInfo.php?workbook=16_15.xlsx&amp;sheet=A0&amp;row=1613&amp;col=13&amp;number=&amp;sourceID=53","")</f>
        <v/>
      </c>
      <c r="N1613" s="4" t="str">
        <f>HYPERLINK("http://141.218.60.56/~jnz1568/getInfo.php?workbook=16_15.xlsx&amp;sheet=A0&amp;row=1613&amp;col=14&amp;number=&amp;sourceID=53","")</f>
        <v/>
      </c>
      <c r="O1613" s="4" t="str">
        <f>HYPERLINK("http://141.218.60.56/~jnz1568/getInfo.php?workbook=16_15.xlsx&amp;sheet=A0&amp;row=1613&amp;col=15&amp;number=&amp;sourceID=55","")</f>
        <v/>
      </c>
      <c r="P1613" s="4" t="str">
        <f>HYPERLINK("http://141.218.60.56/~jnz1568/getInfo.php?workbook=16_15.xlsx&amp;sheet=A0&amp;row=1613&amp;col=16&amp;number=&amp;sourceID=55","")</f>
        <v/>
      </c>
      <c r="Q1613" s="4" t="str">
        <f>HYPERLINK("http://141.218.60.56/~jnz1568/getInfo.php?workbook=16_15.xlsx&amp;sheet=A0&amp;row=1613&amp;col=17&amp;number=&amp;sourceID=56","")</f>
        <v/>
      </c>
      <c r="R1613" s="4" t="str">
        <f>HYPERLINK("http://141.218.60.56/~jnz1568/getInfo.php?workbook=16_15.xlsx&amp;sheet=A0&amp;row=1613&amp;col=18&amp;number=&amp;sourceID=56","")</f>
        <v/>
      </c>
      <c r="S1613" s="4" t="str">
        <f>HYPERLINK("http://141.218.60.56/~jnz1568/getInfo.php?workbook=16_15.xlsx&amp;sheet=A0&amp;row=1613&amp;col=19&amp;number=&amp;sourceID=57","")</f>
        <v/>
      </c>
      <c r="T1613" s="4" t="str">
        <f>HYPERLINK("http://141.218.60.56/~jnz1568/getInfo.php?workbook=16_15.xlsx&amp;sheet=A0&amp;row=1613&amp;col=20&amp;number=&amp;sourceID=57","")</f>
        <v/>
      </c>
      <c r="U1613" s="4" t="str">
        <f>HYPERLINK("http://141.218.60.56/~jnz1568/getInfo.php?workbook=16_15.xlsx&amp;sheet=A0&amp;row=1613&amp;col=21&amp;number=&amp;sourceID=47","")</f>
        <v/>
      </c>
      <c r="V1613" s="4" t="str">
        <f>HYPERLINK("http://141.218.60.56/~jnz1568/getInfo.php?workbook=16_15.xlsx&amp;sheet=A0&amp;row=1613&amp;col=22&amp;number=&amp;sourceID=47","")</f>
        <v/>
      </c>
    </row>
    <row r="1614" spans="1:22">
      <c r="A1614" s="3">
        <v>16</v>
      </c>
      <c r="B1614" s="3">
        <v>15</v>
      </c>
      <c r="C1614" s="3">
        <v>64</v>
      </c>
      <c r="D1614" s="3">
        <v>46</v>
      </c>
      <c r="E1614" s="3">
        <f>((1/(INDEX(E0!J$4:J$73,C1614,1)-INDEX(E0!J$4:J$73,D1614,1))))*100000000</f>
        <v>0</v>
      </c>
      <c r="F1614" s="4" t="str">
        <f>HYPERLINK("http://141.218.60.56/~jnz1568/getInfo.php?workbook=16_15.xlsx&amp;sheet=A0&amp;row=1614&amp;col=6&amp;number=5293.9&amp;sourceID=54","5293.9")</f>
        <v>5293.9</v>
      </c>
      <c r="G1614" s="4" t="str">
        <f>HYPERLINK("http://141.218.60.56/~jnz1568/getInfo.php?workbook=16_15.xlsx&amp;sheet=A0&amp;row=1614&amp;col=7&amp;number=&amp;sourceID=54","")</f>
        <v/>
      </c>
      <c r="H1614" s="4" t="str">
        <f>HYPERLINK("http://141.218.60.56/~jnz1568/getInfo.php?workbook=16_15.xlsx&amp;sheet=A0&amp;row=1614&amp;col=8&amp;number=&amp;sourceID=54","")</f>
        <v/>
      </c>
      <c r="I1614" s="4" t="str">
        <f>HYPERLINK("http://141.218.60.56/~jnz1568/getInfo.php?workbook=16_15.xlsx&amp;sheet=A0&amp;row=1614&amp;col=9&amp;number=0.54593&amp;sourceID=54","0.54593")</f>
        <v>0.54593</v>
      </c>
      <c r="J1614" s="4" t="str">
        <f>HYPERLINK("http://141.218.60.56/~jnz1568/getInfo.php?workbook=16_15.xlsx&amp;sheet=A0&amp;row=1614&amp;col=10&amp;number=&amp;sourceID=54","")</f>
        <v/>
      </c>
      <c r="K1614" s="4" t="str">
        <f>HYPERLINK("http://141.218.60.56/~jnz1568/getInfo.php?workbook=16_15.xlsx&amp;sheet=A0&amp;row=1614&amp;col=11&amp;number=&amp;sourceID=54","")</f>
        <v/>
      </c>
      <c r="L1614" s="4" t="str">
        <f>HYPERLINK("http://141.218.60.56/~jnz1568/getInfo.php?workbook=16_15.xlsx&amp;sheet=A0&amp;row=1614&amp;col=12&amp;number=223046.304156&amp;sourceID=53","223046.304156")</f>
        <v>223046.304156</v>
      </c>
      <c r="M1614" s="4" t="str">
        <f>HYPERLINK("http://141.218.60.56/~jnz1568/getInfo.php?workbook=16_15.xlsx&amp;sheet=A0&amp;row=1614&amp;col=13&amp;number=&amp;sourceID=53","")</f>
        <v/>
      </c>
      <c r="N1614" s="4" t="str">
        <f>HYPERLINK("http://141.218.60.56/~jnz1568/getInfo.php?workbook=16_15.xlsx&amp;sheet=A0&amp;row=1614&amp;col=14&amp;number=&amp;sourceID=53","")</f>
        <v/>
      </c>
      <c r="O1614" s="4" t="str">
        <f>HYPERLINK("http://141.218.60.56/~jnz1568/getInfo.php?workbook=16_15.xlsx&amp;sheet=A0&amp;row=1614&amp;col=15&amp;number=&amp;sourceID=55","")</f>
        <v/>
      </c>
      <c r="P1614" s="4" t="str">
        <f>HYPERLINK("http://141.218.60.56/~jnz1568/getInfo.php?workbook=16_15.xlsx&amp;sheet=A0&amp;row=1614&amp;col=16&amp;number=&amp;sourceID=55","")</f>
        <v/>
      </c>
      <c r="Q1614" s="4" t="str">
        <f>HYPERLINK("http://141.218.60.56/~jnz1568/getInfo.php?workbook=16_15.xlsx&amp;sheet=A0&amp;row=1614&amp;col=17&amp;number=&amp;sourceID=56","")</f>
        <v/>
      </c>
      <c r="R1614" s="4" t="str">
        <f>HYPERLINK("http://141.218.60.56/~jnz1568/getInfo.php?workbook=16_15.xlsx&amp;sheet=A0&amp;row=1614&amp;col=18&amp;number=&amp;sourceID=56","")</f>
        <v/>
      </c>
      <c r="S1614" s="4" t="str">
        <f>HYPERLINK("http://141.218.60.56/~jnz1568/getInfo.php?workbook=16_15.xlsx&amp;sheet=A0&amp;row=1614&amp;col=19&amp;number=&amp;sourceID=57","")</f>
        <v/>
      </c>
      <c r="T1614" s="4" t="str">
        <f>HYPERLINK("http://141.218.60.56/~jnz1568/getInfo.php?workbook=16_15.xlsx&amp;sheet=A0&amp;row=1614&amp;col=20&amp;number=&amp;sourceID=57","")</f>
        <v/>
      </c>
      <c r="U1614" s="4" t="str">
        <f>HYPERLINK("http://141.218.60.56/~jnz1568/getInfo.php?workbook=16_15.xlsx&amp;sheet=A0&amp;row=1614&amp;col=21&amp;number=&amp;sourceID=47","")</f>
        <v/>
      </c>
      <c r="V1614" s="4" t="str">
        <f>HYPERLINK("http://141.218.60.56/~jnz1568/getInfo.php?workbook=16_15.xlsx&amp;sheet=A0&amp;row=1614&amp;col=22&amp;number=&amp;sourceID=47","")</f>
        <v/>
      </c>
    </row>
    <row r="1615" spans="1:22">
      <c r="A1615" s="3">
        <v>16</v>
      </c>
      <c r="B1615" s="3">
        <v>15</v>
      </c>
      <c r="C1615" s="3">
        <v>64</v>
      </c>
      <c r="D1615" s="3">
        <v>47</v>
      </c>
      <c r="E1615" s="3">
        <f>((1/(INDEX(E0!J$4:J$73,C1615,1)-INDEX(E0!J$4:J$73,D1615,1))))*100000000</f>
        <v>0</v>
      </c>
      <c r="F1615" s="4" t="str">
        <f>HYPERLINK("http://141.218.60.56/~jnz1568/getInfo.php?workbook=16_15.xlsx&amp;sheet=A0&amp;row=1615&amp;col=6&amp;number=4985000&amp;sourceID=54","4985000")</f>
        <v>4985000</v>
      </c>
      <c r="G1615" s="4" t="str">
        <f>HYPERLINK("http://141.218.60.56/~jnz1568/getInfo.php?workbook=16_15.xlsx&amp;sheet=A0&amp;row=1615&amp;col=7&amp;number=&amp;sourceID=54","")</f>
        <v/>
      </c>
      <c r="H1615" s="4" t="str">
        <f>HYPERLINK("http://141.218.60.56/~jnz1568/getInfo.php?workbook=16_15.xlsx&amp;sheet=A0&amp;row=1615&amp;col=8&amp;number=&amp;sourceID=54","")</f>
        <v/>
      </c>
      <c r="I1615" s="4" t="str">
        <f>HYPERLINK("http://141.218.60.56/~jnz1568/getInfo.php?workbook=16_15.xlsx&amp;sheet=A0&amp;row=1615&amp;col=9&amp;number=2683600&amp;sourceID=54","2683600")</f>
        <v>2683600</v>
      </c>
      <c r="J1615" s="4" t="str">
        <f>HYPERLINK("http://141.218.60.56/~jnz1568/getInfo.php?workbook=16_15.xlsx&amp;sheet=A0&amp;row=1615&amp;col=10&amp;number=&amp;sourceID=54","")</f>
        <v/>
      </c>
      <c r="K1615" s="4" t="str">
        <f>HYPERLINK("http://141.218.60.56/~jnz1568/getInfo.php?workbook=16_15.xlsx&amp;sheet=A0&amp;row=1615&amp;col=11&amp;number=&amp;sourceID=54","")</f>
        <v/>
      </c>
      <c r="L1615" s="4" t="str">
        <f>HYPERLINK("http://141.218.60.56/~jnz1568/getInfo.php?workbook=16_15.xlsx&amp;sheet=A0&amp;row=1615&amp;col=12&amp;number=1745001.35612&amp;sourceID=53","1745001.35612")</f>
        <v>1745001.35612</v>
      </c>
      <c r="M1615" s="4" t="str">
        <f>HYPERLINK("http://141.218.60.56/~jnz1568/getInfo.php?workbook=16_15.xlsx&amp;sheet=A0&amp;row=1615&amp;col=13&amp;number=&amp;sourceID=53","")</f>
        <v/>
      </c>
      <c r="N1615" s="4" t="str">
        <f>HYPERLINK("http://141.218.60.56/~jnz1568/getInfo.php?workbook=16_15.xlsx&amp;sheet=A0&amp;row=1615&amp;col=14&amp;number=&amp;sourceID=53","")</f>
        <v/>
      </c>
      <c r="O1615" s="4" t="str">
        <f>HYPERLINK("http://141.218.60.56/~jnz1568/getInfo.php?workbook=16_15.xlsx&amp;sheet=A0&amp;row=1615&amp;col=15&amp;number=&amp;sourceID=55","")</f>
        <v/>
      </c>
      <c r="P1615" s="4" t="str">
        <f>HYPERLINK("http://141.218.60.56/~jnz1568/getInfo.php?workbook=16_15.xlsx&amp;sheet=A0&amp;row=1615&amp;col=16&amp;number=&amp;sourceID=55","")</f>
        <v/>
      </c>
      <c r="Q1615" s="4" t="str">
        <f>HYPERLINK("http://141.218.60.56/~jnz1568/getInfo.php?workbook=16_15.xlsx&amp;sheet=A0&amp;row=1615&amp;col=17&amp;number=&amp;sourceID=56","")</f>
        <v/>
      </c>
      <c r="R1615" s="4" t="str">
        <f>HYPERLINK("http://141.218.60.56/~jnz1568/getInfo.php?workbook=16_15.xlsx&amp;sheet=A0&amp;row=1615&amp;col=18&amp;number=&amp;sourceID=56","")</f>
        <v/>
      </c>
      <c r="S1615" s="4" t="str">
        <f>HYPERLINK("http://141.218.60.56/~jnz1568/getInfo.php?workbook=16_15.xlsx&amp;sheet=A0&amp;row=1615&amp;col=19&amp;number=&amp;sourceID=57","")</f>
        <v/>
      </c>
      <c r="T1615" s="4" t="str">
        <f>HYPERLINK("http://141.218.60.56/~jnz1568/getInfo.php?workbook=16_15.xlsx&amp;sheet=A0&amp;row=1615&amp;col=20&amp;number=&amp;sourceID=57","")</f>
        <v/>
      </c>
      <c r="U1615" s="4" t="str">
        <f>HYPERLINK("http://141.218.60.56/~jnz1568/getInfo.php?workbook=16_15.xlsx&amp;sheet=A0&amp;row=1615&amp;col=21&amp;number=&amp;sourceID=47","")</f>
        <v/>
      </c>
      <c r="V1615" s="4" t="str">
        <f>HYPERLINK("http://141.218.60.56/~jnz1568/getInfo.php?workbook=16_15.xlsx&amp;sheet=A0&amp;row=1615&amp;col=22&amp;number=&amp;sourceID=47","")</f>
        <v/>
      </c>
    </row>
    <row r="1616" spans="1:22">
      <c r="A1616" s="3">
        <v>16</v>
      </c>
      <c r="B1616" s="3">
        <v>15</v>
      </c>
      <c r="C1616" s="3">
        <v>64</v>
      </c>
      <c r="D1616" s="3">
        <v>48</v>
      </c>
      <c r="E1616" s="3">
        <f>((1/(INDEX(E0!J$4:J$73,C1616,1)-INDEX(E0!J$4:J$73,D1616,1))))*100000000</f>
        <v>0</v>
      </c>
      <c r="F1616" s="4" t="str">
        <f>HYPERLINK("http://141.218.60.56/~jnz1568/getInfo.php?workbook=16_15.xlsx&amp;sheet=A0&amp;row=1616&amp;col=6&amp;number=&amp;sourceID=54","")</f>
        <v/>
      </c>
      <c r="G1616" s="4" t="str">
        <f>HYPERLINK("http://141.218.60.56/~jnz1568/getInfo.php?workbook=16_15.xlsx&amp;sheet=A0&amp;row=1616&amp;col=7&amp;number=0.31483&amp;sourceID=54","0.31483")</f>
        <v>0.31483</v>
      </c>
      <c r="H1616" s="4" t="str">
        <f>HYPERLINK("http://141.218.60.56/~jnz1568/getInfo.php?workbook=16_15.xlsx&amp;sheet=A0&amp;row=1616&amp;col=8&amp;number=0.021622&amp;sourceID=54","0.021622")</f>
        <v>0.021622</v>
      </c>
      <c r="I1616" s="4" t="str">
        <f>HYPERLINK("http://141.218.60.56/~jnz1568/getInfo.php?workbook=16_15.xlsx&amp;sheet=A0&amp;row=1616&amp;col=9&amp;number=&amp;sourceID=54","")</f>
        <v/>
      </c>
      <c r="J1616" s="4" t="str">
        <f>HYPERLINK("http://141.218.60.56/~jnz1568/getInfo.php?workbook=16_15.xlsx&amp;sheet=A0&amp;row=1616&amp;col=10&amp;number=0.54112&amp;sourceID=54","0.54112")</f>
        <v>0.54112</v>
      </c>
      <c r="K1616" s="4" t="str">
        <f>HYPERLINK("http://141.218.60.56/~jnz1568/getInfo.php?workbook=16_15.xlsx&amp;sheet=A0&amp;row=1616&amp;col=11&amp;number=0.0036048&amp;sourceID=54","0.0036048")</f>
        <v>0.0036048</v>
      </c>
      <c r="L1616" s="4" t="str">
        <f>HYPERLINK("http://141.218.60.56/~jnz1568/getInfo.php?workbook=16_15.xlsx&amp;sheet=A0&amp;row=1616&amp;col=12&amp;number=&amp;sourceID=53","")</f>
        <v/>
      </c>
      <c r="M1616" s="4" t="str">
        <f>HYPERLINK("http://141.218.60.56/~jnz1568/getInfo.php?workbook=16_15.xlsx&amp;sheet=A0&amp;row=1616&amp;col=13&amp;number=&amp;sourceID=53","")</f>
        <v/>
      </c>
      <c r="N1616" s="4" t="str">
        <f>HYPERLINK("http://141.218.60.56/~jnz1568/getInfo.php?workbook=16_15.xlsx&amp;sheet=A0&amp;row=1616&amp;col=14&amp;number=&amp;sourceID=53","")</f>
        <v/>
      </c>
      <c r="O1616" s="4" t="str">
        <f>HYPERLINK("http://141.218.60.56/~jnz1568/getInfo.php?workbook=16_15.xlsx&amp;sheet=A0&amp;row=1616&amp;col=15&amp;number=&amp;sourceID=55","")</f>
        <v/>
      </c>
      <c r="P1616" s="4" t="str">
        <f>HYPERLINK("http://141.218.60.56/~jnz1568/getInfo.php?workbook=16_15.xlsx&amp;sheet=A0&amp;row=1616&amp;col=16&amp;number=&amp;sourceID=55","")</f>
        <v/>
      </c>
      <c r="Q1616" s="4" t="str">
        <f>HYPERLINK("http://141.218.60.56/~jnz1568/getInfo.php?workbook=16_15.xlsx&amp;sheet=A0&amp;row=1616&amp;col=17&amp;number=&amp;sourceID=56","")</f>
        <v/>
      </c>
      <c r="R1616" s="4" t="str">
        <f>HYPERLINK("http://141.218.60.56/~jnz1568/getInfo.php?workbook=16_15.xlsx&amp;sheet=A0&amp;row=1616&amp;col=18&amp;number=&amp;sourceID=56","")</f>
        <v/>
      </c>
      <c r="S1616" s="4" t="str">
        <f>HYPERLINK("http://141.218.60.56/~jnz1568/getInfo.php?workbook=16_15.xlsx&amp;sheet=A0&amp;row=1616&amp;col=19&amp;number=&amp;sourceID=57","")</f>
        <v/>
      </c>
      <c r="T1616" s="4" t="str">
        <f>HYPERLINK("http://141.218.60.56/~jnz1568/getInfo.php?workbook=16_15.xlsx&amp;sheet=A0&amp;row=1616&amp;col=20&amp;number=&amp;sourceID=57","")</f>
        <v/>
      </c>
      <c r="U1616" s="4" t="str">
        <f>HYPERLINK("http://141.218.60.56/~jnz1568/getInfo.php?workbook=16_15.xlsx&amp;sheet=A0&amp;row=1616&amp;col=21&amp;number=&amp;sourceID=47","")</f>
        <v/>
      </c>
      <c r="V1616" s="4" t="str">
        <f>HYPERLINK("http://141.218.60.56/~jnz1568/getInfo.php?workbook=16_15.xlsx&amp;sheet=A0&amp;row=1616&amp;col=22&amp;number=&amp;sourceID=47","")</f>
        <v/>
      </c>
    </row>
    <row r="1617" spans="1:22">
      <c r="A1617" s="3">
        <v>16</v>
      </c>
      <c r="B1617" s="3">
        <v>15</v>
      </c>
      <c r="C1617" s="3">
        <v>64</v>
      </c>
      <c r="D1617" s="3">
        <v>49</v>
      </c>
      <c r="E1617" s="3">
        <f>((1/(INDEX(E0!J$4:J$73,C1617,1)-INDEX(E0!J$4:J$73,D1617,1))))*100000000</f>
        <v>0</v>
      </c>
      <c r="F1617" s="4" t="str">
        <f>HYPERLINK("http://141.218.60.56/~jnz1568/getInfo.php?workbook=16_15.xlsx&amp;sheet=A0&amp;row=1617&amp;col=6&amp;number=8037500&amp;sourceID=54","8037500")</f>
        <v>8037500</v>
      </c>
      <c r="G1617" s="4" t="str">
        <f>HYPERLINK("http://141.218.60.56/~jnz1568/getInfo.php?workbook=16_15.xlsx&amp;sheet=A0&amp;row=1617&amp;col=7&amp;number=&amp;sourceID=54","")</f>
        <v/>
      </c>
      <c r="H1617" s="4" t="str">
        <f>HYPERLINK("http://141.218.60.56/~jnz1568/getInfo.php?workbook=16_15.xlsx&amp;sheet=A0&amp;row=1617&amp;col=8&amp;number=&amp;sourceID=54","")</f>
        <v/>
      </c>
      <c r="I1617" s="4" t="str">
        <f>HYPERLINK("http://141.218.60.56/~jnz1568/getInfo.php?workbook=16_15.xlsx&amp;sheet=A0&amp;row=1617&amp;col=9&amp;number=12025000&amp;sourceID=54","12025000")</f>
        <v>12025000</v>
      </c>
      <c r="J1617" s="4" t="str">
        <f>HYPERLINK("http://141.218.60.56/~jnz1568/getInfo.php?workbook=16_15.xlsx&amp;sheet=A0&amp;row=1617&amp;col=10&amp;number=&amp;sourceID=54","")</f>
        <v/>
      </c>
      <c r="K1617" s="4" t="str">
        <f>HYPERLINK("http://141.218.60.56/~jnz1568/getInfo.php?workbook=16_15.xlsx&amp;sheet=A0&amp;row=1617&amp;col=11&amp;number=&amp;sourceID=54","")</f>
        <v/>
      </c>
      <c r="L1617" s="4" t="str">
        <f>HYPERLINK("http://141.218.60.56/~jnz1568/getInfo.php?workbook=16_15.xlsx&amp;sheet=A0&amp;row=1617&amp;col=12&amp;number=15456542.5334&amp;sourceID=53","15456542.5334")</f>
        <v>15456542.5334</v>
      </c>
      <c r="M1617" s="4" t="str">
        <f>HYPERLINK("http://141.218.60.56/~jnz1568/getInfo.php?workbook=16_15.xlsx&amp;sheet=A0&amp;row=1617&amp;col=13&amp;number=&amp;sourceID=53","")</f>
        <v/>
      </c>
      <c r="N1617" s="4" t="str">
        <f>HYPERLINK("http://141.218.60.56/~jnz1568/getInfo.php?workbook=16_15.xlsx&amp;sheet=A0&amp;row=1617&amp;col=14&amp;number=&amp;sourceID=53","")</f>
        <v/>
      </c>
      <c r="O1617" s="4" t="str">
        <f>HYPERLINK("http://141.218.60.56/~jnz1568/getInfo.php?workbook=16_15.xlsx&amp;sheet=A0&amp;row=1617&amp;col=15&amp;number=&amp;sourceID=55","")</f>
        <v/>
      </c>
      <c r="P1617" s="4" t="str">
        <f>HYPERLINK("http://141.218.60.56/~jnz1568/getInfo.php?workbook=16_15.xlsx&amp;sheet=A0&amp;row=1617&amp;col=16&amp;number=&amp;sourceID=55","")</f>
        <v/>
      </c>
      <c r="Q1617" s="4" t="str">
        <f>HYPERLINK("http://141.218.60.56/~jnz1568/getInfo.php?workbook=16_15.xlsx&amp;sheet=A0&amp;row=1617&amp;col=17&amp;number=&amp;sourceID=56","")</f>
        <v/>
      </c>
      <c r="R1617" s="4" t="str">
        <f>HYPERLINK("http://141.218.60.56/~jnz1568/getInfo.php?workbook=16_15.xlsx&amp;sheet=A0&amp;row=1617&amp;col=18&amp;number=&amp;sourceID=56","")</f>
        <v/>
      </c>
      <c r="S1617" s="4" t="str">
        <f>HYPERLINK("http://141.218.60.56/~jnz1568/getInfo.php?workbook=16_15.xlsx&amp;sheet=A0&amp;row=1617&amp;col=19&amp;number=&amp;sourceID=57","")</f>
        <v/>
      </c>
      <c r="T1617" s="4" t="str">
        <f>HYPERLINK("http://141.218.60.56/~jnz1568/getInfo.php?workbook=16_15.xlsx&amp;sheet=A0&amp;row=1617&amp;col=20&amp;number=&amp;sourceID=57","")</f>
        <v/>
      </c>
      <c r="U1617" s="4" t="str">
        <f>HYPERLINK("http://141.218.60.56/~jnz1568/getInfo.php?workbook=16_15.xlsx&amp;sheet=A0&amp;row=1617&amp;col=21&amp;number=&amp;sourceID=47","")</f>
        <v/>
      </c>
      <c r="V1617" s="4" t="str">
        <f>HYPERLINK("http://141.218.60.56/~jnz1568/getInfo.php?workbook=16_15.xlsx&amp;sheet=A0&amp;row=1617&amp;col=22&amp;number=&amp;sourceID=47","")</f>
        <v/>
      </c>
    </row>
    <row r="1618" spans="1:22">
      <c r="A1618" s="3">
        <v>16</v>
      </c>
      <c r="B1618" s="3">
        <v>15</v>
      </c>
      <c r="C1618" s="3">
        <v>64</v>
      </c>
      <c r="D1618" s="3">
        <v>50</v>
      </c>
      <c r="E1618" s="3">
        <f>((1/(INDEX(E0!J$4:J$73,C1618,1)-INDEX(E0!J$4:J$73,D1618,1))))*100000000</f>
        <v>0</v>
      </c>
      <c r="F1618" s="4" t="str">
        <f>HYPERLINK("http://141.218.60.56/~jnz1568/getInfo.php?workbook=16_15.xlsx&amp;sheet=A0&amp;row=1618&amp;col=6&amp;number=&amp;sourceID=54","")</f>
        <v/>
      </c>
      <c r="G1618" s="4" t="str">
        <f>HYPERLINK("http://141.218.60.56/~jnz1568/getInfo.php?workbook=16_15.xlsx&amp;sheet=A0&amp;row=1618&amp;col=7&amp;number=0.81847&amp;sourceID=54","0.81847")</f>
        <v>0.81847</v>
      </c>
      <c r="H1618" s="4" t="str">
        <f>HYPERLINK("http://141.218.60.56/~jnz1568/getInfo.php?workbook=16_15.xlsx&amp;sheet=A0&amp;row=1618&amp;col=8&amp;number=0.0026207&amp;sourceID=54","0.0026207")</f>
        <v>0.0026207</v>
      </c>
      <c r="I1618" s="4" t="str">
        <f>HYPERLINK("http://141.218.60.56/~jnz1568/getInfo.php?workbook=16_15.xlsx&amp;sheet=A0&amp;row=1618&amp;col=9&amp;number=&amp;sourceID=54","")</f>
        <v/>
      </c>
      <c r="J1618" s="4" t="str">
        <f>HYPERLINK("http://141.218.60.56/~jnz1568/getInfo.php?workbook=16_15.xlsx&amp;sheet=A0&amp;row=1618&amp;col=10&amp;number=1.182&amp;sourceID=54","1.182")</f>
        <v>1.182</v>
      </c>
      <c r="K1618" s="4" t="str">
        <f>HYPERLINK("http://141.218.60.56/~jnz1568/getInfo.php?workbook=16_15.xlsx&amp;sheet=A0&amp;row=1618&amp;col=11&amp;number=0.006268&amp;sourceID=54","0.006268")</f>
        <v>0.006268</v>
      </c>
      <c r="L1618" s="4" t="str">
        <f>HYPERLINK("http://141.218.60.56/~jnz1568/getInfo.php?workbook=16_15.xlsx&amp;sheet=A0&amp;row=1618&amp;col=12&amp;number=&amp;sourceID=53","")</f>
        <v/>
      </c>
      <c r="M1618" s="4" t="str">
        <f>HYPERLINK("http://141.218.60.56/~jnz1568/getInfo.php?workbook=16_15.xlsx&amp;sheet=A0&amp;row=1618&amp;col=13&amp;number=&amp;sourceID=53","")</f>
        <v/>
      </c>
      <c r="N1618" s="4" t="str">
        <f>HYPERLINK("http://141.218.60.56/~jnz1568/getInfo.php?workbook=16_15.xlsx&amp;sheet=A0&amp;row=1618&amp;col=14&amp;number=&amp;sourceID=53","")</f>
        <v/>
      </c>
      <c r="O1618" s="4" t="str">
        <f>HYPERLINK("http://141.218.60.56/~jnz1568/getInfo.php?workbook=16_15.xlsx&amp;sheet=A0&amp;row=1618&amp;col=15&amp;number=&amp;sourceID=55","")</f>
        <v/>
      </c>
      <c r="P1618" s="4" t="str">
        <f>HYPERLINK("http://141.218.60.56/~jnz1568/getInfo.php?workbook=16_15.xlsx&amp;sheet=A0&amp;row=1618&amp;col=16&amp;number=&amp;sourceID=55","")</f>
        <v/>
      </c>
      <c r="Q1618" s="4" t="str">
        <f>HYPERLINK("http://141.218.60.56/~jnz1568/getInfo.php?workbook=16_15.xlsx&amp;sheet=A0&amp;row=1618&amp;col=17&amp;number=&amp;sourceID=56","")</f>
        <v/>
      </c>
      <c r="R1618" s="4" t="str">
        <f>HYPERLINK("http://141.218.60.56/~jnz1568/getInfo.php?workbook=16_15.xlsx&amp;sheet=A0&amp;row=1618&amp;col=18&amp;number=&amp;sourceID=56","")</f>
        <v/>
      </c>
      <c r="S1618" s="4" t="str">
        <f>HYPERLINK("http://141.218.60.56/~jnz1568/getInfo.php?workbook=16_15.xlsx&amp;sheet=A0&amp;row=1618&amp;col=19&amp;number=&amp;sourceID=57","")</f>
        <v/>
      </c>
      <c r="T1618" s="4" t="str">
        <f>HYPERLINK("http://141.218.60.56/~jnz1568/getInfo.php?workbook=16_15.xlsx&amp;sheet=A0&amp;row=1618&amp;col=20&amp;number=&amp;sourceID=57","")</f>
        <v/>
      </c>
      <c r="U1618" s="4" t="str">
        <f>HYPERLINK("http://141.218.60.56/~jnz1568/getInfo.php?workbook=16_15.xlsx&amp;sheet=A0&amp;row=1618&amp;col=21&amp;number=&amp;sourceID=47","")</f>
        <v/>
      </c>
      <c r="V1618" s="4" t="str">
        <f>HYPERLINK("http://141.218.60.56/~jnz1568/getInfo.php?workbook=16_15.xlsx&amp;sheet=A0&amp;row=1618&amp;col=22&amp;number=&amp;sourceID=47","")</f>
        <v/>
      </c>
    </row>
    <row r="1619" spans="1:22">
      <c r="A1619" s="3">
        <v>16</v>
      </c>
      <c r="B1619" s="3">
        <v>15</v>
      </c>
      <c r="C1619" s="3">
        <v>64</v>
      </c>
      <c r="D1619" s="3">
        <v>51</v>
      </c>
      <c r="E1619" s="3">
        <f>((1/(INDEX(E0!J$4:J$73,C1619,1)-INDEX(E0!J$4:J$73,D1619,1))))*100000000</f>
        <v>0</v>
      </c>
      <c r="F1619" s="4" t="str">
        <f>HYPERLINK("http://141.218.60.56/~jnz1568/getInfo.php?workbook=16_15.xlsx&amp;sheet=A0&amp;row=1619&amp;col=6&amp;number=&amp;sourceID=54","")</f>
        <v/>
      </c>
      <c r="G1619" s="4" t="str">
        <f>HYPERLINK("http://141.218.60.56/~jnz1568/getInfo.php?workbook=16_15.xlsx&amp;sheet=A0&amp;row=1619&amp;col=7&amp;number=0.00012037&amp;sourceID=54","0.00012037")</f>
        <v>0.00012037</v>
      </c>
      <c r="H1619" s="4" t="str">
        <f>HYPERLINK("http://141.218.60.56/~jnz1568/getInfo.php?workbook=16_15.xlsx&amp;sheet=A0&amp;row=1619&amp;col=8&amp;number=5.4945e-05&amp;sourceID=54","5.4945e-05")</f>
        <v>5.4945e-05</v>
      </c>
      <c r="I1619" s="4" t="str">
        <f>HYPERLINK("http://141.218.60.56/~jnz1568/getInfo.php?workbook=16_15.xlsx&amp;sheet=A0&amp;row=1619&amp;col=9&amp;number=&amp;sourceID=54","")</f>
        <v/>
      </c>
      <c r="J1619" s="4" t="str">
        <f>HYPERLINK("http://141.218.60.56/~jnz1568/getInfo.php?workbook=16_15.xlsx&amp;sheet=A0&amp;row=1619&amp;col=10&amp;number=2.8585e-06&amp;sourceID=54","2.8585e-06")</f>
        <v>2.8585e-06</v>
      </c>
      <c r="K1619" s="4" t="str">
        <f>HYPERLINK("http://141.218.60.56/~jnz1568/getInfo.php?workbook=16_15.xlsx&amp;sheet=A0&amp;row=1619&amp;col=11&amp;number=6.5327e-05&amp;sourceID=54","6.5327e-05")</f>
        <v>6.5327e-05</v>
      </c>
      <c r="L1619" s="4" t="str">
        <f>HYPERLINK("http://141.218.60.56/~jnz1568/getInfo.php?workbook=16_15.xlsx&amp;sheet=A0&amp;row=1619&amp;col=12&amp;number=&amp;sourceID=53","")</f>
        <v/>
      </c>
      <c r="M1619" s="4" t="str">
        <f>HYPERLINK("http://141.218.60.56/~jnz1568/getInfo.php?workbook=16_15.xlsx&amp;sheet=A0&amp;row=1619&amp;col=13&amp;number=&amp;sourceID=53","")</f>
        <v/>
      </c>
      <c r="N1619" s="4" t="str">
        <f>HYPERLINK("http://141.218.60.56/~jnz1568/getInfo.php?workbook=16_15.xlsx&amp;sheet=A0&amp;row=1619&amp;col=14&amp;number=&amp;sourceID=53","")</f>
        <v/>
      </c>
      <c r="O1619" s="4" t="str">
        <f>HYPERLINK("http://141.218.60.56/~jnz1568/getInfo.php?workbook=16_15.xlsx&amp;sheet=A0&amp;row=1619&amp;col=15&amp;number=&amp;sourceID=55","")</f>
        <v/>
      </c>
      <c r="P1619" s="4" t="str">
        <f>HYPERLINK("http://141.218.60.56/~jnz1568/getInfo.php?workbook=16_15.xlsx&amp;sheet=A0&amp;row=1619&amp;col=16&amp;number=&amp;sourceID=55","")</f>
        <v/>
      </c>
      <c r="Q1619" s="4" t="str">
        <f>HYPERLINK("http://141.218.60.56/~jnz1568/getInfo.php?workbook=16_15.xlsx&amp;sheet=A0&amp;row=1619&amp;col=17&amp;number=&amp;sourceID=56","")</f>
        <v/>
      </c>
      <c r="R1619" s="4" t="str">
        <f>HYPERLINK("http://141.218.60.56/~jnz1568/getInfo.php?workbook=16_15.xlsx&amp;sheet=A0&amp;row=1619&amp;col=18&amp;number=&amp;sourceID=56","")</f>
        <v/>
      </c>
      <c r="S1619" s="4" t="str">
        <f>HYPERLINK("http://141.218.60.56/~jnz1568/getInfo.php?workbook=16_15.xlsx&amp;sheet=A0&amp;row=1619&amp;col=19&amp;number=&amp;sourceID=57","")</f>
        <v/>
      </c>
      <c r="T1619" s="4" t="str">
        <f>HYPERLINK("http://141.218.60.56/~jnz1568/getInfo.php?workbook=16_15.xlsx&amp;sheet=A0&amp;row=1619&amp;col=20&amp;number=&amp;sourceID=57","")</f>
        <v/>
      </c>
      <c r="U1619" s="4" t="str">
        <f>HYPERLINK("http://141.218.60.56/~jnz1568/getInfo.php?workbook=16_15.xlsx&amp;sheet=A0&amp;row=1619&amp;col=21&amp;number=&amp;sourceID=47","")</f>
        <v/>
      </c>
      <c r="V1619" s="4" t="str">
        <f>HYPERLINK("http://141.218.60.56/~jnz1568/getInfo.php?workbook=16_15.xlsx&amp;sheet=A0&amp;row=1619&amp;col=22&amp;number=&amp;sourceID=47","")</f>
        <v/>
      </c>
    </row>
    <row r="1620" spans="1:22">
      <c r="A1620" s="3">
        <v>16</v>
      </c>
      <c r="B1620" s="3">
        <v>15</v>
      </c>
      <c r="C1620" s="3">
        <v>64</v>
      </c>
      <c r="D1620" s="3">
        <v>52</v>
      </c>
      <c r="E1620" s="3">
        <f>((1/(INDEX(E0!J$4:J$73,C1620,1)-INDEX(E0!J$4:J$73,D1620,1))))*100000000</f>
        <v>0</v>
      </c>
      <c r="F1620" s="4" t="str">
        <f>HYPERLINK("http://141.218.60.56/~jnz1568/getInfo.php?workbook=16_15.xlsx&amp;sheet=A0&amp;row=1620&amp;col=6&amp;number=&amp;sourceID=54","")</f>
        <v/>
      </c>
      <c r="G1620" s="4" t="str">
        <f>HYPERLINK("http://141.218.60.56/~jnz1568/getInfo.php?workbook=16_15.xlsx&amp;sheet=A0&amp;row=1620&amp;col=7&amp;number=0.0043539&amp;sourceID=54","0.0043539")</f>
        <v>0.0043539</v>
      </c>
      <c r="H1620" s="4" t="str">
        <f>HYPERLINK("http://141.218.60.56/~jnz1568/getInfo.php?workbook=16_15.xlsx&amp;sheet=A0&amp;row=1620&amp;col=8&amp;number=0.00041274&amp;sourceID=54","0.00041274")</f>
        <v>0.00041274</v>
      </c>
      <c r="I1620" s="4" t="str">
        <f>HYPERLINK("http://141.218.60.56/~jnz1568/getInfo.php?workbook=16_15.xlsx&amp;sheet=A0&amp;row=1620&amp;col=9&amp;number=&amp;sourceID=54","")</f>
        <v/>
      </c>
      <c r="J1620" s="4" t="str">
        <f>HYPERLINK("http://141.218.60.56/~jnz1568/getInfo.php?workbook=16_15.xlsx&amp;sheet=A0&amp;row=1620&amp;col=10&amp;number=0.00070831&amp;sourceID=54","0.00070831")</f>
        <v>0.00070831</v>
      </c>
      <c r="K1620" s="4" t="str">
        <f>HYPERLINK("http://141.218.60.56/~jnz1568/getInfo.php?workbook=16_15.xlsx&amp;sheet=A0&amp;row=1620&amp;col=11&amp;number=3.6016e-05&amp;sourceID=54","3.6016e-05")</f>
        <v>3.6016e-05</v>
      </c>
      <c r="L1620" s="4" t="str">
        <f>HYPERLINK("http://141.218.60.56/~jnz1568/getInfo.php?workbook=16_15.xlsx&amp;sheet=A0&amp;row=1620&amp;col=12&amp;number=&amp;sourceID=53","")</f>
        <v/>
      </c>
      <c r="M1620" s="4" t="str">
        <f>HYPERLINK("http://141.218.60.56/~jnz1568/getInfo.php?workbook=16_15.xlsx&amp;sheet=A0&amp;row=1620&amp;col=13&amp;number=&amp;sourceID=53","")</f>
        <v/>
      </c>
      <c r="N1620" s="4" t="str">
        <f>HYPERLINK("http://141.218.60.56/~jnz1568/getInfo.php?workbook=16_15.xlsx&amp;sheet=A0&amp;row=1620&amp;col=14&amp;number=&amp;sourceID=53","")</f>
        <v/>
      </c>
      <c r="O1620" s="4" t="str">
        <f>HYPERLINK("http://141.218.60.56/~jnz1568/getInfo.php?workbook=16_15.xlsx&amp;sheet=A0&amp;row=1620&amp;col=15&amp;number=&amp;sourceID=55","")</f>
        <v/>
      </c>
      <c r="P1620" s="4" t="str">
        <f>HYPERLINK("http://141.218.60.56/~jnz1568/getInfo.php?workbook=16_15.xlsx&amp;sheet=A0&amp;row=1620&amp;col=16&amp;number=&amp;sourceID=55","")</f>
        <v/>
      </c>
      <c r="Q1620" s="4" t="str">
        <f>HYPERLINK("http://141.218.60.56/~jnz1568/getInfo.php?workbook=16_15.xlsx&amp;sheet=A0&amp;row=1620&amp;col=17&amp;number=&amp;sourceID=56","")</f>
        <v/>
      </c>
      <c r="R1620" s="4" t="str">
        <f>HYPERLINK("http://141.218.60.56/~jnz1568/getInfo.php?workbook=16_15.xlsx&amp;sheet=A0&amp;row=1620&amp;col=18&amp;number=&amp;sourceID=56","")</f>
        <v/>
      </c>
      <c r="S1620" s="4" t="str">
        <f>HYPERLINK("http://141.218.60.56/~jnz1568/getInfo.php?workbook=16_15.xlsx&amp;sheet=A0&amp;row=1620&amp;col=19&amp;number=&amp;sourceID=57","")</f>
        <v/>
      </c>
      <c r="T1620" s="4" t="str">
        <f>HYPERLINK("http://141.218.60.56/~jnz1568/getInfo.php?workbook=16_15.xlsx&amp;sheet=A0&amp;row=1620&amp;col=20&amp;number=&amp;sourceID=57","")</f>
        <v/>
      </c>
      <c r="U1620" s="4" t="str">
        <f>HYPERLINK("http://141.218.60.56/~jnz1568/getInfo.php?workbook=16_15.xlsx&amp;sheet=A0&amp;row=1620&amp;col=21&amp;number=&amp;sourceID=47","")</f>
        <v/>
      </c>
      <c r="V1620" s="4" t="str">
        <f>HYPERLINK("http://141.218.60.56/~jnz1568/getInfo.php?workbook=16_15.xlsx&amp;sheet=A0&amp;row=1620&amp;col=22&amp;number=&amp;sourceID=47","")</f>
        <v/>
      </c>
    </row>
    <row r="1621" spans="1:22">
      <c r="A1621" s="3">
        <v>16</v>
      </c>
      <c r="B1621" s="3">
        <v>15</v>
      </c>
      <c r="C1621" s="3">
        <v>64</v>
      </c>
      <c r="D1621" s="3">
        <v>53</v>
      </c>
      <c r="E1621" s="3">
        <f>((1/(INDEX(E0!J$4:J$73,C1621,1)-INDEX(E0!J$4:J$73,D1621,1))))*100000000</f>
        <v>0</v>
      </c>
      <c r="F1621" s="4" t="str">
        <f>HYPERLINK("http://141.218.60.56/~jnz1568/getInfo.php?workbook=16_15.xlsx&amp;sheet=A0&amp;row=1621&amp;col=6&amp;number=&amp;sourceID=54","")</f>
        <v/>
      </c>
      <c r="G1621" s="4" t="str">
        <f>HYPERLINK("http://141.218.60.56/~jnz1568/getInfo.php?workbook=16_15.xlsx&amp;sheet=A0&amp;row=1621&amp;col=7&amp;number=2.5527e-05&amp;sourceID=54","2.5527e-05")</f>
        <v>2.5527e-05</v>
      </c>
      <c r="H1621" s="4" t="str">
        <f>HYPERLINK("http://141.218.60.56/~jnz1568/getInfo.php?workbook=16_15.xlsx&amp;sheet=A0&amp;row=1621&amp;col=8&amp;number=&amp;sourceID=54","")</f>
        <v/>
      </c>
      <c r="I1621" s="4" t="str">
        <f>HYPERLINK("http://141.218.60.56/~jnz1568/getInfo.php?workbook=16_15.xlsx&amp;sheet=A0&amp;row=1621&amp;col=9&amp;number=&amp;sourceID=54","")</f>
        <v/>
      </c>
      <c r="J1621" s="4" t="str">
        <f>HYPERLINK("http://141.218.60.56/~jnz1568/getInfo.php?workbook=16_15.xlsx&amp;sheet=A0&amp;row=1621&amp;col=10&amp;number=0.00083705&amp;sourceID=54","0.00083705")</f>
        <v>0.00083705</v>
      </c>
      <c r="K1621" s="4" t="str">
        <f>HYPERLINK("http://141.218.60.56/~jnz1568/getInfo.php?workbook=16_15.xlsx&amp;sheet=A0&amp;row=1621&amp;col=11&amp;number=&amp;sourceID=54","")</f>
        <v/>
      </c>
      <c r="L1621" s="4" t="str">
        <f>HYPERLINK("http://141.218.60.56/~jnz1568/getInfo.php?workbook=16_15.xlsx&amp;sheet=A0&amp;row=1621&amp;col=12&amp;number=&amp;sourceID=53","")</f>
        <v/>
      </c>
      <c r="M1621" s="4" t="str">
        <f>HYPERLINK("http://141.218.60.56/~jnz1568/getInfo.php?workbook=16_15.xlsx&amp;sheet=A0&amp;row=1621&amp;col=13&amp;number=&amp;sourceID=53","")</f>
        <v/>
      </c>
      <c r="N1621" s="4" t="str">
        <f>HYPERLINK("http://141.218.60.56/~jnz1568/getInfo.php?workbook=16_15.xlsx&amp;sheet=A0&amp;row=1621&amp;col=14&amp;number=&amp;sourceID=53","")</f>
        <v/>
      </c>
      <c r="O1621" s="4" t="str">
        <f>HYPERLINK("http://141.218.60.56/~jnz1568/getInfo.php?workbook=16_15.xlsx&amp;sheet=A0&amp;row=1621&amp;col=15&amp;number=&amp;sourceID=55","")</f>
        <v/>
      </c>
      <c r="P1621" s="4" t="str">
        <f>HYPERLINK("http://141.218.60.56/~jnz1568/getInfo.php?workbook=16_15.xlsx&amp;sheet=A0&amp;row=1621&amp;col=16&amp;number=&amp;sourceID=55","")</f>
        <v/>
      </c>
      <c r="Q1621" s="4" t="str">
        <f>HYPERLINK("http://141.218.60.56/~jnz1568/getInfo.php?workbook=16_15.xlsx&amp;sheet=A0&amp;row=1621&amp;col=17&amp;number=&amp;sourceID=56","")</f>
        <v/>
      </c>
      <c r="R1621" s="4" t="str">
        <f>HYPERLINK("http://141.218.60.56/~jnz1568/getInfo.php?workbook=16_15.xlsx&amp;sheet=A0&amp;row=1621&amp;col=18&amp;number=&amp;sourceID=56","")</f>
        <v/>
      </c>
      <c r="S1621" s="4" t="str">
        <f>HYPERLINK("http://141.218.60.56/~jnz1568/getInfo.php?workbook=16_15.xlsx&amp;sheet=A0&amp;row=1621&amp;col=19&amp;number=&amp;sourceID=57","")</f>
        <v/>
      </c>
      <c r="T1621" s="4" t="str">
        <f>HYPERLINK("http://141.218.60.56/~jnz1568/getInfo.php?workbook=16_15.xlsx&amp;sheet=A0&amp;row=1621&amp;col=20&amp;number=&amp;sourceID=57","")</f>
        <v/>
      </c>
      <c r="U1621" s="4" t="str">
        <f>HYPERLINK("http://141.218.60.56/~jnz1568/getInfo.php?workbook=16_15.xlsx&amp;sheet=A0&amp;row=1621&amp;col=21&amp;number=&amp;sourceID=47","")</f>
        <v/>
      </c>
      <c r="V1621" s="4" t="str">
        <f>HYPERLINK("http://141.218.60.56/~jnz1568/getInfo.php?workbook=16_15.xlsx&amp;sheet=A0&amp;row=1621&amp;col=22&amp;number=&amp;sourceID=47","")</f>
        <v/>
      </c>
    </row>
    <row r="1622" spans="1:22">
      <c r="A1622" s="3">
        <v>16</v>
      </c>
      <c r="B1622" s="3">
        <v>15</v>
      </c>
      <c r="C1622" s="3">
        <v>64</v>
      </c>
      <c r="D1622" s="3">
        <v>54</v>
      </c>
      <c r="E1622" s="3">
        <f>((1/(INDEX(E0!J$4:J$73,C1622,1)-INDEX(E0!J$4:J$73,D1622,1))))*100000000</f>
        <v>0</v>
      </c>
      <c r="F1622" s="4" t="str">
        <f>HYPERLINK("http://141.218.60.56/~jnz1568/getInfo.php?workbook=16_15.xlsx&amp;sheet=A0&amp;row=1622&amp;col=6&amp;number=&amp;sourceID=54","")</f>
        <v/>
      </c>
      <c r="G1622" s="4" t="str">
        <f>HYPERLINK("http://141.218.60.56/~jnz1568/getInfo.php?workbook=16_15.xlsx&amp;sheet=A0&amp;row=1622&amp;col=7&amp;number=0.0028927&amp;sourceID=54","0.0028927")</f>
        <v>0.0028927</v>
      </c>
      <c r="H1622" s="4" t="str">
        <f>HYPERLINK("http://141.218.60.56/~jnz1568/getInfo.php?workbook=16_15.xlsx&amp;sheet=A0&amp;row=1622&amp;col=8&amp;number=0.003708&amp;sourceID=54","0.003708")</f>
        <v>0.003708</v>
      </c>
      <c r="I1622" s="4" t="str">
        <f>HYPERLINK("http://141.218.60.56/~jnz1568/getInfo.php?workbook=16_15.xlsx&amp;sheet=A0&amp;row=1622&amp;col=9&amp;number=&amp;sourceID=54","")</f>
        <v/>
      </c>
      <c r="J1622" s="4" t="str">
        <f>HYPERLINK("http://141.218.60.56/~jnz1568/getInfo.php?workbook=16_15.xlsx&amp;sheet=A0&amp;row=1622&amp;col=10&amp;number=0.0026064&amp;sourceID=54","0.0026064")</f>
        <v>0.0026064</v>
      </c>
      <c r="K1622" s="4" t="str">
        <f>HYPERLINK("http://141.218.60.56/~jnz1568/getInfo.php?workbook=16_15.xlsx&amp;sheet=A0&amp;row=1622&amp;col=11&amp;number=0.0049878&amp;sourceID=54","0.0049878")</f>
        <v>0.0049878</v>
      </c>
      <c r="L1622" s="4" t="str">
        <f>HYPERLINK("http://141.218.60.56/~jnz1568/getInfo.php?workbook=16_15.xlsx&amp;sheet=A0&amp;row=1622&amp;col=12&amp;number=&amp;sourceID=53","")</f>
        <v/>
      </c>
      <c r="M1622" s="4" t="str">
        <f>HYPERLINK("http://141.218.60.56/~jnz1568/getInfo.php?workbook=16_15.xlsx&amp;sheet=A0&amp;row=1622&amp;col=13&amp;number=&amp;sourceID=53","")</f>
        <v/>
      </c>
      <c r="N1622" s="4" t="str">
        <f>HYPERLINK("http://141.218.60.56/~jnz1568/getInfo.php?workbook=16_15.xlsx&amp;sheet=A0&amp;row=1622&amp;col=14&amp;number=&amp;sourceID=53","")</f>
        <v/>
      </c>
      <c r="O1622" s="4" t="str">
        <f>HYPERLINK("http://141.218.60.56/~jnz1568/getInfo.php?workbook=16_15.xlsx&amp;sheet=A0&amp;row=1622&amp;col=15&amp;number=&amp;sourceID=55","")</f>
        <v/>
      </c>
      <c r="P1622" s="4" t="str">
        <f>HYPERLINK("http://141.218.60.56/~jnz1568/getInfo.php?workbook=16_15.xlsx&amp;sheet=A0&amp;row=1622&amp;col=16&amp;number=&amp;sourceID=55","")</f>
        <v/>
      </c>
      <c r="Q1622" s="4" t="str">
        <f>HYPERLINK("http://141.218.60.56/~jnz1568/getInfo.php?workbook=16_15.xlsx&amp;sheet=A0&amp;row=1622&amp;col=17&amp;number=&amp;sourceID=56","")</f>
        <v/>
      </c>
      <c r="R1622" s="4" t="str">
        <f>HYPERLINK("http://141.218.60.56/~jnz1568/getInfo.php?workbook=16_15.xlsx&amp;sheet=A0&amp;row=1622&amp;col=18&amp;number=&amp;sourceID=56","")</f>
        <v/>
      </c>
      <c r="S1622" s="4" t="str">
        <f>HYPERLINK("http://141.218.60.56/~jnz1568/getInfo.php?workbook=16_15.xlsx&amp;sheet=A0&amp;row=1622&amp;col=19&amp;number=&amp;sourceID=57","")</f>
        <v/>
      </c>
      <c r="T1622" s="4" t="str">
        <f>HYPERLINK("http://141.218.60.56/~jnz1568/getInfo.php?workbook=16_15.xlsx&amp;sheet=A0&amp;row=1622&amp;col=20&amp;number=&amp;sourceID=57","")</f>
        <v/>
      </c>
      <c r="U1622" s="4" t="str">
        <f>HYPERLINK("http://141.218.60.56/~jnz1568/getInfo.php?workbook=16_15.xlsx&amp;sheet=A0&amp;row=1622&amp;col=21&amp;number=&amp;sourceID=47","")</f>
        <v/>
      </c>
      <c r="V1622" s="4" t="str">
        <f>HYPERLINK("http://141.218.60.56/~jnz1568/getInfo.php?workbook=16_15.xlsx&amp;sheet=A0&amp;row=1622&amp;col=22&amp;number=&amp;sourceID=47","")</f>
        <v/>
      </c>
    </row>
    <row r="1623" spans="1:22">
      <c r="A1623" s="3">
        <v>16</v>
      </c>
      <c r="B1623" s="3">
        <v>15</v>
      </c>
      <c r="C1623" s="3">
        <v>64</v>
      </c>
      <c r="D1623" s="3">
        <v>55</v>
      </c>
      <c r="E1623" s="3">
        <f>((1/(INDEX(E0!J$4:J$73,C1623,1)-INDEX(E0!J$4:J$73,D1623,1))))*100000000</f>
        <v>0</v>
      </c>
      <c r="F1623" s="4" t="str">
        <f>HYPERLINK("http://141.218.60.56/~jnz1568/getInfo.php?workbook=16_15.xlsx&amp;sheet=A0&amp;row=1623&amp;col=6&amp;number=&amp;sourceID=54","")</f>
        <v/>
      </c>
      <c r="G1623" s="4" t="str">
        <f>HYPERLINK("http://141.218.60.56/~jnz1568/getInfo.php?workbook=16_15.xlsx&amp;sheet=A0&amp;row=1623&amp;col=7&amp;number=6.2679e-05&amp;sourceID=54","6.2679e-05")</f>
        <v>6.2679e-05</v>
      </c>
      <c r="H1623" s="4" t="str">
        <f>HYPERLINK("http://141.218.60.56/~jnz1568/getInfo.php?workbook=16_15.xlsx&amp;sheet=A0&amp;row=1623&amp;col=8&amp;number=0.12926&amp;sourceID=54","0.12926")</f>
        <v>0.12926</v>
      </c>
      <c r="I1623" s="4" t="str">
        <f>HYPERLINK("http://141.218.60.56/~jnz1568/getInfo.php?workbook=16_15.xlsx&amp;sheet=A0&amp;row=1623&amp;col=9&amp;number=&amp;sourceID=54","")</f>
        <v/>
      </c>
      <c r="J1623" s="4" t="str">
        <f>HYPERLINK("http://141.218.60.56/~jnz1568/getInfo.php?workbook=16_15.xlsx&amp;sheet=A0&amp;row=1623&amp;col=10&amp;number=0.00093694&amp;sourceID=54","0.00093694")</f>
        <v>0.00093694</v>
      </c>
      <c r="K1623" s="4" t="str">
        <f>HYPERLINK("http://141.218.60.56/~jnz1568/getInfo.php?workbook=16_15.xlsx&amp;sheet=A0&amp;row=1623&amp;col=11&amp;number=0.16124&amp;sourceID=54","0.16124")</f>
        <v>0.16124</v>
      </c>
      <c r="L1623" s="4" t="str">
        <f>HYPERLINK("http://141.218.60.56/~jnz1568/getInfo.php?workbook=16_15.xlsx&amp;sheet=A0&amp;row=1623&amp;col=12&amp;number=&amp;sourceID=53","")</f>
        <v/>
      </c>
      <c r="M1623" s="4" t="str">
        <f>HYPERLINK("http://141.218.60.56/~jnz1568/getInfo.php?workbook=16_15.xlsx&amp;sheet=A0&amp;row=1623&amp;col=13&amp;number=&amp;sourceID=53","")</f>
        <v/>
      </c>
      <c r="N1623" s="4" t="str">
        <f>HYPERLINK("http://141.218.60.56/~jnz1568/getInfo.php?workbook=16_15.xlsx&amp;sheet=A0&amp;row=1623&amp;col=14&amp;number=&amp;sourceID=53","")</f>
        <v/>
      </c>
      <c r="O1623" s="4" t="str">
        <f>HYPERLINK("http://141.218.60.56/~jnz1568/getInfo.php?workbook=16_15.xlsx&amp;sheet=A0&amp;row=1623&amp;col=15&amp;number=&amp;sourceID=55","")</f>
        <v/>
      </c>
      <c r="P1623" s="4" t="str">
        <f>HYPERLINK("http://141.218.60.56/~jnz1568/getInfo.php?workbook=16_15.xlsx&amp;sheet=A0&amp;row=1623&amp;col=16&amp;number=&amp;sourceID=55","")</f>
        <v/>
      </c>
      <c r="Q1623" s="4" t="str">
        <f>HYPERLINK("http://141.218.60.56/~jnz1568/getInfo.php?workbook=16_15.xlsx&amp;sheet=A0&amp;row=1623&amp;col=17&amp;number=&amp;sourceID=56","")</f>
        <v/>
      </c>
      <c r="R1623" s="4" t="str">
        <f>HYPERLINK("http://141.218.60.56/~jnz1568/getInfo.php?workbook=16_15.xlsx&amp;sheet=A0&amp;row=1623&amp;col=18&amp;number=&amp;sourceID=56","")</f>
        <v/>
      </c>
      <c r="S1623" s="4" t="str">
        <f>HYPERLINK("http://141.218.60.56/~jnz1568/getInfo.php?workbook=16_15.xlsx&amp;sheet=A0&amp;row=1623&amp;col=19&amp;number=&amp;sourceID=57","")</f>
        <v/>
      </c>
      <c r="T1623" s="4" t="str">
        <f>HYPERLINK("http://141.218.60.56/~jnz1568/getInfo.php?workbook=16_15.xlsx&amp;sheet=A0&amp;row=1623&amp;col=20&amp;number=&amp;sourceID=57","")</f>
        <v/>
      </c>
      <c r="U1623" s="4" t="str">
        <f>HYPERLINK("http://141.218.60.56/~jnz1568/getInfo.php?workbook=16_15.xlsx&amp;sheet=A0&amp;row=1623&amp;col=21&amp;number=&amp;sourceID=47","")</f>
        <v/>
      </c>
      <c r="V1623" s="4" t="str">
        <f>HYPERLINK("http://141.218.60.56/~jnz1568/getInfo.php?workbook=16_15.xlsx&amp;sheet=A0&amp;row=1623&amp;col=22&amp;number=&amp;sourceID=47","")</f>
        <v/>
      </c>
    </row>
    <row r="1624" spans="1:22">
      <c r="A1624" s="3">
        <v>16</v>
      </c>
      <c r="B1624" s="3">
        <v>15</v>
      </c>
      <c r="C1624" s="3">
        <v>64</v>
      </c>
      <c r="D1624" s="3">
        <v>56</v>
      </c>
      <c r="E1624" s="3">
        <f>((1/(INDEX(E0!J$4:J$73,C1624,1)-INDEX(E0!J$4:J$73,D1624,1))))*100000000</f>
        <v>0</v>
      </c>
      <c r="F1624" s="4" t="str">
        <f>HYPERLINK("http://141.218.60.56/~jnz1568/getInfo.php?workbook=16_15.xlsx&amp;sheet=A0&amp;row=1624&amp;col=6&amp;number=92892&amp;sourceID=54","92892")</f>
        <v>92892</v>
      </c>
      <c r="G1624" s="4" t="str">
        <f>HYPERLINK("http://141.218.60.56/~jnz1568/getInfo.php?workbook=16_15.xlsx&amp;sheet=A0&amp;row=1624&amp;col=7&amp;number=&amp;sourceID=54","")</f>
        <v/>
      </c>
      <c r="H1624" s="4" t="str">
        <f>HYPERLINK("http://141.218.60.56/~jnz1568/getInfo.php?workbook=16_15.xlsx&amp;sheet=A0&amp;row=1624&amp;col=8&amp;number=&amp;sourceID=54","")</f>
        <v/>
      </c>
      <c r="I1624" s="4" t="str">
        <f>HYPERLINK("http://141.218.60.56/~jnz1568/getInfo.php?workbook=16_15.xlsx&amp;sheet=A0&amp;row=1624&amp;col=9&amp;number=7203.2&amp;sourceID=54","7203.2")</f>
        <v>7203.2</v>
      </c>
      <c r="J1624" s="4" t="str">
        <f>HYPERLINK("http://141.218.60.56/~jnz1568/getInfo.php?workbook=16_15.xlsx&amp;sheet=A0&amp;row=1624&amp;col=10&amp;number=&amp;sourceID=54","")</f>
        <v/>
      </c>
      <c r="K1624" s="4" t="str">
        <f>HYPERLINK("http://141.218.60.56/~jnz1568/getInfo.php?workbook=16_15.xlsx&amp;sheet=A0&amp;row=1624&amp;col=11&amp;number=&amp;sourceID=54","")</f>
        <v/>
      </c>
      <c r="L1624" s="4" t="str">
        <f>HYPERLINK("http://141.218.60.56/~jnz1568/getInfo.php?workbook=16_15.xlsx&amp;sheet=A0&amp;row=1624&amp;col=12&amp;number=361.466769499&amp;sourceID=53","361.466769499")</f>
        <v>361.466769499</v>
      </c>
      <c r="M1624" s="4" t="str">
        <f>HYPERLINK("http://141.218.60.56/~jnz1568/getInfo.php?workbook=16_15.xlsx&amp;sheet=A0&amp;row=1624&amp;col=13&amp;number=&amp;sourceID=53","")</f>
        <v/>
      </c>
      <c r="N1624" s="4" t="str">
        <f>HYPERLINK("http://141.218.60.56/~jnz1568/getInfo.php?workbook=16_15.xlsx&amp;sheet=A0&amp;row=1624&amp;col=14&amp;number=&amp;sourceID=53","")</f>
        <v/>
      </c>
      <c r="O1624" s="4" t="str">
        <f>HYPERLINK("http://141.218.60.56/~jnz1568/getInfo.php?workbook=16_15.xlsx&amp;sheet=A0&amp;row=1624&amp;col=15&amp;number=&amp;sourceID=55","")</f>
        <v/>
      </c>
      <c r="P1624" s="4" t="str">
        <f>HYPERLINK("http://141.218.60.56/~jnz1568/getInfo.php?workbook=16_15.xlsx&amp;sheet=A0&amp;row=1624&amp;col=16&amp;number=&amp;sourceID=55","")</f>
        <v/>
      </c>
      <c r="Q1624" s="4" t="str">
        <f>HYPERLINK("http://141.218.60.56/~jnz1568/getInfo.php?workbook=16_15.xlsx&amp;sheet=A0&amp;row=1624&amp;col=17&amp;number=&amp;sourceID=56","")</f>
        <v/>
      </c>
      <c r="R1624" s="4" t="str">
        <f>HYPERLINK("http://141.218.60.56/~jnz1568/getInfo.php?workbook=16_15.xlsx&amp;sheet=A0&amp;row=1624&amp;col=18&amp;number=&amp;sourceID=56","")</f>
        <v/>
      </c>
      <c r="S1624" s="4" t="str">
        <f>HYPERLINK("http://141.218.60.56/~jnz1568/getInfo.php?workbook=16_15.xlsx&amp;sheet=A0&amp;row=1624&amp;col=19&amp;number=&amp;sourceID=57","")</f>
        <v/>
      </c>
      <c r="T1624" s="4" t="str">
        <f>HYPERLINK("http://141.218.60.56/~jnz1568/getInfo.php?workbook=16_15.xlsx&amp;sheet=A0&amp;row=1624&amp;col=20&amp;number=&amp;sourceID=57","")</f>
        <v/>
      </c>
      <c r="U1624" s="4" t="str">
        <f>HYPERLINK("http://141.218.60.56/~jnz1568/getInfo.php?workbook=16_15.xlsx&amp;sheet=A0&amp;row=1624&amp;col=21&amp;number=&amp;sourceID=47","")</f>
        <v/>
      </c>
      <c r="V1624" s="4" t="str">
        <f>HYPERLINK("http://141.218.60.56/~jnz1568/getInfo.php?workbook=16_15.xlsx&amp;sheet=A0&amp;row=1624&amp;col=22&amp;number=&amp;sourceID=47","")</f>
        <v/>
      </c>
    </row>
    <row r="1625" spans="1:22">
      <c r="A1625" s="3">
        <v>16</v>
      </c>
      <c r="B1625" s="3">
        <v>15</v>
      </c>
      <c r="C1625" s="3">
        <v>64</v>
      </c>
      <c r="D1625" s="3">
        <v>58</v>
      </c>
      <c r="E1625" s="3">
        <f>((1/(INDEX(E0!J$4:J$73,C1625,1)-INDEX(E0!J$4:J$73,D1625,1))))*100000000</f>
        <v>0</v>
      </c>
      <c r="F1625" s="4" t="str">
        <f>HYPERLINK("http://141.218.60.56/~jnz1568/getInfo.php?workbook=16_15.xlsx&amp;sheet=A0&amp;row=1625&amp;col=6&amp;number=7224.3&amp;sourceID=54","7224.3")</f>
        <v>7224.3</v>
      </c>
      <c r="G1625" s="4" t="str">
        <f>HYPERLINK("http://141.218.60.56/~jnz1568/getInfo.php?workbook=16_15.xlsx&amp;sheet=A0&amp;row=1625&amp;col=7&amp;number=&amp;sourceID=54","")</f>
        <v/>
      </c>
      <c r="H1625" s="4" t="str">
        <f>HYPERLINK("http://141.218.60.56/~jnz1568/getInfo.php?workbook=16_15.xlsx&amp;sheet=A0&amp;row=1625&amp;col=8&amp;number=&amp;sourceID=54","")</f>
        <v/>
      </c>
      <c r="I1625" s="4" t="str">
        <f>HYPERLINK("http://141.218.60.56/~jnz1568/getInfo.php?workbook=16_15.xlsx&amp;sheet=A0&amp;row=1625&amp;col=9&amp;number=2381.1&amp;sourceID=54","2381.1")</f>
        <v>2381.1</v>
      </c>
      <c r="J1625" s="4" t="str">
        <f>HYPERLINK("http://141.218.60.56/~jnz1568/getInfo.php?workbook=16_15.xlsx&amp;sheet=A0&amp;row=1625&amp;col=10&amp;number=&amp;sourceID=54","")</f>
        <v/>
      </c>
      <c r="K1625" s="4" t="str">
        <f>HYPERLINK("http://141.218.60.56/~jnz1568/getInfo.php?workbook=16_15.xlsx&amp;sheet=A0&amp;row=1625&amp;col=11&amp;number=&amp;sourceID=54","")</f>
        <v/>
      </c>
      <c r="L1625" s="4" t="str">
        <f>HYPERLINK("http://141.218.60.56/~jnz1568/getInfo.php?workbook=16_15.xlsx&amp;sheet=A0&amp;row=1625&amp;col=12&amp;number=39.3034243541&amp;sourceID=53","39.3034243541")</f>
        <v>39.3034243541</v>
      </c>
      <c r="M1625" s="4" t="str">
        <f>HYPERLINK("http://141.218.60.56/~jnz1568/getInfo.php?workbook=16_15.xlsx&amp;sheet=A0&amp;row=1625&amp;col=13&amp;number=&amp;sourceID=53","")</f>
        <v/>
      </c>
      <c r="N1625" s="4" t="str">
        <f>HYPERLINK("http://141.218.60.56/~jnz1568/getInfo.php?workbook=16_15.xlsx&amp;sheet=A0&amp;row=1625&amp;col=14&amp;number=&amp;sourceID=53","")</f>
        <v/>
      </c>
      <c r="O1625" s="4" t="str">
        <f>HYPERLINK("http://141.218.60.56/~jnz1568/getInfo.php?workbook=16_15.xlsx&amp;sheet=A0&amp;row=1625&amp;col=15&amp;number=&amp;sourceID=55","")</f>
        <v/>
      </c>
      <c r="P1625" s="4" t="str">
        <f>HYPERLINK("http://141.218.60.56/~jnz1568/getInfo.php?workbook=16_15.xlsx&amp;sheet=A0&amp;row=1625&amp;col=16&amp;number=&amp;sourceID=55","")</f>
        <v/>
      </c>
      <c r="Q1625" s="4" t="str">
        <f>HYPERLINK("http://141.218.60.56/~jnz1568/getInfo.php?workbook=16_15.xlsx&amp;sheet=A0&amp;row=1625&amp;col=17&amp;number=&amp;sourceID=56","")</f>
        <v/>
      </c>
      <c r="R1625" s="4" t="str">
        <f>HYPERLINK("http://141.218.60.56/~jnz1568/getInfo.php?workbook=16_15.xlsx&amp;sheet=A0&amp;row=1625&amp;col=18&amp;number=&amp;sourceID=56","")</f>
        <v/>
      </c>
      <c r="S1625" s="4" t="str">
        <f>HYPERLINK("http://141.218.60.56/~jnz1568/getInfo.php?workbook=16_15.xlsx&amp;sheet=A0&amp;row=1625&amp;col=19&amp;number=&amp;sourceID=57","")</f>
        <v/>
      </c>
      <c r="T1625" s="4" t="str">
        <f>HYPERLINK("http://141.218.60.56/~jnz1568/getInfo.php?workbook=16_15.xlsx&amp;sheet=A0&amp;row=1625&amp;col=20&amp;number=&amp;sourceID=57","")</f>
        <v/>
      </c>
      <c r="U1625" s="4" t="str">
        <f>HYPERLINK("http://141.218.60.56/~jnz1568/getInfo.php?workbook=16_15.xlsx&amp;sheet=A0&amp;row=1625&amp;col=21&amp;number=&amp;sourceID=47","")</f>
        <v/>
      </c>
      <c r="V1625" s="4" t="str">
        <f>HYPERLINK("http://141.218.60.56/~jnz1568/getInfo.php?workbook=16_15.xlsx&amp;sheet=A0&amp;row=1625&amp;col=22&amp;number=&amp;sourceID=47","")</f>
        <v/>
      </c>
    </row>
    <row r="1626" spans="1:22">
      <c r="A1626" s="3">
        <v>16</v>
      </c>
      <c r="B1626" s="3">
        <v>15</v>
      </c>
      <c r="C1626" s="3">
        <v>64</v>
      </c>
      <c r="D1626" s="3">
        <v>59</v>
      </c>
      <c r="E1626" s="3">
        <f>((1/(INDEX(E0!J$4:J$73,C1626,1)-INDEX(E0!J$4:J$73,D1626,1))))*100000000</f>
        <v>0</v>
      </c>
      <c r="F1626" s="4" t="str">
        <f>HYPERLINK("http://141.218.60.56/~jnz1568/getInfo.php?workbook=16_15.xlsx&amp;sheet=A0&amp;row=1626&amp;col=6&amp;number=166760&amp;sourceID=54","166760")</f>
        <v>166760</v>
      </c>
      <c r="G1626" s="4" t="str">
        <f>HYPERLINK("http://141.218.60.56/~jnz1568/getInfo.php?workbook=16_15.xlsx&amp;sheet=A0&amp;row=1626&amp;col=7&amp;number=&amp;sourceID=54","")</f>
        <v/>
      </c>
      <c r="H1626" s="4" t="str">
        <f>HYPERLINK("http://141.218.60.56/~jnz1568/getInfo.php?workbook=16_15.xlsx&amp;sheet=A0&amp;row=1626&amp;col=8&amp;number=&amp;sourceID=54","")</f>
        <v/>
      </c>
      <c r="I1626" s="4" t="str">
        <f>HYPERLINK("http://141.218.60.56/~jnz1568/getInfo.php?workbook=16_15.xlsx&amp;sheet=A0&amp;row=1626&amp;col=9&amp;number=9893.6&amp;sourceID=54","9893.6")</f>
        <v>9893.6</v>
      </c>
      <c r="J1626" s="4" t="str">
        <f>HYPERLINK("http://141.218.60.56/~jnz1568/getInfo.php?workbook=16_15.xlsx&amp;sheet=A0&amp;row=1626&amp;col=10&amp;number=&amp;sourceID=54","")</f>
        <v/>
      </c>
      <c r="K1626" s="4" t="str">
        <f>HYPERLINK("http://141.218.60.56/~jnz1568/getInfo.php?workbook=16_15.xlsx&amp;sheet=A0&amp;row=1626&amp;col=11&amp;number=&amp;sourceID=54","")</f>
        <v/>
      </c>
      <c r="L1626" s="4" t="str">
        <f>HYPERLINK("http://141.218.60.56/~jnz1568/getInfo.php?workbook=16_15.xlsx&amp;sheet=A0&amp;row=1626&amp;col=12&amp;number=6808.91361891&amp;sourceID=53","6808.91361891")</f>
        <v>6808.91361891</v>
      </c>
      <c r="M1626" s="4" t="str">
        <f>HYPERLINK("http://141.218.60.56/~jnz1568/getInfo.php?workbook=16_15.xlsx&amp;sheet=A0&amp;row=1626&amp;col=13&amp;number=&amp;sourceID=53","")</f>
        <v/>
      </c>
      <c r="N1626" s="4" t="str">
        <f>HYPERLINK("http://141.218.60.56/~jnz1568/getInfo.php?workbook=16_15.xlsx&amp;sheet=A0&amp;row=1626&amp;col=14&amp;number=&amp;sourceID=53","")</f>
        <v/>
      </c>
      <c r="O1626" s="4" t="str">
        <f>HYPERLINK("http://141.218.60.56/~jnz1568/getInfo.php?workbook=16_15.xlsx&amp;sheet=A0&amp;row=1626&amp;col=15&amp;number=&amp;sourceID=55","")</f>
        <v/>
      </c>
      <c r="P1626" s="4" t="str">
        <f>HYPERLINK("http://141.218.60.56/~jnz1568/getInfo.php?workbook=16_15.xlsx&amp;sheet=A0&amp;row=1626&amp;col=16&amp;number=&amp;sourceID=55","")</f>
        <v/>
      </c>
      <c r="Q1626" s="4" t="str">
        <f>HYPERLINK("http://141.218.60.56/~jnz1568/getInfo.php?workbook=16_15.xlsx&amp;sheet=A0&amp;row=1626&amp;col=17&amp;number=&amp;sourceID=56","")</f>
        <v/>
      </c>
      <c r="R1626" s="4" t="str">
        <f>HYPERLINK("http://141.218.60.56/~jnz1568/getInfo.php?workbook=16_15.xlsx&amp;sheet=A0&amp;row=1626&amp;col=18&amp;number=&amp;sourceID=56","")</f>
        <v/>
      </c>
      <c r="S1626" s="4" t="str">
        <f>HYPERLINK("http://141.218.60.56/~jnz1568/getInfo.php?workbook=16_15.xlsx&amp;sheet=A0&amp;row=1626&amp;col=19&amp;number=&amp;sourceID=57","")</f>
        <v/>
      </c>
      <c r="T1626" s="4" t="str">
        <f>HYPERLINK("http://141.218.60.56/~jnz1568/getInfo.php?workbook=16_15.xlsx&amp;sheet=A0&amp;row=1626&amp;col=20&amp;number=&amp;sourceID=57","")</f>
        <v/>
      </c>
      <c r="U1626" s="4" t="str">
        <f>HYPERLINK("http://141.218.60.56/~jnz1568/getInfo.php?workbook=16_15.xlsx&amp;sheet=A0&amp;row=1626&amp;col=21&amp;number=&amp;sourceID=47","")</f>
        <v/>
      </c>
      <c r="V1626" s="4" t="str">
        <f>HYPERLINK("http://141.218.60.56/~jnz1568/getInfo.php?workbook=16_15.xlsx&amp;sheet=A0&amp;row=1626&amp;col=22&amp;number=&amp;sourceID=47","")</f>
        <v/>
      </c>
    </row>
    <row r="1627" spans="1:22">
      <c r="A1627" s="3">
        <v>16</v>
      </c>
      <c r="B1627" s="3">
        <v>15</v>
      </c>
      <c r="C1627" s="3">
        <v>64</v>
      </c>
      <c r="D1627" s="3">
        <v>60</v>
      </c>
      <c r="E1627" s="3">
        <f>((1/(INDEX(E0!J$4:J$73,C1627,1)-INDEX(E0!J$4:J$73,D1627,1))))*100000000</f>
        <v>0</v>
      </c>
      <c r="F1627" s="4" t="str">
        <f>HYPERLINK("http://141.218.60.56/~jnz1568/getInfo.php?workbook=16_15.xlsx&amp;sheet=A0&amp;row=1627&amp;col=6&amp;number=9154.6&amp;sourceID=54","9154.6")</f>
        <v>9154.6</v>
      </c>
      <c r="G1627" s="4" t="str">
        <f>HYPERLINK("http://141.218.60.56/~jnz1568/getInfo.php?workbook=16_15.xlsx&amp;sheet=A0&amp;row=1627&amp;col=7&amp;number=&amp;sourceID=54","")</f>
        <v/>
      </c>
      <c r="H1627" s="4" t="str">
        <f>HYPERLINK("http://141.218.60.56/~jnz1568/getInfo.php?workbook=16_15.xlsx&amp;sheet=A0&amp;row=1627&amp;col=8&amp;number=&amp;sourceID=54","")</f>
        <v/>
      </c>
      <c r="I1627" s="4" t="str">
        <f>HYPERLINK("http://141.218.60.56/~jnz1568/getInfo.php?workbook=16_15.xlsx&amp;sheet=A0&amp;row=1627&amp;col=9&amp;number=147.69&amp;sourceID=54","147.69")</f>
        <v>147.69</v>
      </c>
      <c r="J1627" s="4" t="str">
        <f>HYPERLINK("http://141.218.60.56/~jnz1568/getInfo.php?workbook=16_15.xlsx&amp;sheet=A0&amp;row=1627&amp;col=10&amp;number=&amp;sourceID=54","")</f>
        <v/>
      </c>
      <c r="K1627" s="4" t="str">
        <f>HYPERLINK("http://141.218.60.56/~jnz1568/getInfo.php?workbook=16_15.xlsx&amp;sheet=A0&amp;row=1627&amp;col=11&amp;number=&amp;sourceID=54","")</f>
        <v/>
      </c>
      <c r="L1627" s="4" t="str">
        <f>HYPERLINK("http://141.218.60.56/~jnz1568/getInfo.php?workbook=16_15.xlsx&amp;sheet=A0&amp;row=1627&amp;col=12&amp;number=2223.01539878&amp;sourceID=53","2223.01539878")</f>
        <v>2223.01539878</v>
      </c>
      <c r="M1627" s="4" t="str">
        <f>HYPERLINK("http://141.218.60.56/~jnz1568/getInfo.php?workbook=16_15.xlsx&amp;sheet=A0&amp;row=1627&amp;col=13&amp;number=&amp;sourceID=53","")</f>
        <v/>
      </c>
      <c r="N1627" s="4" t="str">
        <f>HYPERLINK("http://141.218.60.56/~jnz1568/getInfo.php?workbook=16_15.xlsx&amp;sheet=A0&amp;row=1627&amp;col=14&amp;number=&amp;sourceID=53","")</f>
        <v/>
      </c>
      <c r="O1627" s="4" t="str">
        <f>HYPERLINK("http://141.218.60.56/~jnz1568/getInfo.php?workbook=16_15.xlsx&amp;sheet=A0&amp;row=1627&amp;col=15&amp;number=&amp;sourceID=55","")</f>
        <v/>
      </c>
      <c r="P1627" s="4" t="str">
        <f>HYPERLINK("http://141.218.60.56/~jnz1568/getInfo.php?workbook=16_15.xlsx&amp;sheet=A0&amp;row=1627&amp;col=16&amp;number=&amp;sourceID=55","")</f>
        <v/>
      </c>
      <c r="Q1627" s="4" t="str">
        <f>HYPERLINK("http://141.218.60.56/~jnz1568/getInfo.php?workbook=16_15.xlsx&amp;sheet=A0&amp;row=1627&amp;col=17&amp;number=&amp;sourceID=56","")</f>
        <v/>
      </c>
      <c r="R1627" s="4" t="str">
        <f>HYPERLINK("http://141.218.60.56/~jnz1568/getInfo.php?workbook=16_15.xlsx&amp;sheet=A0&amp;row=1627&amp;col=18&amp;number=&amp;sourceID=56","")</f>
        <v/>
      </c>
      <c r="S1627" s="4" t="str">
        <f>HYPERLINK("http://141.218.60.56/~jnz1568/getInfo.php?workbook=16_15.xlsx&amp;sheet=A0&amp;row=1627&amp;col=19&amp;number=&amp;sourceID=57","")</f>
        <v/>
      </c>
      <c r="T1627" s="4" t="str">
        <f>HYPERLINK("http://141.218.60.56/~jnz1568/getInfo.php?workbook=16_15.xlsx&amp;sheet=A0&amp;row=1627&amp;col=20&amp;number=&amp;sourceID=57","")</f>
        <v/>
      </c>
      <c r="U1627" s="4" t="str">
        <f>HYPERLINK("http://141.218.60.56/~jnz1568/getInfo.php?workbook=16_15.xlsx&amp;sheet=A0&amp;row=1627&amp;col=21&amp;number=&amp;sourceID=47","")</f>
        <v/>
      </c>
      <c r="V1627" s="4" t="str">
        <f>HYPERLINK("http://141.218.60.56/~jnz1568/getInfo.php?workbook=16_15.xlsx&amp;sheet=A0&amp;row=1627&amp;col=22&amp;number=&amp;sourceID=47","")</f>
        <v/>
      </c>
    </row>
    <row r="1628" spans="1:22">
      <c r="A1628" s="3">
        <v>16</v>
      </c>
      <c r="B1628" s="3">
        <v>15</v>
      </c>
      <c r="C1628" s="3">
        <v>64</v>
      </c>
      <c r="D1628" s="3">
        <v>61</v>
      </c>
      <c r="E1628" s="3">
        <f>((1/(INDEX(E0!J$4:J$73,C1628,1)-INDEX(E0!J$4:J$73,D1628,1))))*100000000</f>
        <v>0</v>
      </c>
      <c r="F1628" s="4" t="str">
        <f>HYPERLINK("http://141.218.60.56/~jnz1568/getInfo.php?workbook=16_15.xlsx&amp;sheet=A0&amp;row=1628&amp;col=6&amp;number=4662.6&amp;sourceID=54","4662.6")</f>
        <v>4662.6</v>
      </c>
      <c r="G1628" s="4" t="str">
        <f>HYPERLINK("http://141.218.60.56/~jnz1568/getInfo.php?workbook=16_15.xlsx&amp;sheet=A0&amp;row=1628&amp;col=7&amp;number=&amp;sourceID=54","")</f>
        <v/>
      </c>
      <c r="H1628" s="4" t="str">
        <f>HYPERLINK("http://141.218.60.56/~jnz1568/getInfo.php?workbook=16_15.xlsx&amp;sheet=A0&amp;row=1628&amp;col=8&amp;number=&amp;sourceID=54","")</f>
        <v/>
      </c>
      <c r="I1628" s="4" t="str">
        <f>HYPERLINK("http://141.218.60.56/~jnz1568/getInfo.php?workbook=16_15.xlsx&amp;sheet=A0&amp;row=1628&amp;col=9&amp;number=1554.3&amp;sourceID=54","1554.3")</f>
        <v>1554.3</v>
      </c>
      <c r="J1628" s="4" t="str">
        <f>HYPERLINK("http://141.218.60.56/~jnz1568/getInfo.php?workbook=16_15.xlsx&amp;sheet=A0&amp;row=1628&amp;col=10&amp;number=&amp;sourceID=54","")</f>
        <v/>
      </c>
      <c r="K1628" s="4" t="str">
        <f>HYPERLINK("http://141.218.60.56/~jnz1568/getInfo.php?workbook=16_15.xlsx&amp;sheet=A0&amp;row=1628&amp;col=11&amp;number=&amp;sourceID=54","")</f>
        <v/>
      </c>
      <c r="L1628" s="4" t="str">
        <f>HYPERLINK("http://141.218.60.56/~jnz1568/getInfo.php?workbook=16_15.xlsx&amp;sheet=A0&amp;row=1628&amp;col=12&amp;number=3580.10677423&amp;sourceID=53","3580.10677423")</f>
        <v>3580.10677423</v>
      </c>
      <c r="M1628" s="4" t="str">
        <f>HYPERLINK("http://141.218.60.56/~jnz1568/getInfo.php?workbook=16_15.xlsx&amp;sheet=A0&amp;row=1628&amp;col=13&amp;number=&amp;sourceID=53","")</f>
        <v/>
      </c>
      <c r="N1628" s="4" t="str">
        <f>HYPERLINK("http://141.218.60.56/~jnz1568/getInfo.php?workbook=16_15.xlsx&amp;sheet=A0&amp;row=1628&amp;col=14&amp;number=&amp;sourceID=53","")</f>
        <v/>
      </c>
      <c r="O1628" s="4" t="str">
        <f>HYPERLINK("http://141.218.60.56/~jnz1568/getInfo.php?workbook=16_15.xlsx&amp;sheet=A0&amp;row=1628&amp;col=15&amp;number=&amp;sourceID=55","")</f>
        <v/>
      </c>
      <c r="P1628" s="4" t="str">
        <f>HYPERLINK("http://141.218.60.56/~jnz1568/getInfo.php?workbook=16_15.xlsx&amp;sheet=A0&amp;row=1628&amp;col=16&amp;number=&amp;sourceID=55","")</f>
        <v/>
      </c>
      <c r="Q1628" s="4" t="str">
        <f>HYPERLINK("http://141.218.60.56/~jnz1568/getInfo.php?workbook=16_15.xlsx&amp;sheet=A0&amp;row=1628&amp;col=17&amp;number=&amp;sourceID=56","")</f>
        <v/>
      </c>
      <c r="R1628" s="4" t="str">
        <f>HYPERLINK("http://141.218.60.56/~jnz1568/getInfo.php?workbook=16_15.xlsx&amp;sheet=A0&amp;row=1628&amp;col=18&amp;number=&amp;sourceID=56","")</f>
        <v/>
      </c>
      <c r="S1628" s="4" t="str">
        <f>HYPERLINK("http://141.218.60.56/~jnz1568/getInfo.php?workbook=16_15.xlsx&amp;sheet=A0&amp;row=1628&amp;col=19&amp;number=&amp;sourceID=57","")</f>
        <v/>
      </c>
      <c r="T1628" s="4" t="str">
        <f>HYPERLINK("http://141.218.60.56/~jnz1568/getInfo.php?workbook=16_15.xlsx&amp;sheet=A0&amp;row=1628&amp;col=20&amp;number=&amp;sourceID=57","")</f>
        <v/>
      </c>
      <c r="U1628" s="4" t="str">
        <f>HYPERLINK("http://141.218.60.56/~jnz1568/getInfo.php?workbook=16_15.xlsx&amp;sheet=A0&amp;row=1628&amp;col=21&amp;number=&amp;sourceID=47","")</f>
        <v/>
      </c>
      <c r="V1628" s="4" t="str">
        <f>HYPERLINK("http://141.218.60.56/~jnz1568/getInfo.php?workbook=16_15.xlsx&amp;sheet=A0&amp;row=1628&amp;col=22&amp;number=&amp;sourceID=47","")</f>
        <v/>
      </c>
    </row>
    <row r="1629" spans="1:22">
      <c r="A1629" s="3">
        <v>16</v>
      </c>
      <c r="B1629" s="3">
        <v>15</v>
      </c>
      <c r="C1629" s="3">
        <v>64</v>
      </c>
      <c r="D1629" s="3">
        <v>62</v>
      </c>
      <c r="E1629" s="3">
        <f>((1/(INDEX(E0!J$4:J$73,C1629,1)-INDEX(E0!J$4:J$73,D1629,1))))*100000000</f>
        <v>0</v>
      </c>
      <c r="F1629" s="4" t="str">
        <f>HYPERLINK("http://141.218.60.56/~jnz1568/getInfo.php?workbook=16_15.xlsx&amp;sheet=A0&amp;row=1629&amp;col=6&amp;number=&amp;sourceID=54","")</f>
        <v/>
      </c>
      <c r="G1629" s="4" t="str">
        <f>HYPERLINK("http://141.218.60.56/~jnz1568/getInfo.php?workbook=16_15.xlsx&amp;sheet=A0&amp;row=1629&amp;col=7&amp;number=3.3765e-07&amp;sourceID=54","3.3765e-07")</f>
        <v>3.3765e-07</v>
      </c>
      <c r="H1629" s="4" t="str">
        <f>HYPERLINK("http://141.218.60.56/~jnz1568/getInfo.php?workbook=16_15.xlsx&amp;sheet=A0&amp;row=1629&amp;col=8&amp;number=0.0043125&amp;sourceID=54","0.0043125")</f>
        <v>0.0043125</v>
      </c>
      <c r="I1629" s="4" t="str">
        <f>HYPERLINK("http://141.218.60.56/~jnz1568/getInfo.php?workbook=16_15.xlsx&amp;sheet=A0&amp;row=1629&amp;col=9&amp;number=&amp;sourceID=54","")</f>
        <v/>
      </c>
      <c r="J1629" s="4" t="str">
        <f>HYPERLINK("http://141.218.60.56/~jnz1568/getInfo.php?workbook=16_15.xlsx&amp;sheet=A0&amp;row=1629&amp;col=10&amp;number=7.2325e-06&amp;sourceID=54","7.2325e-06")</f>
        <v>7.2325e-06</v>
      </c>
      <c r="K1629" s="4" t="str">
        <f>HYPERLINK("http://141.218.60.56/~jnz1568/getInfo.php?workbook=16_15.xlsx&amp;sheet=A0&amp;row=1629&amp;col=11&amp;number=0.0010828&amp;sourceID=54","0.0010828")</f>
        <v>0.0010828</v>
      </c>
      <c r="L1629" s="4" t="str">
        <f>HYPERLINK("http://141.218.60.56/~jnz1568/getInfo.php?workbook=16_15.xlsx&amp;sheet=A0&amp;row=1629&amp;col=12&amp;number=&amp;sourceID=53","")</f>
        <v/>
      </c>
      <c r="M1629" s="4" t="str">
        <f>HYPERLINK("http://141.218.60.56/~jnz1568/getInfo.php?workbook=16_15.xlsx&amp;sheet=A0&amp;row=1629&amp;col=13&amp;number=&amp;sourceID=53","")</f>
        <v/>
      </c>
      <c r="N1629" s="4" t="str">
        <f>HYPERLINK("http://141.218.60.56/~jnz1568/getInfo.php?workbook=16_15.xlsx&amp;sheet=A0&amp;row=1629&amp;col=14&amp;number=&amp;sourceID=53","")</f>
        <v/>
      </c>
      <c r="O1629" s="4" t="str">
        <f>HYPERLINK("http://141.218.60.56/~jnz1568/getInfo.php?workbook=16_15.xlsx&amp;sheet=A0&amp;row=1629&amp;col=15&amp;number=&amp;sourceID=55","")</f>
        <v/>
      </c>
      <c r="P1629" s="4" t="str">
        <f>HYPERLINK("http://141.218.60.56/~jnz1568/getInfo.php?workbook=16_15.xlsx&amp;sheet=A0&amp;row=1629&amp;col=16&amp;number=&amp;sourceID=55","")</f>
        <v/>
      </c>
      <c r="Q1629" s="4" t="str">
        <f>HYPERLINK("http://141.218.60.56/~jnz1568/getInfo.php?workbook=16_15.xlsx&amp;sheet=A0&amp;row=1629&amp;col=17&amp;number=&amp;sourceID=56","")</f>
        <v/>
      </c>
      <c r="R1629" s="4" t="str">
        <f>HYPERLINK("http://141.218.60.56/~jnz1568/getInfo.php?workbook=16_15.xlsx&amp;sheet=A0&amp;row=1629&amp;col=18&amp;number=&amp;sourceID=56","")</f>
        <v/>
      </c>
      <c r="S1629" s="4" t="str">
        <f>HYPERLINK("http://141.218.60.56/~jnz1568/getInfo.php?workbook=16_15.xlsx&amp;sheet=A0&amp;row=1629&amp;col=19&amp;number=&amp;sourceID=57","")</f>
        <v/>
      </c>
      <c r="T1629" s="4" t="str">
        <f>HYPERLINK("http://141.218.60.56/~jnz1568/getInfo.php?workbook=16_15.xlsx&amp;sheet=A0&amp;row=1629&amp;col=20&amp;number=&amp;sourceID=57","")</f>
        <v/>
      </c>
      <c r="U1629" s="4" t="str">
        <f>HYPERLINK("http://141.218.60.56/~jnz1568/getInfo.php?workbook=16_15.xlsx&amp;sheet=A0&amp;row=1629&amp;col=21&amp;number=&amp;sourceID=47","")</f>
        <v/>
      </c>
      <c r="V1629" s="4" t="str">
        <f>HYPERLINK("http://141.218.60.56/~jnz1568/getInfo.php?workbook=16_15.xlsx&amp;sheet=A0&amp;row=1629&amp;col=22&amp;number=&amp;sourceID=47","")</f>
        <v/>
      </c>
    </row>
    <row r="1630" spans="1:22">
      <c r="A1630" s="3">
        <v>16</v>
      </c>
      <c r="B1630" s="3">
        <v>15</v>
      </c>
      <c r="C1630" s="3">
        <v>64</v>
      </c>
      <c r="D1630" s="3">
        <v>63</v>
      </c>
      <c r="E1630" s="3">
        <f>((1/(INDEX(E0!J$4:J$73,C1630,1)-INDEX(E0!J$4:J$73,D1630,1))))*100000000</f>
        <v>0</v>
      </c>
      <c r="F1630" s="4" t="str">
        <f>HYPERLINK("http://141.218.60.56/~jnz1568/getInfo.php?workbook=16_15.xlsx&amp;sheet=A0&amp;row=1630&amp;col=6&amp;number=&amp;sourceID=54","")</f>
        <v/>
      </c>
      <c r="G1630" s="4" t="str">
        <f>HYPERLINK("http://141.218.60.56/~jnz1568/getInfo.php?workbook=16_15.xlsx&amp;sheet=A0&amp;row=1630&amp;col=7&amp;number=2.3647e-07&amp;sourceID=54","2.3647e-07")</f>
        <v>2.3647e-07</v>
      </c>
      <c r="H1630" s="4" t="str">
        <f>HYPERLINK("http://141.218.60.56/~jnz1568/getInfo.php?workbook=16_15.xlsx&amp;sheet=A0&amp;row=1630&amp;col=8&amp;number=0.012493&amp;sourceID=54","0.012493")</f>
        <v>0.012493</v>
      </c>
      <c r="I1630" s="4" t="str">
        <f>HYPERLINK("http://141.218.60.56/~jnz1568/getInfo.php?workbook=16_15.xlsx&amp;sheet=A0&amp;row=1630&amp;col=9&amp;number=&amp;sourceID=54","")</f>
        <v/>
      </c>
      <c r="J1630" s="4" t="str">
        <f>HYPERLINK("http://141.218.60.56/~jnz1568/getInfo.php?workbook=16_15.xlsx&amp;sheet=A0&amp;row=1630&amp;col=10&amp;number=2.668e-06&amp;sourceID=54","2.668e-06")</f>
        <v>2.668e-06</v>
      </c>
      <c r="K1630" s="4" t="str">
        <f>HYPERLINK("http://141.218.60.56/~jnz1568/getInfo.php?workbook=16_15.xlsx&amp;sheet=A0&amp;row=1630&amp;col=11&amp;number=0.0066906&amp;sourceID=54","0.0066906")</f>
        <v>0.0066906</v>
      </c>
      <c r="L1630" s="4" t="str">
        <f>HYPERLINK("http://141.218.60.56/~jnz1568/getInfo.php?workbook=16_15.xlsx&amp;sheet=A0&amp;row=1630&amp;col=12&amp;number=&amp;sourceID=53","")</f>
        <v/>
      </c>
      <c r="M1630" s="4" t="str">
        <f>HYPERLINK("http://141.218.60.56/~jnz1568/getInfo.php?workbook=16_15.xlsx&amp;sheet=A0&amp;row=1630&amp;col=13&amp;number=&amp;sourceID=53","")</f>
        <v/>
      </c>
      <c r="N1630" s="4" t="str">
        <f>HYPERLINK("http://141.218.60.56/~jnz1568/getInfo.php?workbook=16_15.xlsx&amp;sheet=A0&amp;row=1630&amp;col=14&amp;number=&amp;sourceID=53","")</f>
        <v/>
      </c>
      <c r="O1630" s="4" t="str">
        <f>HYPERLINK("http://141.218.60.56/~jnz1568/getInfo.php?workbook=16_15.xlsx&amp;sheet=A0&amp;row=1630&amp;col=15&amp;number=&amp;sourceID=55","")</f>
        <v/>
      </c>
      <c r="P1630" s="4" t="str">
        <f>HYPERLINK("http://141.218.60.56/~jnz1568/getInfo.php?workbook=16_15.xlsx&amp;sheet=A0&amp;row=1630&amp;col=16&amp;number=&amp;sourceID=55","")</f>
        <v/>
      </c>
      <c r="Q1630" s="4" t="str">
        <f>HYPERLINK("http://141.218.60.56/~jnz1568/getInfo.php?workbook=16_15.xlsx&amp;sheet=A0&amp;row=1630&amp;col=17&amp;number=&amp;sourceID=56","")</f>
        <v/>
      </c>
      <c r="R1630" s="4" t="str">
        <f>HYPERLINK("http://141.218.60.56/~jnz1568/getInfo.php?workbook=16_15.xlsx&amp;sheet=A0&amp;row=1630&amp;col=18&amp;number=&amp;sourceID=56","")</f>
        <v/>
      </c>
      <c r="S1630" s="4" t="str">
        <f>HYPERLINK("http://141.218.60.56/~jnz1568/getInfo.php?workbook=16_15.xlsx&amp;sheet=A0&amp;row=1630&amp;col=19&amp;number=&amp;sourceID=57","")</f>
        <v/>
      </c>
      <c r="T1630" s="4" t="str">
        <f>HYPERLINK("http://141.218.60.56/~jnz1568/getInfo.php?workbook=16_15.xlsx&amp;sheet=A0&amp;row=1630&amp;col=20&amp;number=&amp;sourceID=57","")</f>
        <v/>
      </c>
      <c r="U1630" s="4" t="str">
        <f>HYPERLINK("http://141.218.60.56/~jnz1568/getInfo.php?workbook=16_15.xlsx&amp;sheet=A0&amp;row=1630&amp;col=21&amp;number=&amp;sourceID=47","")</f>
        <v/>
      </c>
      <c r="V1630" s="4" t="str">
        <f>HYPERLINK("http://141.218.60.56/~jnz1568/getInfo.php?workbook=16_15.xlsx&amp;sheet=A0&amp;row=1630&amp;col=22&amp;number=&amp;sourceID=47","")</f>
        <v/>
      </c>
    </row>
    <row r="1631" spans="1:22">
      <c r="A1631" s="3">
        <v>16</v>
      </c>
      <c r="B1631" s="3">
        <v>15</v>
      </c>
      <c r="C1631" s="3">
        <v>65</v>
      </c>
      <c r="D1631" s="3">
        <v>1</v>
      </c>
      <c r="E1631" s="3">
        <f>((1/(INDEX(E0!J$4:J$73,C1631,1)-INDEX(E0!J$4:J$73,D1631,1))))*100000000</f>
        <v>0</v>
      </c>
      <c r="F1631" s="4" t="str">
        <f>HYPERLINK("http://141.218.60.56/~jnz1568/getInfo.php?workbook=16_15.xlsx&amp;sheet=A0&amp;row=1631&amp;col=6&amp;number=65042&amp;sourceID=54","65042")</f>
        <v>65042</v>
      </c>
      <c r="G1631" s="4" t="str">
        <f>HYPERLINK("http://141.218.60.56/~jnz1568/getInfo.php?workbook=16_15.xlsx&amp;sheet=A0&amp;row=1631&amp;col=7&amp;number=&amp;sourceID=54","")</f>
        <v/>
      </c>
      <c r="H1631" s="4" t="str">
        <f>HYPERLINK("http://141.218.60.56/~jnz1568/getInfo.php?workbook=16_15.xlsx&amp;sheet=A0&amp;row=1631&amp;col=8&amp;number=&amp;sourceID=54","")</f>
        <v/>
      </c>
      <c r="I1631" s="4" t="str">
        <f>HYPERLINK("http://141.218.60.56/~jnz1568/getInfo.php?workbook=16_15.xlsx&amp;sheet=A0&amp;row=1631&amp;col=9&amp;number=61322&amp;sourceID=54","61322")</f>
        <v>61322</v>
      </c>
      <c r="J1631" s="4" t="str">
        <f>HYPERLINK("http://141.218.60.56/~jnz1568/getInfo.php?workbook=16_15.xlsx&amp;sheet=A0&amp;row=1631&amp;col=10&amp;number=&amp;sourceID=54","")</f>
        <v/>
      </c>
      <c r="K1631" s="4" t="str">
        <f>HYPERLINK("http://141.218.60.56/~jnz1568/getInfo.php?workbook=16_15.xlsx&amp;sheet=A0&amp;row=1631&amp;col=11&amp;number=&amp;sourceID=54","")</f>
        <v/>
      </c>
      <c r="L1631" s="4" t="str">
        <f>HYPERLINK("http://141.218.60.56/~jnz1568/getInfo.php?workbook=16_15.xlsx&amp;sheet=A0&amp;row=1631&amp;col=12&amp;number=17108.1051678&amp;sourceID=53","17108.1051678")</f>
        <v>17108.1051678</v>
      </c>
      <c r="M1631" s="4" t="str">
        <f>HYPERLINK("http://141.218.60.56/~jnz1568/getInfo.php?workbook=16_15.xlsx&amp;sheet=A0&amp;row=1631&amp;col=13&amp;number=&amp;sourceID=53","")</f>
        <v/>
      </c>
      <c r="N1631" s="4" t="str">
        <f>HYPERLINK("http://141.218.60.56/~jnz1568/getInfo.php?workbook=16_15.xlsx&amp;sheet=A0&amp;row=1631&amp;col=14&amp;number=&amp;sourceID=53","")</f>
        <v/>
      </c>
      <c r="O1631" s="4" t="str">
        <f>HYPERLINK("http://141.218.60.56/~jnz1568/getInfo.php?workbook=16_15.xlsx&amp;sheet=A0&amp;row=1631&amp;col=15&amp;number=&amp;sourceID=55","")</f>
        <v/>
      </c>
      <c r="P1631" s="4" t="str">
        <f>HYPERLINK("http://141.218.60.56/~jnz1568/getInfo.php?workbook=16_15.xlsx&amp;sheet=A0&amp;row=1631&amp;col=16&amp;number=&amp;sourceID=55","")</f>
        <v/>
      </c>
      <c r="Q1631" s="4" t="str">
        <f>HYPERLINK("http://141.218.60.56/~jnz1568/getInfo.php?workbook=16_15.xlsx&amp;sheet=A0&amp;row=1631&amp;col=17&amp;number=&amp;sourceID=56","")</f>
        <v/>
      </c>
      <c r="R1631" s="4" t="str">
        <f>HYPERLINK("http://141.218.60.56/~jnz1568/getInfo.php?workbook=16_15.xlsx&amp;sheet=A0&amp;row=1631&amp;col=18&amp;number=&amp;sourceID=56","")</f>
        <v/>
      </c>
      <c r="S1631" s="4" t="str">
        <f>HYPERLINK("http://141.218.60.56/~jnz1568/getInfo.php?workbook=16_15.xlsx&amp;sheet=A0&amp;row=1631&amp;col=19&amp;number=&amp;sourceID=57","")</f>
        <v/>
      </c>
      <c r="T1631" s="4" t="str">
        <f>HYPERLINK("http://141.218.60.56/~jnz1568/getInfo.php?workbook=16_15.xlsx&amp;sheet=A0&amp;row=1631&amp;col=20&amp;number=&amp;sourceID=57","")</f>
        <v/>
      </c>
      <c r="U1631" s="4" t="str">
        <f>HYPERLINK("http://141.218.60.56/~jnz1568/getInfo.php?workbook=16_15.xlsx&amp;sheet=A0&amp;row=1631&amp;col=21&amp;number=&amp;sourceID=47","")</f>
        <v/>
      </c>
      <c r="V1631" s="4" t="str">
        <f>HYPERLINK("http://141.218.60.56/~jnz1568/getInfo.php?workbook=16_15.xlsx&amp;sheet=A0&amp;row=1631&amp;col=22&amp;number=&amp;sourceID=47","")</f>
        <v/>
      </c>
    </row>
    <row r="1632" spans="1:22">
      <c r="A1632" s="3">
        <v>16</v>
      </c>
      <c r="B1632" s="3">
        <v>15</v>
      </c>
      <c r="C1632" s="3">
        <v>65</v>
      </c>
      <c r="D1632" s="3">
        <v>2</v>
      </c>
      <c r="E1632" s="3">
        <f>((1/(INDEX(E0!J$4:J$73,C1632,1)-INDEX(E0!J$4:J$73,D1632,1))))*100000000</f>
        <v>0</v>
      </c>
      <c r="F1632" s="4" t="str">
        <f>HYPERLINK("http://141.218.60.56/~jnz1568/getInfo.php?workbook=16_15.xlsx&amp;sheet=A0&amp;row=1632&amp;col=6&amp;number=4202500000&amp;sourceID=54","4202500000")</f>
        <v>4202500000</v>
      </c>
      <c r="G1632" s="4" t="str">
        <f>HYPERLINK("http://141.218.60.56/~jnz1568/getInfo.php?workbook=16_15.xlsx&amp;sheet=A0&amp;row=1632&amp;col=7&amp;number=&amp;sourceID=54","")</f>
        <v/>
      </c>
      <c r="H1632" s="4" t="str">
        <f>HYPERLINK("http://141.218.60.56/~jnz1568/getInfo.php?workbook=16_15.xlsx&amp;sheet=A0&amp;row=1632&amp;col=8&amp;number=&amp;sourceID=54","")</f>
        <v/>
      </c>
      <c r="I1632" s="4" t="str">
        <f>HYPERLINK("http://141.218.60.56/~jnz1568/getInfo.php?workbook=16_15.xlsx&amp;sheet=A0&amp;row=1632&amp;col=9&amp;number=4193700000&amp;sourceID=54","4193700000")</f>
        <v>4193700000</v>
      </c>
      <c r="J1632" s="4" t="str">
        <f>HYPERLINK("http://141.218.60.56/~jnz1568/getInfo.php?workbook=16_15.xlsx&amp;sheet=A0&amp;row=1632&amp;col=10&amp;number=&amp;sourceID=54","")</f>
        <v/>
      </c>
      <c r="K1632" s="4" t="str">
        <f>HYPERLINK("http://141.218.60.56/~jnz1568/getInfo.php?workbook=16_15.xlsx&amp;sheet=A0&amp;row=1632&amp;col=11&amp;number=&amp;sourceID=54","")</f>
        <v/>
      </c>
      <c r="L1632" s="4" t="str">
        <f>HYPERLINK("http://141.218.60.56/~jnz1568/getInfo.php?workbook=16_15.xlsx&amp;sheet=A0&amp;row=1632&amp;col=12&amp;number=3987809617.34&amp;sourceID=53","3987809617.34")</f>
        <v>3987809617.34</v>
      </c>
      <c r="M1632" s="4" t="str">
        <f>HYPERLINK("http://141.218.60.56/~jnz1568/getInfo.php?workbook=16_15.xlsx&amp;sheet=A0&amp;row=1632&amp;col=13&amp;number=&amp;sourceID=53","")</f>
        <v/>
      </c>
      <c r="N1632" s="4" t="str">
        <f>HYPERLINK("http://141.218.60.56/~jnz1568/getInfo.php?workbook=16_15.xlsx&amp;sheet=A0&amp;row=1632&amp;col=14&amp;number=&amp;sourceID=53","")</f>
        <v/>
      </c>
      <c r="O1632" s="4" t="str">
        <f>HYPERLINK("http://141.218.60.56/~jnz1568/getInfo.php?workbook=16_15.xlsx&amp;sheet=A0&amp;row=1632&amp;col=15&amp;number=&amp;sourceID=55","")</f>
        <v/>
      </c>
      <c r="P1632" s="4" t="str">
        <f>HYPERLINK("http://141.218.60.56/~jnz1568/getInfo.php?workbook=16_15.xlsx&amp;sheet=A0&amp;row=1632&amp;col=16&amp;number=&amp;sourceID=55","")</f>
        <v/>
      </c>
      <c r="Q1632" s="4" t="str">
        <f>HYPERLINK("http://141.218.60.56/~jnz1568/getInfo.php?workbook=16_15.xlsx&amp;sheet=A0&amp;row=1632&amp;col=17&amp;number=&amp;sourceID=56","")</f>
        <v/>
      </c>
      <c r="R1632" s="4" t="str">
        <f>HYPERLINK("http://141.218.60.56/~jnz1568/getInfo.php?workbook=16_15.xlsx&amp;sheet=A0&amp;row=1632&amp;col=18&amp;number=&amp;sourceID=56","")</f>
        <v/>
      </c>
      <c r="S1632" s="4" t="str">
        <f>HYPERLINK("http://141.218.60.56/~jnz1568/getInfo.php?workbook=16_15.xlsx&amp;sheet=A0&amp;row=1632&amp;col=19&amp;number=&amp;sourceID=57","")</f>
        <v/>
      </c>
      <c r="T1632" s="4" t="str">
        <f>HYPERLINK("http://141.218.60.56/~jnz1568/getInfo.php?workbook=16_15.xlsx&amp;sheet=A0&amp;row=1632&amp;col=20&amp;number=&amp;sourceID=57","")</f>
        <v/>
      </c>
      <c r="U1632" s="4" t="str">
        <f>HYPERLINK("http://141.218.60.56/~jnz1568/getInfo.php?workbook=16_15.xlsx&amp;sheet=A0&amp;row=1632&amp;col=21&amp;number=&amp;sourceID=47","")</f>
        <v/>
      </c>
      <c r="V1632" s="4" t="str">
        <f>HYPERLINK("http://141.218.60.56/~jnz1568/getInfo.php?workbook=16_15.xlsx&amp;sheet=A0&amp;row=1632&amp;col=22&amp;number=&amp;sourceID=47","")</f>
        <v/>
      </c>
    </row>
    <row r="1633" spans="1:22">
      <c r="A1633" s="3">
        <v>16</v>
      </c>
      <c r="B1633" s="3">
        <v>15</v>
      </c>
      <c r="C1633" s="3">
        <v>65</v>
      </c>
      <c r="D1633" s="3">
        <v>4</v>
      </c>
      <c r="E1633" s="3">
        <f>((1/(INDEX(E0!J$4:J$73,C1633,1)-INDEX(E0!J$4:J$73,D1633,1))))*100000000</f>
        <v>0</v>
      </c>
      <c r="F1633" s="4" t="str">
        <f>HYPERLINK("http://141.218.60.56/~jnz1568/getInfo.php?workbook=16_15.xlsx&amp;sheet=A0&amp;row=1633&amp;col=6&amp;number=1167000000&amp;sourceID=54","1167000000")</f>
        <v>1167000000</v>
      </c>
      <c r="G1633" s="4" t="str">
        <f>HYPERLINK("http://141.218.60.56/~jnz1568/getInfo.php?workbook=16_15.xlsx&amp;sheet=A0&amp;row=1633&amp;col=7&amp;number=&amp;sourceID=54","")</f>
        <v/>
      </c>
      <c r="H1633" s="4" t="str">
        <f>HYPERLINK("http://141.218.60.56/~jnz1568/getInfo.php?workbook=16_15.xlsx&amp;sheet=A0&amp;row=1633&amp;col=8&amp;number=&amp;sourceID=54","")</f>
        <v/>
      </c>
      <c r="I1633" s="4" t="str">
        <f>HYPERLINK("http://141.218.60.56/~jnz1568/getInfo.php?workbook=16_15.xlsx&amp;sheet=A0&amp;row=1633&amp;col=9&amp;number=1156600000&amp;sourceID=54","1156600000")</f>
        <v>1156600000</v>
      </c>
      <c r="J1633" s="4" t="str">
        <f>HYPERLINK("http://141.218.60.56/~jnz1568/getInfo.php?workbook=16_15.xlsx&amp;sheet=A0&amp;row=1633&amp;col=10&amp;number=&amp;sourceID=54","")</f>
        <v/>
      </c>
      <c r="K1633" s="4" t="str">
        <f>HYPERLINK("http://141.218.60.56/~jnz1568/getInfo.php?workbook=16_15.xlsx&amp;sheet=A0&amp;row=1633&amp;col=11&amp;number=&amp;sourceID=54","")</f>
        <v/>
      </c>
      <c r="L1633" s="4" t="str">
        <f>HYPERLINK("http://141.218.60.56/~jnz1568/getInfo.php?workbook=16_15.xlsx&amp;sheet=A0&amp;row=1633&amp;col=12&amp;number=1654750682.01&amp;sourceID=53","1654750682.01")</f>
        <v>1654750682.01</v>
      </c>
      <c r="M1633" s="4" t="str">
        <f>HYPERLINK("http://141.218.60.56/~jnz1568/getInfo.php?workbook=16_15.xlsx&amp;sheet=A0&amp;row=1633&amp;col=13&amp;number=&amp;sourceID=53","")</f>
        <v/>
      </c>
      <c r="N1633" s="4" t="str">
        <f>HYPERLINK("http://141.218.60.56/~jnz1568/getInfo.php?workbook=16_15.xlsx&amp;sheet=A0&amp;row=1633&amp;col=14&amp;number=&amp;sourceID=53","")</f>
        <v/>
      </c>
      <c r="O1633" s="4" t="str">
        <f>HYPERLINK("http://141.218.60.56/~jnz1568/getInfo.php?workbook=16_15.xlsx&amp;sheet=A0&amp;row=1633&amp;col=15&amp;number=&amp;sourceID=55","")</f>
        <v/>
      </c>
      <c r="P1633" s="4" t="str">
        <f>HYPERLINK("http://141.218.60.56/~jnz1568/getInfo.php?workbook=16_15.xlsx&amp;sheet=A0&amp;row=1633&amp;col=16&amp;number=&amp;sourceID=55","")</f>
        <v/>
      </c>
      <c r="Q1633" s="4" t="str">
        <f>HYPERLINK("http://141.218.60.56/~jnz1568/getInfo.php?workbook=16_15.xlsx&amp;sheet=A0&amp;row=1633&amp;col=17&amp;number=&amp;sourceID=56","")</f>
        <v/>
      </c>
      <c r="R1633" s="4" t="str">
        <f>HYPERLINK("http://141.218.60.56/~jnz1568/getInfo.php?workbook=16_15.xlsx&amp;sheet=A0&amp;row=1633&amp;col=18&amp;number=&amp;sourceID=56","")</f>
        <v/>
      </c>
      <c r="S1633" s="4" t="str">
        <f>HYPERLINK("http://141.218.60.56/~jnz1568/getInfo.php?workbook=16_15.xlsx&amp;sheet=A0&amp;row=1633&amp;col=19&amp;number=&amp;sourceID=57","")</f>
        <v/>
      </c>
      <c r="T1633" s="4" t="str">
        <f>HYPERLINK("http://141.218.60.56/~jnz1568/getInfo.php?workbook=16_15.xlsx&amp;sheet=A0&amp;row=1633&amp;col=20&amp;number=&amp;sourceID=57","")</f>
        <v/>
      </c>
      <c r="U1633" s="4" t="str">
        <f>HYPERLINK("http://141.218.60.56/~jnz1568/getInfo.php?workbook=16_15.xlsx&amp;sheet=A0&amp;row=1633&amp;col=21&amp;number=&amp;sourceID=47","")</f>
        <v/>
      </c>
      <c r="V1633" s="4" t="str">
        <f>HYPERLINK("http://141.218.60.56/~jnz1568/getInfo.php?workbook=16_15.xlsx&amp;sheet=A0&amp;row=1633&amp;col=22&amp;number=&amp;sourceID=47","")</f>
        <v/>
      </c>
    </row>
    <row r="1634" spans="1:22">
      <c r="A1634" s="3">
        <v>16</v>
      </c>
      <c r="B1634" s="3">
        <v>15</v>
      </c>
      <c r="C1634" s="3">
        <v>65</v>
      </c>
      <c r="D1634" s="3">
        <v>5</v>
      </c>
      <c r="E1634" s="3">
        <f>((1/(INDEX(E0!J$4:J$73,C1634,1)-INDEX(E0!J$4:J$73,D1634,1))))*100000000</f>
        <v>0</v>
      </c>
      <c r="F1634" s="4" t="str">
        <f>HYPERLINK("http://141.218.60.56/~jnz1568/getInfo.php?workbook=16_15.xlsx&amp;sheet=A0&amp;row=1634&amp;col=6&amp;number=629110000&amp;sourceID=54","629110000")</f>
        <v>629110000</v>
      </c>
      <c r="G1634" s="4" t="str">
        <f>HYPERLINK("http://141.218.60.56/~jnz1568/getInfo.php?workbook=16_15.xlsx&amp;sheet=A0&amp;row=1634&amp;col=7&amp;number=&amp;sourceID=54","")</f>
        <v/>
      </c>
      <c r="H1634" s="4" t="str">
        <f>HYPERLINK("http://141.218.60.56/~jnz1568/getInfo.php?workbook=16_15.xlsx&amp;sheet=A0&amp;row=1634&amp;col=8&amp;number=&amp;sourceID=54","")</f>
        <v/>
      </c>
      <c r="I1634" s="4" t="str">
        <f>HYPERLINK("http://141.218.60.56/~jnz1568/getInfo.php?workbook=16_15.xlsx&amp;sheet=A0&amp;row=1634&amp;col=9&amp;number=625660000&amp;sourceID=54","625660000")</f>
        <v>625660000</v>
      </c>
      <c r="J1634" s="4" t="str">
        <f>HYPERLINK("http://141.218.60.56/~jnz1568/getInfo.php?workbook=16_15.xlsx&amp;sheet=A0&amp;row=1634&amp;col=10&amp;number=&amp;sourceID=54","")</f>
        <v/>
      </c>
      <c r="K1634" s="4" t="str">
        <f>HYPERLINK("http://141.218.60.56/~jnz1568/getInfo.php?workbook=16_15.xlsx&amp;sheet=A0&amp;row=1634&amp;col=11&amp;number=&amp;sourceID=54","")</f>
        <v/>
      </c>
      <c r="L1634" s="4" t="str">
        <f>HYPERLINK("http://141.218.60.56/~jnz1568/getInfo.php?workbook=16_15.xlsx&amp;sheet=A0&amp;row=1634&amp;col=12&amp;number=831845390.523&amp;sourceID=53","831845390.523")</f>
        <v>831845390.523</v>
      </c>
      <c r="M1634" s="4" t="str">
        <f>HYPERLINK("http://141.218.60.56/~jnz1568/getInfo.php?workbook=16_15.xlsx&amp;sheet=A0&amp;row=1634&amp;col=13&amp;number=&amp;sourceID=53","")</f>
        <v/>
      </c>
      <c r="N1634" s="4" t="str">
        <f>HYPERLINK("http://141.218.60.56/~jnz1568/getInfo.php?workbook=16_15.xlsx&amp;sheet=A0&amp;row=1634&amp;col=14&amp;number=&amp;sourceID=53","")</f>
        <v/>
      </c>
      <c r="O1634" s="4" t="str">
        <f>HYPERLINK("http://141.218.60.56/~jnz1568/getInfo.php?workbook=16_15.xlsx&amp;sheet=A0&amp;row=1634&amp;col=15&amp;number=&amp;sourceID=55","")</f>
        <v/>
      </c>
      <c r="P1634" s="4" t="str">
        <f>HYPERLINK("http://141.218.60.56/~jnz1568/getInfo.php?workbook=16_15.xlsx&amp;sheet=A0&amp;row=1634&amp;col=16&amp;number=&amp;sourceID=55","")</f>
        <v/>
      </c>
      <c r="Q1634" s="4" t="str">
        <f>HYPERLINK("http://141.218.60.56/~jnz1568/getInfo.php?workbook=16_15.xlsx&amp;sheet=A0&amp;row=1634&amp;col=17&amp;number=&amp;sourceID=56","")</f>
        <v/>
      </c>
      <c r="R1634" s="4" t="str">
        <f>HYPERLINK("http://141.218.60.56/~jnz1568/getInfo.php?workbook=16_15.xlsx&amp;sheet=A0&amp;row=1634&amp;col=18&amp;number=&amp;sourceID=56","")</f>
        <v/>
      </c>
      <c r="S1634" s="4" t="str">
        <f>HYPERLINK("http://141.218.60.56/~jnz1568/getInfo.php?workbook=16_15.xlsx&amp;sheet=A0&amp;row=1634&amp;col=19&amp;number=&amp;sourceID=57","")</f>
        <v/>
      </c>
      <c r="T1634" s="4" t="str">
        <f>HYPERLINK("http://141.218.60.56/~jnz1568/getInfo.php?workbook=16_15.xlsx&amp;sheet=A0&amp;row=1634&amp;col=20&amp;number=&amp;sourceID=57","")</f>
        <v/>
      </c>
      <c r="U1634" s="4" t="str">
        <f>HYPERLINK("http://141.218.60.56/~jnz1568/getInfo.php?workbook=16_15.xlsx&amp;sheet=A0&amp;row=1634&amp;col=21&amp;number=&amp;sourceID=47","")</f>
        <v/>
      </c>
      <c r="V1634" s="4" t="str">
        <f>HYPERLINK("http://141.218.60.56/~jnz1568/getInfo.php?workbook=16_15.xlsx&amp;sheet=A0&amp;row=1634&amp;col=22&amp;number=&amp;sourceID=47","")</f>
        <v/>
      </c>
    </row>
    <row r="1635" spans="1:22">
      <c r="A1635" s="3">
        <v>16</v>
      </c>
      <c r="B1635" s="3">
        <v>15</v>
      </c>
      <c r="C1635" s="3">
        <v>65</v>
      </c>
      <c r="D1635" s="3">
        <v>6</v>
      </c>
      <c r="E1635" s="3">
        <f>((1/(INDEX(E0!J$4:J$73,C1635,1)-INDEX(E0!J$4:J$73,D1635,1))))*100000000</f>
        <v>0</v>
      </c>
      <c r="F1635" s="4" t="str">
        <f>HYPERLINK("http://141.218.60.56/~jnz1568/getInfo.php?workbook=16_15.xlsx&amp;sheet=A0&amp;row=1635&amp;col=6&amp;number=&amp;sourceID=54","")</f>
        <v/>
      </c>
      <c r="G1635" s="4" t="str">
        <f>HYPERLINK("http://141.218.60.56/~jnz1568/getInfo.php?workbook=16_15.xlsx&amp;sheet=A0&amp;row=1635&amp;col=7&amp;number=7.1823e-06&amp;sourceID=54","7.1823e-06")</f>
        <v>7.1823e-06</v>
      </c>
      <c r="H1635" s="4" t="str">
        <f>HYPERLINK("http://141.218.60.56/~jnz1568/getInfo.php?workbook=16_15.xlsx&amp;sheet=A0&amp;row=1635&amp;col=8&amp;number=&amp;sourceID=54","")</f>
        <v/>
      </c>
      <c r="I1635" s="4" t="str">
        <f>HYPERLINK("http://141.218.60.56/~jnz1568/getInfo.php?workbook=16_15.xlsx&amp;sheet=A0&amp;row=1635&amp;col=9&amp;number=&amp;sourceID=54","")</f>
        <v/>
      </c>
      <c r="J1635" s="4" t="str">
        <f>HYPERLINK("http://141.218.60.56/~jnz1568/getInfo.php?workbook=16_15.xlsx&amp;sheet=A0&amp;row=1635&amp;col=10&amp;number=1.4238e-05&amp;sourceID=54","1.4238e-05")</f>
        <v>1.4238e-05</v>
      </c>
      <c r="K1635" s="4" t="str">
        <f>HYPERLINK("http://141.218.60.56/~jnz1568/getInfo.php?workbook=16_15.xlsx&amp;sheet=A0&amp;row=1635&amp;col=11&amp;number=&amp;sourceID=54","")</f>
        <v/>
      </c>
      <c r="L1635" s="4" t="str">
        <f>HYPERLINK("http://141.218.60.56/~jnz1568/getInfo.php?workbook=16_15.xlsx&amp;sheet=A0&amp;row=1635&amp;col=12&amp;number=&amp;sourceID=53","")</f>
        <v/>
      </c>
      <c r="M1635" s="4" t="str">
        <f>HYPERLINK("http://141.218.60.56/~jnz1568/getInfo.php?workbook=16_15.xlsx&amp;sheet=A0&amp;row=1635&amp;col=13&amp;number=&amp;sourceID=53","")</f>
        <v/>
      </c>
      <c r="N1635" s="4" t="str">
        <f>HYPERLINK("http://141.218.60.56/~jnz1568/getInfo.php?workbook=16_15.xlsx&amp;sheet=A0&amp;row=1635&amp;col=14&amp;number=&amp;sourceID=53","")</f>
        <v/>
      </c>
      <c r="O1635" s="4" t="str">
        <f>HYPERLINK("http://141.218.60.56/~jnz1568/getInfo.php?workbook=16_15.xlsx&amp;sheet=A0&amp;row=1635&amp;col=15&amp;number=&amp;sourceID=55","")</f>
        <v/>
      </c>
      <c r="P1635" s="4" t="str">
        <f>HYPERLINK("http://141.218.60.56/~jnz1568/getInfo.php?workbook=16_15.xlsx&amp;sheet=A0&amp;row=1635&amp;col=16&amp;number=&amp;sourceID=55","")</f>
        <v/>
      </c>
      <c r="Q1635" s="4" t="str">
        <f>HYPERLINK("http://141.218.60.56/~jnz1568/getInfo.php?workbook=16_15.xlsx&amp;sheet=A0&amp;row=1635&amp;col=17&amp;number=&amp;sourceID=56","")</f>
        <v/>
      </c>
      <c r="R1635" s="4" t="str">
        <f>HYPERLINK("http://141.218.60.56/~jnz1568/getInfo.php?workbook=16_15.xlsx&amp;sheet=A0&amp;row=1635&amp;col=18&amp;number=&amp;sourceID=56","")</f>
        <v/>
      </c>
      <c r="S1635" s="4" t="str">
        <f>HYPERLINK("http://141.218.60.56/~jnz1568/getInfo.php?workbook=16_15.xlsx&amp;sheet=A0&amp;row=1635&amp;col=19&amp;number=&amp;sourceID=57","")</f>
        <v/>
      </c>
      <c r="T1635" s="4" t="str">
        <f>HYPERLINK("http://141.218.60.56/~jnz1568/getInfo.php?workbook=16_15.xlsx&amp;sheet=A0&amp;row=1635&amp;col=20&amp;number=&amp;sourceID=57","")</f>
        <v/>
      </c>
      <c r="U1635" s="4" t="str">
        <f>HYPERLINK("http://141.218.60.56/~jnz1568/getInfo.php?workbook=16_15.xlsx&amp;sheet=A0&amp;row=1635&amp;col=21&amp;number=&amp;sourceID=47","")</f>
        <v/>
      </c>
      <c r="V1635" s="4" t="str">
        <f>HYPERLINK("http://141.218.60.56/~jnz1568/getInfo.php?workbook=16_15.xlsx&amp;sheet=A0&amp;row=1635&amp;col=22&amp;number=&amp;sourceID=47","")</f>
        <v/>
      </c>
    </row>
    <row r="1636" spans="1:22">
      <c r="A1636" s="3">
        <v>16</v>
      </c>
      <c r="B1636" s="3">
        <v>15</v>
      </c>
      <c r="C1636" s="3">
        <v>65</v>
      </c>
      <c r="D1636" s="3">
        <v>7</v>
      </c>
      <c r="E1636" s="3">
        <f>((1/(INDEX(E0!J$4:J$73,C1636,1)-INDEX(E0!J$4:J$73,D1636,1))))*100000000</f>
        <v>0</v>
      </c>
      <c r="F1636" s="4" t="str">
        <f>HYPERLINK("http://141.218.60.56/~jnz1568/getInfo.php?workbook=16_15.xlsx&amp;sheet=A0&amp;row=1636&amp;col=6&amp;number=&amp;sourceID=54","")</f>
        <v/>
      </c>
      <c r="G1636" s="4" t="str">
        <f>HYPERLINK("http://141.218.60.56/~jnz1568/getInfo.php?workbook=16_15.xlsx&amp;sheet=A0&amp;row=1636&amp;col=7&amp;number=0.00020004&amp;sourceID=54","0.00020004")</f>
        <v>0.00020004</v>
      </c>
      <c r="H1636" s="4" t="str">
        <f>HYPERLINK("http://141.218.60.56/~jnz1568/getInfo.php?workbook=16_15.xlsx&amp;sheet=A0&amp;row=1636&amp;col=8&amp;number=3.9952e-05&amp;sourceID=54","3.9952e-05")</f>
        <v>3.9952e-05</v>
      </c>
      <c r="I1636" s="4" t="str">
        <f>HYPERLINK("http://141.218.60.56/~jnz1568/getInfo.php?workbook=16_15.xlsx&amp;sheet=A0&amp;row=1636&amp;col=9&amp;number=&amp;sourceID=54","")</f>
        <v/>
      </c>
      <c r="J1636" s="4" t="str">
        <f>HYPERLINK("http://141.218.60.56/~jnz1568/getInfo.php?workbook=16_15.xlsx&amp;sheet=A0&amp;row=1636&amp;col=10&amp;number=0.0001793&amp;sourceID=54","0.0001793")</f>
        <v>0.0001793</v>
      </c>
      <c r="K1636" s="4" t="str">
        <f>HYPERLINK("http://141.218.60.56/~jnz1568/getInfo.php?workbook=16_15.xlsx&amp;sheet=A0&amp;row=1636&amp;col=11&amp;number=3.5626e-05&amp;sourceID=54","3.5626e-05")</f>
        <v>3.5626e-05</v>
      </c>
      <c r="L1636" s="4" t="str">
        <f>HYPERLINK("http://141.218.60.56/~jnz1568/getInfo.php?workbook=16_15.xlsx&amp;sheet=A0&amp;row=1636&amp;col=12&amp;number=&amp;sourceID=53","")</f>
        <v/>
      </c>
      <c r="M1636" s="4" t="str">
        <f>HYPERLINK("http://141.218.60.56/~jnz1568/getInfo.php?workbook=16_15.xlsx&amp;sheet=A0&amp;row=1636&amp;col=13&amp;number=&amp;sourceID=53","")</f>
        <v/>
      </c>
      <c r="N1636" s="4" t="str">
        <f>HYPERLINK("http://141.218.60.56/~jnz1568/getInfo.php?workbook=16_15.xlsx&amp;sheet=A0&amp;row=1636&amp;col=14&amp;number=&amp;sourceID=53","")</f>
        <v/>
      </c>
      <c r="O1636" s="4" t="str">
        <f>HYPERLINK("http://141.218.60.56/~jnz1568/getInfo.php?workbook=16_15.xlsx&amp;sheet=A0&amp;row=1636&amp;col=15&amp;number=&amp;sourceID=55","")</f>
        <v/>
      </c>
      <c r="P1636" s="4" t="str">
        <f>HYPERLINK("http://141.218.60.56/~jnz1568/getInfo.php?workbook=16_15.xlsx&amp;sheet=A0&amp;row=1636&amp;col=16&amp;number=&amp;sourceID=55","")</f>
        <v/>
      </c>
      <c r="Q1636" s="4" t="str">
        <f>HYPERLINK("http://141.218.60.56/~jnz1568/getInfo.php?workbook=16_15.xlsx&amp;sheet=A0&amp;row=1636&amp;col=17&amp;number=&amp;sourceID=56","")</f>
        <v/>
      </c>
      <c r="R1636" s="4" t="str">
        <f>HYPERLINK("http://141.218.60.56/~jnz1568/getInfo.php?workbook=16_15.xlsx&amp;sheet=A0&amp;row=1636&amp;col=18&amp;number=&amp;sourceID=56","")</f>
        <v/>
      </c>
      <c r="S1636" s="4" t="str">
        <f>HYPERLINK("http://141.218.60.56/~jnz1568/getInfo.php?workbook=16_15.xlsx&amp;sheet=A0&amp;row=1636&amp;col=19&amp;number=&amp;sourceID=57","")</f>
        <v/>
      </c>
      <c r="T1636" s="4" t="str">
        <f>HYPERLINK("http://141.218.60.56/~jnz1568/getInfo.php?workbook=16_15.xlsx&amp;sheet=A0&amp;row=1636&amp;col=20&amp;number=&amp;sourceID=57","")</f>
        <v/>
      </c>
      <c r="U1636" s="4" t="str">
        <f>HYPERLINK("http://141.218.60.56/~jnz1568/getInfo.php?workbook=16_15.xlsx&amp;sheet=A0&amp;row=1636&amp;col=21&amp;number=&amp;sourceID=47","")</f>
        <v/>
      </c>
      <c r="V1636" s="4" t="str">
        <f>HYPERLINK("http://141.218.60.56/~jnz1568/getInfo.php?workbook=16_15.xlsx&amp;sheet=A0&amp;row=1636&amp;col=22&amp;number=&amp;sourceID=47","")</f>
        <v/>
      </c>
    </row>
    <row r="1637" spans="1:22">
      <c r="A1637" s="3">
        <v>16</v>
      </c>
      <c r="B1637" s="3">
        <v>15</v>
      </c>
      <c r="C1637" s="3">
        <v>65</v>
      </c>
      <c r="D1637" s="3">
        <v>8</v>
      </c>
      <c r="E1637" s="3">
        <f>((1/(INDEX(E0!J$4:J$73,C1637,1)-INDEX(E0!J$4:J$73,D1637,1))))*100000000</f>
        <v>0</v>
      </c>
      <c r="F1637" s="4" t="str">
        <f>HYPERLINK("http://141.218.60.56/~jnz1568/getInfo.php?workbook=16_15.xlsx&amp;sheet=A0&amp;row=1637&amp;col=6&amp;number=&amp;sourceID=54","")</f>
        <v/>
      </c>
      <c r="G1637" s="4" t="str">
        <f>HYPERLINK("http://141.218.60.56/~jnz1568/getInfo.php?workbook=16_15.xlsx&amp;sheet=A0&amp;row=1637&amp;col=7&amp;number=&amp;sourceID=54","")</f>
        <v/>
      </c>
      <c r="H1637" s="4" t="str">
        <f>HYPERLINK("http://141.218.60.56/~jnz1568/getInfo.php?workbook=16_15.xlsx&amp;sheet=A0&amp;row=1637&amp;col=8&amp;number=0.018232&amp;sourceID=54","0.018232")</f>
        <v>0.018232</v>
      </c>
      <c r="I1637" s="4" t="str">
        <f>HYPERLINK("http://141.218.60.56/~jnz1568/getInfo.php?workbook=16_15.xlsx&amp;sheet=A0&amp;row=1637&amp;col=9&amp;number=&amp;sourceID=54","")</f>
        <v/>
      </c>
      <c r="J1637" s="4" t="str">
        <f>HYPERLINK("http://141.218.60.56/~jnz1568/getInfo.php?workbook=16_15.xlsx&amp;sheet=A0&amp;row=1637&amp;col=10&amp;number=&amp;sourceID=54","")</f>
        <v/>
      </c>
      <c r="K1637" s="4" t="str">
        <f>HYPERLINK("http://141.218.60.56/~jnz1568/getInfo.php?workbook=16_15.xlsx&amp;sheet=A0&amp;row=1637&amp;col=11&amp;number=0.017853&amp;sourceID=54","0.017853")</f>
        <v>0.017853</v>
      </c>
      <c r="L1637" s="4" t="str">
        <f>HYPERLINK("http://141.218.60.56/~jnz1568/getInfo.php?workbook=16_15.xlsx&amp;sheet=A0&amp;row=1637&amp;col=12&amp;number=&amp;sourceID=53","")</f>
        <v/>
      </c>
      <c r="M1637" s="4" t="str">
        <f>HYPERLINK("http://141.218.60.56/~jnz1568/getInfo.php?workbook=16_15.xlsx&amp;sheet=A0&amp;row=1637&amp;col=13&amp;number=&amp;sourceID=53","")</f>
        <v/>
      </c>
      <c r="N1637" s="4" t="str">
        <f>HYPERLINK("http://141.218.60.56/~jnz1568/getInfo.php?workbook=16_15.xlsx&amp;sheet=A0&amp;row=1637&amp;col=14&amp;number=&amp;sourceID=53","")</f>
        <v/>
      </c>
      <c r="O1637" s="4" t="str">
        <f>HYPERLINK("http://141.218.60.56/~jnz1568/getInfo.php?workbook=16_15.xlsx&amp;sheet=A0&amp;row=1637&amp;col=15&amp;number=&amp;sourceID=55","")</f>
        <v/>
      </c>
      <c r="P1637" s="4" t="str">
        <f>HYPERLINK("http://141.218.60.56/~jnz1568/getInfo.php?workbook=16_15.xlsx&amp;sheet=A0&amp;row=1637&amp;col=16&amp;number=&amp;sourceID=55","")</f>
        <v/>
      </c>
      <c r="Q1637" s="4" t="str">
        <f>HYPERLINK("http://141.218.60.56/~jnz1568/getInfo.php?workbook=16_15.xlsx&amp;sheet=A0&amp;row=1637&amp;col=17&amp;number=&amp;sourceID=56","")</f>
        <v/>
      </c>
      <c r="R1637" s="4" t="str">
        <f>HYPERLINK("http://141.218.60.56/~jnz1568/getInfo.php?workbook=16_15.xlsx&amp;sheet=A0&amp;row=1637&amp;col=18&amp;number=&amp;sourceID=56","")</f>
        <v/>
      </c>
      <c r="S1637" s="4" t="str">
        <f>HYPERLINK("http://141.218.60.56/~jnz1568/getInfo.php?workbook=16_15.xlsx&amp;sheet=A0&amp;row=1637&amp;col=19&amp;number=&amp;sourceID=57","")</f>
        <v/>
      </c>
      <c r="T1637" s="4" t="str">
        <f>HYPERLINK("http://141.218.60.56/~jnz1568/getInfo.php?workbook=16_15.xlsx&amp;sheet=A0&amp;row=1637&amp;col=20&amp;number=&amp;sourceID=57","")</f>
        <v/>
      </c>
      <c r="U1637" s="4" t="str">
        <f>HYPERLINK("http://141.218.60.56/~jnz1568/getInfo.php?workbook=16_15.xlsx&amp;sheet=A0&amp;row=1637&amp;col=21&amp;number=&amp;sourceID=47","")</f>
        <v/>
      </c>
      <c r="V1637" s="4" t="str">
        <f>HYPERLINK("http://141.218.60.56/~jnz1568/getInfo.php?workbook=16_15.xlsx&amp;sheet=A0&amp;row=1637&amp;col=22&amp;number=&amp;sourceID=47","")</f>
        <v/>
      </c>
    </row>
    <row r="1638" spans="1:22">
      <c r="A1638" s="3">
        <v>16</v>
      </c>
      <c r="B1638" s="3">
        <v>15</v>
      </c>
      <c r="C1638" s="3">
        <v>65</v>
      </c>
      <c r="D1638" s="3">
        <v>9</v>
      </c>
      <c r="E1638" s="3">
        <f>((1/(INDEX(E0!J$4:J$73,C1638,1)-INDEX(E0!J$4:J$73,D1638,1))))*100000000</f>
        <v>0</v>
      </c>
      <c r="F1638" s="4" t="str">
        <f>HYPERLINK("http://141.218.60.56/~jnz1568/getInfo.php?workbook=16_15.xlsx&amp;sheet=A0&amp;row=1638&amp;col=6&amp;number=&amp;sourceID=54","")</f>
        <v/>
      </c>
      <c r="G1638" s="4" t="str">
        <f>HYPERLINK("http://141.218.60.56/~jnz1568/getInfo.php?workbook=16_15.xlsx&amp;sheet=A0&amp;row=1638&amp;col=7&amp;number=5.2053&amp;sourceID=54","5.2053")</f>
        <v>5.2053</v>
      </c>
      <c r="H1638" s="4" t="str">
        <f>HYPERLINK("http://141.218.60.56/~jnz1568/getInfo.php?workbook=16_15.xlsx&amp;sheet=A0&amp;row=1638&amp;col=8&amp;number=0.007977&amp;sourceID=54","0.007977")</f>
        <v>0.007977</v>
      </c>
      <c r="I1638" s="4" t="str">
        <f>HYPERLINK("http://141.218.60.56/~jnz1568/getInfo.php?workbook=16_15.xlsx&amp;sheet=A0&amp;row=1638&amp;col=9&amp;number=&amp;sourceID=54","")</f>
        <v/>
      </c>
      <c r="J1638" s="4" t="str">
        <f>HYPERLINK("http://141.218.60.56/~jnz1568/getInfo.php?workbook=16_15.xlsx&amp;sheet=A0&amp;row=1638&amp;col=10&amp;number=4.644&amp;sourceID=54","4.644")</f>
        <v>4.644</v>
      </c>
      <c r="K1638" s="4" t="str">
        <f>HYPERLINK("http://141.218.60.56/~jnz1568/getInfo.php?workbook=16_15.xlsx&amp;sheet=A0&amp;row=1638&amp;col=11&amp;number=0.0078146&amp;sourceID=54","0.0078146")</f>
        <v>0.0078146</v>
      </c>
      <c r="L1638" s="4" t="str">
        <f>HYPERLINK("http://141.218.60.56/~jnz1568/getInfo.php?workbook=16_15.xlsx&amp;sheet=A0&amp;row=1638&amp;col=12&amp;number=&amp;sourceID=53","")</f>
        <v/>
      </c>
      <c r="M1638" s="4" t="str">
        <f>HYPERLINK("http://141.218.60.56/~jnz1568/getInfo.php?workbook=16_15.xlsx&amp;sheet=A0&amp;row=1638&amp;col=13&amp;number=&amp;sourceID=53","")</f>
        <v/>
      </c>
      <c r="N1638" s="4" t="str">
        <f>HYPERLINK("http://141.218.60.56/~jnz1568/getInfo.php?workbook=16_15.xlsx&amp;sheet=A0&amp;row=1638&amp;col=14&amp;number=&amp;sourceID=53","")</f>
        <v/>
      </c>
      <c r="O1638" s="4" t="str">
        <f>HYPERLINK("http://141.218.60.56/~jnz1568/getInfo.php?workbook=16_15.xlsx&amp;sheet=A0&amp;row=1638&amp;col=15&amp;number=&amp;sourceID=55","")</f>
        <v/>
      </c>
      <c r="P1638" s="4" t="str">
        <f>HYPERLINK("http://141.218.60.56/~jnz1568/getInfo.php?workbook=16_15.xlsx&amp;sheet=A0&amp;row=1638&amp;col=16&amp;number=&amp;sourceID=55","")</f>
        <v/>
      </c>
      <c r="Q1638" s="4" t="str">
        <f>HYPERLINK("http://141.218.60.56/~jnz1568/getInfo.php?workbook=16_15.xlsx&amp;sheet=A0&amp;row=1638&amp;col=17&amp;number=&amp;sourceID=56","")</f>
        <v/>
      </c>
      <c r="R1638" s="4" t="str">
        <f>HYPERLINK("http://141.218.60.56/~jnz1568/getInfo.php?workbook=16_15.xlsx&amp;sheet=A0&amp;row=1638&amp;col=18&amp;number=&amp;sourceID=56","")</f>
        <v/>
      </c>
      <c r="S1638" s="4" t="str">
        <f>HYPERLINK("http://141.218.60.56/~jnz1568/getInfo.php?workbook=16_15.xlsx&amp;sheet=A0&amp;row=1638&amp;col=19&amp;number=&amp;sourceID=57","")</f>
        <v/>
      </c>
      <c r="T1638" s="4" t="str">
        <f>HYPERLINK("http://141.218.60.56/~jnz1568/getInfo.php?workbook=16_15.xlsx&amp;sheet=A0&amp;row=1638&amp;col=20&amp;number=&amp;sourceID=57","")</f>
        <v/>
      </c>
      <c r="U1638" s="4" t="str">
        <f>HYPERLINK("http://141.218.60.56/~jnz1568/getInfo.php?workbook=16_15.xlsx&amp;sheet=A0&amp;row=1638&amp;col=21&amp;number=&amp;sourceID=47","")</f>
        <v/>
      </c>
      <c r="V1638" s="4" t="str">
        <f>HYPERLINK("http://141.218.60.56/~jnz1568/getInfo.php?workbook=16_15.xlsx&amp;sheet=A0&amp;row=1638&amp;col=22&amp;number=&amp;sourceID=47","")</f>
        <v/>
      </c>
    </row>
    <row r="1639" spans="1:22">
      <c r="A1639" s="3">
        <v>16</v>
      </c>
      <c r="B1639" s="3">
        <v>15</v>
      </c>
      <c r="C1639" s="3">
        <v>65</v>
      </c>
      <c r="D1639" s="3">
        <v>10</v>
      </c>
      <c r="E1639" s="3">
        <f>((1/(INDEX(E0!J$4:J$73,C1639,1)-INDEX(E0!J$4:J$73,D1639,1))))*100000000</f>
        <v>0</v>
      </c>
      <c r="F1639" s="4" t="str">
        <f>HYPERLINK("http://141.218.60.56/~jnz1568/getInfo.php?workbook=16_15.xlsx&amp;sheet=A0&amp;row=1639&amp;col=6&amp;number=&amp;sourceID=54","")</f>
        <v/>
      </c>
      <c r="G1639" s="4" t="str">
        <f>HYPERLINK("http://141.218.60.56/~jnz1568/getInfo.php?workbook=16_15.xlsx&amp;sheet=A0&amp;row=1639&amp;col=7&amp;number=4.6162&amp;sourceID=54","4.6162")</f>
        <v>4.6162</v>
      </c>
      <c r="H1639" s="4" t="str">
        <f>HYPERLINK("http://141.218.60.56/~jnz1568/getInfo.php?workbook=16_15.xlsx&amp;sheet=A0&amp;row=1639&amp;col=8&amp;number=&amp;sourceID=54","")</f>
        <v/>
      </c>
      <c r="I1639" s="4" t="str">
        <f>HYPERLINK("http://141.218.60.56/~jnz1568/getInfo.php?workbook=16_15.xlsx&amp;sheet=A0&amp;row=1639&amp;col=9&amp;number=&amp;sourceID=54","")</f>
        <v/>
      </c>
      <c r="J1639" s="4" t="str">
        <f>HYPERLINK("http://141.218.60.56/~jnz1568/getInfo.php?workbook=16_15.xlsx&amp;sheet=A0&amp;row=1639&amp;col=10&amp;number=4.1743&amp;sourceID=54","4.1743")</f>
        <v>4.1743</v>
      </c>
      <c r="K1639" s="4" t="str">
        <f>HYPERLINK("http://141.218.60.56/~jnz1568/getInfo.php?workbook=16_15.xlsx&amp;sheet=A0&amp;row=1639&amp;col=11&amp;number=&amp;sourceID=54","")</f>
        <v/>
      </c>
      <c r="L1639" s="4" t="str">
        <f>HYPERLINK("http://141.218.60.56/~jnz1568/getInfo.php?workbook=16_15.xlsx&amp;sheet=A0&amp;row=1639&amp;col=12&amp;number=&amp;sourceID=53","")</f>
        <v/>
      </c>
      <c r="M1639" s="4" t="str">
        <f>HYPERLINK("http://141.218.60.56/~jnz1568/getInfo.php?workbook=16_15.xlsx&amp;sheet=A0&amp;row=1639&amp;col=13&amp;number=&amp;sourceID=53","")</f>
        <v/>
      </c>
      <c r="N1639" s="4" t="str">
        <f>HYPERLINK("http://141.218.60.56/~jnz1568/getInfo.php?workbook=16_15.xlsx&amp;sheet=A0&amp;row=1639&amp;col=14&amp;number=&amp;sourceID=53","")</f>
        <v/>
      </c>
      <c r="O1639" s="4" t="str">
        <f>HYPERLINK("http://141.218.60.56/~jnz1568/getInfo.php?workbook=16_15.xlsx&amp;sheet=A0&amp;row=1639&amp;col=15&amp;number=&amp;sourceID=55","")</f>
        <v/>
      </c>
      <c r="P1639" s="4" t="str">
        <f>HYPERLINK("http://141.218.60.56/~jnz1568/getInfo.php?workbook=16_15.xlsx&amp;sheet=A0&amp;row=1639&amp;col=16&amp;number=&amp;sourceID=55","")</f>
        <v/>
      </c>
      <c r="Q1639" s="4" t="str">
        <f>HYPERLINK("http://141.218.60.56/~jnz1568/getInfo.php?workbook=16_15.xlsx&amp;sheet=A0&amp;row=1639&amp;col=17&amp;number=&amp;sourceID=56","")</f>
        <v/>
      </c>
      <c r="R1639" s="4" t="str">
        <f>HYPERLINK("http://141.218.60.56/~jnz1568/getInfo.php?workbook=16_15.xlsx&amp;sheet=A0&amp;row=1639&amp;col=18&amp;number=&amp;sourceID=56","")</f>
        <v/>
      </c>
      <c r="S1639" s="4" t="str">
        <f>HYPERLINK("http://141.218.60.56/~jnz1568/getInfo.php?workbook=16_15.xlsx&amp;sheet=A0&amp;row=1639&amp;col=19&amp;number=&amp;sourceID=57","")</f>
        <v/>
      </c>
      <c r="T1639" s="4" t="str">
        <f>HYPERLINK("http://141.218.60.56/~jnz1568/getInfo.php?workbook=16_15.xlsx&amp;sheet=A0&amp;row=1639&amp;col=20&amp;number=&amp;sourceID=57","")</f>
        <v/>
      </c>
      <c r="U1639" s="4" t="str">
        <f>HYPERLINK("http://141.218.60.56/~jnz1568/getInfo.php?workbook=16_15.xlsx&amp;sheet=A0&amp;row=1639&amp;col=21&amp;number=&amp;sourceID=47","")</f>
        <v/>
      </c>
      <c r="V1639" s="4" t="str">
        <f>HYPERLINK("http://141.218.60.56/~jnz1568/getInfo.php?workbook=16_15.xlsx&amp;sheet=A0&amp;row=1639&amp;col=22&amp;number=&amp;sourceID=47","")</f>
        <v/>
      </c>
    </row>
    <row r="1640" spans="1:22">
      <c r="A1640" s="3">
        <v>16</v>
      </c>
      <c r="B1640" s="3">
        <v>15</v>
      </c>
      <c r="C1640" s="3">
        <v>65</v>
      </c>
      <c r="D1640" s="3">
        <v>11</v>
      </c>
      <c r="E1640" s="3">
        <f>((1/(INDEX(E0!J$4:J$73,C1640,1)-INDEX(E0!J$4:J$73,D1640,1))))*100000000</f>
        <v>0</v>
      </c>
      <c r="F1640" s="4" t="str">
        <f>HYPERLINK("http://141.218.60.56/~jnz1568/getInfo.php?workbook=16_15.xlsx&amp;sheet=A0&amp;row=1640&amp;col=6&amp;number=&amp;sourceID=54","")</f>
        <v/>
      </c>
      <c r="G1640" s="4" t="str">
        <f>HYPERLINK("http://141.218.60.56/~jnz1568/getInfo.php?workbook=16_15.xlsx&amp;sheet=A0&amp;row=1640&amp;col=7&amp;number=17.578&amp;sourceID=54","17.578")</f>
        <v>17.578</v>
      </c>
      <c r="H1640" s="4" t="str">
        <f>HYPERLINK("http://141.218.60.56/~jnz1568/getInfo.php?workbook=16_15.xlsx&amp;sheet=A0&amp;row=1640&amp;col=8&amp;number=0.33866&amp;sourceID=54","0.33866")</f>
        <v>0.33866</v>
      </c>
      <c r="I1640" s="4" t="str">
        <f>HYPERLINK("http://141.218.60.56/~jnz1568/getInfo.php?workbook=16_15.xlsx&amp;sheet=A0&amp;row=1640&amp;col=9&amp;number=&amp;sourceID=54","")</f>
        <v/>
      </c>
      <c r="J1640" s="4" t="str">
        <f>HYPERLINK("http://141.218.60.56/~jnz1568/getInfo.php?workbook=16_15.xlsx&amp;sheet=A0&amp;row=1640&amp;col=10&amp;number=16.136&amp;sourceID=54","16.136")</f>
        <v>16.136</v>
      </c>
      <c r="K1640" s="4" t="str">
        <f>HYPERLINK("http://141.218.60.56/~jnz1568/getInfo.php?workbook=16_15.xlsx&amp;sheet=A0&amp;row=1640&amp;col=11&amp;number=0.32166&amp;sourceID=54","0.32166")</f>
        <v>0.32166</v>
      </c>
      <c r="L1640" s="4" t="str">
        <f>HYPERLINK("http://141.218.60.56/~jnz1568/getInfo.php?workbook=16_15.xlsx&amp;sheet=A0&amp;row=1640&amp;col=12&amp;number=&amp;sourceID=53","")</f>
        <v/>
      </c>
      <c r="M1640" s="4" t="str">
        <f>HYPERLINK("http://141.218.60.56/~jnz1568/getInfo.php?workbook=16_15.xlsx&amp;sheet=A0&amp;row=1640&amp;col=13&amp;number=&amp;sourceID=53","")</f>
        <v/>
      </c>
      <c r="N1640" s="4" t="str">
        <f>HYPERLINK("http://141.218.60.56/~jnz1568/getInfo.php?workbook=16_15.xlsx&amp;sheet=A0&amp;row=1640&amp;col=14&amp;number=&amp;sourceID=53","")</f>
        <v/>
      </c>
      <c r="O1640" s="4" t="str">
        <f>HYPERLINK("http://141.218.60.56/~jnz1568/getInfo.php?workbook=16_15.xlsx&amp;sheet=A0&amp;row=1640&amp;col=15&amp;number=&amp;sourceID=55","")</f>
        <v/>
      </c>
      <c r="P1640" s="4" t="str">
        <f>HYPERLINK("http://141.218.60.56/~jnz1568/getInfo.php?workbook=16_15.xlsx&amp;sheet=A0&amp;row=1640&amp;col=16&amp;number=&amp;sourceID=55","")</f>
        <v/>
      </c>
      <c r="Q1640" s="4" t="str">
        <f>HYPERLINK("http://141.218.60.56/~jnz1568/getInfo.php?workbook=16_15.xlsx&amp;sheet=A0&amp;row=1640&amp;col=17&amp;number=&amp;sourceID=56","")</f>
        <v/>
      </c>
      <c r="R1640" s="4" t="str">
        <f>HYPERLINK("http://141.218.60.56/~jnz1568/getInfo.php?workbook=16_15.xlsx&amp;sheet=A0&amp;row=1640&amp;col=18&amp;number=&amp;sourceID=56","")</f>
        <v/>
      </c>
      <c r="S1640" s="4" t="str">
        <f>HYPERLINK("http://141.218.60.56/~jnz1568/getInfo.php?workbook=16_15.xlsx&amp;sheet=A0&amp;row=1640&amp;col=19&amp;number=&amp;sourceID=57","")</f>
        <v/>
      </c>
      <c r="T1640" s="4" t="str">
        <f>HYPERLINK("http://141.218.60.56/~jnz1568/getInfo.php?workbook=16_15.xlsx&amp;sheet=A0&amp;row=1640&amp;col=20&amp;number=&amp;sourceID=57","")</f>
        <v/>
      </c>
      <c r="U1640" s="4" t="str">
        <f>HYPERLINK("http://141.218.60.56/~jnz1568/getInfo.php?workbook=16_15.xlsx&amp;sheet=A0&amp;row=1640&amp;col=21&amp;number=&amp;sourceID=47","")</f>
        <v/>
      </c>
      <c r="V1640" s="4" t="str">
        <f>HYPERLINK("http://141.218.60.56/~jnz1568/getInfo.php?workbook=16_15.xlsx&amp;sheet=A0&amp;row=1640&amp;col=22&amp;number=&amp;sourceID=47","")</f>
        <v/>
      </c>
    </row>
    <row r="1641" spans="1:22">
      <c r="A1641" s="3">
        <v>16</v>
      </c>
      <c r="B1641" s="3">
        <v>15</v>
      </c>
      <c r="C1641" s="3">
        <v>65</v>
      </c>
      <c r="D1641" s="3">
        <v>12</v>
      </c>
      <c r="E1641" s="3">
        <f>((1/(INDEX(E0!J$4:J$73,C1641,1)-INDEX(E0!J$4:J$73,D1641,1))))*100000000</f>
        <v>0</v>
      </c>
      <c r="F1641" s="4" t="str">
        <f>HYPERLINK("http://141.218.60.56/~jnz1568/getInfo.php?workbook=16_15.xlsx&amp;sheet=A0&amp;row=1641&amp;col=6&amp;number=&amp;sourceID=54","")</f>
        <v/>
      </c>
      <c r="G1641" s="4" t="str">
        <f>HYPERLINK("http://141.218.60.56/~jnz1568/getInfo.php?workbook=16_15.xlsx&amp;sheet=A0&amp;row=1641&amp;col=7&amp;number=&amp;sourceID=54","")</f>
        <v/>
      </c>
      <c r="H1641" s="4" t="str">
        <f>HYPERLINK("http://141.218.60.56/~jnz1568/getInfo.php?workbook=16_15.xlsx&amp;sheet=A0&amp;row=1641&amp;col=8&amp;number=0.15905&amp;sourceID=54","0.15905")</f>
        <v>0.15905</v>
      </c>
      <c r="I1641" s="4" t="str">
        <f>HYPERLINK("http://141.218.60.56/~jnz1568/getInfo.php?workbook=16_15.xlsx&amp;sheet=A0&amp;row=1641&amp;col=9&amp;number=&amp;sourceID=54","")</f>
        <v/>
      </c>
      <c r="J1641" s="4" t="str">
        <f>HYPERLINK("http://141.218.60.56/~jnz1568/getInfo.php?workbook=16_15.xlsx&amp;sheet=A0&amp;row=1641&amp;col=10&amp;number=&amp;sourceID=54","")</f>
        <v/>
      </c>
      <c r="K1641" s="4" t="str">
        <f>HYPERLINK("http://141.218.60.56/~jnz1568/getInfo.php?workbook=16_15.xlsx&amp;sheet=A0&amp;row=1641&amp;col=11&amp;number=0.15095&amp;sourceID=54","0.15095")</f>
        <v>0.15095</v>
      </c>
      <c r="L1641" s="4" t="str">
        <f>HYPERLINK("http://141.218.60.56/~jnz1568/getInfo.php?workbook=16_15.xlsx&amp;sheet=A0&amp;row=1641&amp;col=12&amp;number=&amp;sourceID=53","")</f>
        <v/>
      </c>
      <c r="M1641" s="4" t="str">
        <f>HYPERLINK("http://141.218.60.56/~jnz1568/getInfo.php?workbook=16_15.xlsx&amp;sheet=A0&amp;row=1641&amp;col=13&amp;number=&amp;sourceID=53","")</f>
        <v/>
      </c>
      <c r="N1641" s="4" t="str">
        <f>HYPERLINK("http://141.218.60.56/~jnz1568/getInfo.php?workbook=16_15.xlsx&amp;sheet=A0&amp;row=1641&amp;col=14&amp;number=&amp;sourceID=53","")</f>
        <v/>
      </c>
      <c r="O1641" s="4" t="str">
        <f>HYPERLINK("http://141.218.60.56/~jnz1568/getInfo.php?workbook=16_15.xlsx&amp;sheet=A0&amp;row=1641&amp;col=15&amp;number=&amp;sourceID=55","")</f>
        <v/>
      </c>
      <c r="P1641" s="4" t="str">
        <f>HYPERLINK("http://141.218.60.56/~jnz1568/getInfo.php?workbook=16_15.xlsx&amp;sheet=A0&amp;row=1641&amp;col=16&amp;number=&amp;sourceID=55","")</f>
        <v/>
      </c>
      <c r="Q1641" s="4" t="str">
        <f>HYPERLINK("http://141.218.60.56/~jnz1568/getInfo.php?workbook=16_15.xlsx&amp;sheet=A0&amp;row=1641&amp;col=17&amp;number=&amp;sourceID=56","")</f>
        <v/>
      </c>
      <c r="R1641" s="4" t="str">
        <f>HYPERLINK("http://141.218.60.56/~jnz1568/getInfo.php?workbook=16_15.xlsx&amp;sheet=A0&amp;row=1641&amp;col=18&amp;number=&amp;sourceID=56","")</f>
        <v/>
      </c>
      <c r="S1641" s="4" t="str">
        <f>HYPERLINK("http://141.218.60.56/~jnz1568/getInfo.php?workbook=16_15.xlsx&amp;sheet=A0&amp;row=1641&amp;col=19&amp;number=&amp;sourceID=57","")</f>
        <v/>
      </c>
      <c r="T1641" s="4" t="str">
        <f>HYPERLINK("http://141.218.60.56/~jnz1568/getInfo.php?workbook=16_15.xlsx&amp;sheet=A0&amp;row=1641&amp;col=20&amp;number=&amp;sourceID=57","")</f>
        <v/>
      </c>
      <c r="U1641" s="4" t="str">
        <f>HYPERLINK("http://141.218.60.56/~jnz1568/getInfo.php?workbook=16_15.xlsx&amp;sheet=A0&amp;row=1641&amp;col=21&amp;number=&amp;sourceID=47","")</f>
        <v/>
      </c>
      <c r="V1641" s="4" t="str">
        <f>HYPERLINK("http://141.218.60.56/~jnz1568/getInfo.php?workbook=16_15.xlsx&amp;sheet=A0&amp;row=1641&amp;col=22&amp;number=&amp;sourceID=47","")</f>
        <v/>
      </c>
    </row>
    <row r="1642" spans="1:22">
      <c r="A1642" s="3">
        <v>16</v>
      </c>
      <c r="B1642" s="3">
        <v>15</v>
      </c>
      <c r="C1642" s="3">
        <v>65</v>
      </c>
      <c r="D1642" s="3">
        <v>13</v>
      </c>
      <c r="E1642" s="3">
        <f>((1/(INDEX(E0!J$4:J$73,C1642,1)-INDEX(E0!J$4:J$73,D1642,1))))*100000000</f>
        <v>0</v>
      </c>
      <c r="F1642" s="4" t="str">
        <f>HYPERLINK("http://141.218.60.56/~jnz1568/getInfo.php?workbook=16_15.xlsx&amp;sheet=A0&amp;row=1642&amp;col=6&amp;number=&amp;sourceID=54","")</f>
        <v/>
      </c>
      <c r="G1642" s="4" t="str">
        <f>HYPERLINK("http://141.218.60.56/~jnz1568/getInfo.php?workbook=16_15.xlsx&amp;sheet=A0&amp;row=1642&amp;col=7&amp;number=&amp;sourceID=54","")</f>
        <v/>
      </c>
      <c r="H1642" s="4" t="str">
        <f>HYPERLINK("http://141.218.60.56/~jnz1568/getInfo.php?workbook=16_15.xlsx&amp;sheet=A0&amp;row=1642&amp;col=8&amp;number=0.00070307&amp;sourceID=54","0.00070307")</f>
        <v>0.00070307</v>
      </c>
      <c r="I1642" s="4" t="str">
        <f>HYPERLINK("http://141.218.60.56/~jnz1568/getInfo.php?workbook=16_15.xlsx&amp;sheet=A0&amp;row=1642&amp;col=9&amp;number=&amp;sourceID=54","")</f>
        <v/>
      </c>
      <c r="J1642" s="4" t="str">
        <f>HYPERLINK("http://141.218.60.56/~jnz1568/getInfo.php?workbook=16_15.xlsx&amp;sheet=A0&amp;row=1642&amp;col=10&amp;number=&amp;sourceID=54","")</f>
        <v/>
      </c>
      <c r="K1642" s="4" t="str">
        <f>HYPERLINK("http://141.218.60.56/~jnz1568/getInfo.php?workbook=16_15.xlsx&amp;sheet=A0&amp;row=1642&amp;col=11&amp;number=0.00070683&amp;sourceID=54","0.00070683")</f>
        <v>0.00070683</v>
      </c>
      <c r="L1642" s="4" t="str">
        <f>HYPERLINK("http://141.218.60.56/~jnz1568/getInfo.php?workbook=16_15.xlsx&amp;sheet=A0&amp;row=1642&amp;col=12&amp;number=&amp;sourceID=53","")</f>
        <v/>
      </c>
      <c r="M1642" s="4" t="str">
        <f>HYPERLINK("http://141.218.60.56/~jnz1568/getInfo.php?workbook=16_15.xlsx&amp;sheet=A0&amp;row=1642&amp;col=13&amp;number=&amp;sourceID=53","")</f>
        <v/>
      </c>
      <c r="N1642" s="4" t="str">
        <f>HYPERLINK("http://141.218.60.56/~jnz1568/getInfo.php?workbook=16_15.xlsx&amp;sheet=A0&amp;row=1642&amp;col=14&amp;number=&amp;sourceID=53","")</f>
        <v/>
      </c>
      <c r="O1642" s="4" t="str">
        <f>HYPERLINK("http://141.218.60.56/~jnz1568/getInfo.php?workbook=16_15.xlsx&amp;sheet=A0&amp;row=1642&amp;col=15&amp;number=&amp;sourceID=55","")</f>
        <v/>
      </c>
      <c r="P1642" s="4" t="str">
        <f>HYPERLINK("http://141.218.60.56/~jnz1568/getInfo.php?workbook=16_15.xlsx&amp;sheet=A0&amp;row=1642&amp;col=16&amp;number=&amp;sourceID=55","")</f>
        <v/>
      </c>
      <c r="Q1642" s="4" t="str">
        <f>HYPERLINK("http://141.218.60.56/~jnz1568/getInfo.php?workbook=16_15.xlsx&amp;sheet=A0&amp;row=1642&amp;col=17&amp;number=&amp;sourceID=56","")</f>
        <v/>
      </c>
      <c r="R1642" s="4" t="str">
        <f>HYPERLINK("http://141.218.60.56/~jnz1568/getInfo.php?workbook=16_15.xlsx&amp;sheet=A0&amp;row=1642&amp;col=18&amp;number=&amp;sourceID=56","")</f>
        <v/>
      </c>
      <c r="S1642" s="4" t="str">
        <f>HYPERLINK("http://141.218.60.56/~jnz1568/getInfo.php?workbook=16_15.xlsx&amp;sheet=A0&amp;row=1642&amp;col=19&amp;number=&amp;sourceID=57","")</f>
        <v/>
      </c>
      <c r="T1642" s="4" t="str">
        <f>HYPERLINK("http://141.218.60.56/~jnz1568/getInfo.php?workbook=16_15.xlsx&amp;sheet=A0&amp;row=1642&amp;col=20&amp;number=&amp;sourceID=57","")</f>
        <v/>
      </c>
      <c r="U1642" s="4" t="str">
        <f>HYPERLINK("http://141.218.60.56/~jnz1568/getInfo.php?workbook=16_15.xlsx&amp;sheet=A0&amp;row=1642&amp;col=21&amp;number=&amp;sourceID=47","")</f>
        <v/>
      </c>
      <c r="V1642" s="4" t="str">
        <f>HYPERLINK("http://141.218.60.56/~jnz1568/getInfo.php?workbook=16_15.xlsx&amp;sheet=A0&amp;row=1642&amp;col=22&amp;number=&amp;sourceID=47","")</f>
        <v/>
      </c>
    </row>
    <row r="1643" spans="1:22">
      <c r="A1643" s="3">
        <v>16</v>
      </c>
      <c r="B1643" s="3">
        <v>15</v>
      </c>
      <c r="C1643" s="3">
        <v>65</v>
      </c>
      <c r="D1643" s="3">
        <v>14</v>
      </c>
      <c r="E1643" s="3">
        <f>((1/(INDEX(E0!J$4:J$73,C1643,1)-INDEX(E0!J$4:J$73,D1643,1))))*100000000</f>
        <v>0</v>
      </c>
      <c r="F1643" s="4" t="str">
        <f>HYPERLINK("http://141.218.60.56/~jnz1568/getInfo.php?workbook=16_15.xlsx&amp;sheet=A0&amp;row=1643&amp;col=6&amp;number=&amp;sourceID=54","")</f>
        <v/>
      </c>
      <c r="G1643" s="4" t="str">
        <f>HYPERLINK("http://141.218.60.56/~jnz1568/getInfo.php?workbook=16_15.xlsx&amp;sheet=A0&amp;row=1643&amp;col=7&amp;number=1.5647&amp;sourceID=54","1.5647")</f>
        <v>1.5647</v>
      </c>
      <c r="H1643" s="4" t="str">
        <f>HYPERLINK("http://141.218.60.56/~jnz1568/getInfo.php?workbook=16_15.xlsx&amp;sheet=A0&amp;row=1643&amp;col=8&amp;number=4.1786e-05&amp;sourceID=54","4.1786e-05")</f>
        <v>4.1786e-05</v>
      </c>
      <c r="I1643" s="4" t="str">
        <f>HYPERLINK("http://141.218.60.56/~jnz1568/getInfo.php?workbook=16_15.xlsx&amp;sheet=A0&amp;row=1643&amp;col=9&amp;number=&amp;sourceID=54","")</f>
        <v/>
      </c>
      <c r="J1643" s="4" t="str">
        <f>HYPERLINK("http://141.218.60.56/~jnz1568/getInfo.php?workbook=16_15.xlsx&amp;sheet=A0&amp;row=1643&amp;col=10&amp;number=1.7925&amp;sourceID=54","1.7925")</f>
        <v>1.7925</v>
      </c>
      <c r="K1643" s="4" t="str">
        <f>HYPERLINK("http://141.218.60.56/~jnz1568/getInfo.php?workbook=16_15.xlsx&amp;sheet=A0&amp;row=1643&amp;col=11&amp;number=4.5686e-05&amp;sourceID=54","4.5686e-05")</f>
        <v>4.5686e-05</v>
      </c>
      <c r="L1643" s="4" t="str">
        <f>HYPERLINK("http://141.218.60.56/~jnz1568/getInfo.php?workbook=16_15.xlsx&amp;sheet=A0&amp;row=1643&amp;col=12&amp;number=&amp;sourceID=53","")</f>
        <v/>
      </c>
      <c r="M1643" s="4" t="str">
        <f>HYPERLINK("http://141.218.60.56/~jnz1568/getInfo.php?workbook=16_15.xlsx&amp;sheet=A0&amp;row=1643&amp;col=13&amp;number=&amp;sourceID=53","")</f>
        <v/>
      </c>
      <c r="N1643" s="4" t="str">
        <f>HYPERLINK("http://141.218.60.56/~jnz1568/getInfo.php?workbook=16_15.xlsx&amp;sheet=A0&amp;row=1643&amp;col=14&amp;number=&amp;sourceID=53","")</f>
        <v/>
      </c>
      <c r="O1643" s="4" t="str">
        <f>HYPERLINK("http://141.218.60.56/~jnz1568/getInfo.php?workbook=16_15.xlsx&amp;sheet=A0&amp;row=1643&amp;col=15&amp;number=&amp;sourceID=55","")</f>
        <v/>
      </c>
      <c r="P1643" s="4" t="str">
        <f>HYPERLINK("http://141.218.60.56/~jnz1568/getInfo.php?workbook=16_15.xlsx&amp;sheet=A0&amp;row=1643&amp;col=16&amp;number=&amp;sourceID=55","")</f>
        <v/>
      </c>
      <c r="Q1643" s="4" t="str">
        <f>HYPERLINK("http://141.218.60.56/~jnz1568/getInfo.php?workbook=16_15.xlsx&amp;sheet=A0&amp;row=1643&amp;col=17&amp;number=&amp;sourceID=56","")</f>
        <v/>
      </c>
      <c r="R1643" s="4" t="str">
        <f>HYPERLINK("http://141.218.60.56/~jnz1568/getInfo.php?workbook=16_15.xlsx&amp;sheet=A0&amp;row=1643&amp;col=18&amp;number=&amp;sourceID=56","")</f>
        <v/>
      </c>
      <c r="S1643" s="4" t="str">
        <f>HYPERLINK("http://141.218.60.56/~jnz1568/getInfo.php?workbook=16_15.xlsx&amp;sheet=A0&amp;row=1643&amp;col=19&amp;number=&amp;sourceID=57","")</f>
        <v/>
      </c>
      <c r="T1643" s="4" t="str">
        <f>HYPERLINK("http://141.218.60.56/~jnz1568/getInfo.php?workbook=16_15.xlsx&amp;sheet=A0&amp;row=1643&amp;col=20&amp;number=&amp;sourceID=57","")</f>
        <v/>
      </c>
      <c r="U1643" s="4" t="str">
        <f>HYPERLINK("http://141.218.60.56/~jnz1568/getInfo.php?workbook=16_15.xlsx&amp;sheet=A0&amp;row=1643&amp;col=21&amp;number=&amp;sourceID=47","")</f>
        <v/>
      </c>
      <c r="V1643" s="4" t="str">
        <f>HYPERLINK("http://141.218.60.56/~jnz1568/getInfo.php?workbook=16_15.xlsx&amp;sheet=A0&amp;row=1643&amp;col=22&amp;number=&amp;sourceID=47","")</f>
        <v/>
      </c>
    </row>
    <row r="1644" spans="1:22">
      <c r="A1644" s="3">
        <v>16</v>
      </c>
      <c r="B1644" s="3">
        <v>15</v>
      </c>
      <c r="C1644" s="3">
        <v>65</v>
      </c>
      <c r="D1644" s="3">
        <v>15</v>
      </c>
      <c r="E1644" s="3">
        <f>((1/(INDEX(E0!J$4:J$73,C1644,1)-INDEX(E0!J$4:J$73,D1644,1))))*100000000</f>
        <v>0</v>
      </c>
      <c r="F1644" s="4" t="str">
        <f>HYPERLINK("http://141.218.60.56/~jnz1568/getInfo.php?workbook=16_15.xlsx&amp;sheet=A0&amp;row=1644&amp;col=6&amp;number=&amp;sourceID=54","")</f>
        <v/>
      </c>
      <c r="G1644" s="4" t="str">
        <f>HYPERLINK("http://141.218.60.56/~jnz1568/getInfo.php?workbook=16_15.xlsx&amp;sheet=A0&amp;row=1644&amp;col=7&amp;number=0.0074032&amp;sourceID=54","0.0074032")</f>
        <v>0.0074032</v>
      </c>
      <c r="H1644" s="4" t="str">
        <f>HYPERLINK("http://141.218.60.56/~jnz1568/getInfo.php?workbook=16_15.xlsx&amp;sheet=A0&amp;row=1644&amp;col=8&amp;number=1.2818e-05&amp;sourceID=54","1.2818e-05")</f>
        <v>1.2818e-05</v>
      </c>
      <c r="I1644" s="4" t="str">
        <f>HYPERLINK("http://141.218.60.56/~jnz1568/getInfo.php?workbook=16_15.xlsx&amp;sheet=A0&amp;row=1644&amp;col=9&amp;number=&amp;sourceID=54","")</f>
        <v/>
      </c>
      <c r="J1644" s="4" t="str">
        <f>HYPERLINK("http://141.218.60.56/~jnz1568/getInfo.php?workbook=16_15.xlsx&amp;sheet=A0&amp;row=1644&amp;col=10&amp;number=0.0063067&amp;sourceID=54","0.0063067")</f>
        <v>0.0063067</v>
      </c>
      <c r="K1644" s="4" t="str">
        <f>HYPERLINK("http://141.218.60.56/~jnz1568/getInfo.php?workbook=16_15.xlsx&amp;sheet=A0&amp;row=1644&amp;col=11&amp;number=1.1914e-05&amp;sourceID=54","1.1914e-05")</f>
        <v>1.1914e-05</v>
      </c>
      <c r="L1644" s="4" t="str">
        <f>HYPERLINK("http://141.218.60.56/~jnz1568/getInfo.php?workbook=16_15.xlsx&amp;sheet=A0&amp;row=1644&amp;col=12&amp;number=&amp;sourceID=53","")</f>
        <v/>
      </c>
      <c r="M1644" s="4" t="str">
        <f>HYPERLINK("http://141.218.60.56/~jnz1568/getInfo.php?workbook=16_15.xlsx&amp;sheet=A0&amp;row=1644&amp;col=13&amp;number=&amp;sourceID=53","")</f>
        <v/>
      </c>
      <c r="N1644" s="4" t="str">
        <f>HYPERLINK("http://141.218.60.56/~jnz1568/getInfo.php?workbook=16_15.xlsx&amp;sheet=A0&amp;row=1644&amp;col=14&amp;number=&amp;sourceID=53","")</f>
        <v/>
      </c>
      <c r="O1644" s="4" t="str">
        <f>HYPERLINK("http://141.218.60.56/~jnz1568/getInfo.php?workbook=16_15.xlsx&amp;sheet=A0&amp;row=1644&amp;col=15&amp;number=&amp;sourceID=55","")</f>
        <v/>
      </c>
      <c r="P1644" s="4" t="str">
        <f>HYPERLINK("http://141.218.60.56/~jnz1568/getInfo.php?workbook=16_15.xlsx&amp;sheet=A0&amp;row=1644&amp;col=16&amp;number=&amp;sourceID=55","")</f>
        <v/>
      </c>
      <c r="Q1644" s="4" t="str">
        <f>HYPERLINK("http://141.218.60.56/~jnz1568/getInfo.php?workbook=16_15.xlsx&amp;sheet=A0&amp;row=1644&amp;col=17&amp;number=&amp;sourceID=56","")</f>
        <v/>
      </c>
      <c r="R1644" s="4" t="str">
        <f>HYPERLINK("http://141.218.60.56/~jnz1568/getInfo.php?workbook=16_15.xlsx&amp;sheet=A0&amp;row=1644&amp;col=18&amp;number=&amp;sourceID=56","")</f>
        <v/>
      </c>
      <c r="S1644" s="4" t="str">
        <f>HYPERLINK("http://141.218.60.56/~jnz1568/getInfo.php?workbook=16_15.xlsx&amp;sheet=A0&amp;row=1644&amp;col=19&amp;number=&amp;sourceID=57","")</f>
        <v/>
      </c>
      <c r="T1644" s="4" t="str">
        <f>HYPERLINK("http://141.218.60.56/~jnz1568/getInfo.php?workbook=16_15.xlsx&amp;sheet=A0&amp;row=1644&amp;col=20&amp;number=&amp;sourceID=57","")</f>
        <v/>
      </c>
      <c r="U1644" s="4" t="str">
        <f>HYPERLINK("http://141.218.60.56/~jnz1568/getInfo.php?workbook=16_15.xlsx&amp;sheet=A0&amp;row=1644&amp;col=21&amp;number=&amp;sourceID=47","")</f>
        <v/>
      </c>
      <c r="V1644" s="4" t="str">
        <f>HYPERLINK("http://141.218.60.56/~jnz1568/getInfo.php?workbook=16_15.xlsx&amp;sheet=A0&amp;row=1644&amp;col=22&amp;number=&amp;sourceID=47","")</f>
        <v/>
      </c>
    </row>
    <row r="1645" spans="1:22">
      <c r="A1645" s="3">
        <v>16</v>
      </c>
      <c r="B1645" s="3">
        <v>15</v>
      </c>
      <c r="C1645" s="3">
        <v>65</v>
      </c>
      <c r="D1645" s="3">
        <v>16</v>
      </c>
      <c r="E1645" s="3">
        <f>((1/(INDEX(E0!J$4:J$73,C1645,1)-INDEX(E0!J$4:J$73,D1645,1))))*100000000</f>
        <v>0</v>
      </c>
      <c r="F1645" s="4" t="str">
        <f>HYPERLINK("http://141.218.60.56/~jnz1568/getInfo.php?workbook=16_15.xlsx&amp;sheet=A0&amp;row=1645&amp;col=6&amp;number=&amp;sourceID=54","")</f>
        <v/>
      </c>
      <c r="G1645" s="4" t="str">
        <f>HYPERLINK("http://141.218.60.56/~jnz1568/getInfo.php?workbook=16_15.xlsx&amp;sheet=A0&amp;row=1645&amp;col=7&amp;number=0.011054&amp;sourceID=54","0.011054")</f>
        <v>0.011054</v>
      </c>
      <c r="H1645" s="4" t="str">
        <f>HYPERLINK("http://141.218.60.56/~jnz1568/getInfo.php?workbook=16_15.xlsx&amp;sheet=A0&amp;row=1645&amp;col=8&amp;number=&amp;sourceID=54","")</f>
        <v/>
      </c>
      <c r="I1645" s="4" t="str">
        <f>HYPERLINK("http://141.218.60.56/~jnz1568/getInfo.php?workbook=16_15.xlsx&amp;sheet=A0&amp;row=1645&amp;col=9&amp;number=&amp;sourceID=54","")</f>
        <v/>
      </c>
      <c r="J1645" s="4" t="str">
        <f>HYPERLINK("http://141.218.60.56/~jnz1568/getInfo.php?workbook=16_15.xlsx&amp;sheet=A0&amp;row=1645&amp;col=10&amp;number=0.010939&amp;sourceID=54","0.010939")</f>
        <v>0.010939</v>
      </c>
      <c r="K1645" s="4" t="str">
        <f>HYPERLINK("http://141.218.60.56/~jnz1568/getInfo.php?workbook=16_15.xlsx&amp;sheet=A0&amp;row=1645&amp;col=11&amp;number=&amp;sourceID=54","")</f>
        <v/>
      </c>
      <c r="L1645" s="4" t="str">
        <f>HYPERLINK("http://141.218.60.56/~jnz1568/getInfo.php?workbook=16_15.xlsx&amp;sheet=A0&amp;row=1645&amp;col=12&amp;number=&amp;sourceID=53","")</f>
        <v/>
      </c>
      <c r="M1645" s="4" t="str">
        <f>HYPERLINK("http://141.218.60.56/~jnz1568/getInfo.php?workbook=16_15.xlsx&amp;sheet=A0&amp;row=1645&amp;col=13&amp;number=&amp;sourceID=53","")</f>
        <v/>
      </c>
      <c r="N1645" s="4" t="str">
        <f>HYPERLINK("http://141.218.60.56/~jnz1568/getInfo.php?workbook=16_15.xlsx&amp;sheet=A0&amp;row=1645&amp;col=14&amp;number=&amp;sourceID=53","")</f>
        <v/>
      </c>
      <c r="O1645" s="4" t="str">
        <f>HYPERLINK("http://141.218.60.56/~jnz1568/getInfo.php?workbook=16_15.xlsx&amp;sheet=A0&amp;row=1645&amp;col=15&amp;number=&amp;sourceID=55","")</f>
        <v/>
      </c>
      <c r="P1645" s="4" t="str">
        <f>HYPERLINK("http://141.218.60.56/~jnz1568/getInfo.php?workbook=16_15.xlsx&amp;sheet=A0&amp;row=1645&amp;col=16&amp;number=&amp;sourceID=55","")</f>
        <v/>
      </c>
      <c r="Q1645" s="4" t="str">
        <f>HYPERLINK("http://141.218.60.56/~jnz1568/getInfo.php?workbook=16_15.xlsx&amp;sheet=A0&amp;row=1645&amp;col=17&amp;number=&amp;sourceID=56","")</f>
        <v/>
      </c>
      <c r="R1645" s="4" t="str">
        <f>HYPERLINK("http://141.218.60.56/~jnz1568/getInfo.php?workbook=16_15.xlsx&amp;sheet=A0&amp;row=1645&amp;col=18&amp;number=&amp;sourceID=56","")</f>
        <v/>
      </c>
      <c r="S1645" s="4" t="str">
        <f>HYPERLINK("http://141.218.60.56/~jnz1568/getInfo.php?workbook=16_15.xlsx&amp;sheet=A0&amp;row=1645&amp;col=19&amp;number=&amp;sourceID=57","")</f>
        <v/>
      </c>
      <c r="T1645" s="4" t="str">
        <f>HYPERLINK("http://141.218.60.56/~jnz1568/getInfo.php?workbook=16_15.xlsx&amp;sheet=A0&amp;row=1645&amp;col=20&amp;number=&amp;sourceID=57","")</f>
        <v/>
      </c>
      <c r="U1645" s="4" t="str">
        <f>HYPERLINK("http://141.218.60.56/~jnz1568/getInfo.php?workbook=16_15.xlsx&amp;sheet=A0&amp;row=1645&amp;col=21&amp;number=&amp;sourceID=47","")</f>
        <v/>
      </c>
      <c r="V1645" s="4" t="str">
        <f>HYPERLINK("http://141.218.60.56/~jnz1568/getInfo.php?workbook=16_15.xlsx&amp;sheet=A0&amp;row=1645&amp;col=22&amp;number=&amp;sourceID=47","")</f>
        <v/>
      </c>
    </row>
    <row r="1646" spans="1:22">
      <c r="A1646" s="3">
        <v>16</v>
      </c>
      <c r="B1646" s="3">
        <v>15</v>
      </c>
      <c r="C1646" s="3">
        <v>65</v>
      </c>
      <c r="D1646" s="3">
        <v>17</v>
      </c>
      <c r="E1646" s="3">
        <f>((1/(INDEX(E0!J$4:J$73,C1646,1)-INDEX(E0!J$4:J$73,D1646,1))))*100000000</f>
        <v>0</v>
      </c>
      <c r="F1646" s="4" t="str">
        <f>HYPERLINK("http://141.218.60.56/~jnz1568/getInfo.php?workbook=16_15.xlsx&amp;sheet=A0&amp;row=1646&amp;col=6&amp;number=&amp;sourceID=54","")</f>
        <v/>
      </c>
      <c r="G1646" s="4" t="str">
        <f>HYPERLINK("http://141.218.60.56/~jnz1568/getInfo.php?workbook=16_15.xlsx&amp;sheet=A0&amp;row=1646&amp;col=7&amp;number=0.0042602&amp;sourceID=54","0.0042602")</f>
        <v>0.0042602</v>
      </c>
      <c r="H1646" s="4" t="str">
        <f>HYPERLINK("http://141.218.60.56/~jnz1568/getInfo.php?workbook=16_15.xlsx&amp;sheet=A0&amp;row=1646&amp;col=8&amp;number=&amp;sourceID=54","")</f>
        <v/>
      </c>
      <c r="I1646" s="4" t="str">
        <f>HYPERLINK("http://141.218.60.56/~jnz1568/getInfo.php?workbook=16_15.xlsx&amp;sheet=A0&amp;row=1646&amp;col=9&amp;number=&amp;sourceID=54","")</f>
        <v/>
      </c>
      <c r="J1646" s="4" t="str">
        <f>HYPERLINK("http://141.218.60.56/~jnz1568/getInfo.php?workbook=16_15.xlsx&amp;sheet=A0&amp;row=1646&amp;col=10&amp;number=0.0038304&amp;sourceID=54","0.0038304")</f>
        <v>0.0038304</v>
      </c>
      <c r="K1646" s="4" t="str">
        <f>HYPERLINK("http://141.218.60.56/~jnz1568/getInfo.php?workbook=16_15.xlsx&amp;sheet=A0&amp;row=1646&amp;col=11&amp;number=&amp;sourceID=54","")</f>
        <v/>
      </c>
      <c r="L1646" s="4" t="str">
        <f>HYPERLINK("http://141.218.60.56/~jnz1568/getInfo.php?workbook=16_15.xlsx&amp;sheet=A0&amp;row=1646&amp;col=12&amp;number=&amp;sourceID=53","")</f>
        <v/>
      </c>
      <c r="M1646" s="4" t="str">
        <f>HYPERLINK("http://141.218.60.56/~jnz1568/getInfo.php?workbook=16_15.xlsx&amp;sheet=A0&amp;row=1646&amp;col=13&amp;number=&amp;sourceID=53","")</f>
        <v/>
      </c>
      <c r="N1646" s="4" t="str">
        <f>HYPERLINK("http://141.218.60.56/~jnz1568/getInfo.php?workbook=16_15.xlsx&amp;sheet=A0&amp;row=1646&amp;col=14&amp;number=&amp;sourceID=53","")</f>
        <v/>
      </c>
      <c r="O1646" s="4" t="str">
        <f>HYPERLINK("http://141.218.60.56/~jnz1568/getInfo.php?workbook=16_15.xlsx&amp;sheet=A0&amp;row=1646&amp;col=15&amp;number=&amp;sourceID=55","")</f>
        <v/>
      </c>
      <c r="P1646" s="4" t="str">
        <f>HYPERLINK("http://141.218.60.56/~jnz1568/getInfo.php?workbook=16_15.xlsx&amp;sheet=A0&amp;row=1646&amp;col=16&amp;number=&amp;sourceID=55","")</f>
        <v/>
      </c>
      <c r="Q1646" s="4" t="str">
        <f>HYPERLINK("http://141.218.60.56/~jnz1568/getInfo.php?workbook=16_15.xlsx&amp;sheet=A0&amp;row=1646&amp;col=17&amp;number=&amp;sourceID=56","")</f>
        <v/>
      </c>
      <c r="R1646" s="4" t="str">
        <f>HYPERLINK("http://141.218.60.56/~jnz1568/getInfo.php?workbook=16_15.xlsx&amp;sheet=A0&amp;row=1646&amp;col=18&amp;number=&amp;sourceID=56","")</f>
        <v/>
      </c>
      <c r="S1646" s="4" t="str">
        <f>HYPERLINK("http://141.218.60.56/~jnz1568/getInfo.php?workbook=16_15.xlsx&amp;sheet=A0&amp;row=1646&amp;col=19&amp;number=&amp;sourceID=57","")</f>
        <v/>
      </c>
      <c r="T1646" s="4" t="str">
        <f>HYPERLINK("http://141.218.60.56/~jnz1568/getInfo.php?workbook=16_15.xlsx&amp;sheet=A0&amp;row=1646&amp;col=20&amp;number=&amp;sourceID=57","")</f>
        <v/>
      </c>
      <c r="U1646" s="4" t="str">
        <f>HYPERLINK("http://141.218.60.56/~jnz1568/getInfo.php?workbook=16_15.xlsx&amp;sheet=A0&amp;row=1646&amp;col=21&amp;number=&amp;sourceID=47","")</f>
        <v/>
      </c>
      <c r="V1646" s="4" t="str">
        <f>HYPERLINK("http://141.218.60.56/~jnz1568/getInfo.php?workbook=16_15.xlsx&amp;sheet=A0&amp;row=1646&amp;col=22&amp;number=&amp;sourceID=47","")</f>
        <v/>
      </c>
    </row>
    <row r="1647" spans="1:22">
      <c r="A1647" s="3">
        <v>16</v>
      </c>
      <c r="B1647" s="3">
        <v>15</v>
      </c>
      <c r="C1647" s="3">
        <v>65</v>
      </c>
      <c r="D1647" s="3">
        <v>20</v>
      </c>
      <c r="E1647" s="3">
        <f>((1/(INDEX(E0!J$4:J$73,C1647,1)-INDEX(E0!J$4:J$73,D1647,1))))*100000000</f>
        <v>0</v>
      </c>
      <c r="F1647" s="4" t="str">
        <f>HYPERLINK("http://141.218.60.56/~jnz1568/getInfo.php?workbook=16_15.xlsx&amp;sheet=A0&amp;row=1647&amp;col=6&amp;number=&amp;sourceID=54","")</f>
        <v/>
      </c>
      <c r="G1647" s="4" t="str">
        <f>HYPERLINK("http://141.218.60.56/~jnz1568/getInfo.php?workbook=16_15.xlsx&amp;sheet=A0&amp;row=1647&amp;col=7&amp;number=&amp;sourceID=54","")</f>
        <v/>
      </c>
      <c r="H1647" s="4" t="str">
        <f>HYPERLINK("http://141.218.60.56/~jnz1568/getInfo.php?workbook=16_15.xlsx&amp;sheet=A0&amp;row=1647&amp;col=8&amp;number=0.0054262&amp;sourceID=54","0.0054262")</f>
        <v>0.0054262</v>
      </c>
      <c r="I1647" s="4" t="str">
        <f>HYPERLINK("http://141.218.60.56/~jnz1568/getInfo.php?workbook=16_15.xlsx&amp;sheet=A0&amp;row=1647&amp;col=9&amp;number=&amp;sourceID=54","")</f>
        <v/>
      </c>
      <c r="J1647" s="4" t="str">
        <f>HYPERLINK("http://141.218.60.56/~jnz1568/getInfo.php?workbook=16_15.xlsx&amp;sheet=A0&amp;row=1647&amp;col=10&amp;number=&amp;sourceID=54","")</f>
        <v/>
      </c>
      <c r="K1647" s="4" t="str">
        <f>HYPERLINK("http://141.218.60.56/~jnz1568/getInfo.php?workbook=16_15.xlsx&amp;sheet=A0&amp;row=1647&amp;col=11&amp;number=0.0049496&amp;sourceID=54","0.0049496")</f>
        <v>0.0049496</v>
      </c>
      <c r="L1647" s="4" t="str">
        <f>HYPERLINK("http://141.218.60.56/~jnz1568/getInfo.php?workbook=16_15.xlsx&amp;sheet=A0&amp;row=1647&amp;col=12&amp;number=&amp;sourceID=53","")</f>
        <v/>
      </c>
      <c r="M1647" s="4" t="str">
        <f>HYPERLINK("http://141.218.60.56/~jnz1568/getInfo.php?workbook=16_15.xlsx&amp;sheet=A0&amp;row=1647&amp;col=13&amp;number=&amp;sourceID=53","")</f>
        <v/>
      </c>
      <c r="N1647" s="4" t="str">
        <f>HYPERLINK("http://141.218.60.56/~jnz1568/getInfo.php?workbook=16_15.xlsx&amp;sheet=A0&amp;row=1647&amp;col=14&amp;number=&amp;sourceID=53","")</f>
        <v/>
      </c>
      <c r="O1647" s="4" t="str">
        <f>HYPERLINK("http://141.218.60.56/~jnz1568/getInfo.php?workbook=16_15.xlsx&amp;sheet=A0&amp;row=1647&amp;col=15&amp;number=&amp;sourceID=55","")</f>
        <v/>
      </c>
      <c r="P1647" s="4" t="str">
        <f>HYPERLINK("http://141.218.60.56/~jnz1568/getInfo.php?workbook=16_15.xlsx&amp;sheet=A0&amp;row=1647&amp;col=16&amp;number=&amp;sourceID=55","")</f>
        <v/>
      </c>
      <c r="Q1647" s="4" t="str">
        <f>HYPERLINK("http://141.218.60.56/~jnz1568/getInfo.php?workbook=16_15.xlsx&amp;sheet=A0&amp;row=1647&amp;col=17&amp;number=&amp;sourceID=56","")</f>
        <v/>
      </c>
      <c r="R1647" s="4" t="str">
        <f>HYPERLINK("http://141.218.60.56/~jnz1568/getInfo.php?workbook=16_15.xlsx&amp;sheet=A0&amp;row=1647&amp;col=18&amp;number=&amp;sourceID=56","")</f>
        <v/>
      </c>
      <c r="S1647" s="4" t="str">
        <f>HYPERLINK("http://141.218.60.56/~jnz1568/getInfo.php?workbook=16_15.xlsx&amp;sheet=A0&amp;row=1647&amp;col=19&amp;number=&amp;sourceID=57","")</f>
        <v/>
      </c>
      <c r="T1647" s="4" t="str">
        <f>HYPERLINK("http://141.218.60.56/~jnz1568/getInfo.php?workbook=16_15.xlsx&amp;sheet=A0&amp;row=1647&amp;col=20&amp;number=&amp;sourceID=57","")</f>
        <v/>
      </c>
      <c r="U1647" s="4" t="str">
        <f>HYPERLINK("http://141.218.60.56/~jnz1568/getInfo.php?workbook=16_15.xlsx&amp;sheet=A0&amp;row=1647&amp;col=21&amp;number=&amp;sourceID=47","")</f>
        <v/>
      </c>
      <c r="V1647" s="4" t="str">
        <f>HYPERLINK("http://141.218.60.56/~jnz1568/getInfo.php?workbook=16_15.xlsx&amp;sheet=A0&amp;row=1647&amp;col=22&amp;number=&amp;sourceID=47","")</f>
        <v/>
      </c>
    </row>
    <row r="1648" spans="1:22">
      <c r="A1648" s="3">
        <v>16</v>
      </c>
      <c r="B1648" s="3">
        <v>15</v>
      </c>
      <c r="C1648" s="3">
        <v>65</v>
      </c>
      <c r="D1648" s="3">
        <v>21</v>
      </c>
      <c r="E1648" s="3">
        <f>((1/(INDEX(E0!J$4:J$73,C1648,1)-INDEX(E0!J$4:J$73,D1648,1))))*100000000</f>
        <v>0</v>
      </c>
      <c r="F1648" s="4" t="str">
        <f>HYPERLINK("http://141.218.60.56/~jnz1568/getInfo.php?workbook=16_15.xlsx&amp;sheet=A0&amp;row=1648&amp;col=6&amp;number=&amp;sourceID=54","")</f>
        <v/>
      </c>
      <c r="G1648" s="4" t="str">
        <f>HYPERLINK("http://141.218.60.56/~jnz1568/getInfo.php?workbook=16_15.xlsx&amp;sheet=A0&amp;row=1648&amp;col=7&amp;number=428.87&amp;sourceID=54","428.87")</f>
        <v>428.87</v>
      </c>
      <c r="H1648" s="4" t="str">
        <f>HYPERLINK("http://141.218.60.56/~jnz1568/getInfo.php?workbook=16_15.xlsx&amp;sheet=A0&amp;row=1648&amp;col=8&amp;number=0.0013951&amp;sourceID=54","0.0013951")</f>
        <v>0.0013951</v>
      </c>
      <c r="I1648" s="4" t="str">
        <f>HYPERLINK("http://141.218.60.56/~jnz1568/getInfo.php?workbook=16_15.xlsx&amp;sheet=A0&amp;row=1648&amp;col=9&amp;number=&amp;sourceID=54","")</f>
        <v/>
      </c>
      <c r="J1648" s="4" t="str">
        <f>HYPERLINK("http://141.218.60.56/~jnz1568/getInfo.php?workbook=16_15.xlsx&amp;sheet=A0&amp;row=1648&amp;col=10&amp;number=365.12&amp;sourceID=54","365.12")</f>
        <v>365.12</v>
      </c>
      <c r="K1648" s="4" t="str">
        <f>HYPERLINK("http://141.218.60.56/~jnz1568/getInfo.php?workbook=16_15.xlsx&amp;sheet=A0&amp;row=1648&amp;col=11&amp;number=0.001279&amp;sourceID=54","0.001279")</f>
        <v>0.001279</v>
      </c>
      <c r="L1648" s="4" t="str">
        <f>HYPERLINK("http://141.218.60.56/~jnz1568/getInfo.php?workbook=16_15.xlsx&amp;sheet=A0&amp;row=1648&amp;col=12&amp;number=&amp;sourceID=53","")</f>
        <v/>
      </c>
      <c r="M1648" s="4" t="str">
        <f>HYPERLINK("http://141.218.60.56/~jnz1568/getInfo.php?workbook=16_15.xlsx&amp;sheet=A0&amp;row=1648&amp;col=13&amp;number=&amp;sourceID=53","")</f>
        <v/>
      </c>
      <c r="N1648" s="4" t="str">
        <f>HYPERLINK("http://141.218.60.56/~jnz1568/getInfo.php?workbook=16_15.xlsx&amp;sheet=A0&amp;row=1648&amp;col=14&amp;number=&amp;sourceID=53","")</f>
        <v/>
      </c>
      <c r="O1648" s="4" t="str">
        <f>HYPERLINK("http://141.218.60.56/~jnz1568/getInfo.php?workbook=16_15.xlsx&amp;sheet=A0&amp;row=1648&amp;col=15&amp;number=&amp;sourceID=55","")</f>
        <v/>
      </c>
      <c r="P1648" s="4" t="str">
        <f>HYPERLINK("http://141.218.60.56/~jnz1568/getInfo.php?workbook=16_15.xlsx&amp;sheet=A0&amp;row=1648&amp;col=16&amp;number=&amp;sourceID=55","")</f>
        <v/>
      </c>
      <c r="Q1648" s="4" t="str">
        <f>HYPERLINK("http://141.218.60.56/~jnz1568/getInfo.php?workbook=16_15.xlsx&amp;sheet=A0&amp;row=1648&amp;col=17&amp;number=&amp;sourceID=56","")</f>
        <v/>
      </c>
      <c r="R1648" s="4" t="str">
        <f>HYPERLINK("http://141.218.60.56/~jnz1568/getInfo.php?workbook=16_15.xlsx&amp;sheet=A0&amp;row=1648&amp;col=18&amp;number=&amp;sourceID=56","")</f>
        <v/>
      </c>
      <c r="S1648" s="4" t="str">
        <f>HYPERLINK("http://141.218.60.56/~jnz1568/getInfo.php?workbook=16_15.xlsx&amp;sheet=A0&amp;row=1648&amp;col=19&amp;number=&amp;sourceID=57","")</f>
        <v/>
      </c>
      <c r="T1648" s="4" t="str">
        <f>HYPERLINK("http://141.218.60.56/~jnz1568/getInfo.php?workbook=16_15.xlsx&amp;sheet=A0&amp;row=1648&amp;col=20&amp;number=&amp;sourceID=57","")</f>
        <v/>
      </c>
      <c r="U1648" s="4" t="str">
        <f>HYPERLINK("http://141.218.60.56/~jnz1568/getInfo.php?workbook=16_15.xlsx&amp;sheet=A0&amp;row=1648&amp;col=21&amp;number=&amp;sourceID=47","")</f>
        <v/>
      </c>
      <c r="V1648" s="4" t="str">
        <f>HYPERLINK("http://141.218.60.56/~jnz1568/getInfo.php?workbook=16_15.xlsx&amp;sheet=A0&amp;row=1648&amp;col=22&amp;number=&amp;sourceID=47","")</f>
        <v/>
      </c>
    </row>
    <row r="1649" spans="1:22">
      <c r="A1649" s="3">
        <v>16</v>
      </c>
      <c r="B1649" s="3">
        <v>15</v>
      </c>
      <c r="C1649" s="3">
        <v>65</v>
      </c>
      <c r="D1649" s="3">
        <v>22</v>
      </c>
      <c r="E1649" s="3">
        <f>((1/(INDEX(E0!J$4:J$73,C1649,1)-INDEX(E0!J$4:J$73,D1649,1))))*100000000</f>
        <v>0</v>
      </c>
      <c r="F1649" s="4" t="str">
        <f>HYPERLINK("http://141.218.60.56/~jnz1568/getInfo.php?workbook=16_15.xlsx&amp;sheet=A0&amp;row=1649&amp;col=6&amp;number=&amp;sourceID=54","")</f>
        <v/>
      </c>
      <c r="G1649" s="4" t="str">
        <f>HYPERLINK("http://141.218.60.56/~jnz1568/getInfo.php?workbook=16_15.xlsx&amp;sheet=A0&amp;row=1649&amp;col=7&amp;number=&amp;sourceID=54","")</f>
        <v/>
      </c>
      <c r="H1649" s="4" t="str">
        <f>HYPERLINK("http://141.218.60.56/~jnz1568/getInfo.php?workbook=16_15.xlsx&amp;sheet=A0&amp;row=1649&amp;col=8&amp;number=0.0012684&amp;sourceID=54","0.0012684")</f>
        <v>0.0012684</v>
      </c>
      <c r="I1649" s="4" t="str">
        <f>HYPERLINK("http://141.218.60.56/~jnz1568/getInfo.php?workbook=16_15.xlsx&amp;sheet=A0&amp;row=1649&amp;col=9&amp;number=&amp;sourceID=54","")</f>
        <v/>
      </c>
      <c r="J1649" s="4" t="str">
        <f>HYPERLINK("http://141.218.60.56/~jnz1568/getInfo.php?workbook=16_15.xlsx&amp;sheet=A0&amp;row=1649&amp;col=10&amp;number=&amp;sourceID=54","")</f>
        <v/>
      </c>
      <c r="K1649" s="4" t="str">
        <f>HYPERLINK("http://141.218.60.56/~jnz1568/getInfo.php?workbook=16_15.xlsx&amp;sheet=A0&amp;row=1649&amp;col=11&amp;number=0.0011875&amp;sourceID=54","0.0011875")</f>
        <v>0.0011875</v>
      </c>
      <c r="L1649" s="4" t="str">
        <f>HYPERLINK("http://141.218.60.56/~jnz1568/getInfo.php?workbook=16_15.xlsx&amp;sheet=A0&amp;row=1649&amp;col=12&amp;number=&amp;sourceID=53","")</f>
        <v/>
      </c>
      <c r="M1649" s="4" t="str">
        <f>HYPERLINK("http://141.218.60.56/~jnz1568/getInfo.php?workbook=16_15.xlsx&amp;sheet=A0&amp;row=1649&amp;col=13&amp;number=&amp;sourceID=53","")</f>
        <v/>
      </c>
      <c r="N1649" s="4" t="str">
        <f>HYPERLINK("http://141.218.60.56/~jnz1568/getInfo.php?workbook=16_15.xlsx&amp;sheet=A0&amp;row=1649&amp;col=14&amp;number=&amp;sourceID=53","")</f>
        <v/>
      </c>
      <c r="O1649" s="4" t="str">
        <f>HYPERLINK("http://141.218.60.56/~jnz1568/getInfo.php?workbook=16_15.xlsx&amp;sheet=A0&amp;row=1649&amp;col=15&amp;number=&amp;sourceID=55","")</f>
        <v/>
      </c>
      <c r="P1649" s="4" t="str">
        <f>HYPERLINK("http://141.218.60.56/~jnz1568/getInfo.php?workbook=16_15.xlsx&amp;sheet=A0&amp;row=1649&amp;col=16&amp;number=&amp;sourceID=55","")</f>
        <v/>
      </c>
      <c r="Q1649" s="4" t="str">
        <f>HYPERLINK("http://141.218.60.56/~jnz1568/getInfo.php?workbook=16_15.xlsx&amp;sheet=A0&amp;row=1649&amp;col=17&amp;number=&amp;sourceID=56","")</f>
        <v/>
      </c>
      <c r="R1649" s="4" t="str">
        <f>HYPERLINK("http://141.218.60.56/~jnz1568/getInfo.php?workbook=16_15.xlsx&amp;sheet=A0&amp;row=1649&amp;col=18&amp;number=&amp;sourceID=56","")</f>
        <v/>
      </c>
      <c r="S1649" s="4" t="str">
        <f>HYPERLINK("http://141.218.60.56/~jnz1568/getInfo.php?workbook=16_15.xlsx&amp;sheet=A0&amp;row=1649&amp;col=19&amp;number=&amp;sourceID=57","")</f>
        <v/>
      </c>
      <c r="T1649" s="4" t="str">
        <f>HYPERLINK("http://141.218.60.56/~jnz1568/getInfo.php?workbook=16_15.xlsx&amp;sheet=A0&amp;row=1649&amp;col=20&amp;number=&amp;sourceID=57","")</f>
        <v/>
      </c>
      <c r="U1649" s="4" t="str">
        <f>HYPERLINK("http://141.218.60.56/~jnz1568/getInfo.php?workbook=16_15.xlsx&amp;sheet=A0&amp;row=1649&amp;col=21&amp;number=&amp;sourceID=47","")</f>
        <v/>
      </c>
      <c r="V1649" s="4" t="str">
        <f>HYPERLINK("http://141.218.60.56/~jnz1568/getInfo.php?workbook=16_15.xlsx&amp;sheet=A0&amp;row=1649&amp;col=22&amp;number=&amp;sourceID=47","")</f>
        <v/>
      </c>
    </row>
    <row r="1650" spans="1:22">
      <c r="A1650" s="3">
        <v>16</v>
      </c>
      <c r="B1650" s="3">
        <v>15</v>
      </c>
      <c r="C1650" s="3">
        <v>65</v>
      </c>
      <c r="D1650" s="3">
        <v>23</v>
      </c>
      <c r="E1650" s="3">
        <f>((1/(INDEX(E0!J$4:J$73,C1650,1)-INDEX(E0!J$4:J$73,D1650,1))))*100000000</f>
        <v>0</v>
      </c>
      <c r="F1650" s="4" t="str">
        <f>HYPERLINK("http://141.218.60.56/~jnz1568/getInfo.php?workbook=16_15.xlsx&amp;sheet=A0&amp;row=1650&amp;col=6&amp;number=&amp;sourceID=54","")</f>
        <v/>
      </c>
      <c r="G1650" s="4" t="str">
        <f>HYPERLINK("http://141.218.60.56/~jnz1568/getInfo.php?workbook=16_15.xlsx&amp;sheet=A0&amp;row=1650&amp;col=7&amp;number=0.0017182&amp;sourceID=54","0.0017182")</f>
        <v>0.0017182</v>
      </c>
      <c r="H1650" s="4" t="str">
        <f>HYPERLINK("http://141.218.60.56/~jnz1568/getInfo.php?workbook=16_15.xlsx&amp;sheet=A0&amp;row=1650&amp;col=8&amp;number=0.0013547&amp;sourceID=54","0.0013547")</f>
        <v>0.0013547</v>
      </c>
      <c r="I1650" s="4" t="str">
        <f>HYPERLINK("http://141.218.60.56/~jnz1568/getInfo.php?workbook=16_15.xlsx&amp;sheet=A0&amp;row=1650&amp;col=9&amp;number=&amp;sourceID=54","")</f>
        <v/>
      </c>
      <c r="J1650" s="4" t="str">
        <f>HYPERLINK("http://141.218.60.56/~jnz1568/getInfo.php?workbook=16_15.xlsx&amp;sheet=A0&amp;row=1650&amp;col=10&amp;number=0.001633&amp;sourceID=54","0.001633")</f>
        <v>0.001633</v>
      </c>
      <c r="K1650" s="4" t="str">
        <f>HYPERLINK("http://141.218.60.56/~jnz1568/getInfo.php?workbook=16_15.xlsx&amp;sheet=A0&amp;row=1650&amp;col=11&amp;number=0.0012672&amp;sourceID=54","0.0012672")</f>
        <v>0.0012672</v>
      </c>
      <c r="L1650" s="4" t="str">
        <f>HYPERLINK("http://141.218.60.56/~jnz1568/getInfo.php?workbook=16_15.xlsx&amp;sheet=A0&amp;row=1650&amp;col=12&amp;number=&amp;sourceID=53","")</f>
        <v/>
      </c>
      <c r="M1650" s="4" t="str">
        <f>HYPERLINK("http://141.218.60.56/~jnz1568/getInfo.php?workbook=16_15.xlsx&amp;sheet=A0&amp;row=1650&amp;col=13&amp;number=&amp;sourceID=53","")</f>
        <v/>
      </c>
      <c r="N1650" s="4" t="str">
        <f>HYPERLINK("http://141.218.60.56/~jnz1568/getInfo.php?workbook=16_15.xlsx&amp;sheet=A0&amp;row=1650&amp;col=14&amp;number=&amp;sourceID=53","")</f>
        <v/>
      </c>
      <c r="O1650" s="4" t="str">
        <f>HYPERLINK("http://141.218.60.56/~jnz1568/getInfo.php?workbook=16_15.xlsx&amp;sheet=A0&amp;row=1650&amp;col=15&amp;number=&amp;sourceID=55","")</f>
        <v/>
      </c>
      <c r="P1650" s="4" t="str">
        <f>HYPERLINK("http://141.218.60.56/~jnz1568/getInfo.php?workbook=16_15.xlsx&amp;sheet=A0&amp;row=1650&amp;col=16&amp;number=&amp;sourceID=55","")</f>
        <v/>
      </c>
      <c r="Q1650" s="4" t="str">
        <f>HYPERLINK("http://141.218.60.56/~jnz1568/getInfo.php?workbook=16_15.xlsx&amp;sheet=A0&amp;row=1650&amp;col=17&amp;number=&amp;sourceID=56","")</f>
        <v/>
      </c>
      <c r="R1650" s="4" t="str">
        <f>HYPERLINK("http://141.218.60.56/~jnz1568/getInfo.php?workbook=16_15.xlsx&amp;sheet=A0&amp;row=1650&amp;col=18&amp;number=&amp;sourceID=56","")</f>
        <v/>
      </c>
      <c r="S1650" s="4" t="str">
        <f>HYPERLINK("http://141.218.60.56/~jnz1568/getInfo.php?workbook=16_15.xlsx&amp;sheet=A0&amp;row=1650&amp;col=19&amp;number=&amp;sourceID=57","")</f>
        <v/>
      </c>
      <c r="T1650" s="4" t="str">
        <f>HYPERLINK("http://141.218.60.56/~jnz1568/getInfo.php?workbook=16_15.xlsx&amp;sheet=A0&amp;row=1650&amp;col=20&amp;number=&amp;sourceID=57","")</f>
        <v/>
      </c>
      <c r="U1650" s="4" t="str">
        <f>HYPERLINK("http://141.218.60.56/~jnz1568/getInfo.php?workbook=16_15.xlsx&amp;sheet=A0&amp;row=1650&amp;col=21&amp;number=&amp;sourceID=47","")</f>
        <v/>
      </c>
      <c r="V1650" s="4" t="str">
        <f>HYPERLINK("http://141.218.60.56/~jnz1568/getInfo.php?workbook=16_15.xlsx&amp;sheet=A0&amp;row=1650&amp;col=22&amp;number=&amp;sourceID=47","")</f>
        <v/>
      </c>
    </row>
    <row r="1651" spans="1:22">
      <c r="A1651" s="3">
        <v>16</v>
      </c>
      <c r="B1651" s="3">
        <v>15</v>
      </c>
      <c r="C1651" s="3">
        <v>65</v>
      </c>
      <c r="D1651" s="3">
        <v>24</v>
      </c>
      <c r="E1651" s="3">
        <f>((1/(INDEX(E0!J$4:J$73,C1651,1)-INDEX(E0!J$4:J$73,D1651,1))))*100000000</f>
        <v>0</v>
      </c>
      <c r="F1651" s="4" t="str">
        <f>HYPERLINK("http://141.218.60.56/~jnz1568/getInfo.php?workbook=16_15.xlsx&amp;sheet=A0&amp;row=1651&amp;col=6&amp;number=&amp;sourceID=54","")</f>
        <v/>
      </c>
      <c r="G1651" s="4" t="str">
        <f>HYPERLINK("http://141.218.60.56/~jnz1568/getInfo.php?workbook=16_15.xlsx&amp;sheet=A0&amp;row=1651&amp;col=7&amp;number=0.031172&amp;sourceID=54","0.031172")</f>
        <v>0.031172</v>
      </c>
      <c r="H1651" s="4" t="str">
        <f>HYPERLINK("http://141.218.60.56/~jnz1568/getInfo.php?workbook=16_15.xlsx&amp;sheet=A0&amp;row=1651&amp;col=8&amp;number=&amp;sourceID=54","")</f>
        <v/>
      </c>
      <c r="I1651" s="4" t="str">
        <f>HYPERLINK("http://141.218.60.56/~jnz1568/getInfo.php?workbook=16_15.xlsx&amp;sheet=A0&amp;row=1651&amp;col=9&amp;number=&amp;sourceID=54","")</f>
        <v/>
      </c>
      <c r="J1651" s="4" t="str">
        <f>HYPERLINK("http://141.218.60.56/~jnz1568/getInfo.php?workbook=16_15.xlsx&amp;sheet=A0&amp;row=1651&amp;col=10&amp;number=0.066201&amp;sourceID=54","0.066201")</f>
        <v>0.066201</v>
      </c>
      <c r="K1651" s="4" t="str">
        <f>HYPERLINK("http://141.218.60.56/~jnz1568/getInfo.php?workbook=16_15.xlsx&amp;sheet=A0&amp;row=1651&amp;col=11&amp;number=&amp;sourceID=54","")</f>
        <v/>
      </c>
      <c r="L1651" s="4" t="str">
        <f>HYPERLINK("http://141.218.60.56/~jnz1568/getInfo.php?workbook=16_15.xlsx&amp;sheet=A0&amp;row=1651&amp;col=12&amp;number=&amp;sourceID=53","")</f>
        <v/>
      </c>
      <c r="M1651" s="4" t="str">
        <f>HYPERLINK("http://141.218.60.56/~jnz1568/getInfo.php?workbook=16_15.xlsx&amp;sheet=A0&amp;row=1651&amp;col=13&amp;number=&amp;sourceID=53","")</f>
        <v/>
      </c>
      <c r="N1651" s="4" t="str">
        <f>HYPERLINK("http://141.218.60.56/~jnz1568/getInfo.php?workbook=16_15.xlsx&amp;sheet=A0&amp;row=1651&amp;col=14&amp;number=&amp;sourceID=53","")</f>
        <v/>
      </c>
      <c r="O1651" s="4" t="str">
        <f>HYPERLINK("http://141.218.60.56/~jnz1568/getInfo.php?workbook=16_15.xlsx&amp;sheet=A0&amp;row=1651&amp;col=15&amp;number=&amp;sourceID=55","")</f>
        <v/>
      </c>
      <c r="P1651" s="4" t="str">
        <f>HYPERLINK("http://141.218.60.56/~jnz1568/getInfo.php?workbook=16_15.xlsx&amp;sheet=A0&amp;row=1651&amp;col=16&amp;number=&amp;sourceID=55","")</f>
        <v/>
      </c>
      <c r="Q1651" s="4" t="str">
        <f>HYPERLINK("http://141.218.60.56/~jnz1568/getInfo.php?workbook=16_15.xlsx&amp;sheet=A0&amp;row=1651&amp;col=17&amp;number=&amp;sourceID=56","")</f>
        <v/>
      </c>
      <c r="R1651" s="4" t="str">
        <f>HYPERLINK("http://141.218.60.56/~jnz1568/getInfo.php?workbook=16_15.xlsx&amp;sheet=A0&amp;row=1651&amp;col=18&amp;number=&amp;sourceID=56","")</f>
        <v/>
      </c>
      <c r="S1651" s="4" t="str">
        <f>HYPERLINK("http://141.218.60.56/~jnz1568/getInfo.php?workbook=16_15.xlsx&amp;sheet=A0&amp;row=1651&amp;col=19&amp;number=&amp;sourceID=57","")</f>
        <v/>
      </c>
      <c r="T1651" s="4" t="str">
        <f>HYPERLINK("http://141.218.60.56/~jnz1568/getInfo.php?workbook=16_15.xlsx&amp;sheet=A0&amp;row=1651&amp;col=20&amp;number=&amp;sourceID=57","")</f>
        <v/>
      </c>
      <c r="U1651" s="4" t="str">
        <f>HYPERLINK("http://141.218.60.56/~jnz1568/getInfo.php?workbook=16_15.xlsx&amp;sheet=A0&amp;row=1651&amp;col=21&amp;number=&amp;sourceID=47","")</f>
        <v/>
      </c>
      <c r="V1651" s="4" t="str">
        <f>HYPERLINK("http://141.218.60.56/~jnz1568/getInfo.php?workbook=16_15.xlsx&amp;sheet=A0&amp;row=1651&amp;col=22&amp;number=&amp;sourceID=47","")</f>
        <v/>
      </c>
    </row>
    <row r="1652" spans="1:22">
      <c r="A1652" s="3">
        <v>16</v>
      </c>
      <c r="B1652" s="3">
        <v>15</v>
      </c>
      <c r="C1652" s="3">
        <v>65</v>
      </c>
      <c r="D1652" s="3">
        <v>26</v>
      </c>
      <c r="E1652" s="3">
        <f>((1/(INDEX(E0!J$4:J$73,C1652,1)-INDEX(E0!J$4:J$73,D1652,1))))*100000000</f>
        <v>0</v>
      </c>
      <c r="F1652" s="4" t="str">
        <f>HYPERLINK("http://141.218.60.56/~jnz1568/getInfo.php?workbook=16_15.xlsx&amp;sheet=A0&amp;row=1652&amp;col=6&amp;number=&amp;sourceID=54","")</f>
        <v/>
      </c>
      <c r="G1652" s="4" t="str">
        <f>HYPERLINK("http://141.218.60.56/~jnz1568/getInfo.php?workbook=16_15.xlsx&amp;sheet=A0&amp;row=1652&amp;col=7&amp;number=1.3709&amp;sourceID=54","1.3709")</f>
        <v>1.3709</v>
      </c>
      <c r="H1652" s="4" t="str">
        <f>HYPERLINK("http://141.218.60.56/~jnz1568/getInfo.php?workbook=16_15.xlsx&amp;sheet=A0&amp;row=1652&amp;col=8&amp;number=&amp;sourceID=54","")</f>
        <v/>
      </c>
      <c r="I1652" s="4" t="str">
        <f>HYPERLINK("http://141.218.60.56/~jnz1568/getInfo.php?workbook=16_15.xlsx&amp;sheet=A0&amp;row=1652&amp;col=9&amp;number=&amp;sourceID=54","")</f>
        <v/>
      </c>
      <c r="J1652" s="4" t="str">
        <f>HYPERLINK("http://141.218.60.56/~jnz1568/getInfo.php?workbook=16_15.xlsx&amp;sheet=A0&amp;row=1652&amp;col=10&amp;number=1.2566&amp;sourceID=54","1.2566")</f>
        <v>1.2566</v>
      </c>
      <c r="K1652" s="4" t="str">
        <f>HYPERLINK("http://141.218.60.56/~jnz1568/getInfo.php?workbook=16_15.xlsx&amp;sheet=A0&amp;row=1652&amp;col=11&amp;number=&amp;sourceID=54","")</f>
        <v/>
      </c>
      <c r="L1652" s="4" t="str">
        <f>HYPERLINK("http://141.218.60.56/~jnz1568/getInfo.php?workbook=16_15.xlsx&amp;sheet=A0&amp;row=1652&amp;col=12&amp;number=&amp;sourceID=53","")</f>
        <v/>
      </c>
      <c r="M1652" s="4" t="str">
        <f>HYPERLINK("http://141.218.60.56/~jnz1568/getInfo.php?workbook=16_15.xlsx&amp;sheet=A0&amp;row=1652&amp;col=13&amp;number=&amp;sourceID=53","")</f>
        <v/>
      </c>
      <c r="N1652" s="4" t="str">
        <f>HYPERLINK("http://141.218.60.56/~jnz1568/getInfo.php?workbook=16_15.xlsx&amp;sheet=A0&amp;row=1652&amp;col=14&amp;number=&amp;sourceID=53","")</f>
        <v/>
      </c>
      <c r="O1652" s="4" t="str">
        <f>HYPERLINK("http://141.218.60.56/~jnz1568/getInfo.php?workbook=16_15.xlsx&amp;sheet=A0&amp;row=1652&amp;col=15&amp;number=&amp;sourceID=55","")</f>
        <v/>
      </c>
      <c r="P1652" s="4" t="str">
        <f>HYPERLINK("http://141.218.60.56/~jnz1568/getInfo.php?workbook=16_15.xlsx&amp;sheet=A0&amp;row=1652&amp;col=16&amp;number=&amp;sourceID=55","")</f>
        <v/>
      </c>
      <c r="Q1652" s="4" t="str">
        <f>HYPERLINK("http://141.218.60.56/~jnz1568/getInfo.php?workbook=16_15.xlsx&amp;sheet=A0&amp;row=1652&amp;col=17&amp;number=&amp;sourceID=56","")</f>
        <v/>
      </c>
      <c r="R1652" s="4" t="str">
        <f>HYPERLINK("http://141.218.60.56/~jnz1568/getInfo.php?workbook=16_15.xlsx&amp;sheet=A0&amp;row=1652&amp;col=18&amp;number=&amp;sourceID=56","")</f>
        <v/>
      </c>
      <c r="S1652" s="4" t="str">
        <f>HYPERLINK("http://141.218.60.56/~jnz1568/getInfo.php?workbook=16_15.xlsx&amp;sheet=A0&amp;row=1652&amp;col=19&amp;number=&amp;sourceID=57","")</f>
        <v/>
      </c>
      <c r="T1652" s="4" t="str">
        <f>HYPERLINK("http://141.218.60.56/~jnz1568/getInfo.php?workbook=16_15.xlsx&amp;sheet=A0&amp;row=1652&amp;col=20&amp;number=&amp;sourceID=57","")</f>
        <v/>
      </c>
      <c r="U1652" s="4" t="str">
        <f>HYPERLINK("http://141.218.60.56/~jnz1568/getInfo.php?workbook=16_15.xlsx&amp;sheet=A0&amp;row=1652&amp;col=21&amp;number=&amp;sourceID=47","")</f>
        <v/>
      </c>
      <c r="V1652" s="4" t="str">
        <f>HYPERLINK("http://141.218.60.56/~jnz1568/getInfo.php?workbook=16_15.xlsx&amp;sheet=A0&amp;row=1652&amp;col=22&amp;number=&amp;sourceID=47","")</f>
        <v/>
      </c>
    </row>
    <row r="1653" spans="1:22">
      <c r="A1653" s="3">
        <v>16</v>
      </c>
      <c r="B1653" s="3">
        <v>15</v>
      </c>
      <c r="C1653" s="3">
        <v>65</v>
      </c>
      <c r="D1653" s="3">
        <v>28</v>
      </c>
      <c r="E1653" s="3">
        <f>((1/(INDEX(E0!J$4:J$73,C1653,1)-INDEX(E0!J$4:J$73,D1653,1))))*100000000</f>
        <v>0</v>
      </c>
      <c r="F1653" s="4" t="str">
        <f>HYPERLINK("http://141.218.60.56/~jnz1568/getInfo.php?workbook=16_15.xlsx&amp;sheet=A0&amp;row=1653&amp;col=6&amp;number=&amp;sourceID=54","")</f>
        <v/>
      </c>
      <c r="G1653" s="4" t="str">
        <f>HYPERLINK("http://141.218.60.56/~jnz1568/getInfo.php?workbook=16_15.xlsx&amp;sheet=A0&amp;row=1653&amp;col=7&amp;number=&amp;sourceID=54","")</f>
        <v/>
      </c>
      <c r="H1653" s="4" t="str">
        <f>HYPERLINK("http://141.218.60.56/~jnz1568/getInfo.php?workbook=16_15.xlsx&amp;sheet=A0&amp;row=1653&amp;col=8&amp;number=0.016226&amp;sourceID=54","0.016226")</f>
        <v>0.016226</v>
      </c>
      <c r="I1653" s="4" t="str">
        <f>HYPERLINK("http://141.218.60.56/~jnz1568/getInfo.php?workbook=16_15.xlsx&amp;sheet=A0&amp;row=1653&amp;col=9&amp;number=&amp;sourceID=54","")</f>
        <v/>
      </c>
      <c r="J1653" s="4" t="str">
        <f>HYPERLINK("http://141.218.60.56/~jnz1568/getInfo.php?workbook=16_15.xlsx&amp;sheet=A0&amp;row=1653&amp;col=10&amp;number=&amp;sourceID=54","")</f>
        <v/>
      </c>
      <c r="K1653" s="4" t="str">
        <f>HYPERLINK("http://141.218.60.56/~jnz1568/getInfo.php?workbook=16_15.xlsx&amp;sheet=A0&amp;row=1653&amp;col=11&amp;number=0.014465&amp;sourceID=54","0.014465")</f>
        <v>0.014465</v>
      </c>
      <c r="L1653" s="4" t="str">
        <f>HYPERLINK("http://141.218.60.56/~jnz1568/getInfo.php?workbook=16_15.xlsx&amp;sheet=A0&amp;row=1653&amp;col=12&amp;number=&amp;sourceID=53","")</f>
        <v/>
      </c>
      <c r="M1653" s="4" t="str">
        <f>HYPERLINK("http://141.218.60.56/~jnz1568/getInfo.php?workbook=16_15.xlsx&amp;sheet=A0&amp;row=1653&amp;col=13&amp;number=&amp;sourceID=53","")</f>
        <v/>
      </c>
      <c r="N1653" s="4" t="str">
        <f>HYPERLINK("http://141.218.60.56/~jnz1568/getInfo.php?workbook=16_15.xlsx&amp;sheet=A0&amp;row=1653&amp;col=14&amp;number=&amp;sourceID=53","")</f>
        <v/>
      </c>
      <c r="O1653" s="4" t="str">
        <f>HYPERLINK("http://141.218.60.56/~jnz1568/getInfo.php?workbook=16_15.xlsx&amp;sheet=A0&amp;row=1653&amp;col=15&amp;number=&amp;sourceID=55","")</f>
        <v/>
      </c>
      <c r="P1653" s="4" t="str">
        <f>HYPERLINK("http://141.218.60.56/~jnz1568/getInfo.php?workbook=16_15.xlsx&amp;sheet=A0&amp;row=1653&amp;col=16&amp;number=&amp;sourceID=55","")</f>
        <v/>
      </c>
      <c r="Q1653" s="4" t="str">
        <f>HYPERLINK("http://141.218.60.56/~jnz1568/getInfo.php?workbook=16_15.xlsx&amp;sheet=A0&amp;row=1653&amp;col=17&amp;number=&amp;sourceID=56","")</f>
        <v/>
      </c>
      <c r="R1653" s="4" t="str">
        <f>HYPERLINK("http://141.218.60.56/~jnz1568/getInfo.php?workbook=16_15.xlsx&amp;sheet=A0&amp;row=1653&amp;col=18&amp;number=&amp;sourceID=56","")</f>
        <v/>
      </c>
      <c r="S1653" s="4" t="str">
        <f>HYPERLINK("http://141.218.60.56/~jnz1568/getInfo.php?workbook=16_15.xlsx&amp;sheet=A0&amp;row=1653&amp;col=19&amp;number=&amp;sourceID=57","")</f>
        <v/>
      </c>
      <c r="T1653" s="4" t="str">
        <f>HYPERLINK("http://141.218.60.56/~jnz1568/getInfo.php?workbook=16_15.xlsx&amp;sheet=A0&amp;row=1653&amp;col=20&amp;number=&amp;sourceID=57","")</f>
        <v/>
      </c>
      <c r="U1653" s="4" t="str">
        <f>HYPERLINK("http://141.218.60.56/~jnz1568/getInfo.php?workbook=16_15.xlsx&amp;sheet=A0&amp;row=1653&amp;col=21&amp;number=&amp;sourceID=47","")</f>
        <v/>
      </c>
      <c r="V1653" s="4" t="str">
        <f>HYPERLINK("http://141.218.60.56/~jnz1568/getInfo.php?workbook=16_15.xlsx&amp;sheet=A0&amp;row=1653&amp;col=22&amp;number=&amp;sourceID=47","")</f>
        <v/>
      </c>
    </row>
    <row r="1654" spans="1:22">
      <c r="A1654" s="3">
        <v>16</v>
      </c>
      <c r="B1654" s="3">
        <v>15</v>
      </c>
      <c r="C1654" s="3">
        <v>65</v>
      </c>
      <c r="D1654" s="3">
        <v>29</v>
      </c>
      <c r="E1654" s="3">
        <f>((1/(INDEX(E0!J$4:J$73,C1654,1)-INDEX(E0!J$4:J$73,D1654,1))))*100000000</f>
        <v>0</v>
      </c>
      <c r="F1654" s="4" t="str">
        <f>HYPERLINK("http://141.218.60.56/~jnz1568/getInfo.php?workbook=16_15.xlsx&amp;sheet=A0&amp;row=1654&amp;col=6&amp;number=&amp;sourceID=54","")</f>
        <v/>
      </c>
      <c r="G1654" s="4" t="str">
        <f>HYPERLINK("http://141.218.60.56/~jnz1568/getInfo.php?workbook=16_15.xlsx&amp;sheet=A0&amp;row=1654&amp;col=7&amp;number=3.5448&amp;sourceID=54","3.5448")</f>
        <v>3.5448</v>
      </c>
      <c r="H1654" s="4" t="str">
        <f>HYPERLINK("http://141.218.60.56/~jnz1568/getInfo.php?workbook=16_15.xlsx&amp;sheet=A0&amp;row=1654&amp;col=8&amp;number=0.0006471&amp;sourceID=54","0.0006471")</f>
        <v>0.0006471</v>
      </c>
      <c r="I1654" s="4" t="str">
        <f>HYPERLINK("http://141.218.60.56/~jnz1568/getInfo.php?workbook=16_15.xlsx&amp;sheet=A0&amp;row=1654&amp;col=9&amp;number=&amp;sourceID=54","")</f>
        <v/>
      </c>
      <c r="J1654" s="4" t="str">
        <f>HYPERLINK("http://141.218.60.56/~jnz1568/getInfo.php?workbook=16_15.xlsx&amp;sheet=A0&amp;row=1654&amp;col=10&amp;number=3.0389&amp;sourceID=54","3.0389")</f>
        <v>3.0389</v>
      </c>
      <c r="K1654" s="4" t="str">
        <f>HYPERLINK("http://141.218.60.56/~jnz1568/getInfo.php?workbook=16_15.xlsx&amp;sheet=A0&amp;row=1654&amp;col=11&amp;number=0.00059227&amp;sourceID=54","0.00059227")</f>
        <v>0.00059227</v>
      </c>
      <c r="L1654" s="4" t="str">
        <f>HYPERLINK("http://141.218.60.56/~jnz1568/getInfo.php?workbook=16_15.xlsx&amp;sheet=A0&amp;row=1654&amp;col=12&amp;number=&amp;sourceID=53","")</f>
        <v/>
      </c>
      <c r="M1654" s="4" t="str">
        <f>HYPERLINK("http://141.218.60.56/~jnz1568/getInfo.php?workbook=16_15.xlsx&amp;sheet=A0&amp;row=1654&amp;col=13&amp;number=&amp;sourceID=53","")</f>
        <v/>
      </c>
      <c r="N1654" s="4" t="str">
        <f>HYPERLINK("http://141.218.60.56/~jnz1568/getInfo.php?workbook=16_15.xlsx&amp;sheet=A0&amp;row=1654&amp;col=14&amp;number=&amp;sourceID=53","")</f>
        <v/>
      </c>
      <c r="O1654" s="4" t="str">
        <f>HYPERLINK("http://141.218.60.56/~jnz1568/getInfo.php?workbook=16_15.xlsx&amp;sheet=A0&amp;row=1654&amp;col=15&amp;number=&amp;sourceID=55","")</f>
        <v/>
      </c>
      <c r="P1654" s="4" t="str">
        <f>HYPERLINK("http://141.218.60.56/~jnz1568/getInfo.php?workbook=16_15.xlsx&amp;sheet=A0&amp;row=1654&amp;col=16&amp;number=&amp;sourceID=55","")</f>
        <v/>
      </c>
      <c r="Q1654" s="4" t="str">
        <f>HYPERLINK("http://141.218.60.56/~jnz1568/getInfo.php?workbook=16_15.xlsx&amp;sheet=A0&amp;row=1654&amp;col=17&amp;number=&amp;sourceID=56","")</f>
        <v/>
      </c>
      <c r="R1654" s="4" t="str">
        <f>HYPERLINK("http://141.218.60.56/~jnz1568/getInfo.php?workbook=16_15.xlsx&amp;sheet=A0&amp;row=1654&amp;col=18&amp;number=&amp;sourceID=56","")</f>
        <v/>
      </c>
      <c r="S1654" s="4" t="str">
        <f>HYPERLINK("http://141.218.60.56/~jnz1568/getInfo.php?workbook=16_15.xlsx&amp;sheet=A0&amp;row=1654&amp;col=19&amp;number=&amp;sourceID=57","")</f>
        <v/>
      </c>
      <c r="T1654" s="4" t="str">
        <f>HYPERLINK("http://141.218.60.56/~jnz1568/getInfo.php?workbook=16_15.xlsx&amp;sheet=A0&amp;row=1654&amp;col=20&amp;number=&amp;sourceID=57","")</f>
        <v/>
      </c>
      <c r="U1654" s="4" t="str">
        <f>HYPERLINK("http://141.218.60.56/~jnz1568/getInfo.php?workbook=16_15.xlsx&amp;sheet=A0&amp;row=1654&amp;col=21&amp;number=&amp;sourceID=47","")</f>
        <v/>
      </c>
      <c r="V1654" s="4" t="str">
        <f>HYPERLINK("http://141.218.60.56/~jnz1568/getInfo.php?workbook=16_15.xlsx&amp;sheet=A0&amp;row=1654&amp;col=22&amp;number=&amp;sourceID=47","")</f>
        <v/>
      </c>
    </row>
    <row r="1655" spans="1:22">
      <c r="A1655" s="3">
        <v>16</v>
      </c>
      <c r="B1655" s="3">
        <v>15</v>
      </c>
      <c r="C1655" s="3">
        <v>65</v>
      </c>
      <c r="D1655" s="3">
        <v>30</v>
      </c>
      <c r="E1655" s="3">
        <f>((1/(INDEX(E0!J$4:J$73,C1655,1)-INDEX(E0!J$4:J$73,D1655,1))))*100000000</f>
        <v>0</v>
      </c>
      <c r="F1655" s="4" t="str">
        <f>HYPERLINK("http://141.218.60.56/~jnz1568/getInfo.php?workbook=16_15.xlsx&amp;sheet=A0&amp;row=1655&amp;col=6&amp;number=&amp;sourceID=54","")</f>
        <v/>
      </c>
      <c r="G1655" s="4" t="str">
        <f>HYPERLINK("http://141.218.60.56/~jnz1568/getInfo.php?workbook=16_15.xlsx&amp;sheet=A0&amp;row=1655&amp;col=7&amp;number=2.5516&amp;sourceID=54","2.5516")</f>
        <v>2.5516</v>
      </c>
      <c r="H1655" s="4" t="str">
        <f>HYPERLINK("http://141.218.60.56/~jnz1568/getInfo.php?workbook=16_15.xlsx&amp;sheet=A0&amp;row=1655&amp;col=8&amp;number=&amp;sourceID=54","")</f>
        <v/>
      </c>
      <c r="I1655" s="4" t="str">
        <f>HYPERLINK("http://141.218.60.56/~jnz1568/getInfo.php?workbook=16_15.xlsx&amp;sheet=A0&amp;row=1655&amp;col=9&amp;number=&amp;sourceID=54","")</f>
        <v/>
      </c>
      <c r="J1655" s="4" t="str">
        <f>HYPERLINK("http://141.218.60.56/~jnz1568/getInfo.php?workbook=16_15.xlsx&amp;sheet=A0&amp;row=1655&amp;col=10&amp;number=2.1638&amp;sourceID=54","2.1638")</f>
        <v>2.1638</v>
      </c>
      <c r="K1655" s="4" t="str">
        <f>HYPERLINK("http://141.218.60.56/~jnz1568/getInfo.php?workbook=16_15.xlsx&amp;sheet=A0&amp;row=1655&amp;col=11&amp;number=&amp;sourceID=54","")</f>
        <v/>
      </c>
      <c r="L1655" s="4" t="str">
        <f>HYPERLINK("http://141.218.60.56/~jnz1568/getInfo.php?workbook=16_15.xlsx&amp;sheet=A0&amp;row=1655&amp;col=12&amp;number=&amp;sourceID=53","")</f>
        <v/>
      </c>
      <c r="M1655" s="4" t="str">
        <f>HYPERLINK("http://141.218.60.56/~jnz1568/getInfo.php?workbook=16_15.xlsx&amp;sheet=A0&amp;row=1655&amp;col=13&amp;number=&amp;sourceID=53","")</f>
        <v/>
      </c>
      <c r="N1655" s="4" t="str">
        <f>HYPERLINK("http://141.218.60.56/~jnz1568/getInfo.php?workbook=16_15.xlsx&amp;sheet=A0&amp;row=1655&amp;col=14&amp;number=&amp;sourceID=53","")</f>
        <v/>
      </c>
      <c r="O1655" s="4" t="str">
        <f>HYPERLINK("http://141.218.60.56/~jnz1568/getInfo.php?workbook=16_15.xlsx&amp;sheet=A0&amp;row=1655&amp;col=15&amp;number=&amp;sourceID=55","")</f>
        <v/>
      </c>
      <c r="P1655" s="4" t="str">
        <f>HYPERLINK("http://141.218.60.56/~jnz1568/getInfo.php?workbook=16_15.xlsx&amp;sheet=A0&amp;row=1655&amp;col=16&amp;number=&amp;sourceID=55","")</f>
        <v/>
      </c>
      <c r="Q1655" s="4" t="str">
        <f>HYPERLINK("http://141.218.60.56/~jnz1568/getInfo.php?workbook=16_15.xlsx&amp;sheet=A0&amp;row=1655&amp;col=17&amp;number=&amp;sourceID=56","")</f>
        <v/>
      </c>
      <c r="R1655" s="4" t="str">
        <f>HYPERLINK("http://141.218.60.56/~jnz1568/getInfo.php?workbook=16_15.xlsx&amp;sheet=A0&amp;row=1655&amp;col=18&amp;number=&amp;sourceID=56","")</f>
        <v/>
      </c>
      <c r="S1655" s="4" t="str">
        <f>HYPERLINK("http://141.218.60.56/~jnz1568/getInfo.php?workbook=16_15.xlsx&amp;sheet=A0&amp;row=1655&amp;col=19&amp;number=&amp;sourceID=57","")</f>
        <v/>
      </c>
      <c r="T1655" s="4" t="str">
        <f>HYPERLINK("http://141.218.60.56/~jnz1568/getInfo.php?workbook=16_15.xlsx&amp;sheet=A0&amp;row=1655&amp;col=20&amp;number=&amp;sourceID=57","")</f>
        <v/>
      </c>
      <c r="U1655" s="4" t="str">
        <f>HYPERLINK("http://141.218.60.56/~jnz1568/getInfo.php?workbook=16_15.xlsx&amp;sheet=A0&amp;row=1655&amp;col=21&amp;number=&amp;sourceID=47","")</f>
        <v/>
      </c>
      <c r="V1655" s="4" t="str">
        <f>HYPERLINK("http://141.218.60.56/~jnz1568/getInfo.php?workbook=16_15.xlsx&amp;sheet=A0&amp;row=1655&amp;col=22&amp;number=&amp;sourceID=47","")</f>
        <v/>
      </c>
    </row>
    <row r="1656" spans="1:22">
      <c r="A1656" s="3">
        <v>16</v>
      </c>
      <c r="B1656" s="3">
        <v>15</v>
      </c>
      <c r="C1656" s="3">
        <v>65</v>
      </c>
      <c r="D1656" s="3">
        <v>31</v>
      </c>
      <c r="E1656" s="3">
        <f>((1/(INDEX(E0!J$4:J$73,C1656,1)-INDEX(E0!J$4:J$73,D1656,1))))*100000000</f>
        <v>0</v>
      </c>
      <c r="F1656" s="4" t="str">
        <f>HYPERLINK("http://141.218.60.56/~jnz1568/getInfo.php?workbook=16_15.xlsx&amp;sheet=A0&amp;row=1656&amp;col=6&amp;number=49470000&amp;sourceID=54","49470000")</f>
        <v>49470000</v>
      </c>
      <c r="G1656" s="4" t="str">
        <f>HYPERLINK("http://141.218.60.56/~jnz1568/getInfo.php?workbook=16_15.xlsx&amp;sheet=A0&amp;row=1656&amp;col=7&amp;number=&amp;sourceID=54","")</f>
        <v/>
      </c>
      <c r="H1656" s="4" t="str">
        <f>HYPERLINK("http://141.218.60.56/~jnz1568/getInfo.php?workbook=16_15.xlsx&amp;sheet=A0&amp;row=1656&amp;col=8&amp;number=&amp;sourceID=54","")</f>
        <v/>
      </c>
      <c r="I1656" s="4" t="str">
        <f>HYPERLINK("http://141.218.60.56/~jnz1568/getInfo.php?workbook=16_15.xlsx&amp;sheet=A0&amp;row=1656&amp;col=9&amp;number=42949000&amp;sourceID=54","42949000")</f>
        <v>42949000</v>
      </c>
      <c r="J1656" s="4" t="str">
        <f>HYPERLINK("http://141.218.60.56/~jnz1568/getInfo.php?workbook=16_15.xlsx&amp;sheet=A0&amp;row=1656&amp;col=10&amp;number=&amp;sourceID=54","")</f>
        <v/>
      </c>
      <c r="K1656" s="4" t="str">
        <f>HYPERLINK("http://141.218.60.56/~jnz1568/getInfo.php?workbook=16_15.xlsx&amp;sheet=A0&amp;row=1656&amp;col=11&amp;number=&amp;sourceID=54","")</f>
        <v/>
      </c>
      <c r="L1656" s="4" t="str">
        <f>HYPERLINK("http://141.218.60.56/~jnz1568/getInfo.php?workbook=16_15.xlsx&amp;sheet=A0&amp;row=1656&amp;col=12&amp;number=37885964.1087&amp;sourceID=53","37885964.1087")</f>
        <v>37885964.1087</v>
      </c>
      <c r="M1656" s="4" t="str">
        <f>HYPERLINK("http://141.218.60.56/~jnz1568/getInfo.php?workbook=16_15.xlsx&amp;sheet=A0&amp;row=1656&amp;col=13&amp;number=&amp;sourceID=53","")</f>
        <v/>
      </c>
      <c r="N1656" s="4" t="str">
        <f>HYPERLINK("http://141.218.60.56/~jnz1568/getInfo.php?workbook=16_15.xlsx&amp;sheet=A0&amp;row=1656&amp;col=14&amp;number=&amp;sourceID=53","")</f>
        <v/>
      </c>
      <c r="O1656" s="4" t="str">
        <f>HYPERLINK("http://141.218.60.56/~jnz1568/getInfo.php?workbook=16_15.xlsx&amp;sheet=A0&amp;row=1656&amp;col=15&amp;number=&amp;sourceID=55","")</f>
        <v/>
      </c>
      <c r="P1656" s="4" t="str">
        <f>HYPERLINK("http://141.218.60.56/~jnz1568/getInfo.php?workbook=16_15.xlsx&amp;sheet=A0&amp;row=1656&amp;col=16&amp;number=&amp;sourceID=55","")</f>
        <v/>
      </c>
      <c r="Q1656" s="4" t="str">
        <f>HYPERLINK("http://141.218.60.56/~jnz1568/getInfo.php?workbook=16_15.xlsx&amp;sheet=A0&amp;row=1656&amp;col=17&amp;number=&amp;sourceID=56","")</f>
        <v/>
      </c>
      <c r="R1656" s="4" t="str">
        <f>HYPERLINK("http://141.218.60.56/~jnz1568/getInfo.php?workbook=16_15.xlsx&amp;sheet=A0&amp;row=1656&amp;col=18&amp;number=&amp;sourceID=56","")</f>
        <v/>
      </c>
      <c r="S1656" s="4" t="str">
        <f>HYPERLINK("http://141.218.60.56/~jnz1568/getInfo.php?workbook=16_15.xlsx&amp;sheet=A0&amp;row=1656&amp;col=19&amp;number=&amp;sourceID=57","")</f>
        <v/>
      </c>
      <c r="T1656" s="4" t="str">
        <f>HYPERLINK("http://141.218.60.56/~jnz1568/getInfo.php?workbook=16_15.xlsx&amp;sheet=A0&amp;row=1656&amp;col=20&amp;number=&amp;sourceID=57","")</f>
        <v/>
      </c>
      <c r="U1656" s="4" t="str">
        <f>HYPERLINK("http://141.218.60.56/~jnz1568/getInfo.php?workbook=16_15.xlsx&amp;sheet=A0&amp;row=1656&amp;col=21&amp;number=&amp;sourceID=47","")</f>
        <v/>
      </c>
      <c r="V1656" s="4" t="str">
        <f>HYPERLINK("http://141.218.60.56/~jnz1568/getInfo.php?workbook=16_15.xlsx&amp;sheet=A0&amp;row=1656&amp;col=22&amp;number=&amp;sourceID=47","")</f>
        <v/>
      </c>
    </row>
    <row r="1657" spans="1:22">
      <c r="A1657" s="3">
        <v>16</v>
      </c>
      <c r="B1657" s="3">
        <v>15</v>
      </c>
      <c r="C1657" s="3">
        <v>65</v>
      </c>
      <c r="D1657" s="3">
        <v>34</v>
      </c>
      <c r="E1657" s="3">
        <f>((1/(INDEX(E0!J$4:J$73,C1657,1)-INDEX(E0!J$4:J$73,D1657,1))))*100000000</f>
        <v>0</v>
      </c>
      <c r="F1657" s="4" t="str">
        <f>HYPERLINK("http://141.218.60.56/~jnz1568/getInfo.php?workbook=16_15.xlsx&amp;sheet=A0&amp;row=1657&amp;col=6&amp;number=82138&amp;sourceID=54","82138")</f>
        <v>82138</v>
      </c>
      <c r="G1657" s="4" t="str">
        <f>HYPERLINK("http://141.218.60.56/~jnz1568/getInfo.php?workbook=16_15.xlsx&amp;sheet=A0&amp;row=1657&amp;col=7&amp;number=&amp;sourceID=54","")</f>
        <v/>
      </c>
      <c r="H1657" s="4" t="str">
        <f>HYPERLINK("http://141.218.60.56/~jnz1568/getInfo.php?workbook=16_15.xlsx&amp;sheet=A0&amp;row=1657&amp;col=8&amp;number=&amp;sourceID=54","")</f>
        <v/>
      </c>
      <c r="I1657" s="4" t="str">
        <f>HYPERLINK("http://141.218.60.56/~jnz1568/getInfo.php?workbook=16_15.xlsx&amp;sheet=A0&amp;row=1657&amp;col=9&amp;number=73062&amp;sourceID=54","73062")</f>
        <v>73062</v>
      </c>
      <c r="J1657" s="4" t="str">
        <f>HYPERLINK("http://141.218.60.56/~jnz1568/getInfo.php?workbook=16_15.xlsx&amp;sheet=A0&amp;row=1657&amp;col=10&amp;number=&amp;sourceID=54","")</f>
        <v/>
      </c>
      <c r="K1657" s="4" t="str">
        <f>HYPERLINK("http://141.218.60.56/~jnz1568/getInfo.php?workbook=16_15.xlsx&amp;sheet=A0&amp;row=1657&amp;col=11&amp;number=&amp;sourceID=54","")</f>
        <v/>
      </c>
      <c r="L1657" s="4" t="str">
        <f>HYPERLINK("http://141.218.60.56/~jnz1568/getInfo.php?workbook=16_15.xlsx&amp;sheet=A0&amp;row=1657&amp;col=12&amp;number=113838.155111&amp;sourceID=53","113838.155111")</f>
        <v>113838.155111</v>
      </c>
      <c r="M1657" s="4" t="str">
        <f>HYPERLINK("http://141.218.60.56/~jnz1568/getInfo.php?workbook=16_15.xlsx&amp;sheet=A0&amp;row=1657&amp;col=13&amp;number=&amp;sourceID=53","")</f>
        <v/>
      </c>
      <c r="N1657" s="4" t="str">
        <f>HYPERLINK("http://141.218.60.56/~jnz1568/getInfo.php?workbook=16_15.xlsx&amp;sheet=A0&amp;row=1657&amp;col=14&amp;number=&amp;sourceID=53","")</f>
        <v/>
      </c>
      <c r="O1657" s="4" t="str">
        <f>HYPERLINK("http://141.218.60.56/~jnz1568/getInfo.php?workbook=16_15.xlsx&amp;sheet=A0&amp;row=1657&amp;col=15&amp;number=&amp;sourceID=55","")</f>
        <v/>
      </c>
      <c r="P1657" s="4" t="str">
        <f>HYPERLINK("http://141.218.60.56/~jnz1568/getInfo.php?workbook=16_15.xlsx&amp;sheet=A0&amp;row=1657&amp;col=16&amp;number=&amp;sourceID=55","")</f>
        <v/>
      </c>
      <c r="Q1657" s="4" t="str">
        <f>HYPERLINK("http://141.218.60.56/~jnz1568/getInfo.php?workbook=16_15.xlsx&amp;sheet=A0&amp;row=1657&amp;col=17&amp;number=&amp;sourceID=56","")</f>
        <v/>
      </c>
      <c r="R1657" s="4" t="str">
        <f>HYPERLINK("http://141.218.60.56/~jnz1568/getInfo.php?workbook=16_15.xlsx&amp;sheet=A0&amp;row=1657&amp;col=18&amp;number=&amp;sourceID=56","")</f>
        <v/>
      </c>
      <c r="S1657" s="4" t="str">
        <f>HYPERLINK("http://141.218.60.56/~jnz1568/getInfo.php?workbook=16_15.xlsx&amp;sheet=A0&amp;row=1657&amp;col=19&amp;number=&amp;sourceID=57","")</f>
        <v/>
      </c>
      <c r="T1657" s="4" t="str">
        <f>HYPERLINK("http://141.218.60.56/~jnz1568/getInfo.php?workbook=16_15.xlsx&amp;sheet=A0&amp;row=1657&amp;col=20&amp;number=&amp;sourceID=57","")</f>
        <v/>
      </c>
      <c r="U1657" s="4" t="str">
        <f>HYPERLINK("http://141.218.60.56/~jnz1568/getInfo.php?workbook=16_15.xlsx&amp;sheet=A0&amp;row=1657&amp;col=21&amp;number=&amp;sourceID=47","")</f>
        <v/>
      </c>
      <c r="V1657" s="4" t="str">
        <f>HYPERLINK("http://141.218.60.56/~jnz1568/getInfo.php?workbook=16_15.xlsx&amp;sheet=A0&amp;row=1657&amp;col=22&amp;number=&amp;sourceID=47","")</f>
        <v/>
      </c>
    </row>
    <row r="1658" spans="1:22">
      <c r="A1658" s="3">
        <v>16</v>
      </c>
      <c r="B1658" s="3">
        <v>15</v>
      </c>
      <c r="C1658" s="3">
        <v>65</v>
      </c>
      <c r="D1658" s="3">
        <v>35</v>
      </c>
      <c r="E1658" s="3">
        <f>((1/(INDEX(E0!J$4:J$73,C1658,1)-INDEX(E0!J$4:J$73,D1658,1))))*100000000</f>
        <v>0</v>
      </c>
      <c r="F1658" s="4" t="str">
        <f>HYPERLINK("http://141.218.60.56/~jnz1568/getInfo.php?workbook=16_15.xlsx&amp;sheet=A0&amp;row=1658&amp;col=6&amp;number=11270&amp;sourceID=54","11270")</f>
        <v>11270</v>
      </c>
      <c r="G1658" s="4" t="str">
        <f>HYPERLINK("http://141.218.60.56/~jnz1568/getInfo.php?workbook=16_15.xlsx&amp;sheet=A0&amp;row=1658&amp;col=7&amp;number=&amp;sourceID=54","")</f>
        <v/>
      </c>
      <c r="H1658" s="4" t="str">
        <f>HYPERLINK("http://141.218.60.56/~jnz1568/getInfo.php?workbook=16_15.xlsx&amp;sheet=A0&amp;row=1658&amp;col=8&amp;number=&amp;sourceID=54","")</f>
        <v/>
      </c>
      <c r="I1658" s="4" t="str">
        <f>HYPERLINK("http://141.218.60.56/~jnz1568/getInfo.php?workbook=16_15.xlsx&amp;sheet=A0&amp;row=1658&amp;col=9&amp;number=10113&amp;sourceID=54","10113")</f>
        <v>10113</v>
      </c>
      <c r="J1658" s="4" t="str">
        <f>HYPERLINK("http://141.218.60.56/~jnz1568/getInfo.php?workbook=16_15.xlsx&amp;sheet=A0&amp;row=1658&amp;col=10&amp;number=&amp;sourceID=54","")</f>
        <v/>
      </c>
      <c r="K1658" s="4" t="str">
        <f>HYPERLINK("http://141.218.60.56/~jnz1568/getInfo.php?workbook=16_15.xlsx&amp;sheet=A0&amp;row=1658&amp;col=11&amp;number=&amp;sourceID=54","")</f>
        <v/>
      </c>
      <c r="L1658" s="4" t="str">
        <f>HYPERLINK("http://141.218.60.56/~jnz1568/getInfo.php?workbook=16_15.xlsx&amp;sheet=A0&amp;row=1658&amp;col=12&amp;number=11390.6337034&amp;sourceID=53","11390.6337034")</f>
        <v>11390.6337034</v>
      </c>
      <c r="M1658" s="4" t="str">
        <f>HYPERLINK("http://141.218.60.56/~jnz1568/getInfo.php?workbook=16_15.xlsx&amp;sheet=A0&amp;row=1658&amp;col=13&amp;number=&amp;sourceID=53","")</f>
        <v/>
      </c>
      <c r="N1658" s="4" t="str">
        <f>HYPERLINK("http://141.218.60.56/~jnz1568/getInfo.php?workbook=16_15.xlsx&amp;sheet=A0&amp;row=1658&amp;col=14&amp;number=&amp;sourceID=53","")</f>
        <v/>
      </c>
      <c r="O1658" s="4" t="str">
        <f>HYPERLINK("http://141.218.60.56/~jnz1568/getInfo.php?workbook=16_15.xlsx&amp;sheet=A0&amp;row=1658&amp;col=15&amp;number=&amp;sourceID=55","")</f>
        <v/>
      </c>
      <c r="P1658" s="4" t="str">
        <f>HYPERLINK("http://141.218.60.56/~jnz1568/getInfo.php?workbook=16_15.xlsx&amp;sheet=A0&amp;row=1658&amp;col=16&amp;number=&amp;sourceID=55","")</f>
        <v/>
      </c>
      <c r="Q1658" s="4" t="str">
        <f>HYPERLINK("http://141.218.60.56/~jnz1568/getInfo.php?workbook=16_15.xlsx&amp;sheet=A0&amp;row=1658&amp;col=17&amp;number=&amp;sourceID=56","")</f>
        <v/>
      </c>
      <c r="R1658" s="4" t="str">
        <f>HYPERLINK("http://141.218.60.56/~jnz1568/getInfo.php?workbook=16_15.xlsx&amp;sheet=A0&amp;row=1658&amp;col=18&amp;number=&amp;sourceID=56","")</f>
        <v/>
      </c>
      <c r="S1658" s="4" t="str">
        <f>HYPERLINK("http://141.218.60.56/~jnz1568/getInfo.php?workbook=16_15.xlsx&amp;sheet=A0&amp;row=1658&amp;col=19&amp;number=&amp;sourceID=57","")</f>
        <v/>
      </c>
      <c r="T1658" s="4" t="str">
        <f>HYPERLINK("http://141.218.60.56/~jnz1568/getInfo.php?workbook=16_15.xlsx&amp;sheet=A0&amp;row=1658&amp;col=20&amp;number=&amp;sourceID=57","")</f>
        <v/>
      </c>
      <c r="U1658" s="4" t="str">
        <f>HYPERLINK("http://141.218.60.56/~jnz1568/getInfo.php?workbook=16_15.xlsx&amp;sheet=A0&amp;row=1658&amp;col=21&amp;number=&amp;sourceID=47","")</f>
        <v/>
      </c>
      <c r="V1658" s="4" t="str">
        <f>HYPERLINK("http://141.218.60.56/~jnz1568/getInfo.php?workbook=16_15.xlsx&amp;sheet=A0&amp;row=1658&amp;col=22&amp;number=&amp;sourceID=47","")</f>
        <v/>
      </c>
    </row>
    <row r="1659" spans="1:22">
      <c r="A1659" s="3">
        <v>16</v>
      </c>
      <c r="B1659" s="3">
        <v>15</v>
      </c>
      <c r="C1659" s="3">
        <v>65</v>
      </c>
      <c r="D1659" s="3">
        <v>38</v>
      </c>
      <c r="E1659" s="3">
        <f>((1/(INDEX(E0!J$4:J$73,C1659,1)-INDEX(E0!J$4:J$73,D1659,1))))*100000000</f>
        <v>0</v>
      </c>
      <c r="F1659" s="4" t="str">
        <f>HYPERLINK("http://141.218.60.56/~jnz1568/getInfo.php?workbook=16_15.xlsx&amp;sheet=A0&amp;row=1659&amp;col=6&amp;number=17493&amp;sourceID=54","17493")</f>
        <v>17493</v>
      </c>
      <c r="G1659" s="4" t="str">
        <f>HYPERLINK("http://141.218.60.56/~jnz1568/getInfo.php?workbook=16_15.xlsx&amp;sheet=A0&amp;row=1659&amp;col=7&amp;number=&amp;sourceID=54","")</f>
        <v/>
      </c>
      <c r="H1659" s="4" t="str">
        <f>HYPERLINK("http://141.218.60.56/~jnz1568/getInfo.php?workbook=16_15.xlsx&amp;sheet=A0&amp;row=1659&amp;col=8&amp;number=&amp;sourceID=54","")</f>
        <v/>
      </c>
      <c r="I1659" s="4" t="str">
        <f>HYPERLINK("http://141.218.60.56/~jnz1568/getInfo.php?workbook=16_15.xlsx&amp;sheet=A0&amp;row=1659&amp;col=9&amp;number=13692&amp;sourceID=54","13692")</f>
        <v>13692</v>
      </c>
      <c r="J1659" s="4" t="str">
        <f>HYPERLINK("http://141.218.60.56/~jnz1568/getInfo.php?workbook=16_15.xlsx&amp;sheet=A0&amp;row=1659&amp;col=10&amp;number=&amp;sourceID=54","")</f>
        <v/>
      </c>
      <c r="K1659" s="4" t="str">
        <f>HYPERLINK("http://141.218.60.56/~jnz1568/getInfo.php?workbook=16_15.xlsx&amp;sheet=A0&amp;row=1659&amp;col=11&amp;number=&amp;sourceID=54","")</f>
        <v/>
      </c>
      <c r="L1659" s="4" t="str">
        <f>HYPERLINK("http://141.218.60.56/~jnz1568/getInfo.php?workbook=16_15.xlsx&amp;sheet=A0&amp;row=1659&amp;col=12&amp;number=244.325939322&amp;sourceID=53","244.325939322")</f>
        <v>244.325939322</v>
      </c>
      <c r="M1659" s="4" t="str">
        <f>HYPERLINK("http://141.218.60.56/~jnz1568/getInfo.php?workbook=16_15.xlsx&amp;sheet=A0&amp;row=1659&amp;col=13&amp;number=&amp;sourceID=53","")</f>
        <v/>
      </c>
      <c r="N1659" s="4" t="str">
        <f>HYPERLINK("http://141.218.60.56/~jnz1568/getInfo.php?workbook=16_15.xlsx&amp;sheet=A0&amp;row=1659&amp;col=14&amp;number=&amp;sourceID=53","")</f>
        <v/>
      </c>
      <c r="O1659" s="4" t="str">
        <f>HYPERLINK("http://141.218.60.56/~jnz1568/getInfo.php?workbook=16_15.xlsx&amp;sheet=A0&amp;row=1659&amp;col=15&amp;number=&amp;sourceID=55","")</f>
        <v/>
      </c>
      <c r="P1659" s="4" t="str">
        <f>HYPERLINK("http://141.218.60.56/~jnz1568/getInfo.php?workbook=16_15.xlsx&amp;sheet=A0&amp;row=1659&amp;col=16&amp;number=&amp;sourceID=55","")</f>
        <v/>
      </c>
      <c r="Q1659" s="4" t="str">
        <f>HYPERLINK("http://141.218.60.56/~jnz1568/getInfo.php?workbook=16_15.xlsx&amp;sheet=A0&amp;row=1659&amp;col=17&amp;number=&amp;sourceID=56","")</f>
        <v/>
      </c>
      <c r="R1659" s="4" t="str">
        <f>HYPERLINK("http://141.218.60.56/~jnz1568/getInfo.php?workbook=16_15.xlsx&amp;sheet=A0&amp;row=1659&amp;col=18&amp;number=&amp;sourceID=56","")</f>
        <v/>
      </c>
      <c r="S1659" s="4" t="str">
        <f>HYPERLINK("http://141.218.60.56/~jnz1568/getInfo.php?workbook=16_15.xlsx&amp;sheet=A0&amp;row=1659&amp;col=19&amp;number=&amp;sourceID=57","")</f>
        <v/>
      </c>
      <c r="T1659" s="4" t="str">
        <f>HYPERLINK("http://141.218.60.56/~jnz1568/getInfo.php?workbook=16_15.xlsx&amp;sheet=A0&amp;row=1659&amp;col=20&amp;number=&amp;sourceID=57","")</f>
        <v/>
      </c>
      <c r="U1659" s="4" t="str">
        <f>HYPERLINK("http://141.218.60.56/~jnz1568/getInfo.php?workbook=16_15.xlsx&amp;sheet=A0&amp;row=1659&amp;col=21&amp;number=&amp;sourceID=47","")</f>
        <v/>
      </c>
      <c r="V1659" s="4" t="str">
        <f>HYPERLINK("http://141.218.60.56/~jnz1568/getInfo.php?workbook=16_15.xlsx&amp;sheet=A0&amp;row=1659&amp;col=22&amp;number=&amp;sourceID=47","")</f>
        <v/>
      </c>
    </row>
    <row r="1660" spans="1:22">
      <c r="A1660" s="3">
        <v>16</v>
      </c>
      <c r="B1660" s="3">
        <v>15</v>
      </c>
      <c r="C1660" s="3">
        <v>65</v>
      </c>
      <c r="D1660" s="3">
        <v>39</v>
      </c>
      <c r="E1660" s="3">
        <f>((1/(INDEX(E0!J$4:J$73,C1660,1)-INDEX(E0!J$4:J$73,D1660,1))))*100000000</f>
        <v>0</v>
      </c>
      <c r="F1660" s="4" t="str">
        <f>HYPERLINK("http://141.218.60.56/~jnz1568/getInfo.php?workbook=16_15.xlsx&amp;sheet=A0&amp;row=1660&amp;col=6&amp;number=17664&amp;sourceID=54","17664")</f>
        <v>17664</v>
      </c>
      <c r="G1660" s="4" t="str">
        <f>HYPERLINK("http://141.218.60.56/~jnz1568/getInfo.php?workbook=16_15.xlsx&amp;sheet=A0&amp;row=1660&amp;col=7&amp;number=&amp;sourceID=54","")</f>
        <v/>
      </c>
      <c r="H1660" s="4" t="str">
        <f>HYPERLINK("http://141.218.60.56/~jnz1568/getInfo.php?workbook=16_15.xlsx&amp;sheet=A0&amp;row=1660&amp;col=8&amp;number=&amp;sourceID=54","")</f>
        <v/>
      </c>
      <c r="I1660" s="4" t="str">
        <f>HYPERLINK("http://141.218.60.56/~jnz1568/getInfo.php?workbook=16_15.xlsx&amp;sheet=A0&amp;row=1660&amp;col=9&amp;number=16184&amp;sourceID=54","16184")</f>
        <v>16184</v>
      </c>
      <c r="J1660" s="4" t="str">
        <f>HYPERLINK("http://141.218.60.56/~jnz1568/getInfo.php?workbook=16_15.xlsx&amp;sheet=A0&amp;row=1660&amp;col=10&amp;number=&amp;sourceID=54","")</f>
        <v/>
      </c>
      <c r="K1660" s="4" t="str">
        <f>HYPERLINK("http://141.218.60.56/~jnz1568/getInfo.php?workbook=16_15.xlsx&amp;sheet=A0&amp;row=1660&amp;col=11&amp;number=&amp;sourceID=54","")</f>
        <v/>
      </c>
      <c r="L1660" s="4" t="str">
        <f>HYPERLINK("http://141.218.60.56/~jnz1568/getInfo.php?workbook=16_15.xlsx&amp;sheet=A0&amp;row=1660&amp;col=12&amp;number=65801.9823748&amp;sourceID=53","65801.9823748")</f>
        <v>65801.9823748</v>
      </c>
      <c r="M1660" s="4" t="str">
        <f>HYPERLINK("http://141.218.60.56/~jnz1568/getInfo.php?workbook=16_15.xlsx&amp;sheet=A0&amp;row=1660&amp;col=13&amp;number=&amp;sourceID=53","")</f>
        <v/>
      </c>
      <c r="N1660" s="4" t="str">
        <f>HYPERLINK("http://141.218.60.56/~jnz1568/getInfo.php?workbook=16_15.xlsx&amp;sheet=A0&amp;row=1660&amp;col=14&amp;number=&amp;sourceID=53","")</f>
        <v/>
      </c>
      <c r="O1660" s="4" t="str">
        <f>HYPERLINK("http://141.218.60.56/~jnz1568/getInfo.php?workbook=16_15.xlsx&amp;sheet=A0&amp;row=1660&amp;col=15&amp;number=&amp;sourceID=55","")</f>
        <v/>
      </c>
      <c r="P1660" s="4" t="str">
        <f>HYPERLINK("http://141.218.60.56/~jnz1568/getInfo.php?workbook=16_15.xlsx&amp;sheet=A0&amp;row=1660&amp;col=16&amp;number=&amp;sourceID=55","")</f>
        <v/>
      </c>
      <c r="Q1660" s="4" t="str">
        <f>HYPERLINK("http://141.218.60.56/~jnz1568/getInfo.php?workbook=16_15.xlsx&amp;sheet=A0&amp;row=1660&amp;col=17&amp;number=&amp;sourceID=56","")</f>
        <v/>
      </c>
      <c r="R1660" s="4" t="str">
        <f>HYPERLINK("http://141.218.60.56/~jnz1568/getInfo.php?workbook=16_15.xlsx&amp;sheet=A0&amp;row=1660&amp;col=18&amp;number=&amp;sourceID=56","")</f>
        <v/>
      </c>
      <c r="S1660" s="4" t="str">
        <f>HYPERLINK("http://141.218.60.56/~jnz1568/getInfo.php?workbook=16_15.xlsx&amp;sheet=A0&amp;row=1660&amp;col=19&amp;number=&amp;sourceID=57","")</f>
        <v/>
      </c>
      <c r="T1660" s="4" t="str">
        <f>HYPERLINK("http://141.218.60.56/~jnz1568/getInfo.php?workbook=16_15.xlsx&amp;sheet=A0&amp;row=1660&amp;col=20&amp;number=&amp;sourceID=57","")</f>
        <v/>
      </c>
      <c r="U1660" s="4" t="str">
        <f>HYPERLINK("http://141.218.60.56/~jnz1568/getInfo.php?workbook=16_15.xlsx&amp;sheet=A0&amp;row=1660&amp;col=21&amp;number=&amp;sourceID=47","")</f>
        <v/>
      </c>
      <c r="V1660" s="4" t="str">
        <f>HYPERLINK("http://141.218.60.56/~jnz1568/getInfo.php?workbook=16_15.xlsx&amp;sheet=A0&amp;row=1660&amp;col=22&amp;number=&amp;sourceID=47","")</f>
        <v/>
      </c>
    </row>
    <row r="1661" spans="1:22">
      <c r="A1661" s="3">
        <v>16</v>
      </c>
      <c r="B1661" s="3">
        <v>15</v>
      </c>
      <c r="C1661" s="3">
        <v>65</v>
      </c>
      <c r="D1661" s="3">
        <v>41</v>
      </c>
      <c r="E1661" s="3">
        <f>((1/(INDEX(E0!J$4:J$73,C1661,1)-INDEX(E0!J$4:J$73,D1661,1))))*100000000</f>
        <v>0</v>
      </c>
      <c r="F1661" s="4" t="str">
        <f>HYPERLINK("http://141.218.60.56/~jnz1568/getInfo.php?workbook=16_15.xlsx&amp;sheet=A0&amp;row=1661&amp;col=6&amp;number=&amp;sourceID=54","")</f>
        <v/>
      </c>
      <c r="G1661" s="4" t="str">
        <f>HYPERLINK("http://141.218.60.56/~jnz1568/getInfo.php?workbook=16_15.xlsx&amp;sheet=A0&amp;row=1661&amp;col=7&amp;number=0.00045886&amp;sourceID=54","0.00045886")</f>
        <v>0.00045886</v>
      </c>
      <c r="H1661" s="4" t="str">
        <f>HYPERLINK("http://141.218.60.56/~jnz1568/getInfo.php?workbook=16_15.xlsx&amp;sheet=A0&amp;row=1661&amp;col=8&amp;number=&amp;sourceID=54","")</f>
        <v/>
      </c>
      <c r="I1661" s="4" t="str">
        <f>HYPERLINK("http://141.218.60.56/~jnz1568/getInfo.php?workbook=16_15.xlsx&amp;sheet=A0&amp;row=1661&amp;col=9&amp;number=&amp;sourceID=54","")</f>
        <v/>
      </c>
      <c r="J1661" s="4" t="str">
        <f>HYPERLINK("http://141.218.60.56/~jnz1568/getInfo.php?workbook=16_15.xlsx&amp;sheet=A0&amp;row=1661&amp;col=10&amp;number=0.00044725&amp;sourceID=54","0.00044725")</f>
        <v>0.00044725</v>
      </c>
      <c r="K1661" s="4" t="str">
        <f>HYPERLINK("http://141.218.60.56/~jnz1568/getInfo.php?workbook=16_15.xlsx&amp;sheet=A0&amp;row=1661&amp;col=11&amp;number=&amp;sourceID=54","")</f>
        <v/>
      </c>
      <c r="L1661" s="4" t="str">
        <f>HYPERLINK("http://141.218.60.56/~jnz1568/getInfo.php?workbook=16_15.xlsx&amp;sheet=A0&amp;row=1661&amp;col=12&amp;number=&amp;sourceID=53","")</f>
        <v/>
      </c>
      <c r="M1661" s="4" t="str">
        <f>HYPERLINK("http://141.218.60.56/~jnz1568/getInfo.php?workbook=16_15.xlsx&amp;sheet=A0&amp;row=1661&amp;col=13&amp;number=&amp;sourceID=53","")</f>
        <v/>
      </c>
      <c r="N1661" s="4" t="str">
        <f>HYPERLINK("http://141.218.60.56/~jnz1568/getInfo.php?workbook=16_15.xlsx&amp;sheet=A0&amp;row=1661&amp;col=14&amp;number=&amp;sourceID=53","")</f>
        <v/>
      </c>
      <c r="O1661" s="4" t="str">
        <f>HYPERLINK("http://141.218.60.56/~jnz1568/getInfo.php?workbook=16_15.xlsx&amp;sheet=A0&amp;row=1661&amp;col=15&amp;number=&amp;sourceID=55","")</f>
        <v/>
      </c>
      <c r="P1661" s="4" t="str">
        <f>HYPERLINK("http://141.218.60.56/~jnz1568/getInfo.php?workbook=16_15.xlsx&amp;sheet=A0&amp;row=1661&amp;col=16&amp;number=&amp;sourceID=55","")</f>
        <v/>
      </c>
      <c r="Q1661" s="4" t="str">
        <f>HYPERLINK("http://141.218.60.56/~jnz1568/getInfo.php?workbook=16_15.xlsx&amp;sheet=A0&amp;row=1661&amp;col=17&amp;number=&amp;sourceID=56","")</f>
        <v/>
      </c>
      <c r="R1661" s="4" t="str">
        <f>HYPERLINK("http://141.218.60.56/~jnz1568/getInfo.php?workbook=16_15.xlsx&amp;sheet=A0&amp;row=1661&amp;col=18&amp;number=&amp;sourceID=56","")</f>
        <v/>
      </c>
      <c r="S1661" s="4" t="str">
        <f>HYPERLINK("http://141.218.60.56/~jnz1568/getInfo.php?workbook=16_15.xlsx&amp;sheet=A0&amp;row=1661&amp;col=19&amp;number=&amp;sourceID=57","")</f>
        <v/>
      </c>
      <c r="T1661" s="4" t="str">
        <f>HYPERLINK("http://141.218.60.56/~jnz1568/getInfo.php?workbook=16_15.xlsx&amp;sheet=A0&amp;row=1661&amp;col=20&amp;number=&amp;sourceID=57","")</f>
        <v/>
      </c>
      <c r="U1661" s="4" t="str">
        <f>HYPERLINK("http://141.218.60.56/~jnz1568/getInfo.php?workbook=16_15.xlsx&amp;sheet=A0&amp;row=1661&amp;col=21&amp;number=&amp;sourceID=47","")</f>
        <v/>
      </c>
      <c r="V1661" s="4" t="str">
        <f>HYPERLINK("http://141.218.60.56/~jnz1568/getInfo.php?workbook=16_15.xlsx&amp;sheet=A0&amp;row=1661&amp;col=22&amp;number=&amp;sourceID=47","")</f>
        <v/>
      </c>
    </row>
    <row r="1662" spans="1:22">
      <c r="A1662" s="3">
        <v>16</v>
      </c>
      <c r="B1662" s="3">
        <v>15</v>
      </c>
      <c r="C1662" s="3">
        <v>65</v>
      </c>
      <c r="D1662" s="3">
        <v>42</v>
      </c>
      <c r="E1662" s="3">
        <f>((1/(INDEX(E0!J$4:J$73,C1662,1)-INDEX(E0!J$4:J$73,D1662,1))))*100000000</f>
        <v>0</v>
      </c>
      <c r="F1662" s="4" t="str">
        <f>HYPERLINK("http://141.218.60.56/~jnz1568/getInfo.php?workbook=16_15.xlsx&amp;sheet=A0&amp;row=1662&amp;col=6&amp;number=21411&amp;sourceID=54","21411")</f>
        <v>21411</v>
      </c>
      <c r="G1662" s="4" t="str">
        <f>HYPERLINK("http://141.218.60.56/~jnz1568/getInfo.php?workbook=16_15.xlsx&amp;sheet=A0&amp;row=1662&amp;col=7&amp;number=&amp;sourceID=54","")</f>
        <v/>
      </c>
      <c r="H1662" s="4" t="str">
        <f>HYPERLINK("http://141.218.60.56/~jnz1568/getInfo.php?workbook=16_15.xlsx&amp;sheet=A0&amp;row=1662&amp;col=8&amp;number=&amp;sourceID=54","")</f>
        <v/>
      </c>
      <c r="I1662" s="4" t="str">
        <f>HYPERLINK("http://141.218.60.56/~jnz1568/getInfo.php?workbook=16_15.xlsx&amp;sheet=A0&amp;row=1662&amp;col=9&amp;number=18306&amp;sourceID=54","18306")</f>
        <v>18306</v>
      </c>
      <c r="J1662" s="4" t="str">
        <f>HYPERLINK("http://141.218.60.56/~jnz1568/getInfo.php?workbook=16_15.xlsx&amp;sheet=A0&amp;row=1662&amp;col=10&amp;number=&amp;sourceID=54","")</f>
        <v/>
      </c>
      <c r="K1662" s="4" t="str">
        <f>HYPERLINK("http://141.218.60.56/~jnz1568/getInfo.php?workbook=16_15.xlsx&amp;sheet=A0&amp;row=1662&amp;col=11&amp;number=&amp;sourceID=54","")</f>
        <v/>
      </c>
      <c r="L1662" s="4" t="str">
        <f>HYPERLINK("http://141.218.60.56/~jnz1568/getInfo.php?workbook=16_15.xlsx&amp;sheet=A0&amp;row=1662&amp;col=12&amp;number=537511.585501&amp;sourceID=53","537511.585501")</f>
        <v>537511.585501</v>
      </c>
      <c r="M1662" s="4" t="str">
        <f>HYPERLINK("http://141.218.60.56/~jnz1568/getInfo.php?workbook=16_15.xlsx&amp;sheet=A0&amp;row=1662&amp;col=13&amp;number=&amp;sourceID=53","")</f>
        <v/>
      </c>
      <c r="N1662" s="4" t="str">
        <f>HYPERLINK("http://141.218.60.56/~jnz1568/getInfo.php?workbook=16_15.xlsx&amp;sheet=A0&amp;row=1662&amp;col=14&amp;number=&amp;sourceID=53","")</f>
        <v/>
      </c>
      <c r="O1662" s="4" t="str">
        <f>HYPERLINK("http://141.218.60.56/~jnz1568/getInfo.php?workbook=16_15.xlsx&amp;sheet=A0&amp;row=1662&amp;col=15&amp;number=&amp;sourceID=55","")</f>
        <v/>
      </c>
      <c r="P1662" s="4" t="str">
        <f>HYPERLINK("http://141.218.60.56/~jnz1568/getInfo.php?workbook=16_15.xlsx&amp;sheet=A0&amp;row=1662&amp;col=16&amp;number=&amp;sourceID=55","")</f>
        <v/>
      </c>
      <c r="Q1662" s="4" t="str">
        <f>HYPERLINK("http://141.218.60.56/~jnz1568/getInfo.php?workbook=16_15.xlsx&amp;sheet=A0&amp;row=1662&amp;col=17&amp;number=&amp;sourceID=56","")</f>
        <v/>
      </c>
      <c r="R1662" s="4" t="str">
        <f>HYPERLINK("http://141.218.60.56/~jnz1568/getInfo.php?workbook=16_15.xlsx&amp;sheet=A0&amp;row=1662&amp;col=18&amp;number=&amp;sourceID=56","")</f>
        <v/>
      </c>
      <c r="S1662" s="4" t="str">
        <f>HYPERLINK("http://141.218.60.56/~jnz1568/getInfo.php?workbook=16_15.xlsx&amp;sheet=A0&amp;row=1662&amp;col=19&amp;number=&amp;sourceID=57","")</f>
        <v/>
      </c>
      <c r="T1662" s="4" t="str">
        <f>HYPERLINK("http://141.218.60.56/~jnz1568/getInfo.php?workbook=16_15.xlsx&amp;sheet=A0&amp;row=1662&amp;col=20&amp;number=&amp;sourceID=57","")</f>
        <v/>
      </c>
      <c r="U1662" s="4" t="str">
        <f>HYPERLINK("http://141.218.60.56/~jnz1568/getInfo.php?workbook=16_15.xlsx&amp;sheet=A0&amp;row=1662&amp;col=21&amp;number=&amp;sourceID=47","")</f>
        <v/>
      </c>
      <c r="V1662" s="4" t="str">
        <f>HYPERLINK("http://141.218.60.56/~jnz1568/getInfo.php?workbook=16_15.xlsx&amp;sheet=A0&amp;row=1662&amp;col=22&amp;number=&amp;sourceID=47","")</f>
        <v/>
      </c>
    </row>
    <row r="1663" spans="1:22">
      <c r="A1663" s="3">
        <v>16</v>
      </c>
      <c r="B1663" s="3">
        <v>15</v>
      </c>
      <c r="C1663" s="3">
        <v>65</v>
      </c>
      <c r="D1663" s="3">
        <v>43</v>
      </c>
      <c r="E1663" s="3">
        <f>((1/(INDEX(E0!J$4:J$73,C1663,1)-INDEX(E0!J$4:J$73,D1663,1))))*100000000</f>
        <v>0</v>
      </c>
      <c r="F1663" s="4" t="str">
        <f>HYPERLINK("http://141.218.60.56/~jnz1568/getInfo.php?workbook=16_15.xlsx&amp;sheet=A0&amp;row=1663&amp;col=6&amp;number=&amp;sourceID=54","")</f>
        <v/>
      </c>
      <c r="G1663" s="4" t="str">
        <f>HYPERLINK("http://141.218.60.56/~jnz1568/getInfo.php?workbook=16_15.xlsx&amp;sheet=A0&amp;row=1663&amp;col=7&amp;number=0.0009809&amp;sourceID=54","0.0009809")</f>
        <v>0.0009809</v>
      </c>
      <c r="H1663" s="4" t="str">
        <f>HYPERLINK("http://141.218.60.56/~jnz1568/getInfo.php?workbook=16_15.xlsx&amp;sheet=A0&amp;row=1663&amp;col=8&amp;number=1.1149e-06&amp;sourceID=54","1.1149e-06")</f>
        <v>1.1149e-06</v>
      </c>
      <c r="I1663" s="4" t="str">
        <f>HYPERLINK("http://141.218.60.56/~jnz1568/getInfo.php?workbook=16_15.xlsx&amp;sheet=A0&amp;row=1663&amp;col=9&amp;number=&amp;sourceID=54","")</f>
        <v/>
      </c>
      <c r="J1663" s="4" t="str">
        <f>HYPERLINK("http://141.218.60.56/~jnz1568/getInfo.php?workbook=16_15.xlsx&amp;sheet=A0&amp;row=1663&amp;col=10&amp;number=0.00086008&amp;sourceID=54","0.00086008")</f>
        <v>0.00086008</v>
      </c>
      <c r="K1663" s="4" t="str">
        <f>HYPERLINK("http://141.218.60.56/~jnz1568/getInfo.php?workbook=16_15.xlsx&amp;sheet=A0&amp;row=1663&amp;col=11&amp;number=1.2877e-07&amp;sourceID=54","1.2877e-07")</f>
        <v>1.2877e-07</v>
      </c>
      <c r="L1663" s="4" t="str">
        <f>HYPERLINK("http://141.218.60.56/~jnz1568/getInfo.php?workbook=16_15.xlsx&amp;sheet=A0&amp;row=1663&amp;col=12&amp;number=&amp;sourceID=53","")</f>
        <v/>
      </c>
      <c r="M1663" s="4" t="str">
        <f>HYPERLINK("http://141.218.60.56/~jnz1568/getInfo.php?workbook=16_15.xlsx&amp;sheet=A0&amp;row=1663&amp;col=13&amp;number=&amp;sourceID=53","")</f>
        <v/>
      </c>
      <c r="N1663" s="4" t="str">
        <f>HYPERLINK("http://141.218.60.56/~jnz1568/getInfo.php?workbook=16_15.xlsx&amp;sheet=A0&amp;row=1663&amp;col=14&amp;number=&amp;sourceID=53","")</f>
        <v/>
      </c>
      <c r="O1663" s="4" t="str">
        <f>HYPERLINK("http://141.218.60.56/~jnz1568/getInfo.php?workbook=16_15.xlsx&amp;sheet=A0&amp;row=1663&amp;col=15&amp;number=&amp;sourceID=55","")</f>
        <v/>
      </c>
      <c r="P1663" s="4" t="str">
        <f>HYPERLINK("http://141.218.60.56/~jnz1568/getInfo.php?workbook=16_15.xlsx&amp;sheet=A0&amp;row=1663&amp;col=16&amp;number=&amp;sourceID=55","")</f>
        <v/>
      </c>
      <c r="Q1663" s="4" t="str">
        <f>HYPERLINK("http://141.218.60.56/~jnz1568/getInfo.php?workbook=16_15.xlsx&amp;sheet=A0&amp;row=1663&amp;col=17&amp;number=&amp;sourceID=56","")</f>
        <v/>
      </c>
      <c r="R1663" s="4" t="str">
        <f>HYPERLINK("http://141.218.60.56/~jnz1568/getInfo.php?workbook=16_15.xlsx&amp;sheet=A0&amp;row=1663&amp;col=18&amp;number=&amp;sourceID=56","")</f>
        <v/>
      </c>
      <c r="S1663" s="4" t="str">
        <f>HYPERLINK("http://141.218.60.56/~jnz1568/getInfo.php?workbook=16_15.xlsx&amp;sheet=A0&amp;row=1663&amp;col=19&amp;number=&amp;sourceID=57","")</f>
        <v/>
      </c>
      <c r="T1663" s="4" t="str">
        <f>HYPERLINK("http://141.218.60.56/~jnz1568/getInfo.php?workbook=16_15.xlsx&amp;sheet=A0&amp;row=1663&amp;col=20&amp;number=&amp;sourceID=57","")</f>
        <v/>
      </c>
      <c r="U1663" s="4" t="str">
        <f>HYPERLINK("http://141.218.60.56/~jnz1568/getInfo.php?workbook=16_15.xlsx&amp;sheet=A0&amp;row=1663&amp;col=21&amp;number=&amp;sourceID=47","")</f>
        <v/>
      </c>
      <c r="V1663" s="4" t="str">
        <f>HYPERLINK("http://141.218.60.56/~jnz1568/getInfo.php?workbook=16_15.xlsx&amp;sheet=A0&amp;row=1663&amp;col=22&amp;number=&amp;sourceID=47","")</f>
        <v/>
      </c>
    </row>
    <row r="1664" spans="1:22">
      <c r="A1664" s="3">
        <v>16</v>
      </c>
      <c r="B1664" s="3">
        <v>15</v>
      </c>
      <c r="C1664" s="3">
        <v>65</v>
      </c>
      <c r="D1664" s="3">
        <v>44</v>
      </c>
      <c r="E1664" s="3">
        <f>((1/(INDEX(E0!J$4:J$73,C1664,1)-INDEX(E0!J$4:J$73,D1664,1))))*100000000</f>
        <v>0</v>
      </c>
      <c r="F1664" s="4" t="str">
        <f>HYPERLINK("http://141.218.60.56/~jnz1568/getInfo.php?workbook=16_15.xlsx&amp;sheet=A0&amp;row=1664&amp;col=6&amp;number=&amp;sourceID=54","")</f>
        <v/>
      </c>
      <c r="G1664" s="4" t="str">
        <f>HYPERLINK("http://141.218.60.56/~jnz1568/getInfo.php?workbook=16_15.xlsx&amp;sheet=A0&amp;row=1664&amp;col=7&amp;number=&amp;sourceID=54","")</f>
        <v/>
      </c>
      <c r="H1664" s="4" t="str">
        <f>HYPERLINK("http://141.218.60.56/~jnz1568/getInfo.php?workbook=16_15.xlsx&amp;sheet=A0&amp;row=1664&amp;col=8&amp;number=0.0004812&amp;sourceID=54","0.0004812")</f>
        <v>0.0004812</v>
      </c>
      <c r="I1664" s="4" t="str">
        <f>HYPERLINK("http://141.218.60.56/~jnz1568/getInfo.php?workbook=16_15.xlsx&amp;sheet=A0&amp;row=1664&amp;col=9&amp;number=&amp;sourceID=54","")</f>
        <v/>
      </c>
      <c r="J1664" s="4" t="str">
        <f>HYPERLINK("http://141.218.60.56/~jnz1568/getInfo.php?workbook=16_15.xlsx&amp;sheet=A0&amp;row=1664&amp;col=10&amp;number=&amp;sourceID=54","")</f>
        <v/>
      </c>
      <c r="K1664" s="4" t="str">
        <f>HYPERLINK("http://141.218.60.56/~jnz1568/getInfo.php?workbook=16_15.xlsx&amp;sheet=A0&amp;row=1664&amp;col=11&amp;number=0.00057589&amp;sourceID=54","0.00057589")</f>
        <v>0.00057589</v>
      </c>
      <c r="L1664" s="4" t="str">
        <f>HYPERLINK("http://141.218.60.56/~jnz1568/getInfo.php?workbook=16_15.xlsx&amp;sheet=A0&amp;row=1664&amp;col=12&amp;number=&amp;sourceID=53","")</f>
        <v/>
      </c>
      <c r="M1664" s="4" t="str">
        <f>HYPERLINK("http://141.218.60.56/~jnz1568/getInfo.php?workbook=16_15.xlsx&amp;sheet=A0&amp;row=1664&amp;col=13&amp;number=&amp;sourceID=53","")</f>
        <v/>
      </c>
      <c r="N1664" s="4" t="str">
        <f>HYPERLINK("http://141.218.60.56/~jnz1568/getInfo.php?workbook=16_15.xlsx&amp;sheet=A0&amp;row=1664&amp;col=14&amp;number=&amp;sourceID=53","")</f>
        <v/>
      </c>
      <c r="O1664" s="4" t="str">
        <f>HYPERLINK("http://141.218.60.56/~jnz1568/getInfo.php?workbook=16_15.xlsx&amp;sheet=A0&amp;row=1664&amp;col=15&amp;number=&amp;sourceID=55","")</f>
        <v/>
      </c>
      <c r="P1664" s="4" t="str">
        <f>HYPERLINK("http://141.218.60.56/~jnz1568/getInfo.php?workbook=16_15.xlsx&amp;sheet=A0&amp;row=1664&amp;col=16&amp;number=&amp;sourceID=55","")</f>
        <v/>
      </c>
      <c r="Q1664" s="4" t="str">
        <f>HYPERLINK("http://141.218.60.56/~jnz1568/getInfo.php?workbook=16_15.xlsx&amp;sheet=A0&amp;row=1664&amp;col=17&amp;number=&amp;sourceID=56","")</f>
        <v/>
      </c>
      <c r="R1664" s="4" t="str">
        <f>HYPERLINK("http://141.218.60.56/~jnz1568/getInfo.php?workbook=16_15.xlsx&amp;sheet=A0&amp;row=1664&amp;col=18&amp;number=&amp;sourceID=56","")</f>
        <v/>
      </c>
      <c r="S1664" s="4" t="str">
        <f>HYPERLINK("http://141.218.60.56/~jnz1568/getInfo.php?workbook=16_15.xlsx&amp;sheet=A0&amp;row=1664&amp;col=19&amp;number=&amp;sourceID=57","")</f>
        <v/>
      </c>
      <c r="T1664" s="4" t="str">
        <f>HYPERLINK("http://141.218.60.56/~jnz1568/getInfo.php?workbook=16_15.xlsx&amp;sheet=A0&amp;row=1664&amp;col=20&amp;number=&amp;sourceID=57","")</f>
        <v/>
      </c>
      <c r="U1664" s="4" t="str">
        <f>HYPERLINK("http://141.218.60.56/~jnz1568/getInfo.php?workbook=16_15.xlsx&amp;sheet=A0&amp;row=1664&amp;col=21&amp;number=&amp;sourceID=47","")</f>
        <v/>
      </c>
      <c r="V1664" s="4" t="str">
        <f>HYPERLINK("http://141.218.60.56/~jnz1568/getInfo.php?workbook=16_15.xlsx&amp;sheet=A0&amp;row=1664&amp;col=22&amp;number=&amp;sourceID=47","")</f>
        <v/>
      </c>
    </row>
    <row r="1665" spans="1:22">
      <c r="A1665" s="3">
        <v>16</v>
      </c>
      <c r="B1665" s="3">
        <v>15</v>
      </c>
      <c r="C1665" s="3">
        <v>65</v>
      </c>
      <c r="D1665" s="3">
        <v>45</v>
      </c>
      <c r="E1665" s="3">
        <f>((1/(INDEX(E0!J$4:J$73,C1665,1)-INDEX(E0!J$4:J$73,D1665,1))))*100000000</f>
        <v>0</v>
      </c>
      <c r="F1665" s="4" t="str">
        <f>HYPERLINK("http://141.218.60.56/~jnz1568/getInfo.php?workbook=16_15.xlsx&amp;sheet=A0&amp;row=1665&amp;col=6&amp;number=2193.1&amp;sourceID=54","2193.1")</f>
        <v>2193.1</v>
      </c>
      <c r="G1665" s="4" t="str">
        <f>HYPERLINK("http://141.218.60.56/~jnz1568/getInfo.php?workbook=16_15.xlsx&amp;sheet=A0&amp;row=1665&amp;col=7&amp;number=&amp;sourceID=54","")</f>
        <v/>
      </c>
      <c r="H1665" s="4" t="str">
        <f>HYPERLINK("http://141.218.60.56/~jnz1568/getInfo.php?workbook=16_15.xlsx&amp;sheet=A0&amp;row=1665&amp;col=8&amp;number=&amp;sourceID=54","")</f>
        <v/>
      </c>
      <c r="I1665" s="4" t="str">
        <f>HYPERLINK("http://141.218.60.56/~jnz1568/getInfo.php?workbook=16_15.xlsx&amp;sheet=A0&amp;row=1665&amp;col=9&amp;number=1625.9&amp;sourceID=54","1625.9")</f>
        <v>1625.9</v>
      </c>
      <c r="J1665" s="4" t="str">
        <f>HYPERLINK("http://141.218.60.56/~jnz1568/getInfo.php?workbook=16_15.xlsx&amp;sheet=A0&amp;row=1665&amp;col=10&amp;number=&amp;sourceID=54","")</f>
        <v/>
      </c>
      <c r="K1665" s="4" t="str">
        <f>HYPERLINK("http://141.218.60.56/~jnz1568/getInfo.php?workbook=16_15.xlsx&amp;sheet=A0&amp;row=1665&amp;col=11&amp;number=&amp;sourceID=54","")</f>
        <v/>
      </c>
      <c r="L1665" s="4" t="str">
        <f>HYPERLINK("http://141.218.60.56/~jnz1568/getInfo.php?workbook=16_15.xlsx&amp;sheet=A0&amp;row=1665&amp;col=12&amp;number=5074.61417565&amp;sourceID=53","5074.61417565")</f>
        <v>5074.61417565</v>
      </c>
      <c r="M1665" s="4" t="str">
        <f>HYPERLINK("http://141.218.60.56/~jnz1568/getInfo.php?workbook=16_15.xlsx&amp;sheet=A0&amp;row=1665&amp;col=13&amp;number=&amp;sourceID=53","")</f>
        <v/>
      </c>
      <c r="N1665" s="4" t="str">
        <f>HYPERLINK("http://141.218.60.56/~jnz1568/getInfo.php?workbook=16_15.xlsx&amp;sheet=A0&amp;row=1665&amp;col=14&amp;number=&amp;sourceID=53","")</f>
        <v/>
      </c>
      <c r="O1665" s="4" t="str">
        <f>HYPERLINK("http://141.218.60.56/~jnz1568/getInfo.php?workbook=16_15.xlsx&amp;sheet=A0&amp;row=1665&amp;col=15&amp;number=&amp;sourceID=55","")</f>
        <v/>
      </c>
      <c r="P1665" s="4" t="str">
        <f>HYPERLINK("http://141.218.60.56/~jnz1568/getInfo.php?workbook=16_15.xlsx&amp;sheet=A0&amp;row=1665&amp;col=16&amp;number=&amp;sourceID=55","")</f>
        <v/>
      </c>
      <c r="Q1665" s="4" t="str">
        <f>HYPERLINK("http://141.218.60.56/~jnz1568/getInfo.php?workbook=16_15.xlsx&amp;sheet=A0&amp;row=1665&amp;col=17&amp;number=&amp;sourceID=56","")</f>
        <v/>
      </c>
      <c r="R1665" s="4" t="str">
        <f>HYPERLINK("http://141.218.60.56/~jnz1568/getInfo.php?workbook=16_15.xlsx&amp;sheet=A0&amp;row=1665&amp;col=18&amp;number=&amp;sourceID=56","")</f>
        <v/>
      </c>
      <c r="S1665" s="4" t="str">
        <f>HYPERLINK("http://141.218.60.56/~jnz1568/getInfo.php?workbook=16_15.xlsx&amp;sheet=A0&amp;row=1665&amp;col=19&amp;number=&amp;sourceID=57","")</f>
        <v/>
      </c>
      <c r="T1665" s="4" t="str">
        <f>HYPERLINK("http://141.218.60.56/~jnz1568/getInfo.php?workbook=16_15.xlsx&amp;sheet=A0&amp;row=1665&amp;col=20&amp;number=&amp;sourceID=57","")</f>
        <v/>
      </c>
      <c r="U1665" s="4" t="str">
        <f>HYPERLINK("http://141.218.60.56/~jnz1568/getInfo.php?workbook=16_15.xlsx&amp;sheet=A0&amp;row=1665&amp;col=21&amp;number=&amp;sourceID=47","")</f>
        <v/>
      </c>
      <c r="V1665" s="4" t="str">
        <f>HYPERLINK("http://141.218.60.56/~jnz1568/getInfo.php?workbook=16_15.xlsx&amp;sheet=A0&amp;row=1665&amp;col=22&amp;number=&amp;sourceID=47","")</f>
        <v/>
      </c>
    </row>
    <row r="1666" spans="1:22">
      <c r="A1666" s="3">
        <v>16</v>
      </c>
      <c r="B1666" s="3">
        <v>15</v>
      </c>
      <c r="C1666" s="3">
        <v>65</v>
      </c>
      <c r="D1666" s="3">
        <v>47</v>
      </c>
      <c r="E1666" s="3">
        <f>((1/(INDEX(E0!J$4:J$73,C1666,1)-INDEX(E0!J$4:J$73,D1666,1))))*100000000</f>
        <v>0</v>
      </c>
      <c r="F1666" s="4" t="str">
        <f>HYPERLINK("http://141.218.60.56/~jnz1568/getInfo.php?workbook=16_15.xlsx&amp;sheet=A0&amp;row=1666&amp;col=6&amp;number=14787000&amp;sourceID=54","14787000")</f>
        <v>14787000</v>
      </c>
      <c r="G1666" s="4" t="str">
        <f>HYPERLINK("http://141.218.60.56/~jnz1568/getInfo.php?workbook=16_15.xlsx&amp;sheet=A0&amp;row=1666&amp;col=7&amp;number=&amp;sourceID=54","")</f>
        <v/>
      </c>
      <c r="H1666" s="4" t="str">
        <f>HYPERLINK("http://141.218.60.56/~jnz1568/getInfo.php?workbook=16_15.xlsx&amp;sheet=A0&amp;row=1666&amp;col=8&amp;number=&amp;sourceID=54","")</f>
        <v/>
      </c>
      <c r="I1666" s="4" t="str">
        <f>HYPERLINK("http://141.218.60.56/~jnz1568/getInfo.php?workbook=16_15.xlsx&amp;sheet=A0&amp;row=1666&amp;col=9&amp;number=12207000&amp;sourceID=54","12207000")</f>
        <v>12207000</v>
      </c>
      <c r="J1666" s="4" t="str">
        <f>HYPERLINK("http://141.218.60.56/~jnz1568/getInfo.php?workbook=16_15.xlsx&amp;sheet=A0&amp;row=1666&amp;col=10&amp;number=&amp;sourceID=54","")</f>
        <v/>
      </c>
      <c r="K1666" s="4" t="str">
        <f>HYPERLINK("http://141.218.60.56/~jnz1568/getInfo.php?workbook=16_15.xlsx&amp;sheet=A0&amp;row=1666&amp;col=11&amp;number=&amp;sourceID=54","")</f>
        <v/>
      </c>
      <c r="L1666" s="4" t="str">
        <f>HYPERLINK("http://141.218.60.56/~jnz1568/getInfo.php?workbook=16_15.xlsx&amp;sheet=A0&amp;row=1666&amp;col=12&amp;number=14256523.2466&amp;sourceID=53","14256523.2466")</f>
        <v>14256523.2466</v>
      </c>
      <c r="M1666" s="4" t="str">
        <f>HYPERLINK("http://141.218.60.56/~jnz1568/getInfo.php?workbook=16_15.xlsx&amp;sheet=A0&amp;row=1666&amp;col=13&amp;number=&amp;sourceID=53","")</f>
        <v/>
      </c>
      <c r="N1666" s="4" t="str">
        <f>HYPERLINK("http://141.218.60.56/~jnz1568/getInfo.php?workbook=16_15.xlsx&amp;sheet=A0&amp;row=1666&amp;col=14&amp;number=&amp;sourceID=53","")</f>
        <v/>
      </c>
      <c r="O1666" s="4" t="str">
        <f>HYPERLINK("http://141.218.60.56/~jnz1568/getInfo.php?workbook=16_15.xlsx&amp;sheet=A0&amp;row=1666&amp;col=15&amp;number=&amp;sourceID=55","")</f>
        <v/>
      </c>
      <c r="P1666" s="4" t="str">
        <f>HYPERLINK("http://141.218.60.56/~jnz1568/getInfo.php?workbook=16_15.xlsx&amp;sheet=A0&amp;row=1666&amp;col=16&amp;number=&amp;sourceID=55","")</f>
        <v/>
      </c>
      <c r="Q1666" s="4" t="str">
        <f>HYPERLINK("http://141.218.60.56/~jnz1568/getInfo.php?workbook=16_15.xlsx&amp;sheet=A0&amp;row=1666&amp;col=17&amp;number=&amp;sourceID=56","")</f>
        <v/>
      </c>
      <c r="R1666" s="4" t="str">
        <f>HYPERLINK("http://141.218.60.56/~jnz1568/getInfo.php?workbook=16_15.xlsx&amp;sheet=A0&amp;row=1666&amp;col=18&amp;number=&amp;sourceID=56","")</f>
        <v/>
      </c>
      <c r="S1666" s="4" t="str">
        <f>HYPERLINK("http://141.218.60.56/~jnz1568/getInfo.php?workbook=16_15.xlsx&amp;sheet=A0&amp;row=1666&amp;col=19&amp;number=&amp;sourceID=57","")</f>
        <v/>
      </c>
      <c r="T1666" s="4" t="str">
        <f>HYPERLINK("http://141.218.60.56/~jnz1568/getInfo.php?workbook=16_15.xlsx&amp;sheet=A0&amp;row=1666&amp;col=20&amp;number=&amp;sourceID=57","")</f>
        <v/>
      </c>
      <c r="U1666" s="4" t="str">
        <f>HYPERLINK("http://141.218.60.56/~jnz1568/getInfo.php?workbook=16_15.xlsx&amp;sheet=A0&amp;row=1666&amp;col=21&amp;number=&amp;sourceID=47","")</f>
        <v/>
      </c>
      <c r="V1666" s="4" t="str">
        <f>HYPERLINK("http://141.218.60.56/~jnz1568/getInfo.php?workbook=16_15.xlsx&amp;sheet=A0&amp;row=1666&amp;col=22&amp;number=&amp;sourceID=47","")</f>
        <v/>
      </c>
    </row>
    <row r="1667" spans="1:22">
      <c r="A1667" s="3">
        <v>16</v>
      </c>
      <c r="B1667" s="3">
        <v>15</v>
      </c>
      <c r="C1667" s="3">
        <v>65</v>
      </c>
      <c r="D1667" s="3">
        <v>48</v>
      </c>
      <c r="E1667" s="3">
        <f>((1/(INDEX(E0!J$4:J$73,C1667,1)-INDEX(E0!J$4:J$73,D1667,1))))*100000000</f>
        <v>0</v>
      </c>
      <c r="F1667" s="4" t="str">
        <f>HYPERLINK("http://141.218.60.56/~jnz1568/getInfo.php?workbook=16_15.xlsx&amp;sheet=A0&amp;row=1667&amp;col=6&amp;number=&amp;sourceID=54","")</f>
        <v/>
      </c>
      <c r="G1667" s="4" t="str">
        <f>HYPERLINK("http://141.218.60.56/~jnz1568/getInfo.php?workbook=16_15.xlsx&amp;sheet=A0&amp;row=1667&amp;col=7&amp;number=1.3133&amp;sourceID=54","1.3133")</f>
        <v>1.3133</v>
      </c>
      <c r="H1667" s="4" t="str">
        <f>HYPERLINK("http://141.218.60.56/~jnz1568/getInfo.php?workbook=16_15.xlsx&amp;sheet=A0&amp;row=1667&amp;col=8&amp;number=0.0024582&amp;sourceID=54","0.0024582")</f>
        <v>0.0024582</v>
      </c>
      <c r="I1667" s="4" t="str">
        <f>HYPERLINK("http://141.218.60.56/~jnz1568/getInfo.php?workbook=16_15.xlsx&amp;sheet=A0&amp;row=1667&amp;col=9&amp;number=&amp;sourceID=54","")</f>
        <v/>
      </c>
      <c r="J1667" s="4" t="str">
        <f>HYPERLINK("http://141.218.60.56/~jnz1568/getInfo.php?workbook=16_15.xlsx&amp;sheet=A0&amp;row=1667&amp;col=10&amp;number=1.3108&amp;sourceID=54","1.3108")</f>
        <v>1.3108</v>
      </c>
      <c r="K1667" s="4" t="str">
        <f>HYPERLINK("http://141.218.60.56/~jnz1568/getInfo.php?workbook=16_15.xlsx&amp;sheet=A0&amp;row=1667&amp;col=11&amp;number=0.0022106&amp;sourceID=54","0.0022106")</f>
        <v>0.0022106</v>
      </c>
      <c r="L1667" s="4" t="str">
        <f>HYPERLINK("http://141.218.60.56/~jnz1568/getInfo.php?workbook=16_15.xlsx&amp;sheet=A0&amp;row=1667&amp;col=12&amp;number=&amp;sourceID=53","")</f>
        <v/>
      </c>
      <c r="M1667" s="4" t="str">
        <f>HYPERLINK("http://141.218.60.56/~jnz1568/getInfo.php?workbook=16_15.xlsx&amp;sheet=A0&amp;row=1667&amp;col=13&amp;number=&amp;sourceID=53","")</f>
        <v/>
      </c>
      <c r="N1667" s="4" t="str">
        <f>HYPERLINK("http://141.218.60.56/~jnz1568/getInfo.php?workbook=16_15.xlsx&amp;sheet=A0&amp;row=1667&amp;col=14&amp;number=&amp;sourceID=53","")</f>
        <v/>
      </c>
      <c r="O1667" s="4" t="str">
        <f>HYPERLINK("http://141.218.60.56/~jnz1568/getInfo.php?workbook=16_15.xlsx&amp;sheet=A0&amp;row=1667&amp;col=15&amp;number=&amp;sourceID=55","")</f>
        <v/>
      </c>
      <c r="P1667" s="4" t="str">
        <f>HYPERLINK("http://141.218.60.56/~jnz1568/getInfo.php?workbook=16_15.xlsx&amp;sheet=A0&amp;row=1667&amp;col=16&amp;number=&amp;sourceID=55","")</f>
        <v/>
      </c>
      <c r="Q1667" s="4" t="str">
        <f>HYPERLINK("http://141.218.60.56/~jnz1568/getInfo.php?workbook=16_15.xlsx&amp;sheet=A0&amp;row=1667&amp;col=17&amp;number=&amp;sourceID=56","")</f>
        <v/>
      </c>
      <c r="R1667" s="4" t="str">
        <f>HYPERLINK("http://141.218.60.56/~jnz1568/getInfo.php?workbook=16_15.xlsx&amp;sheet=A0&amp;row=1667&amp;col=18&amp;number=&amp;sourceID=56","")</f>
        <v/>
      </c>
      <c r="S1667" s="4" t="str">
        <f>HYPERLINK("http://141.218.60.56/~jnz1568/getInfo.php?workbook=16_15.xlsx&amp;sheet=A0&amp;row=1667&amp;col=19&amp;number=&amp;sourceID=57","")</f>
        <v/>
      </c>
      <c r="T1667" s="4" t="str">
        <f>HYPERLINK("http://141.218.60.56/~jnz1568/getInfo.php?workbook=16_15.xlsx&amp;sheet=A0&amp;row=1667&amp;col=20&amp;number=&amp;sourceID=57","")</f>
        <v/>
      </c>
      <c r="U1667" s="4" t="str">
        <f>HYPERLINK("http://141.218.60.56/~jnz1568/getInfo.php?workbook=16_15.xlsx&amp;sheet=A0&amp;row=1667&amp;col=21&amp;number=&amp;sourceID=47","")</f>
        <v/>
      </c>
      <c r="V1667" s="4" t="str">
        <f>HYPERLINK("http://141.218.60.56/~jnz1568/getInfo.php?workbook=16_15.xlsx&amp;sheet=A0&amp;row=1667&amp;col=22&amp;number=&amp;sourceID=47","")</f>
        <v/>
      </c>
    </row>
    <row r="1668" spans="1:22">
      <c r="A1668" s="3">
        <v>16</v>
      </c>
      <c r="B1668" s="3">
        <v>15</v>
      </c>
      <c r="C1668" s="3">
        <v>65</v>
      </c>
      <c r="D1668" s="3">
        <v>49</v>
      </c>
      <c r="E1668" s="3">
        <f>((1/(INDEX(E0!J$4:J$73,C1668,1)-INDEX(E0!J$4:J$73,D1668,1))))*100000000</f>
        <v>0</v>
      </c>
      <c r="F1668" s="4" t="str">
        <f>HYPERLINK("http://141.218.60.56/~jnz1568/getInfo.php?workbook=16_15.xlsx&amp;sheet=A0&amp;row=1668&amp;col=6&amp;number=6769400&amp;sourceID=54","6769400")</f>
        <v>6769400</v>
      </c>
      <c r="G1668" s="4" t="str">
        <f>HYPERLINK("http://141.218.60.56/~jnz1568/getInfo.php?workbook=16_15.xlsx&amp;sheet=A0&amp;row=1668&amp;col=7&amp;number=&amp;sourceID=54","")</f>
        <v/>
      </c>
      <c r="H1668" s="4" t="str">
        <f>HYPERLINK("http://141.218.60.56/~jnz1568/getInfo.php?workbook=16_15.xlsx&amp;sheet=A0&amp;row=1668&amp;col=8&amp;number=&amp;sourceID=54","")</f>
        <v/>
      </c>
      <c r="I1668" s="4" t="str">
        <f>HYPERLINK("http://141.218.60.56/~jnz1568/getInfo.php?workbook=16_15.xlsx&amp;sheet=A0&amp;row=1668&amp;col=9&amp;number=5564400&amp;sourceID=54","5564400")</f>
        <v>5564400</v>
      </c>
      <c r="J1668" s="4" t="str">
        <f>HYPERLINK("http://141.218.60.56/~jnz1568/getInfo.php?workbook=16_15.xlsx&amp;sheet=A0&amp;row=1668&amp;col=10&amp;number=&amp;sourceID=54","")</f>
        <v/>
      </c>
      <c r="K1668" s="4" t="str">
        <f>HYPERLINK("http://141.218.60.56/~jnz1568/getInfo.php?workbook=16_15.xlsx&amp;sheet=A0&amp;row=1668&amp;col=11&amp;number=&amp;sourceID=54","")</f>
        <v/>
      </c>
      <c r="L1668" s="4" t="str">
        <f>HYPERLINK("http://141.218.60.56/~jnz1568/getInfo.php?workbook=16_15.xlsx&amp;sheet=A0&amp;row=1668&amp;col=12&amp;number=6632375.75028&amp;sourceID=53","6632375.75028")</f>
        <v>6632375.75028</v>
      </c>
      <c r="M1668" s="4" t="str">
        <f>HYPERLINK("http://141.218.60.56/~jnz1568/getInfo.php?workbook=16_15.xlsx&amp;sheet=A0&amp;row=1668&amp;col=13&amp;number=&amp;sourceID=53","")</f>
        <v/>
      </c>
      <c r="N1668" s="4" t="str">
        <f>HYPERLINK("http://141.218.60.56/~jnz1568/getInfo.php?workbook=16_15.xlsx&amp;sheet=A0&amp;row=1668&amp;col=14&amp;number=&amp;sourceID=53","")</f>
        <v/>
      </c>
      <c r="O1668" s="4" t="str">
        <f>HYPERLINK("http://141.218.60.56/~jnz1568/getInfo.php?workbook=16_15.xlsx&amp;sheet=A0&amp;row=1668&amp;col=15&amp;number=&amp;sourceID=55","")</f>
        <v/>
      </c>
      <c r="P1668" s="4" t="str">
        <f>HYPERLINK("http://141.218.60.56/~jnz1568/getInfo.php?workbook=16_15.xlsx&amp;sheet=A0&amp;row=1668&amp;col=16&amp;number=&amp;sourceID=55","")</f>
        <v/>
      </c>
      <c r="Q1668" s="4" t="str">
        <f>HYPERLINK("http://141.218.60.56/~jnz1568/getInfo.php?workbook=16_15.xlsx&amp;sheet=A0&amp;row=1668&amp;col=17&amp;number=&amp;sourceID=56","")</f>
        <v/>
      </c>
      <c r="R1668" s="4" t="str">
        <f>HYPERLINK("http://141.218.60.56/~jnz1568/getInfo.php?workbook=16_15.xlsx&amp;sheet=A0&amp;row=1668&amp;col=18&amp;number=&amp;sourceID=56","")</f>
        <v/>
      </c>
      <c r="S1668" s="4" t="str">
        <f>HYPERLINK("http://141.218.60.56/~jnz1568/getInfo.php?workbook=16_15.xlsx&amp;sheet=A0&amp;row=1668&amp;col=19&amp;number=&amp;sourceID=57","")</f>
        <v/>
      </c>
      <c r="T1668" s="4" t="str">
        <f>HYPERLINK("http://141.218.60.56/~jnz1568/getInfo.php?workbook=16_15.xlsx&amp;sheet=A0&amp;row=1668&amp;col=20&amp;number=&amp;sourceID=57","")</f>
        <v/>
      </c>
      <c r="U1668" s="4" t="str">
        <f>HYPERLINK("http://141.218.60.56/~jnz1568/getInfo.php?workbook=16_15.xlsx&amp;sheet=A0&amp;row=1668&amp;col=21&amp;number=&amp;sourceID=47","")</f>
        <v/>
      </c>
      <c r="V1668" s="4" t="str">
        <f>HYPERLINK("http://141.218.60.56/~jnz1568/getInfo.php?workbook=16_15.xlsx&amp;sheet=A0&amp;row=1668&amp;col=22&amp;number=&amp;sourceID=47","")</f>
        <v/>
      </c>
    </row>
    <row r="1669" spans="1:22">
      <c r="A1669" s="3">
        <v>16</v>
      </c>
      <c r="B1669" s="3">
        <v>15</v>
      </c>
      <c r="C1669" s="3">
        <v>65</v>
      </c>
      <c r="D1669" s="3">
        <v>50</v>
      </c>
      <c r="E1669" s="3">
        <f>((1/(INDEX(E0!J$4:J$73,C1669,1)-INDEX(E0!J$4:J$73,D1669,1))))*100000000</f>
        <v>0</v>
      </c>
      <c r="F1669" s="4" t="str">
        <f>HYPERLINK("http://141.218.60.56/~jnz1568/getInfo.php?workbook=16_15.xlsx&amp;sheet=A0&amp;row=1669&amp;col=6&amp;number=&amp;sourceID=54","")</f>
        <v/>
      </c>
      <c r="G1669" s="4" t="str">
        <f>HYPERLINK("http://141.218.60.56/~jnz1568/getInfo.php?workbook=16_15.xlsx&amp;sheet=A0&amp;row=1669&amp;col=7&amp;number=0.73216&amp;sourceID=54","0.73216")</f>
        <v>0.73216</v>
      </c>
      <c r="H1669" s="4" t="str">
        <f>HYPERLINK("http://141.218.60.56/~jnz1568/getInfo.php?workbook=16_15.xlsx&amp;sheet=A0&amp;row=1669&amp;col=8&amp;number=&amp;sourceID=54","")</f>
        <v/>
      </c>
      <c r="I1669" s="4" t="str">
        <f>HYPERLINK("http://141.218.60.56/~jnz1568/getInfo.php?workbook=16_15.xlsx&amp;sheet=A0&amp;row=1669&amp;col=9&amp;number=&amp;sourceID=54","")</f>
        <v/>
      </c>
      <c r="J1669" s="4" t="str">
        <f>HYPERLINK("http://141.218.60.56/~jnz1568/getInfo.php?workbook=16_15.xlsx&amp;sheet=A0&amp;row=1669&amp;col=10&amp;number=0.72663&amp;sourceID=54","0.72663")</f>
        <v>0.72663</v>
      </c>
      <c r="K1669" s="4" t="str">
        <f>HYPERLINK("http://141.218.60.56/~jnz1568/getInfo.php?workbook=16_15.xlsx&amp;sheet=A0&amp;row=1669&amp;col=11&amp;number=&amp;sourceID=54","")</f>
        <v/>
      </c>
      <c r="L1669" s="4" t="str">
        <f>HYPERLINK("http://141.218.60.56/~jnz1568/getInfo.php?workbook=16_15.xlsx&amp;sheet=A0&amp;row=1669&amp;col=12&amp;number=&amp;sourceID=53","")</f>
        <v/>
      </c>
      <c r="M1669" s="4" t="str">
        <f>HYPERLINK("http://141.218.60.56/~jnz1568/getInfo.php?workbook=16_15.xlsx&amp;sheet=A0&amp;row=1669&amp;col=13&amp;number=&amp;sourceID=53","")</f>
        <v/>
      </c>
      <c r="N1669" s="4" t="str">
        <f>HYPERLINK("http://141.218.60.56/~jnz1568/getInfo.php?workbook=16_15.xlsx&amp;sheet=A0&amp;row=1669&amp;col=14&amp;number=&amp;sourceID=53","")</f>
        <v/>
      </c>
      <c r="O1669" s="4" t="str">
        <f>HYPERLINK("http://141.218.60.56/~jnz1568/getInfo.php?workbook=16_15.xlsx&amp;sheet=A0&amp;row=1669&amp;col=15&amp;number=&amp;sourceID=55","")</f>
        <v/>
      </c>
      <c r="P1669" s="4" t="str">
        <f>HYPERLINK("http://141.218.60.56/~jnz1568/getInfo.php?workbook=16_15.xlsx&amp;sheet=A0&amp;row=1669&amp;col=16&amp;number=&amp;sourceID=55","")</f>
        <v/>
      </c>
      <c r="Q1669" s="4" t="str">
        <f>HYPERLINK("http://141.218.60.56/~jnz1568/getInfo.php?workbook=16_15.xlsx&amp;sheet=A0&amp;row=1669&amp;col=17&amp;number=&amp;sourceID=56","")</f>
        <v/>
      </c>
      <c r="R1669" s="4" t="str">
        <f>HYPERLINK("http://141.218.60.56/~jnz1568/getInfo.php?workbook=16_15.xlsx&amp;sheet=A0&amp;row=1669&amp;col=18&amp;number=&amp;sourceID=56","")</f>
        <v/>
      </c>
      <c r="S1669" s="4" t="str">
        <f>HYPERLINK("http://141.218.60.56/~jnz1568/getInfo.php?workbook=16_15.xlsx&amp;sheet=A0&amp;row=1669&amp;col=19&amp;number=&amp;sourceID=57","")</f>
        <v/>
      </c>
      <c r="T1669" s="4" t="str">
        <f>HYPERLINK("http://141.218.60.56/~jnz1568/getInfo.php?workbook=16_15.xlsx&amp;sheet=A0&amp;row=1669&amp;col=20&amp;number=&amp;sourceID=57","")</f>
        <v/>
      </c>
      <c r="U1669" s="4" t="str">
        <f>HYPERLINK("http://141.218.60.56/~jnz1568/getInfo.php?workbook=16_15.xlsx&amp;sheet=A0&amp;row=1669&amp;col=21&amp;number=&amp;sourceID=47","")</f>
        <v/>
      </c>
      <c r="V1669" s="4" t="str">
        <f>HYPERLINK("http://141.218.60.56/~jnz1568/getInfo.php?workbook=16_15.xlsx&amp;sheet=A0&amp;row=1669&amp;col=22&amp;number=&amp;sourceID=47","")</f>
        <v/>
      </c>
    </row>
    <row r="1670" spans="1:22">
      <c r="A1670" s="3">
        <v>16</v>
      </c>
      <c r="B1670" s="3">
        <v>15</v>
      </c>
      <c r="C1670" s="3">
        <v>65</v>
      </c>
      <c r="D1670" s="3">
        <v>51</v>
      </c>
      <c r="E1670" s="3">
        <f>((1/(INDEX(E0!J$4:J$73,C1670,1)-INDEX(E0!J$4:J$73,D1670,1))))*100000000</f>
        <v>0</v>
      </c>
      <c r="F1670" s="4" t="str">
        <f>HYPERLINK("http://141.218.60.56/~jnz1568/getInfo.php?workbook=16_15.xlsx&amp;sheet=A0&amp;row=1670&amp;col=6&amp;number=&amp;sourceID=54","")</f>
        <v/>
      </c>
      <c r="G1670" s="4" t="str">
        <f>HYPERLINK("http://141.218.60.56/~jnz1568/getInfo.php?workbook=16_15.xlsx&amp;sheet=A0&amp;row=1670&amp;col=7&amp;number=&amp;sourceID=54","")</f>
        <v/>
      </c>
      <c r="H1670" s="4" t="str">
        <f>HYPERLINK("http://141.218.60.56/~jnz1568/getInfo.php?workbook=16_15.xlsx&amp;sheet=A0&amp;row=1670&amp;col=8&amp;number=0.0023502&amp;sourceID=54","0.0023502")</f>
        <v>0.0023502</v>
      </c>
      <c r="I1670" s="4" t="str">
        <f>HYPERLINK("http://141.218.60.56/~jnz1568/getInfo.php?workbook=16_15.xlsx&amp;sheet=A0&amp;row=1670&amp;col=9&amp;number=&amp;sourceID=54","")</f>
        <v/>
      </c>
      <c r="J1670" s="4" t="str">
        <f>HYPERLINK("http://141.218.60.56/~jnz1568/getInfo.php?workbook=16_15.xlsx&amp;sheet=A0&amp;row=1670&amp;col=10&amp;number=&amp;sourceID=54","")</f>
        <v/>
      </c>
      <c r="K1670" s="4" t="str">
        <f>HYPERLINK("http://141.218.60.56/~jnz1568/getInfo.php?workbook=16_15.xlsx&amp;sheet=A0&amp;row=1670&amp;col=11&amp;number=0.0018833&amp;sourceID=54","0.0018833")</f>
        <v>0.0018833</v>
      </c>
      <c r="L1670" s="4" t="str">
        <f>HYPERLINK("http://141.218.60.56/~jnz1568/getInfo.php?workbook=16_15.xlsx&amp;sheet=A0&amp;row=1670&amp;col=12&amp;number=&amp;sourceID=53","")</f>
        <v/>
      </c>
      <c r="M1670" s="4" t="str">
        <f>HYPERLINK("http://141.218.60.56/~jnz1568/getInfo.php?workbook=16_15.xlsx&amp;sheet=A0&amp;row=1670&amp;col=13&amp;number=&amp;sourceID=53","")</f>
        <v/>
      </c>
      <c r="N1670" s="4" t="str">
        <f>HYPERLINK("http://141.218.60.56/~jnz1568/getInfo.php?workbook=16_15.xlsx&amp;sheet=A0&amp;row=1670&amp;col=14&amp;number=&amp;sourceID=53","")</f>
        <v/>
      </c>
      <c r="O1670" s="4" t="str">
        <f>HYPERLINK("http://141.218.60.56/~jnz1568/getInfo.php?workbook=16_15.xlsx&amp;sheet=A0&amp;row=1670&amp;col=15&amp;number=&amp;sourceID=55","")</f>
        <v/>
      </c>
      <c r="P1670" s="4" t="str">
        <f>HYPERLINK("http://141.218.60.56/~jnz1568/getInfo.php?workbook=16_15.xlsx&amp;sheet=A0&amp;row=1670&amp;col=16&amp;number=&amp;sourceID=55","")</f>
        <v/>
      </c>
      <c r="Q1670" s="4" t="str">
        <f>HYPERLINK("http://141.218.60.56/~jnz1568/getInfo.php?workbook=16_15.xlsx&amp;sheet=A0&amp;row=1670&amp;col=17&amp;number=&amp;sourceID=56","")</f>
        <v/>
      </c>
      <c r="R1670" s="4" t="str">
        <f>HYPERLINK("http://141.218.60.56/~jnz1568/getInfo.php?workbook=16_15.xlsx&amp;sheet=A0&amp;row=1670&amp;col=18&amp;number=&amp;sourceID=56","")</f>
        <v/>
      </c>
      <c r="S1670" s="4" t="str">
        <f>HYPERLINK("http://141.218.60.56/~jnz1568/getInfo.php?workbook=16_15.xlsx&amp;sheet=A0&amp;row=1670&amp;col=19&amp;number=&amp;sourceID=57","")</f>
        <v/>
      </c>
      <c r="T1670" s="4" t="str">
        <f>HYPERLINK("http://141.218.60.56/~jnz1568/getInfo.php?workbook=16_15.xlsx&amp;sheet=A0&amp;row=1670&amp;col=20&amp;number=&amp;sourceID=57","")</f>
        <v/>
      </c>
      <c r="U1670" s="4" t="str">
        <f>HYPERLINK("http://141.218.60.56/~jnz1568/getInfo.php?workbook=16_15.xlsx&amp;sheet=A0&amp;row=1670&amp;col=21&amp;number=&amp;sourceID=47","")</f>
        <v/>
      </c>
      <c r="V1670" s="4" t="str">
        <f>HYPERLINK("http://141.218.60.56/~jnz1568/getInfo.php?workbook=16_15.xlsx&amp;sheet=A0&amp;row=1670&amp;col=22&amp;number=&amp;sourceID=47","")</f>
        <v/>
      </c>
    </row>
    <row r="1671" spans="1:22">
      <c r="A1671" s="3">
        <v>16</v>
      </c>
      <c r="B1671" s="3">
        <v>15</v>
      </c>
      <c r="C1671" s="3">
        <v>65</v>
      </c>
      <c r="D1671" s="3">
        <v>52</v>
      </c>
      <c r="E1671" s="3">
        <f>((1/(INDEX(E0!J$4:J$73,C1671,1)-INDEX(E0!J$4:J$73,D1671,1))))*100000000</f>
        <v>0</v>
      </c>
      <c r="F1671" s="4" t="str">
        <f>HYPERLINK("http://141.218.60.56/~jnz1568/getInfo.php?workbook=16_15.xlsx&amp;sheet=A0&amp;row=1671&amp;col=6&amp;number=&amp;sourceID=54","")</f>
        <v/>
      </c>
      <c r="G1671" s="4" t="str">
        <f>HYPERLINK("http://141.218.60.56/~jnz1568/getInfo.php?workbook=16_15.xlsx&amp;sheet=A0&amp;row=1671&amp;col=7&amp;number=0.0013744&amp;sourceID=54","0.0013744")</f>
        <v>0.0013744</v>
      </c>
      <c r="H1671" s="4" t="str">
        <f>HYPERLINK("http://141.218.60.56/~jnz1568/getInfo.php?workbook=16_15.xlsx&amp;sheet=A0&amp;row=1671&amp;col=8&amp;number=&amp;sourceID=54","")</f>
        <v/>
      </c>
      <c r="I1671" s="4" t="str">
        <f>HYPERLINK("http://141.218.60.56/~jnz1568/getInfo.php?workbook=16_15.xlsx&amp;sheet=A0&amp;row=1671&amp;col=9&amp;number=&amp;sourceID=54","")</f>
        <v/>
      </c>
      <c r="J1671" s="4" t="str">
        <f>HYPERLINK("http://141.218.60.56/~jnz1568/getInfo.php?workbook=16_15.xlsx&amp;sheet=A0&amp;row=1671&amp;col=10&amp;number=0.0028727&amp;sourceID=54","0.0028727")</f>
        <v>0.0028727</v>
      </c>
      <c r="K1671" s="4" t="str">
        <f>HYPERLINK("http://141.218.60.56/~jnz1568/getInfo.php?workbook=16_15.xlsx&amp;sheet=A0&amp;row=1671&amp;col=11&amp;number=&amp;sourceID=54","")</f>
        <v/>
      </c>
      <c r="L1671" s="4" t="str">
        <f>HYPERLINK("http://141.218.60.56/~jnz1568/getInfo.php?workbook=16_15.xlsx&amp;sheet=A0&amp;row=1671&amp;col=12&amp;number=&amp;sourceID=53","")</f>
        <v/>
      </c>
      <c r="M1671" s="4" t="str">
        <f>HYPERLINK("http://141.218.60.56/~jnz1568/getInfo.php?workbook=16_15.xlsx&amp;sheet=A0&amp;row=1671&amp;col=13&amp;number=&amp;sourceID=53","")</f>
        <v/>
      </c>
      <c r="N1671" s="4" t="str">
        <f>HYPERLINK("http://141.218.60.56/~jnz1568/getInfo.php?workbook=16_15.xlsx&amp;sheet=A0&amp;row=1671&amp;col=14&amp;number=&amp;sourceID=53","")</f>
        <v/>
      </c>
      <c r="O1671" s="4" t="str">
        <f>HYPERLINK("http://141.218.60.56/~jnz1568/getInfo.php?workbook=16_15.xlsx&amp;sheet=A0&amp;row=1671&amp;col=15&amp;number=&amp;sourceID=55","")</f>
        <v/>
      </c>
      <c r="P1671" s="4" t="str">
        <f>HYPERLINK("http://141.218.60.56/~jnz1568/getInfo.php?workbook=16_15.xlsx&amp;sheet=A0&amp;row=1671&amp;col=16&amp;number=&amp;sourceID=55","")</f>
        <v/>
      </c>
      <c r="Q1671" s="4" t="str">
        <f>HYPERLINK("http://141.218.60.56/~jnz1568/getInfo.php?workbook=16_15.xlsx&amp;sheet=A0&amp;row=1671&amp;col=17&amp;number=&amp;sourceID=56","")</f>
        <v/>
      </c>
      <c r="R1671" s="4" t="str">
        <f>HYPERLINK("http://141.218.60.56/~jnz1568/getInfo.php?workbook=16_15.xlsx&amp;sheet=A0&amp;row=1671&amp;col=18&amp;number=&amp;sourceID=56","")</f>
        <v/>
      </c>
      <c r="S1671" s="4" t="str">
        <f>HYPERLINK("http://141.218.60.56/~jnz1568/getInfo.php?workbook=16_15.xlsx&amp;sheet=A0&amp;row=1671&amp;col=19&amp;number=&amp;sourceID=57","")</f>
        <v/>
      </c>
      <c r="T1671" s="4" t="str">
        <f>HYPERLINK("http://141.218.60.56/~jnz1568/getInfo.php?workbook=16_15.xlsx&amp;sheet=A0&amp;row=1671&amp;col=20&amp;number=&amp;sourceID=57","")</f>
        <v/>
      </c>
      <c r="U1671" s="4" t="str">
        <f>HYPERLINK("http://141.218.60.56/~jnz1568/getInfo.php?workbook=16_15.xlsx&amp;sheet=A0&amp;row=1671&amp;col=21&amp;number=&amp;sourceID=47","")</f>
        <v/>
      </c>
      <c r="V1671" s="4" t="str">
        <f>HYPERLINK("http://141.218.60.56/~jnz1568/getInfo.php?workbook=16_15.xlsx&amp;sheet=A0&amp;row=1671&amp;col=22&amp;number=&amp;sourceID=47","")</f>
        <v/>
      </c>
    </row>
    <row r="1672" spans="1:22">
      <c r="A1672" s="3">
        <v>16</v>
      </c>
      <c r="B1672" s="3">
        <v>15</v>
      </c>
      <c r="C1672" s="3">
        <v>65</v>
      </c>
      <c r="D1672" s="3">
        <v>54</v>
      </c>
      <c r="E1672" s="3">
        <f>((1/(INDEX(E0!J$4:J$73,C1672,1)-INDEX(E0!J$4:J$73,D1672,1))))*100000000</f>
        <v>0</v>
      </c>
      <c r="F1672" s="4" t="str">
        <f>HYPERLINK("http://141.218.60.56/~jnz1568/getInfo.php?workbook=16_15.xlsx&amp;sheet=A0&amp;row=1672&amp;col=6&amp;number=&amp;sourceID=54","")</f>
        <v/>
      </c>
      <c r="G1672" s="4" t="str">
        <f>HYPERLINK("http://141.218.60.56/~jnz1568/getInfo.php?workbook=16_15.xlsx&amp;sheet=A0&amp;row=1672&amp;col=7&amp;number=&amp;sourceID=54","")</f>
        <v/>
      </c>
      <c r="H1672" s="4" t="str">
        <f>HYPERLINK("http://141.218.60.56/~jnz1568/getInfo.php?workbook=16_15.xlsx&amp;sheet=A0&amp;row=1672&amp;col=8&amp;number=0.010521&amp;sourceID=54","0.010521")</f>
        <v>0.010521</v>
      </c>
      <c r="I1672" s="4" t="str">
        <f>HYPERLINK("http://141.218.60.56/~jnz1568/getInfo.php?workbook=16_15.xlsx&amp;sheet=A0&amp;row=1672&amp;col=9&amp;number=&amp;sourceID=54","")</f>
        <v/>
      </c>
      <c r="J1672" s="4" t="str">
        <f>HYPERLINK("http://141.218.60.56/~jnz1568/getInfo.php?workbook=16_15.xlsx&amp;sheet=A0&amp;row=1672&amp;col=10&amp;number=&amp;sourceID=54","")</f>
        <v/>
      </c>
      <c r="K1672" s="4" t="str">
        <f>HYPERLINK("http://141.218.60.56/~jnz1568/getInfo.php?workbook=16_15.xlsx&amp;sheet=A0&amp;row=1672&amp;col=11&amp;number=0.010977&amp;sourceID=54","0.010977")</f>
        <v>0.010977</v>
      </c>
      <c r="L1672" s="4" t="str">
        <f>HYPERLINK("http://141.218.60.56/~jnz1568/getInfo.php?workbook=16_15.xlsx&amp;sheet=A0&amp;row=1672&amp;col=12&amp;number=&amp;sourceID=53","")</f>
        <v/>
      </c>
      <c r="M1672" s="4" t="str">
        <f>HYPERLINK("http://141.218.60.56/~jnz1568/getInfo.php?workbook=16_15.xlsx&amp;sheet=A0&amp;row=1672&amp;col=13&amp;number=&amp;sourceID=53","")</f>
        <v/>
      </c>
      <c r="N1672" s="4" t="str">
        <f>HYPERLINK("http://141.218.60.56/~jnz1568/getInfo.php?workbook=16_15.xlsx&amp;sheet=A0&amp;row=1672&amp;col=14&amp;number=&amp;sourceID=53","")</f>
        <v/>
      </c>
      <c r="O1672" s="4" t="str">
        <f>HYPERLINK("http://141.218.60.56/~jnz1568/getInfo.php?workbook=16_15.xlsx&amp;sheet=A0&amp;row=1672&amp;col=15&amp;number=&amp;sourceID=55","")</f>
        <v/>
      </c>
      <c r="P1672" s="4" t="str">
        <f>HYPERLINK("http://141.218.60.56/~jnz1568/getInfo.php?workbook=16_15.xlsx&amp;sheet=A0&amp;row=1672&amp;col=16&amp;number=&amp;sourceID=55","")</f>
        <v/>
      </c>
      <c r="Q1672" s="4" t="str">
        <f>HYPERLINK("http://141.218.60.56/~jnz1568/getInfo.php?workbook=16_15.xlsx&amp;sheet=A0&amp;row=1672&amp;col=17&amp;number=&amp;sourceID=56","")</f>
        <v/>
      </c>
      <c r="R1672" s="4" t="str">
        <f>HYPERLINK("http://141.218.60.56/~jnz1568/getInfo.php?workbook=16_15.xlsx&amp;sheet=A0&amp;row=1672&amp;col=18&amp;number=&amp;sourceID=56","")</f>
        <v/>
      </c>
      <c r="S1672" s="4" t="str">
        <f>HYPERLINK("http://141.218.60.56/~jnz1568/getInfo.php?workbook=16_15.xlsx&amp;sheet=A0&amp;row=1672&amp;col=19&amp;number=&amp;sourceID=57","")</f>
        <v/>
      </c>
      <c r="T1672" s="4" t="str">
        <f>HYPERLINK("http://141.218.60.56/~jnz1568/getInfo.php?workbook=16_15.xlsx&amp;sheet=A0&amp;row=1672&amp;col=20&amp;number=&amp;sourceID=57","")</f>
        <v/>
      </c>
      <c r="U1672" s="4" t="str">
        <f>HYPERLINK("http://141.218.60.56/~jnz1568/getInfo.php?workbook=16_15.xlsx&amp;sheet=A0&amp;row=1672&amp;col=21&amp;number=&amp;sourceID=47","")</f>
        <v/>
      </c>
      <c r="V1672" s="4" t="str">
        <f>HYPERLINK("http://141.218.60.56/~jnz1568/getInfo.php?workbook=16_15.xlsx&amp;sheet=A0&amp;row=1672&amp;col=22&amp;number=&amp;sourceID=47","")</f>
        <v/>
      </c>
    </row>
    <row r="1673" spans="1:22">
      <c r="A1673" s="3">
        <v>16</v>
      </c>
      <c r="B1673" s="3">
        <v>15</v>
      </c>
      <c r="C1673" s="3">
        <v>65</v>
      </c>
      <c r="D1673" s="3">
        <v>55</v>
      </c>
      <c r="E1673" s="3">
        <f>((1/(INDEX(E0!J$4:J$73,C1673,1)-INDEX(E0!J$4:J$73,D1673,1))))*100000000</f>
        <v>0</v>
      </c>
      <c r="F1673" s="4" t="str">
        <f>HYPERLINK("http://141.218.60.56/~jnz1568/getInfo.php?workbook=16_15.xlsx&amp;sheet=A0&amp;row=1673&amp;col=6&amp;number=&amp;sourceID=54","")</f>
        <v/>
      </c>
      <c r="G1673" s="4" t="str">
        <f>HYPERLINK("http://141.218.60.56/~jnz1568/getInfo.php?workbook=16_15.xlsx&amp;sheet=A0&amp;row=1673&amp;col=7&amp;number=&amp;sourceID=54","")</f>
        <v/>
      </c>
      <c r="H1673" s="4" t="str">
        <f>HYPERLINK("http://141.218.60.56/~jnz1568/getInfo.php?workbook=16_15.xlsx&amp;sheet=A0&amp;row=1673&amp;col=8&amp;number=0.036751&amp;sourceID=54","0.036751")</f>
        <v>0.036751</v>
      </c>
      <c r="I1673" s="4" t="str">
        <f>HYPERLINK("http://141.218.60.56/~jnz1568/getInfo.php?workbook=16_15.xlsx&amp;sheet=A0&amp;row=1673&amp;col=9&amp;number=&amp;sourceID=54","")</f>
        <v/>
      </c>
      <c r="J1673" s="4" t="str">
        <f>HYPERLINK("http://141.218.60.56/~jnz1568/getInfo.php?workbook=16_15.xlsx&amp;sheet=A0&amp;row=1673&amp;col=10&amp;number=0.0050651&amp;sourceID=54","0.0050651")</f>
        <v>0.0050651</v>
      </c>
      <c r="K1673" s="4" t="str">
        <f>HYPERLINK("http://141.218.60.56/~jnz1568/getInfo.php?workbook=16_15.xlsx&amp;sheet=A0&amp;row=1673&amp;col=11&amp;number=0.032206&amp;sourceID=54","0.032206")</f>
        <v>0.032206</v>
      </c>
      <c r="L1673" s="4" t="str">
        <f>HYPERLINK("http://141.218.60.56/~jnz1568/getInfo.php?workbook=16_15.xlsx&amp;sheet=A0&amp;row=1673&amp;col=12&amp;number=&amp;sourceID=53","")</f>
        <v/>
      </c>
      <c r="M1673" s="4" t="str">
        <f>HYPERLINK("http://141.218.60.56/~jnz1568/getInfo.php?workbook=16_15.xlsx&amp;sheet=A0&amp;row=1673&amp;col=13&amp;number=&amp;sourceID=53","")</f>
        <v/>
      </c>
      <c r="N1673" s="4" t="str">
        <f>HYPERLINK("http://141.218.60.56/~jnz1568/getInfo.php?workbook=16_15.xlsx&amp;sheet=A0&amp;row=1673&amp;col=14&amp;number=&amp;sourceID=53","")</f>
        <v/>
      </c>
      <c r="O1673" s="4" t="str">
        <f>HYPERLINK("http://141.218.60.56/~jnz1568/getInfo.php?workbook=16_15.xlsx&amp;sheet=A0&amp;row=1673&amp;col=15&amp;number=&amp;sourceID=55","")</f>
        <v/>
      </c>
      <c r="P1673" s="4" t="str">
        <f>HYPERLINK("http://141.218.60.56/~jnz1568/getInfo.php?workbook=16_15.xlsx&amp;sheet=A0&amp;row=1673&amp;col=16&amp;number=&amp;sourceID=55","")</f>
        <v/>
      </c>
      <c r="Q1673" s="4" t="str">
        <f>HYPERLINK("http://141.218.60.56/~jnz1568/getInfo.php?workbook=16_15.xlsx&amp;sheet=A0&amp;row=1673&amp;col=17&amp;number=&amp;sourceID=56","")</f>
        <v/>
      </c>
      <c r="R1673" s="4" t="str">
        <f>HYPERLINK("http://141.218.60.56/~jnz1568/getInfo.php?workbook=16_15.xlsx&amp;sheet=A0&amp;row=1673&amp;col=18&amp;number=&amp;sourceID=56","")</f>
        <v/>
      </c>
      <c r="S1673" s="4" t="str">
        <f>HYPERLINK("http://141.218.60.56/~jnz1568/getInfo.php?workbook=16_15.xlsx&amp;sheet=A0&amp;row=1673&amp;col=19&amp;number=&amp;sourceID=57","")</f>
        <v/>
      </c>
      <c r="T1673" s="4" t="str">
        <f>HYPERLINK("http://141.218.60.56/~jnz1568/getInfo.php?workbook=16_15.xlsx&amp;sheet=A0&amp;row=1673&amp;col=20&amp;number=&amp;sourceID=57","")</f>
        <v/>
      </c>
      <c r="U1673" s="4" t="str">
        <f>HYPERLINK("http://141.218.60.56/~jnz1568/getInfo.php?workbook=16_15.xlsx&amp;sheet=A0&amp;row=1673&amp;col=21&amp;number=&amp;sourceID=47","")</f>
        <v/>
      </c>
      <c r="V1673" s="4" t="str">
        <f>HYPERLINK("http://141.218.60.56/~jnz1568/getInfo.php?workbook=16_15.xlsx&amp;sheet=A0&amp;row=1673&amp;col=22&amp;number=&amp;sourceID=47","")</f>
        <v/>
      </c>
    </row>
    <row r="1674" spans="1:22">
      <c r="A1674" s="3">
        <v>16</v>
      </c>
      <c r="B1674" s="3">
        <v>15</v>
      </c>
      <c r="C1674" s="3">
        <v>65</v>
      </c>
      <c r="D1674" s="3">
        <v>55</v>
      </c>
      <c r="E1674" s="3">
        <f>((1/(INDEX(E0!J$4:J$73,C1674,1)-INDEX(E0!J$4:J$73,D1674,1))))*100000000</f>
        <v>0</v>
      </c>
      <c r="F1674" s="4" t="str">
        <f>HYPERLINK("http://141.218.60.56/~jnz1568/getInfo.php?workbook=16_15.xlsx&amp;sheet=A0&amp;row=1674&amp;col=6&amp;number=&amp;sourceID=54","")</f>
        <v/>
      </c>
      <c r="G1674" s="4" t="str">
        <f>HYPERLINK("http://141.218.60.56/~jnz1568/getInfo.php?workbook=16_15.xlsx&amp;sheet=A0&amp;row=1674&amp;col=7&amp;number=0.0041229&amp;sourceID=54","0.0041229")</f>
        <v>0.0041229</v>
      </c>
      <c r="H1674" s="4" t="str">
        <f>HYPERLINK("http://141.218.60.56/~jnz1568/getInfo.php?workbook=16_15.xlsx&amp;sheet=A0&amp;row=1674&amp;col=8&amp;number=&amp;sourceID=54","")</f>
        <v/>
      </c>
      <c r="I1674" s="4" t="str">
        <f>HYPERLINK("http://141.218.60.56/~jnz1568/getInfo.php?workbook=16_15.xlsx&amp;sheet=A0&amp;row=1674&amp;col=9&amp;number=&amp;sourceID=54","")</f>
        <v/>
      </c>
      <c r="J1674" s="4" t="str">
        <f>HYPERLINK("http://141.218.60.56/~jnz1568/getInfo.php?workbook=16_15.xlsx&amp;sheet=A0&amp;row=1674&amp;col=10&amp;number=&amp;sourceID=54","")</f>
        <v/>
      </c>
      <c r="K1674" s="4" t="str">
        <f>HYPERLINK("http://141.218.60.56/~jnz1568/getInfo.php?workbook=16_15.xlsx&amp;sheet=A0&amp;row=1674&amp;col=11&amp;number=&amp;sourceID=54","")</f>
        <v/>
      </c>
      <c r="L1674" s="4" t="str">
        <f>HYPERLINK("http://141.218.60.56/~jnz1568/getInfo.php?workbook=16_15.xlsx&amp;sheet=A0&amp;row=1674&amp;col=12&amp;number=&amp;sourceID=53","")</f>
        <v/>
      </c>
      <c r="M1674" s="4" t="str">
        <f>HYPERLINK("http://141.218.60.56/~jnz1568/getInfo.php?workbook=16_15.xlsx&amp;sheet=A0&amp;row=1674&amp;col=13&amp;number=&amp;sourceID=53","")</f>
        <v/>
      </c>
      <c r="N1674" s="4" t="str">
        <f>HYPERLINK("http://141.218.60.56/~jnz1568/getInfo.php?workbook=16_15.xlsx&amp;sheet=A0&amp;row=1674&amp;col=14&amp;number=&amp;sourceID=53","")</f>
        <v/>
      </c>
      <c r="O1674" s="4" t="str">
        <f>HYPERLINK("http://141.218.60.56/~jnz1568/getInfo.php?workbook=16_15.xlsx&amp;sheet=A0&amp;row=1674&amp;col=15&amp;number=&amp;sourceID=55","")</f>
        <v/>
      </c>
      <c r="P1674" s="4" t="str">
        <f>HYPERLINK("http://141.218.60.56/~jnz1568/getInfo.php?workbook=16_15.xlsx&amp;sheet=A0&amp;row=1674&amp;col=16&amp;number=&amp;sourceID=55","")</f>
        <v/>
      </c>
      <c r="Q1674" s="4" t="str">
        <f>HYPERLINK("http://141.218.60.56/~jnz1568/getInfo.php?workbook=16_15.xlsx&amp;sheet=A0&amp;row=1674&amp;col=17&amp;number=&amp;sourceID=56","")</f>
        <v/>
      </c>
      <c r="R1674" s="4" t="str">
        <f>HYPERLINK("http://141.218.60.56/~jnz1568/getInfo.php?workbook=16_15.xlsx&amp;sheet=A0&amp;row=1674&amp;col=18&amp;number=&amp;sourceID=56","")</f>
        <v/>
      </c>
      <c r="S1674" s="4" t="str">
        <f>HYPERLINK("http://141.218.60.56/~jnz1568/getInfo.php?workbook=16_15.xlsx&amp;sheet=A0&amp;row=1674&amp;col=19&amp;number=&amp;sourceID=57","")</f>
        <v/>
      </c>
      <c r="T1674" s="4" t="str">
        <f>HYPERLINK("http://141.218.60.56/~jnz1568/getInfo.php?workbook=16_15.xlsx&amp;sheet=A0&amp;row=1674&amp;col=20&amp;number=&amp;sourceID=57","")</f>
        <v/>
      </c>
      <c r="U1674" s="4" t="str">
        <f>HYPERLINK("http://141.218.60.56/~jnz1568/getInfo.php?workbook=16_15.xlsx&amp;sheet=A0&amp;row=1674&amp;col=21&amp;number=&amp;sourceID=47","")</f>
        <v/>
      </c>
      <c r="V1674" s="4" t="str">
        <f>HYPERLINK("http://141.218.60.56/~jnz1568/getInfo.php?workbook=16_15.xlsx&amp;sheet=A0&amp;row=1674&amp;col=22&amp;number=&amp;sourceID=47","")</f>
        <v/>
      </c>
    </row>
    <row r="1675" spans="1:22">
      <c r="A1675" s="3">
        <v>16</v>
      </c>
      <c r="B1675" s="3">
        <v>15</v>
      </c>
      <c r="C1675" s="3">
        <v>65</v>
      </c>
      <c r="D1675" s="3">
        <v>59</v>
      </c>
      <c r="E1675" s="3">
        <f>((1/(INDEX(E0!J$4:J$73,C1675,1)-INDEX(E0!J$4:J$73,D1675,1))))*100000000</f>
        <v>0</v>
      </c>
      <c r="F1675" s="4" t="str">
        <f>HYPERLINK("http://141.218.60.56/~jnz1568/getInfo.php?workbook=16_15.xlsx&amp;sheet=A0&amp;row=1675&amp;col=6&amp;number=20739&amp;sourceID=54","20739")</f>
        <v>20739</v>
      </c>
      <c r="G1675" s="4" t="str">
        <f>HYPERLINK("http://141.218.60.56/~jnz1568/getInfo.php?workbook=16_15.xlsx&amp;sheet=A0&amp;row=1675&amp;col=7&amp;number=&amp;sourceID=54","")</f>
        <v/>
      </c>
      <c r="H1675" s="4" t="str">
        <f>HYPERLINK("http://141.218.60.56/~jnz1568/getInfo.php?workbook=16_15.xlsx&amp;sheet=A0&amp;row=1675&amp;col=8&amp;number=&amp;sourceID=54","")</f>
        <v/>
      </c>
      <c r="I1675" s="4" t="str">
        <f>HYPERLINK("http://141.218.60.56/~jnz1568/getInfo.php?workbook=16_15.xlsx&amp;sheet=A0&amp;row=1675&amp;col=9&amp;number=16066&amp;sourceID=54","16066")</f>
        <v>16066</v>
      </c>
      <c r="J1675" s="4" t="str">
        <f>HYPERLINK("http://141.218.60.56/~jnz1568/getInfo.php?workbook=16_15.xlsx&amp;sheet=A0&amp;row=1675&amp;col=10&amp;number=&amp;sourceID=54","")</f>
        <v/>
      </c>
      <c r="K1675" s="4" t="str">
        <f>HYPERLINK("http://141.218.60.56/~jnz1568/getInfo.php?workbook=16_15.xlsx&amp;sheet=A0&amp;row=1675&amp;col=11&amp;number=&amp;sourceID=54","")</f>
        <v/>
      </c>
      <c r="L1675" s="4" t="str">
        <f>HYPERLINK("http://141.218.60.56/~jnz1568/getInfo.php?workbook=16_15.xlsx&amp;sheet=A0&amp;row=1675&amp;col=12&amp;number=797.481767592&amp;sourceID=53","797.481767592")</f>
        <v>797.481767592</v>
      </c>
      <c r="M1675" s="4" t="str">
        <f>HYPERLINK("http://141.218.60.56/~jnz1568/getInfo.php?workbook=16_15.xlsx&amp;sheet=A0&amp;row=1675&amp;col=13&amp;number=&amp;sourceID=53","")</f>
        <v/>
      </c>
      <c r="N1675" s="4" t="str">
        <f>HYPERLINK("http://141.218.60.56/~jnz1568/getInfo.php?workbook=16_15.xlsx&amp;sheet=A0&amp;row=1675&amp;col=14&amp;number=&amp;sourceID=53","")</f>
        <v/>
      </c>
      <c r="O1675" s="4" t="str">
        <f>HYPERLINK("http://141.218.60.56/~jnz1568/getInfo.php?workbook=16_15.xlsx&amp;sheet=A0&amp;row=1675&amp;col=15&amp;number=&amp;sourceID=55","")</f>
        <v/>
      </c>
      <c r="P1675" s="4" t="str">
        <f>HYPERLINK("http://141.218.60.56/~jnz1568/getInfo.php?workbook=16_15.xlsx&amp;sheet=A0&amp;row=1675&amp;col=16&amp;number=&amp;sourceID=55","")</f>
        <v/>
      </c>
      <c r="Q1675" s="4" t="str">
        <f>HYPERLINK("http://141.218.60.56/~jnz1568/getInfo.php?workbook=16_15.xlsx&amp;sheet=A0&amp;row=1675&amp;col=17&amp;number=&amp;sourceID=56","")</f>
        <v/>
      </c>
      <c r="R1675" s="4" t="str">
        <f>HYPERLINK("http://141.218.60.56/~jnz1568/getInfo.php?workbook=16_15.xlsx&amp;sheet=A0&amp;row=1675&amp;col=18&amp;number=&amp;sourceID=56","")</f>
        <v/>
      </c>
      <c r="S1675" s="4" t="str">
        <f>HYPERLINK("http://141.218.60.56/~jnz1568/getInfo.php?workbook=16_15.xlsx&amp;sheet=A0&amp;row=1675&amp;col=19&amp;number=&amp;sourceID=57","")</f>
        <v/>
      </c>
      <c r="T1675" s="4" t="str">
        <f>HYPERLINK("http://141.218.60.56/~jnz1568/getInfo.php?workbook=16_15.xlsx&amp;sheet=A0&amp;row=1675&amp;col=20&amp;number=&amp;sourceID=57","")</f>
        <v/>
      </c>
      <c r="U1675" s="4" t="str">
        <f>HYPERLINK("http://141.218.60.56/~jnz1568/getInfo.php?workbook=16_15.xlsx&amp;sheet=A0&amp;row=1675&amp;col=21&amp;number=&amp;sourceID=47","")</f>
        <v/>
      </c>
      <c r="V1675" s="4" t="str">
        <f>HYPERLINK("http://141.218.60.56/~jnz1568/getInfo.php?workbook=16_15.xlsx&amp;sheet=A0&amp;row=1675&amp;col=22&amp;number=&amp;sourceID=47","")</f>
        <v/>
      </c>
    </row>
    <row r="1676" spans="1:22">
      <c r="A1676" s="3">
        <v>16</v>
      </c>
      <c r="B1676" s="3">
        <v>15</v>
      </c>
      <c r="C1676" s="3">
        <v>65</v>
      </c>
      <c r="D1676" s="3">
        <v>60</v>
      </c>
      <c r="E1676" s="3">
        <f>((1/(INDEX(E0!J$4:J$73,C1676,1)-INDEX(E0!J$4:J$73,D1676,1))))*100000000</f>
        <v>0</v>
      </c>
      <c r="F1676" s="4" t="str">
        <f>HYPERLINK("http://141.218.60.56/~jnz1568/getInfo.php?workbook=16_15.xlsx&amp;sheet=A0&amp;row=1676&amp;col=6&amp;number=1657&amp;sourceID=54","1657")</f>
        <v>1657</v>
      </c>
      <c r="G1676" s="4" t="str">
        <f>HYPERLINK("http://141.218.60.56/~jnz1568/getInfo.php?workbook=16_15.xlsx&amp;sheet=A0&amp;row=1676&amp;col=7&amp;number=&amp;sourceID=54","")</f>
        <v/>
      </c>
      <c r="H1676" s="4" t="str">
        <f>HYPERLINK("http://141.218.60.56/~jnz1568/getInfo.php?workbook=16_15.xlsx&amp;sheet=A0&amp;row=1676&amp;col=8&amp;number=&amp;sourceID=54","")</f>
        <v/>
      </c>
      <c r="I1676" s="4" t="str">
        <f>HYPERLINK("http://141.218.60.56/~jnz1568/getInfo.php?workbook=16_15.xlsx&amp;sheet=A0&amp;row=1676&amp;col=9&amp;number=1038.7&amp;sourceID=54","1038.7")</f>
        <v>1038.7</v>
      </c>
      <c r="J1676" s="4" t="str">
        <f>HYPERLINK("http://141.218.60.56/~jnz1568/getInfo.php?workbook=16_15.xlsx&amp;sheet=A0&amp;row=1676&amp;col=10&amp;number=&amp;sourceID=54","")</f>
        <v/>
      </c>
      <c r="K1676" s="4" t="str">
        <f>HYPERLINK("http://141.218.60.56/~jnz1568/getInfo.php?workbook=16_15.xlsx&amp;sheet=A0&amp;row=1676&amp;col=11&amp;number=&amp;sourceID=54","")</f>
        <v/>
      </c>
      <c r="L1676" s="4" t="str">
        <f>HYPERLINK("http://141.218.60.56/~jnz1568/getInfo.php?workbook=16_15.xlsx&amp;sheet=A0&amp;row=1676&amp;col=12&amp;number=6724.43641126&amp;sourceID=53","6724.43641126")</f>
        <v>6724.43641126</v>
      </c>
      <c r="M1676" s="4" t="str">
        <f>HYPERLINK("http://141.218.60.56/~jnz1568/getInfo.php?workbook=16_15.xlsx&amp;sheet=A0&amp;row=1676&amp;col=13&amp;number=&amp;sourceID=53","")</f>
        <v/>
      </c>
      <c r="N1676" s="4" t="str">
        <f>HYPERLINK("http://141.218.60.56/~jnz1568/getInfo.php?workbook=16_15.xlsx&amp;sheet=A0&amp;row=1676&amp;col=14&amp;number=&amp;sourceID=53","")</f>
        <v/>
      </c>
      <c r="O1676" s="4" t="str">
        <f>HYPERLINK("http://141.218.60.56/~jnz1568/getInfo.php?workbook=16_15.xlsx&amp;sheet=A0&amp;row=1676&amp;col=15&amp;number=&amp;sourceID=55","")</f>
        <v/>
      </c>
      <c r="P1676" s="4" t="str">
        <f>HYPERLINK("http://141.218.60.56/~jnz1568/getInfo.php?workbook=16_15.xlsx&amp;sheet=A0&amp;row=1676&amp;col=16&amp;number=&amp;sourceID=55","")</f>
        <v/>
      </c>
      <c r="Q1676" s="4" t="str">
        <f>HYPERLINK("http://141.218.60.56/~jnz1568/getInfo.php?workbook=16_15.xlsx&amp;sheet=A0&amp;row=1676&amp;col=17&amp;number=&amp;sourceID=56","")</f>
        <v/>
      </c>
      <c r="R1676" s="4" t="str">
        <f>HYPERLINK("http://141.218.60.56/~jnz1568/getInfo.php?workbook=16_15.xlsx&amp;sheet=A0&amp;row=1676&amp;col=18&amp;number=&amp;sourceID=56","")</f>
        <v/>
      </c>
      <c r="S1676" s="4" t="str">
        <f>HYPERLINK("http://141.218.60.56/~jnz1568/getInfo.php?workbook=16_15.xlsx&amp;sheet=A0&amp;row=1676&amp;col=19&amp;number=&amp;sourceID=57","")</f>
        <v/>
      </c>
      <c r="T1676" s="4" t="str">
        <f>HYPERLINK("http://141.218.60.56/~jnz1568/getInfo.php?workbook=16_15.xlsx&amp;sheet=A0&amp;row=1676&amp;col=20&amp;number=&amp;sourceID=57","")</f>
        <v/>
      </c>
      <c r="U1676" s="4" t="str">
        <f>HYPERLINK("http://141.218.60.56/~jnz1568/getInfo.php?workbook=16_15.xlsx&amp;sheet=A0&amp;row=1676&amp;col=21&amp;number=&amp;sourceID=47","")</f>
        <v/>
      </c>
      <c r="V1676" s="4" t="str">
        <f>HYPERLINK("http://141.218.60.56/~jnz1568/getInfo.php?workbook=16_15.xlsx&amp;sheet=A0&amp;row=1676&amp;col=22&amp;number=&amp;sourceID=47","")</f>
        <v/>
      </c>
    </row>
    <row r="1677" spans="1:22">
      <c r="A1677" s="3">
        <v>16</v>
      </c>
      <c r="B1677" s="3">
        <v>15</v>
      </c>
      <c r="C1677" s="3">
        <v>65</v>
      </c>
      <c r="D1677" s="3">
        <v>61</v>
      </c>
      <c r="E1677" s="3">
        <f>((1/(INDEX(E0!J$4:J$73,C1677,1)-INDEX(E0!J$4:J$73,D1677,1))))*100000000</f>
        <v>0</v>
      </c>
      <c r="F1677" s="4" t="str">
        <f>HYPERLINK("http://141.218.60.56/~jnz1568/getInfo.php?workbook=16_15.xlsx&amp;sheet=A0&amp;row=1677&amp;col=6&amp;number=423.77&amp;sourceID=54","423.77")</f>
        <v>423.77</v>
      </c>
      <c r="G1677" s="4" t="str">
        <f>HYPERLINK("http://141.218.60.56/~jnz1568/getInfo.php?workbook=16_15.xlsx&amp;sheet=A0&amp;row=1677&amp;col=7&amp;number=&amp;sourceID=54","")</f>
        <v/>
      </c>
      <c r="H1677" s="4" t="str">
        <f>HYPERLINK("http://141.218.60.56/~jnz1568/getInfo.php?workbook=16_15.xlsx&amp;sheet=A0&amp;row=1677&amp;col=8&amp;number=&amp;sourceID=54","")</f>
        <v/>
      </c>
      <c r="I1677" s="4" t="str">
        <f>HYPERLINK("http://141.218.60.56/~jnz1568/getInfo.php?workbook=16_15.xlsx&amp;sheet=A0&amp;row=1677&amp;col=9&amp;number=275.9&amp;sourceID=54","275.9")</f>
        <v>275.9</v>
      </c>
      <c r="J1677" s="4" t="str">
        <f>HYPERLINK("http://141.218.60.56/~jnz1568/getInfo.php?workbook=16_15.xlsx&amp;sheet=A0&amp;row=1677&amp;col=10&amp;number=&amp;sourceID=54","")</f>
        <v/>
      </c>
      <c r="K1677" s="4" t="str">
        <f>HYPERLINK("http://141.218.60.56/~jnz1568/getInfo.php?workbook=16_15.xlsx&amp;sheet=A0&amp;row=1677&amp;col=11&amp;number=&amp;sourceID=54","")</f>
        <v/>
      </c>
      <c r="L1677" s="4" t="str">
        <f>HYPERLINK("http://141.218.60.56/~jnz1568/getInfo.php?workbook=16_15.xlsx&amp;sheet=A0&amp;row=1677&amp;col=12&amp;number=1152.14047129&amp;sourceID=53","1152.14047129")</f>
        <v>1152.14047129</v>
      </c>
      <c r="M1677" s="4" t="str">
        <f>HYPERLINK("http://141.218.60.56/~jnz1568/getInfo.php?workbook=16_15.xlsx&amp;sheet=A0&amp;row=1677&amp;col=13&amp;number=&amp;sourceID=53","")</f>
        <v/>
      </c>
      <c r="N1677" s="4" t="str">
        <f>HYPERLINK("http://141.218.60.56/~jnz1568/getInfo.php?workbook=16_15.xlsx&amp;sheet=A0&amp;row=1677&amp;col=14&amp;number=&amp;sourceID=53","")</f>
        <v/>
      </c>
      <c r="O1677" s="4" t="str">
        <f>HYPERLINK("http://141.218.60.56/~jnz1568/getInfo.php?workbook=16_15.xlsx&amp;sheet=A0&amp;row=1677&amp;col=15&amp;number=&amp;sourceID=55","")</f>
        <v/>
      </c>
      <c r="P1677" s="4" t="str">
        <f>HYPERLINK("http://141.218.60.56/~jnz1568/getInfo.php?workbook=16_15.xlsx&amp;sheet=A0&amp;row=1677&amp;col=16&amp;number=&amp;sourceID=55","")</f>
        <v/>
      </c>
      <c r="Q1677" s="4" t="str">
        <f>HYPERLINK("http://141.218.60.56/~jnz1568/getInfo.php?workbook=16_15.xlsx&amp;sheet=A0&amp;row=1677&amp;col=17&amp;number=&amp;sourceID=56","")</f>
        <v/>
      </c>
      <c r="R1677" s="4" t="str">
        <f>HYPERLINK("http://141.218.60.56/~jnz1568/getInfo.php?workbook=16_15.xlsx&amp;sheet=A0&amp;row=1677&amp;col=18&amp;number=&amp;sourceID=56","")</f>
        <v/>
      </c>
      <c r="S1677" s="4" t="str">
        <f>HYPERLINK("http://141.218.60.56/~jnz1568/getInfo.php?workbook=16_15.xlsx&amp;sheet=A0&amp;row=1677&amp;col=19&amp;number=&amp;sourceID=57","")</f>
        <v/>
      </c>
      <c r="T1677" s="4" t="str">
        <f>HYPERLINK("http://141.218.60.56/~jnz1568/getInfo.php?workbook=16_15.xlsx&amp;sheet=A0&amp;row=1677&amp;col=20&amp;number=&amp;sourceID=57","")</f>
        <v/>
      </c>
      <c r="U1677" s="4" t="str">
        <f>HYPERLINK("http://141.218.60.56/~jnz1568/getInfo.php?workbook=16_15.xlsx&amp;sheet=A0&amp;row=1677&amp;col=21&amp;number=&amp;sourceID=47","")</f>
        <v/>
      </c>
      <c r="V1677" s="4" t="str">
        <f>HYPERLINK("http://141.218.60.56/~jnz1568/getInfo.php?workbook=16_15.xlsx&amp;sheet=A0&amp;row=1677&amp;col=22&amp;number=&amp;sourceID=47","")</f>
        <v/>
      </c>
    </row>
    <row r="1678" spans="1:22">
      <c r="A1678" s="3">
        <v>16</v>
      </c>
      <c r="B1678" s="3">
        <v>15</v>
      </c>
      <c r="C1678" s="3">
        <v>65</v>
      </c>
      <c r="D1678" s="3">
        <v>62</v>
      </c>
      <c r="E1678" s="3">
        <f>((1/(INDEX(E0!J$4:J$73,C1678,1)-INDEX(E0!J$4:J$73,D1678,1))))*100000000</f>
        <v>0</v>
      </c>
      <c r="F1678" s="4" t="str">
        <f>HYPERLINK("http://141.218.60.56/~jnz1568/getInfo.php?workbook=16_15.xlsx&amp;sheet=A0&amp;row=1678&amp;col=6&amp;number=&amp;sourceID=54","")</f>
        <v/>
      </c>
      <c r="G1678" s="4" t="str">
        <f>HYPERLINK("http://141.218.60.56/~jnz1568/getInfo.php?workbook=16_15.xlsx&amp;sheet=A0&amp;row=1678&amp;col=7&amp;number=5.0387e-06&amp;sourceID=54","5.0387e-06")</f>
        <v>5.0387e-06</v>
      </c>
      <c r="H1678" s="4" t="str">
        <f>HYPERLINK("http://141.218.60.56/~jnz1568/getInfo.php?workbook=16_15.xlsx&amp;sheet=A0&amp;row=1678&amp;col=8&amp;number=&amp;sourceID=54","")</f>
        <v/>
      </c>
      <c r="I1678" s="4" t="str">
        <f>HYPERLINK("http://141.218.60.56/~jnz1568/getInfo.php?workbook=16_15.xlsx&amp;sheet=A0&amp;row=1678&amp;col=9&amp;number=&amp;sourceID=54","")</f>
        <v/>
      </c>
      <c r="J1678" s="4" t="str">
        <f>HYPERLINK("http://141.218.60.56/~jnz1568/getInfo.php?workbook=16_15.xlsx&amp;sheet=A0&amp;row=1678&amp;col=10&amp;number=1.8442e-05&amp;sourceID=54","1.8442e-05")</f>
        <v>1.8442e-05</v>
      </c>
      <c r="K1678" s="4" t="str">
        <f>HYPERLINK("http://141.218.60.56/~jnz1568/getInfo.php?workbook=16_15.xlsx&amp;sheet=A0&amp;row=1678&amp;col=11&amp;number=&amp;sourceID=54","")</f>
        <v/>
      </c>
      <c r="L1678" s="4" t="str">
        <f>HYPERLINK("http://141.218.60.56/~jnz1568/getInfo.php?workbook=16_15.xlsx&amp;sheet=A0&amp;row=1678&amp;col=12&amp;number=&amp;sourceID=53","")</f>
        <v/>
      </c>
      <c r="M1678" s="4" t="str">
        <f>HYPERLINK("http://141.218.60.56/~jnz1568/getInfo.php?workbook=16_15.xlsx&amp;sheet=A0&amp;row=1678&amp;col=13&amp;number=&amp;sourceID=53","")</f>
        <v/>
      </c>
      <c r="N1678" s="4" t="str">
        <f>HYPERLINK("http://141.218.60.56/~jnz1568/getInfo.php?workbook=16_15.xlsx&amp;sheet=A0&amp;row=1678&amp;col=14&amp;number=&amp;sourceID=53","")</f>
        <v/>
      </c>
      <c r="O1678" s="4" t="str">
        <f>HYPERLINK("http://141.218.60.56/~jnz1568/getInfo.php?workbook=16_15.xlsx&amp;sheet=A0&amp;row=1678&amp;col=15&amp;number=&amp;sourceID=55","")</f>
        <v/>
      </c>
      <c r="P1678" s="4" t="str">
        <f>HYPERLINK("http://141.218.60.56/~jnz1568/getInfo.php?workbook=16_15.xlsx&amp;sheet=A0&amp;row=1678&amp;col=16&amp;number=&amp;sourceID=55","")</f>
        <v/>
      </c>
      <c r="Q1678" s="4" t="str">
        <f>HYPERLINK("http://141.218.60.56/~jnz1568/getInfo.php?workbook=16_15.xlsx&amp;sheet=A0&amp;row=1678&amp;col=17&amp;number=&amp;sourceID=56","")</f>
        <v/>
      </c>
      <c r="R1678" s="4" t="str">
        <f>HYPERLINK("http://141.218.60.56/~jnz1568/getInfo.php?workbook=16_15.xlsx&amp;sheet=A0&amp;row=1678&amp;col=18&amp;number=&amp;sourceID=56","")</f>
        <v/>
      </c>
      <c r="S1678" s="4" t="str">
        <f>HYPERLINK("http://141.218.60.56/~jnz1568/getInfo.php?workbook=16_15.xlsx&amp;sheet=A0&amp;row=1678&amp;col=19&amp;number=&amp;sourceID=57","")</f>
        <v/>
      </c>
      <c r="T1678" s="4" t="str">
        <f>HYPERLINK("http://141.218.60.56/~jnz1568/getInfo.php?workbook=16_15.xlsx&amp;sheet=A0&amp;row=1678&amp;col=20&amp;number=&amp;sourceID=57","")</f>
        <v/>
      </c>
      <c r="U1678" s="4" t="str">
        <f>HYPERLINK("http://141.218.60.56/~jnz1568/getInfo.php?workbook=16_15.xlsx&amp;sheet=A0&amp;row=1678&amp;col=21&amp;number=&amp;sourceID=47","")</f>
        <v/>
      </c>
      <c r="V1678" s="4" t="str">
        <f>HYPERLINK("http://141.218.60.56/~jnz1568/getInfo.php?workbook=16_15.xlsx&amp;sheet=A0&amp;row=1678&amp;col=22&amp;number=&amp;sourceID=47","")</f>
        <v/>
      </c>
    </row>
    <row r="1679" spans="1:22">
      <c r="A1679" s="3">
        <v>16</v>
      </c>
      <c r="B1679" s="3">
        <v>15</v>
      </c>
      <c r="C1679" s="3">
        <v>65</v>
      </c>
      <c r="D1679" s="3">
        <v>63</v>
      </c>
      <c r="E1679" s="3">
        <f>((1/(INDEX(E0!J$4:J$73,C1679,1)-INDEX(E0!J$4:J$73,D1679,1))))*100000000</f>
        <v>0</v>
      </c>
      <c r="F1679" s="4" t="str">
        <f>HYPERLINK("http://141.218.60.56/~jnz1568/getInfo.php?workbook=16_15.xlsx&amp;sheet=A0&amp;row=1679&amp;col=6&amp;number=&amp;sourceID=54","")</f>
        <v/>
      </c>
      <c r="G1679" s="4" t="str">
        <f>HYPERLINK("http://141.218.60.56/~jnz1568/getInfo.php?workbook=16_15.xlsx&amp;sheet=A0&amp;row=1679&amp;col=7&amp;number=2.2614e-06&amp;sourceID=54","2.2614e-06")</f>
        <v>2.2614e-06</v>
      </c>
      <c r="H1679" s="4" t="str">
        <f>HYPERLINK("http://141.218.60.56/~jnz1568/getInfo.php?workbook=16_15.xlsx&amp;sheet=A0&amp;row=1679&amp;col=8&amp;number=7.4716e-05&amp;sourceID=54","7.4716e-05")</f>
        <v>7.4716e-05</v>
      </c>
      <c r="I1679" s="4" t="str">
        <f>HYPERLINK("http://141.218.60.56/~jnz1568/getInfo.php?workbook=16_15.xlsx&amp;sheet=A0&amp;row=1679&amp;col=9&amp;number=&amp;sourceID=54","")</f>
        <v/>
      </c>
      <c r="J1679" s="4" t="str">
        <f>HYPERLINK("http://141.218.60.56/~jnz1568/getInfo.php?workbook=16_15.xlsx&amp;sheet=A0&amp;row=1679&amp;col=10&amp;number=9.8883e-06&amp;sourceID=54","9.8883e-06")</f>
        <v>9.8883e-06</v>
      </c>
      <c r="K1679" s="4" t="str">
        <f>HYPERLINK("http://141.218.60.56/~jnz1568/getInfo.php?workbook=16_15.xlsx&amp;sheet=A0&amp;row=1679&amp;col=11&amp;number=0.00014051&amp;sourceID=54","0.00014051")</f>
        <v>0.00014051</v>
      </c>
      <c r="L1679" s="4" t="str">
        <f>HYPERLINK("http://141.218.60.56/~jnz1568/getInfo.php?workbook=16_15.xlsx&amp;sheet=A0&amp;row=1679&amp;col=12&amp;number=&amp;sourceID=53","")</f>
        <v/>
      </c>
      <c r="M1679" s="4" t="str">
        <f>HYPERLINK("http://141.218.60.56/~jnz1568/getInfo.php?workbook=16_15.xlsx&amp;sheet=A0&amp;row=1679&amp;col=13&amp;number=&amp;sourceID=53","")</f>
        <v/>
      </c>
      <c r="N1679" s="4" t="str">
        <f>HYPERLINK("http://141.218.60.56/~jnz1568/getInfo.php?workbook=16_15.xlsx&amp;sheet=A0&amp;row=1679&amp;col=14&amp;number=&amp;sourceID=53","")</f>
        <v/>
      </c>
      <c r="O1679" s="4" t="str">
        <f>HYPERLINK("http://141.218.60.56/~jnz1568/getInfo.php?workbook=16_15.xlsx&amp;sheet=A0&amp;row=1679&amp;col=15&amp;number=&amp;sourceID=55","")</f>
        <v/>
      </c>
      <c r="P1679" s="4" t="str">
        <f>HYPERLINK("http://141.218.60.56/~jnz1568/getInfo.php?workbook=16_15.xlsx&amp;sheet=A0&amp;row=1679&amp;col=16&amp;number=&amp;sourceID=55","")</f>
        <v/>
      </c>
      <c r="Q1679" s="4" t="str">
        <f>HYPERLINK("http://141.218.60.56/~jnz1568/getInfo.php?workbook=16_15.xlsx&amp;sheet=A0&amp;row=1679&amp;col=17&amp;number=&amp;sourceID=56","")</f>
        <v/>
      </c>
      <c r="R1679" s="4" t="str">
        <f>HYPERLINK("http://141.218.60.56/~jnz1568/getInfo.php?workbook=16_15.xlsx&amp;sheet=A0&amp;row=1679&amp;col=18&amp;number=&amp;sourceID=56","")</f>
        <v/>
      </c>
      <c r="S1679" s="4" t="str">
        <f>HYPERLINK("http://141.218.60.56/~jnz1568/getInfo.php?workbook=16_15.xlsx&amp;sheet=A0&amp;row=1679&amp;col=19&amp;number=&amp;sourceID=57","")</f>
        <v/>
      </c>
      <c r="T1679" s="4" t="str">
        <f>HYPERLINK("http://141.218.60.56/~jnz1568/getInfo.php?workbook=16_15.xlsx&amp;sheet=A0&amp;row=1679&amp;col=20&amp;number=&amp;sourceID=57","")</f>
        <v/>
      </c>
      <c r="U1679" s="4" t="str">
        <f>HYPERLINK("http://141.218.60.56/~jnz1568/getInfo.php?workbook=16_15.xlsx&amp;sheet=A0&amp;row=1679&amp;col=21&amp;number=&amp;sourceID=47","")</f>
        <v/>
      </c>
      <c r="V1679" s="4" t="str">
        <f>HYPERLINK("http://141.218.60.56/~jnz1568/getInfo.php?workbook=16_15.xlsx&amp;sheet=A0&amp;row=1679&amp;col=22&amp;number=&amp;sourceID=47","")</f>
        <v/>
      </c>
    </row>
    <row r="1680" spans="1:22">
      <c r="A1680" s="3">
        <v>16</v>
      </c>
      <c r="B1680" s="3">
        <v>15</v>
      </c>
      <c r="C1680" s="3">
        <v>65</v>
      </c>
      <c r="D1680" s="3">
        <v>64</v>
      </c>
      <c r="E1680" s="3">
        <f>((1/(INDEX(E0!J$4:J$73,C1680,1)-INDEX(E0!J$4:J$73,D1680,1))))*100000000</f>
        <v>0</v>
      </c>
      <c r="F1680" s="4" t="str">
        <f>HYPERLINK("http://141.218.60.56/~jnz1568/getInfo.php?workbook=16_15.xlsx&amp;sheet=A0&amp;row=1680&amp;col=6&amp;number=&amp;sourceID=54","")</f>
        <v/>
      </c>
      <c r="G1680" s="4" t="str">
        <f>HYPERLINK("http://141.218.60.56/~jnz1568/getInfo.php?workbook=16_15.xlsx&amp;sheet=A0&amp;row=1680&amp;col=7&amp;number=3.0516e-08&amp;sourceID=54","3.0516e-08")</f>
        <v>3.0516e-08</v>
      </c>
      <c r="H1680" s="4" t="str">
        <f>HYPERLINK("http://141.218.60.56/~jnz1568/getInfo.php?workbook=16_15.xlsx&amp;sheet=A0&amp;row=1680&amp;col=8&amp;number=0.0013781&amp;sourceID=54","0.0013781")</f>
        <v>0.0013781</v>
      </c>
      <c r="I1680" s="4" t="str">
        <f>HYPERLINK("http://141.218.60.56/~jnz1568/getInfo.php?workbook=16_15.xlsx&amp;sheet=A0&amp;row=1680&amp;col=9&amp;number=&amp;sourceID=54","")</f>
        <v/>
      </c>
      <c r="J1680" s="4" t="str">
        <f>HYPERLINK("http://141.218.60.56/~jnz1568/getInfo.php?workbook=16_15.xlsx&amp;sheet=A0&amp;row=1680&amp;col=10&amp;number=2.0177e-08&amp;sourceID=54","2.0177e-08")</f>
        <v>2.0177e-08</v>
      </c>
      <c r="K1680" s="4" t="str">
        <f>HYPERLINK("http://141.218.60.56/~jnz1568/getInfo.php?workbook=16_15.xlsx&amp;sheet=A0&amp;row=1680&amp;col=11&amp;number=0.0008606&amp;sourceID=54","0.0008606")</f>
        <v>0.0008606</v>
      </c>
      <c r="L1680" s="4" t="str">
        <f>HYPERLINK("http://141.218.60.56/~jnz1568/getInfo.php?workbook=16_15.xlsx&amp;sheet=A0&amp;row=1680&amp;col=12&amp;number=&amp;sourceID=53","")</f>
        <v/>
      </c>
      <c r="M1680" s="4" t="str">
        <f>HYPERLINK("http://141.218.60.56/~jnz1568/getInfo.php?workbook=16_15.xlsx&amp;sheet=A0&amp;row=1680&amp;col=13&amp;number=&amp;sourceID=53","")</f>
        <v/>
      </c>
      <c r="N1680" s="4" t="str">
        <f>HYPERLINK("http://141.218.60.56/~jnz1568/getInfo.php?workbook=16_15.xlsx&amp;sheet=A0&amp;row=1680&amp;col=14&amp;number=&amp;sourceID=53","")</f>
        <v/>
      </c>
      <c r="O1680" s="4" t="str">
        <f>HYPERLINK("http://141.218.60.56/~jnz1568/getInfo.php?workbook=16_15.xlsx&amp;sheet=A0&amp;row=1680&amp;col=15&amp;number=&amp;sourceID=55","")</f>
        <v/>
      </c>
      <c r="P1680" s="4" t="str">
        <f>HYPERLINK("http://141.218.60.56/~jnz1568/getInfo.php?workbook=16_15.xlsx&amp;sheet=A0&amp;row=1680&amp;col=16&amp;number=&amp;sourceID=55","")</f>
        <v/>
      </c>
      <c r="Q1680" s="4" t="str">
        <f>HYPERLINK("http://141.218.60.56/~jnz1568/getInfo.php?workbook=16_15.xlsx&amp;sheet=A0&amp;row=1680&amp;col=17&amp;number=&amp;sourceID=56","")</f>
        <v/>
      </c>
      <c r="R1680" s="4" t="str">
        <f>HYPERLINK("http://141.218.60.56/~jnz1568/getInfo.php?workbook=16_15.xlsx&amp;sheet=A0&amp;row=1680&amp;col=18&amp;number=&amp;sourceID=56","")</f>
        <v/>
      </c>
      <c r="S1680" s="4" t="str">
        <f>HYPERLINK("http://141.218.60.56/~jnz1568/getInfo.php?workbook=16_15.xlsx&amp;sheet=A0&amp;row=1680&amp;col=19&amp;number=&amp;sourceID=57","")</f>
        <v/>
      </c>
      <c r="T1680" s="4" t="str">
        <f>HYPERLINK("http://141.218.60.56/~jnz1568/getInfo.php?workbook=16_15.xlsx&amp;sheet=A0&amp;row=1680&amp;col=20&amp;number=&amp;sourceID=57","")</f>
        <v/>
      </c>
      <c r="U1680" s="4" t="str">
        <f>HYPERLINK("http://141.218.60.56/~jnz1568/getInfo.php?workbook=16_15.xlsx&amp;sheet=A0&amp;row=1680&amp;col=21&amp;number=&amp;sourceID=47","")</f>
        <v/>
      </c>
      <c r="V1680" s="4" t="str">
        <f>HYPERLINK("http://141.218.60.56/~jnz1568/getInfo.php?workbook=16_15.xlsx&amp;sheet=A0&amp;row=1680&amp;col=22&amp;number=&amp;sourceID=47","")</f>
        <v/>
      </c>
    </row>
    <row r="1681" spans="1:22">
      <c r="A1681" s="3">
        <v>16</v>
      </c>
      <c r="B1681" s="3">
        <v>15</v>
      </c>
      <c r="C1681" s="3">
        <v>66</v>
      </c>
      <c r="D1681" s="3">
        <v>1</v>
      </c>
      <c r="E1681" s="3">
        <f>((1/(INDEX(E0!J$4:J$73,C1681,1)-INDEX(E0!J$4:J$73,D1681,1))))*100000000</f>
        <v>0</v>
      </c>
      <c r="F1681" s="4" t="str">
        <f>HYPERLINK("http://141.218.60.56/~jnz1568/getInfo.php?workbook=16_15.xlsx&amp;sheet=A0&amp;row=1681&amp;col=6&amp;number=374460&amp;sourceID=54","374460")</f>
        <v>374460</v>
      </c>
      <c r="G1681" s="4" t="str">
        <f>HYPERLINK("http://141.218.60.56/~jnz1568/getInfo.php?workbook=16_15.xlsx&amp;sheet=A0&amp;row=1681&amp;col=7&amp;number=&amp;sourceID=54","")</f>
        <v/>
      </c>
      <c r="H1681" s="4" t="str">
        <f>HYPERLINK("http://141.218.60.56/~jnz1568/getInfo.php?workbook=16_15.xlsx&amp;sheet=A0&amp;row=1681&amp;col=8&amp;number=&amp;sourceID=54","")</f>
        <v/>
      </c>
      <c r="I1681" s="4" t="str">
        <f>HYPERLINK("http://141.218.60.56/~jnz1568/getInfo.php?workbook=16_15.xlsx&amp;sheet=A0&amp;row=1681&amp;col=9&amp;number=495040&amp;sourceID=54","495040")</f>
        <v>495040</v>
      </c>
      <c r="J1681" s="4" t="str">
        <f>HYPERLINK("http://141.218.60.56/~jnz1568/getInfo.php?workbook=16_15.xlsx&amp;sheet=A0&amp;row=1681&amp;col=10&amp;number=&amp;sourceID=54","")</f>
        <v/>
      </c>
      <c r="K1681" s="4" t="str">
        <f>HYPERLINK("http://141.218.60.56/~jnz1568/getInfo.php?workbook=16_15.xlsx&amp;sheet=A0&amp;row=1681&amp;col=11&amp;number=&amp;sourceID=54","")</f>
        <v/>
      </c>
      <c r="L1681" s="4" t="str">
        <f>HYPERLINK("http://141.218.60.56/~jnz1568/getInfo.php?workbook=16_15.xlsx&amp;sheet=A0&amp;row=1681&amp;col=12&amp;number=999710.859876&amp;sourceID=53","999710.859876")</f>
        <v>999710.859876</v>
      </c>
      <c r="M1681" s="4" t="str">
        <f>HYPERLINK("http://141.218.60.56/~jnz1568/getInfo.php?workbook=16_15.xlsx&amp;sheet=A0&amp;row=1681&amp;col=13&amp;number=&amp;sourceID=53","")</f>
        <v/>
      </c>
      <c r="N1681" s="4" t="str">
        <f>HYPERLINK("http://141.218.60.56/~jnz1568/getInfo.php?workbook=16_15.xlsx&amp;sheet=A0&amp;row=1681&amp;col=14&amp;number=&amp;sourceID=53","")</f>
        <v/>
      </c>
      <c r="O1681" s="4" t="str">
        <f>HYPERLINK("http://141.218.60.56/~jnz1568/getInfo.php?workbook=16_15.xlsx&amp;sheet=A0&amp;row=1681&amp;col=15&amp;number=&amp;sourceID=55","")</f>
        <v/>
      </c>
      <c r="P1681" s="4" t="str">
        <f>HYPERLINK("http://141.218.60.56/~jnz1568/getInfo.php?workbook=16_15.xlsx&amp;sheet=A0&amp;row=1681&amp;col=16&amp;number=&amp;sourceID=55","")</f>
        <v/>
      </c>
      <c r="Q1681" s="4" t="str">
        <f>HYPERLINK("http://141.218.60.56/~jnz1568/getInfo.php?workbook=16_15.xlsx&amp;sheet=A0&amp;row=1681&amp;col=17&amp;number=&amp;sourceID=56","")</f>
        <v/>
      </c>
      <c r="R1681" s="4" t="str">
        <f>HYPERLINK("http://141.218.60.56/~jnz1568/getInfo.php?workbook=16_15.xlsx&amp;sheet=A0&amp;row=1681&amp;col=18&amp;number=&amp;sourceID=56","")</f>
        <v/>
      </c>
      <c r="S1681" s="4" t="str">
        <f>HYPERLINK("http://141.218.60.56/~jnz1568/getInfo.php?workbook=16_15.xlsx&amp;sheet=A0&amp;row=1681&amp;col=19&amp;number=&amp;sourceID=57","")</f>
        <v/>
      </c>
      <c r="T1681" s="4" t="str">
        <f>HYPERLINK("http://141.218.60.56/~jnz1568/getInfo.php?workbook=16_15.xlsx&amp;sheet=A0&amp;row=1681&amp;col=20&amp;number=&amp;sourceID=57","")</f>
        <v/>
      </c>
      <c r="U1681" s="4" t="str">
        <f>HYPERLINK("http://141.218.60.56/~jnz1568/getInfo.php?workbook=16_15.xlsx&amp;sheet=A0&amp;row=1681&amp;col=21&amp;number=&amp;sourceID=47","")</f>
        <v/>
      </c>
      <c r="V1681" s="4" t="str">
        <f>HYPERLINK("http://141.218.60.56/~jnz1568/getInfo.php?workbook=16_15.xlsx&amp;sheet=A0&amp;row=1681&amp;col=22&amp;number=&amp;sourceID=47","")</f>
        <v/>
      </c>
    </row>
    <row r="1682" spans="1:22">
      <c r="A1682" s="3">
        <v>16</v>
      </c>
      <c r="B1682" s="3">
        <v>15</v>
      </c>
      <c r="C1682" s="3">
        <v>66</v>
      </c>
      <c r="D1682" s="3">
        <v>2</v>
      </c>
      <c r="E1682" s="3">
        <f>((1/(INDEX(E0!J$4:J$73,C1682,1)-INDEX(E0!J$4:J$73,D1682,1))))*100000000</f>
        <v>0</v>
      </c>
      <c r="F1682" s="4" t="str">
        <f>HYPERLINK("http://141.218.60.56/~jnz1568/getInfo.php?workbook=16_15.xlsx&amp;sheet=A0&amp;row=1682&amp;col=6&amp;number=72333000&amp;sourceID=54","72333000")</f>
        <v>72333000</v>
      </c>
      <c r="G1682" s="4" t="str">
        <f>HYPERLINK("http://141.218.60.56/~jnz1568/getInfo.php?workbook=16_15.xlsx&amp;sheet=A0&amp;row=1682&amp;col=7&amp;number=&amp;sourceID=54","")</f>
        <v/>
      </c>
      <c r="H1682" s="4" t="str">
        <f>HYPERLINK("http://141.218.60.56/~jnz1568/getInfo.php?workbook=16_15.xlsx&amp;sheet=A0&amp;row=1682&amp;col=8&amp;number=&amp;sourceID=54","")</f>
        <v/>
      </c>
      <c r="I1682" s="4" t="str">
        <f>HYPERLINK("http://141.218.60.56/~jnz1568/getInfo.php?workbook=16_15.xlsx&amp;sheet=A0&amp;row=1682&amp;col=9&amp;number=72276000&amp;sourceID=54","72276000")</f>
        <v>72276000</v>
      </c>
      <c r="J1682" s="4" t="str">
        <f>HYPERLINK("http://141.218.60.56/~jnz1568/getInfo.php?workbook=16_15.xlsx&amp;sheet=A0&amp;row=1682&amp;col=10&amp;number=&amp;sourceID=54","")</f>
        <v/>
      </c>
      <c r="K1682" s="4" t="str">
        <f>HYPERLINK("http://141.218.60.56/~jnz1568/getInfo.php?workbook=16_15.xlsx&amp;sheet=A0&amp;row=1682&amp;col=11&amp;number=&amp;sourceID=54","")</f>
        <v/>
      </c>
      <c r="L1682" s="4" t="str">
        <f>HYPERLINK("http://141.218.60.56/~jnz1568/getInfo.php?workbook=16_15.xlsx&amp;sheet=A0&amp;row=1682&amp;col=12&amp;number=76758896.9865&amp;sourceID=53","76758896.9865")</f>
        <v>76758896.9865</v>
      </c>
      <c r="M1682" s="4" t="str">
        <f>HYPERLINK("http://141.218.60.56/~jnz1568/getInfo.php?workbook=16_15.xlsx&amp;sheet=A0&amp;row=1682&amp;col=13&amp;number=&amp;sourceID=53","")</f>
        <v/>
      </c>
      <c r="N1682" s="4" t="str">
        <f>HYPERLINK("http://141.218.60.56/~jnz1568/getInfo.php?workbook=16_15.xlsx&amp;sheet=A0&amp;row=1682&amp;col=14&amp;number=&amp;sourceID=53","")</f>
        <v/>
      </c>
      <c r="O1682" s="4" t="str">
        <f>HYPERLINK("http://141.218.60.56/~jnz1568/getInfo.php?workbook=16_15.xlsx&amp;sheet=A0&amp;row=1682&amp;col=15&amp;number=&amp;sourceID=55","")</f>
        <v/>
      </c>
      <c r="P1682" s="4" t="str">
        <f>HYPERLINK("http://141.218.60.56/~jnz1568/getInfo.php?workbook=16_15.xlsx&amp;sheet=A0&amp;row=1682&amp;col=16&amp;number=&amp;sourceID=55","")</f>
        <v/>
      </c>
      <c r="Q1682" s="4" t="str">
        <f>HYPERLINK("http://141.218.60.56/~jnz1568/getInfo.php?workbook=16_15.xlsx&amp;sheet=A0&amp;row=1682&amp;col=17&amp;number=&amp;sourceID=56","")</f>
        <v/>
      </c>
      <c r="R1682" s="4" t="str">
        <f>HYPERLINK("http://141.218.60.56/~jnz1568/getInfo.php?workbook=16_15.xlsx&amp;sheet=A0&amp;row=1682&amp;col=18&amp;number=&amp;sourceID=56","")</f>
        <v/>
      </c>
      <c r="S1682" s="4" t="str">
        <f>HYPERLINK("http://141.218.60.56/~jnz1568/getInfo.php?workbook=16_15.xlsx&amp;sheet=A0&amp;row=1682&amp;col=19&amp;number=&amp;sourceID=57","")</f>
        <v/>
      </c>
      <c r="T1682" s="4" t="str">
        <f>HYPERLINK("http://141.218.60.56/~jnz1568/getInfo.php?workbook=16_15.xlsx&amp;sheet=A0&amp;row=1682&amp;col=20&amp;number=&amp;sourceID=57","")</f>
        <v/>
      </c>
      <c r="U1682" s="4" t="str">
        <f>HYPERLINK("http://141.218.60.56/~jnz1568/getInfo.php?workbook=16_15.xlsx&amp;sheet=A0&amp;row=1682&amp;col=21&amp;number=&amp;sourceID=47","")</f>
        <v/>
      </c>
      <c r="V1682" s="4" t="str">
        <f>HYPERLINK("http://141.218.60.56/~jnz1568/getInfo.php?workbook=16_15.xlsx&amp;sheet=A0&amp;row=1682&amp;col=22&amp;number=&amp;sourceID=47","")</f>
        <v/>
      </c>
    </row>
    <row r="1683" spans="1:22">
      <c r="A1683" s="3">
        <v>16</v>
      </c>
      <c r="B1683" s="3">
        <v>15</v>
      </c>
      <c r="C1683" s="3">
        <v>66</v>
      </c>
      <c r="D1683" s="3">
        <v>3</v>
      </c>
      <c r="E1683" s="3">
        <f>((1/(INDEX(E0!J$4:J$73,C1683,1)-INDEX(E0!J$4:J$73,D1683,1))))*100000000</f>
        <v>0</v>
      </c>
      <c r="F1683" s="4" t="str">
        <f>HYPERLINK("http://141.218.60.56/~jnz1568/getInfo.php?workbook=16_15.xlsx&amp;sheet=A0&amp;row=1683&amp;col=6&amp;number=1305600000&amp;sourceID=54","1305600000")</f>
        <v>1305600000</v>
      </c>
      <c r="G1683" s="4" t="str">
        <f>HYPERLINK("http://141.218.60.56/~jnz1568/getInfo.php?workbook=16_15.xlsx&amp;sheet=A0&amp;row=1683&amp;col=7&amp;number=&amp;sourceID=54","")</f>
        <v/>
      </c>
      <c r="H1683" s="4" t="str">
        <f>HYPERLINK("http://141.218.60.56/~jnz1568/getInfo.php?workbook=16_15.xlsx&amp;sheet=A0&amp;row=1683&amp;col=8&amp;number=&amp;sourceID=54","")</f>
        <v/>
      </c>
      <c r="I1683" s="4" t="str">
        <f>HYPERLINK("http://141.218.60.56/~jnz1568/getInfo.php?workbook=16_15.xlsx&amp;sheet=A0&amp;row=1683&amp;col=9&amp;number=1272000000&amp;sourceID=54","1272000000")</f>
        <v>1272000000</v>
      </c>
      <c r="J1683" s="4" t="str">
        <f>HYPERLINK("http://141.218.60.56/~jnz1568/getInfo.php?workbook=16_15.xlsx&amp;sheet=A0&amp;row=1683&amp;col=10&amp;number=&amp;sourceID=54","")</f>
        <v/>
      </c>
      <c r="K1683" s="4" t="str">
        <f>HYPERLINK("http://141.218.60.56/~jnz1568/getInfo.php?workbook=16_15.xlsx&amp;sheet=A0&amp;row=1683&amp;col=11&amp;number=&amp;sourceID=54","")</f>
        <v/>
      </c>
      <c r="L1683" s="4" t="str">
        <f>HYPERLINK("http://141.218.60.56/~jnz1568/getInfo.php?workbook=16_15.xlsx&amp;sheet=A0&amp;row=1683&amp;col=12&amp;number=1275696399.73&amp;sourceID=53","1275696399.73")</f>
        <v>1275696399.73</v>
      </c>
      <c r="M1683" s="4" t="str">
        <f>HYPERLINK("http://141.218.60.56/~jnz1568/getInfo.php?workbook=16_15.xlsx&amp;sheet=A0&amp;row=1683&amp;col=13&amp;number=&amp;sourceID=53","")</f>
        <v/>
      </c>
      <c r="N1683" s="4" t="str">
        <f>HYPERLINK("http://141.218.60.56/~jnz1568/getInfo.php?workbook=16_15.xlsx&amp;sheet=A0&amp;row=1683&amp;col=14&amp;number=&amp;sourceID=53","")</f>
        <v/>
      </c>
      <c r="O1683" s="4" t="str">
        <f>HYPERLINK("http://141.218.60.56/~jnz1568/getInfo.php?workbook=16_15.xlsx&amp;sheet=A0&amp;row=1683&amp;col=15&amp;number=&amp;sourceID=55","")</f>
        <v/>
      </c>
      <c r="P1683" s="4" t="str">
        <f>HYPERLINK("http://141.218.60.56/~jnz1568/getInfo.php?workbook=16_15.xlsx&amp;sheet=A0&amp;row=1683&amp;col=16&amp;number=&amp;sourceID=55","")</f>
        <v/>
      </c>
      <c r="Q1683" s="4" t="str">
        <f>HYPERLINK("http://141.218.60.56/~jnz1568/getInfo.php?workbook=16_15.xlsx&amp;sheet=A0&amp;row=1683&amp;col=17&amp;number=&amp;sourceID=56","")</f>
        <v/>
      </c>
      <c r="R1683" s="4" t="str">
        <f>HYPERLINK("http://141.218.60.56/~jnz1568/getInfo.php?workbook=16_15.xlsx&amp;sheet=A0&amp;row=1683&amp;col=18&amp;number=&amp;sourceID=56","")</f>
        <v/>
      </c>
      <c r="S1683" s="4" t="str">
        <f>HYPERLINK("http://141.218.60.56/~jnz1568/getInfo.php?workbook=16_15.xlsx&amp;sheet=A0&amp;row=1683&amp;col=19&amp;number=&amp;sourceID=57","")</f>
        <v/>
      </c>
      <c r="T1683" s="4" t="str">
        <f>HYPERLINK("http://141.218.60.56/~jnz1568/getInfo.php?workbook=16_15.xlsx&amp;sheet=A0&amp;row=1683&amp;col=20&amp;number=&amp;sourceID=57","")</f>
        <v/>
      </c>
      <c r="U1683" s="4" t="str">
        <f>HYPERLINK("http://141.218.60.56/~jnz1568/getInfo.php?workbook=16_15.xlsx&amp;sheet=A0&amp;row=1683&amp;col=21&amp;number=&amp;sourceID=47","")</f>
        <v/>
      </c>
      <c r="V1683" s="4" t="str">
        <f>HYPERLINK("http://141.218.60.56/~jnz1568/getInfo.php?workbook=16_15.xlsx&amp;sheet=A0&amp;row=1683&amp;col=22&amp;number=&amp;sourceID=47","")</f>
        <v/>
      </c>
    </row>
    <row r="1684" spans="1:22">
      <c r="A1684" s="3">
        <v>16</v>
      </c>
      <c r="B1684" s="3">
        <v>15</v>
      </c>
      <c r="C1684" s="3">
        <v>66</v>
      </c>
      <c r="D1684" s="3">
        <v>5</v>
      </c>
      <c r="E1684" s="3">
        <f>((1/(INDEX(E0!J$4:J$73,C1684,1)-INDEX(E0!J$4:J$73,D1684,1))))*100000000</f>
        <v>0</v>
      </c>
      <c r="F1684" s="4" t="str">
        <f>HYPERLINK("http://141.218.60.56/~jnz1568/getInfo.php?workbook=16_15.xlsx&amp;sheet=A0&amp;row=1684&amp;col=6&amp;number=6340700000&amp;sourceID=54","6340700000")</f>
        <v>6340700000</v>
      </c>
      <c r="G1684" s="4" t="str">
        <f>HYPERLINK("http://141.218.60.56/~jnz1568/getInfo.php?workbook=16_15.xlsx&amp;sheet=A0&amp;row=1684&amp;col=7&amp;number=&amp;sourceID=54","")</f>
        <v/>
      </c>
      <c r="H1684" s="4" t="str">
        <f>HYPERLINK("http://141.218.60.56/~jnz1568/getInfo.php?workbook=16_15.xlsx&amp;sheet=A0&amp;row=1684&amp;col=8&amp;number=&amp;sourceID=54","")</f>
        <v/>
      </c>
      <c r="I1684" s="4" t="str">
        <f>HYPERLINK("http://141.218.60.56/~jnz1568/getInfo.php?workbook=16_15.xlsx&amp;sheet=A0&amp;row=1684&amp;col=9&amp;number=6147200000&amp;sourceID=54","6147200000")</f>
        <v>6147200000</v>
      </c>
      <c r="J1684" s="4" t="str">
        <f>HYPERLINK("http://141.218.60.56/~jnz1568/getInfo.php?workbook=16_15.xlsx&amp;sheet=A0&amp;row=1684&amp;col=10&amp;number=&amp;sourceID=54","")</f>
        <v/>
      </c>
      <c r="K1684" s="4" t="str">
        <f>HYPERLINK("http://141.218.60.56/~jnz1568/getInfo.php?workbook=16_15.xlsx&amp;sheet=A0&amp;row=1684&amp;col=11&amp;number=&amp;sourceID=54","")</f>
        <v/>
      </c>
      <c r="L1684" s="4" t="str">
        <f>HYPERLINK("http://141.218.60.56/~jnz1568/getInfo.php?workbook=16_15.xlsx&amp;sheet=A0&amp;row=1684&amp;col=12&amp;number=4645145605.12&amp;sourceID=53","4645145605.12")</f>
        <v>4645145605.12</v>
      </c>
      <c r="M1684" s="4" t="str">
        <f>HYPERLINK("http://141.218.60.56/~jnz1568/getInfo.php?workbook=16_15.xlsx&amp;sheet=A0&amp;row=1684&amp;col=13&amp;number=&amp;sourceID=53","")</f>
        <v/>
      </c>
      <c r="N1684" s="4" t="str">
        <f>HYPERLINK("http://141.218.60.56/~jnz1568/getInfo.php?workbook=16_15.xlsx&amp;sheet=A0&amp;row=1684&amp;col=14&amp;number=&amp;sourceID=53","")</f>
        <v/>
      </c>
      <c r="O1684" s="4" t="str">
        <f>HYPERLINK("http://141.218.60.56/~jnz1568/getInfo.php?workbook=16_15.xlsx&amp;sheet=A0&amp;row=1684&amp;col=15&amp;number=&amp;sourceID=55","")</f>
        <v/>
      </c>
      <c r="P1684" s="4" t="str">
        <f>HYPERLINK("http://141.218.60.56/~jnz1568/getInfo.php?workbook=16_15.xlsx&amp;sheet=A0&amp;row=1684&amp;col=16&amp;number=&amp;sourceID=55","")</f>
        <v/>
      </c>
      <c r="Q1684" s="4" t="str">
        <f>HYPERLINK("http://141.218.60.56/~jnz1568/getInfo.php?workbook=16_15.xlsx&amp;sheet=A0&amp;row=1684&amp;col=17&amp;number=&amp;sourceID=56","")</f>
        <v/>
      </c>
      <c r="R1684" s="4" t="str">
        <f>HYPERLINK("http://141.218.60.56/~jnz1568/getInfo.php?workbook=16_15.xlsx&amp;sheet=A0&amp;row=1684&amp;col=18&amp;number=&amp;sourceID=56","")</f>
        <v/>
      </c>
      <c r="S1684" s="4" t="str">
        <f>HYPERLINK("http://141.218.60.56/~jnz1568/getInfo.php?workbook=16_15.xlsx&amp;sheet=A0&amp;row=1684&amp;col=19&amp;number=&amp;sourceID=57","")</f>
        <v/>
      </c>
      <c r="T1684" s="4" t="str">
        <f>HYPERLINK("http://141.218.60.56/~jnz1568/getInfo.php?workbook=16_15.xlsx&amp;sheet=A0&amp;row=1684&amp;col=20&amp;number=&amp;sourceID=57","")</f>
        <v/>
      </c>
      <c r="U1684" s="4" t="str">
        <f>HYPERLINK("http://141.218.60.56/~jnz1568/getInfo.php?workbook=16_15.xlsx&amp;sheet=A0&amp;row=1684&amp;col=21&amp;number=&amp;sourceID=47","")</f>
        <v/>
      </c>
      <c r="V1684" s="4" t="str">
        <f>HYPERLINK("http://141.218.60.56/~jnz1568/getInfo.php?workbook=16_15.xlsx&amp;sheet=A0&amp;row=1684&amp;col=22&amp;number=&amp;sourceID=47","")</f>
        <v/>
      </c>
    </row>
    <row r="1685" spans="1:22">
      <c r="A1685" s="3">
        <v>16</v>
      </c>
      <c r="B1685" s="3">
        <v>15</v>
      </c>
      <c r="C1685" s="3">
        <v>66</v>
      </c>
      <c r="D1685" s="3">
        <v>6</v>
      </c>
      <c r="E1685" s="3">
        <f>((1/(INDEX(E0!J$4:J$73,C1685,1)-INDEX(E0!J$4:J$73,D1685,1))))*100000000</f>
        <v>0</v>
      </c>
      <c r="F1685" s="4" t="str">
        <f>HYPERLINK("http://141.218.60.56/~jnz1568/getInfo.php?workbook=16_15.xlsx&amp;sheet=A0&amp;row=1685&amp;col=6&amp;number=&amp;sourceID=54","")</f>
        <v/>
      </c>
      <c r="G1685" s="4" t="str">
        <f>HYPERLINK("http://141.218.60.56/~jnz1568/getInfo.php?workbook=16_15.xlsx&amp;sheet=A0&amp;row=1685&amp;col=7&amp;number=0.021715&amp;sourceID=54","0.021715")</f>
        <v>0.021715</v>
      </c>
      <c r="H1685" s="4" t="str">
        <f>HYPERLINK("http://141.218.60.56/~jnz1568/getInfo.php?workbook=16_15.xlsx&amp;sheet=A0&amp;row=1685&amp;col=8&amp;number=0.0010987&amp;sourceID=54","0.0010987")</f>
        <v>0.0010987</v>
      </c>
      <c r="I1685" s="4" t="str">
        <f>HYPERLINK("http://141.218.60.56/~jnz1568/getInfo.php?workbook=16_15.xlsx&amp;sheet=A0&amp;row=1685&amp;col=9&amp;number=&amp;sourceID=54","")</f>
        <v/>
      </c>
      <c r="J1685" s="4" t="str">
        <f>HYPERLINK("http://141.218.60.56/~jnz1568/getInfo.php?workbook=16_15.xlsx&amp;sheet=A0&amp;row=1685&amp;col=10&amp;number=0.018253&amp;sourceID=54","0.018253")</f>
        <v>0.018253</v>
      </c>
      <c r="K1685" s="4" t="str">
        <f>HYPERLINK("http://141.218.60.56/~jnz1568/getInfo.php?workbook=16_15.xlsx&amp;sheet=A0&amp;row=1685&amp;col=11&amp;number=0.00088304&amp;sourceID=54","0.00088304")</f>
        <v>0.00088304</v>
      </c>
      <c r="L1685" s="4" t="str">
        <f>HYPERLINK("http://141.218.60.56/~jnz1568/getInfo.php?workbook=16_15.xlsx&amp;sheet=A0&amp;row=1685&amp;col=12&amp;number=&amp;sourceID=53","")</f>
        <v/>
      </c>
      <c r="M1685" s="4" t="str">
        <f>HYPERLINK("http://141.218.60.56/~jnz1568/getInfo.php?workbook=16_15.xlsx&amp;sheet=A0&amp;row=1685&amp;col=13&amp;number=&amp;sourceID=53","")</f>
        <v/>
      </c>
      <c r="N1685" s="4" t="str">
        <f>HYPERLINK("http://141.218.60.56/~jnz1568/getInfo.php?workbook=16_15.xlsx&amp;sheet=A0&amp;row=1685&amp;col=14&amp;number=&amp;sourceID=53","")</f>
        <v/>
      </c>
      <c r="O1685" s="4" t="str">
        <f>HYPERLINK("http://141.218.60.56/~jnz1568/getInfo.php?workbook=16_15.xlsx&amp;sheet=A0&amp;row=1685&amp;col=15&amp;number=&amp;sourceID=55","")</f>
        <v/>
      </c>
      <c r="P1685" s="4" t="str">
        <f>HYPERLINK("http://141.218.60.56/~jnz1568/getInfo.php?workbook=16_15.xlsx&amp;sheet=A0&amp;row=1685&amp;col=16&amp;number=&amp;sourceID=55","")</f>
        <v/>
      </c>
      <c r="Q1685" s="4" t="str">
        <f>HYPERLINK("http://141.218.60.56/~jnz1568/getInfo.php?workbook=16_15.xlsx&amp;sheet=A0&amp;row=1685&amp;col=17&amp;number=&amp;sourceID=56","")</f>
        <v/>
      </c>
      <c r="R1685" s="4" t="str">
        <f>HYPERLINK("http://141.218.60.56/~jnz1568/getInfo.php?workbook=16_15.xlsx&amp;sheet=A0&amp;row=1685&amp;col=18&amp;number=&amp;sourceID=56","")</f>
        <v/>
      </c>
      <c r="S1685" s="4" t="str">
        <f>HYPERLINK("http://141.218.60.56/~jnz1568/getInfo.php?workbook=16_15.xlsx&amp;sheet=A0&amp;row=1685&amp;col=19&amp;number=&amp;sourceID=57","")</f>
        <v/>
      </c>
      <c r="T1685" s="4" t="str">
        <f>HYPERLINK("http://141.218.60.56/~jnz1568/getInfo.php?workbook=16_15.xlsx&amp;sheet=A0&amp;row=1685&amp;col=20&amp;number=&amp;sourceID=57","")</f>
        <v/>
      </c>
      <c r="U1685" s="4" t="str">
        <f>HYPERLINK("http://141.218.60.56/~jnz1568/getInfo.php?workbook=16_15.xlsx&amp;sheet=A0&amp;row=1685&amp;col=21&amp;number=&amp;sourceID=47","")</f>
        <v/>
      </c>
      <c r="V1685" s="4" t="str">
        <f>HYPERLINK("http://141.218.60.56/~jnz1568/getInfo.php?workbook=16_15.xlsx&amp;sheet=A0&amp;row=1685&amp;col=22&amp;number=&amp;sourceID=47","")</f>
        <v/>
      </c>
    </row>
    <row r="1686" spans="1:22">
      <c r="A1686" s="3">
        <v>16</v>
      </c>
      <c r="B1686" s="3">
        <v>15</v>
      </c>
      <c r="C1686" s="3">
        <v>66</v>
      </c>
      <c r="D1686" s="3">
        <v>7</v>
      </c>
      <c r="E1686" s="3">
        <f>((1/(INDEX(E0!J$4:J$73,C1686,1)-INDEX(E0!J$4:J$73,D1686,1))))*100000000</f>
        <v>0</v>
      </c>
      <c r="F1686" s="4" t="str">
        <f>HYPERLINK("http://141.218.60.56/~jnz1568/getInfo.php?workbook=16_15.xlsx&amp;sheet=A0&amp;row=1686&amp;col=6&amp;number=&amp;sourceID=54","")</f>
        <v/>
      </c>
      <c r="G1686" s="4" t="str">
        <f>HYPERLINK("http://141.218.60.56/~jnz1568/getInfo.php?workbook=16_15.xlsx&amp;sheet=A0&amp;row=1686&amp;col=7&amp;number=0.010286&amp;sourceID=54","0.010286")</f>
        <v>0.010286</v>
      </c>
      <c r="H1686" s="4" t="str">
        <f>HYPERLINK("http://141.218.60.56/~jnz1568/getInfo.php?workbook=16_15.xlsx&amp;sheet=A0&amp;row=1686&amp;col=8&amp;number=5.0682e-05&amp;sourceID=54","5.0682e-05")</f>
        <v>5.0682e-05</v>
      </c>
      <c r="I1686" s="4" t="str">
        <f>HYPERLINK("http://141.218.60.56/~jnz1568/getInfo.php?workbook=16_15.xlsx&amp;sheet=A0&amp;row=1686&amp;col=9&amp;number=&amp;sourceID=54","")</f>
        <v/>
      </c>
      <c r="J1686" s="4" t="str">
        <f>HYPERLINK("http://141.218.60.56/~jnz1568/getInfo.php?workbook=16_15.xlsx&amp;sheet=A0&amp;row=1686&amp;col=10&amp;number=0.0093269&amp;sourceID=54","0.0093269")</f>
        <v>0.0093269</v>
      </c>
      <c r="K1686" s="4" t="str">
        <f>HYPERLINK("http://141.218.60.56/~jnz1568/getInfo.php?workbook=16_15.xlsx&amp;sheet=A0&amp;row=1686&amp;col=11&amp;number=4.1704e-05&amp;sourceID=54","4.1704e-05")</f>
        <v>4.1704e-05</v>
      </c>
      <c r="L1686" s="4" t="str">
        <f>HYPERLINK("http://141.218.60.56/~jnz1568/getInfo.php?workbook=16_15.xlsx&amp;sheet=A0&amp;row=1686&amp;col=12&amp;number=&amp;sourceID=53","")</f>
        <v/>
      </c>
      <c r="M1686" s="4" t="str">
        <f>HYPERLINK("http://141.218.60.56/~jnz1568/getInfo.php?workbook=16_15.xlsx&amp;sheet=A0&amp;row=1686&amp;col=13&amp;number=&amp;sourceID=53","")</f>
        <v/>
      </c>
      <c r="N1686" s="4" t="str">
        <f>HYPERLINK("http://141.218.60.56/~jnz1568/getInfo.php?workbook=16_15.xlsx&amp;sheet=A0&amp;row=1686&amp;col=14&amp;number=&amp;sourceID=53","")</f>
        <v/>
      </c>
      <c r="O1686" s="4" t="str">
        <f>HYPERLINK("http://141.218.60.56/~jnz1568/getInfo.php?workbook=16_15.xlsx&amp;sheet=A0&amp;row=1686&amp;col=15&amp;number=&amp;sourceID=55","")</f>
        <v/>
      </c>
      <c r="P1686" s="4" t="str">
        <f>HYPERLINK("http://141.218.60.56/~jnz1568/getInfo.php?workbook=16_15.xlsx&amp;sheet=A0&amp;row=1686&amp;col=16&amp;number=&amp;sourceID=55","")</f>
        <v/>
      </c>
      <c r="Q1686" s="4" t="str">
        <f>HYPERLINK("http://141.218.60.56/~jnz1568/getInfo.php?workbook=16_15.xlsx&amp;sheet=A0&amp;row=1686&amp;col=17&amp;number=&amp;sourceID=56","")</f>
        <v/>
      </c>
      <c r="R1686" s="4" t="str">
        <f>HYPERLINK("http://141.218.60.56/~jnz1568/getInfo.php?workbook=16_15.xlsx&amp;sheet=A0&amp;row=1686&amp;col=18&amp;number=&amp;sourceID=56","")</f>
        <v/>
      </c>
      <c r="S1686" s="4" t="str">
        <f>HYPERLINK("http://141.218.60.56/~jnz1568/getInfo.php?workbook=16_15.xlsx&amp;sheet=A0&amp;row=1686&amp;col=19&amp;number=&amp;sourceID=57","")</f>
        <v/>
      </c>
      <c r="T1686" s="4" t="str">
        <f>HYPERLINK("http://141.218.60.56/~jnz1568/getInfo.php?workbook=16_15.xlsx&amp;sheet=A0&amp;row=1686&amp;col=20&amp;number=&amp;sourceID=57","")</f>
        <v/>
      </c>
      <c r="U1686" s="4" t="str">
        <f>HYPERLINK("http://141.218.60.56/~jnz1568/getInfo.php?workbook=16_15.xlsx&amp;sheet=A0&amp;row=1686&amp;col=21&amp;number=&amp;sourceID=47","")</f>
        <v/>
      </c>
      <c r="V1686" s="4" t="str">
        <f>HYPERLINK("http://141.218.60.56/~jnz1568/getInfo.php?workbook=16_15.xlsx&amp;sheet=A0&amp;row=1686&amp;col=22&amp;number=&amp;sourceID=47","")</f>
        <v/>
      </c>
    </row>
    <row r="1687" spans="1:22">
      <c r="A1687" s="3">
        <v>16</v>
      </c>
      <c r="B1687" s="3">
        <v>15</v>
      </c>
      <c r="C1687" s="3">
        <v>66</v>
      </c>
      <c r="D1687" s="3">
        <v>8</v>
      </c>
      <c r="E1687" s="3">
        <f>((1/(INDEX(E0!J$4:J$73,C1687,1)-INDEX(E0!J$4:J$73,D1687,1))))*100000000</f>
        <v>0</v>
      </c>
      <c r="F1687" s="4" t="str">
        <f>HYPERLINK("http://141.218.60.56/~jnz1568/getInfo.php?workbook=16_15.xlsx&amp;sheet=A0&amp;row=1687&amp;col=6&amp;number=&amp;sourceID=54","")</f>
        <v/>
      </c>
      <c r="G1687" s="4" t="str">
        <f>HYPERLINK("http://141.218.60.56/~jnz1568/getInfo.php?workbook=16_15.xlsx&amp;sheet=A0&amp;row=1687&amp;col=7&amp;number=0.00040158&amp;sourceID=54","0.00040158")</f>
        <v>0.00040158</v>
      </c>
      <c r="H1687" s="4" t="str">
        <f>HYPERLINK("http://141.218.60.56/~jnz1568/getInfo.php?workbook=16_15.xlsx&amp;sheet=A0&amp;row=1687&amp;col=8&amp;number=&amp;sourceID=54","")</f>
        <v/>
      </c>
      <c r="I1687" s="4" t="str">
        <f>HYPERLINK("http://141.218.60.56/~jnz1568/getInfo.php?workbook=16_15.xlsx&amp;sheet=A0&amp;row=1687&amp;col=9&amp;number=&amp;sourceID=54","")</f>
        <v/>
      </c>
      <c r="J1687" s="4" t="str">
        <f>HYPERLINK("http://141.218.60.56/~jnz1568/getInfo.php?workbook=16_15.xlsx&amp;sheet=A0&amp;row=1687&amp;col=10&amp;number=0.000265&amp;sourceID=54","0.000265")</f>
        <v>0.000265</v>
      </c>
      <c r="K1687" s="4" t="str">
        <f>HYPERLINK("http://141.218.60.56/~jnz1568/getInfo.php?workbook=16_15.xlsx&amp;sheet=A0&amp;row=1687&amp;col=11&amp;number=&amp;sourceID=54","")</f>
        <v/>
      </c>
      <c r="L1687" s="4" t="str">
        <f>HYPERLINK("http://141.218.60.56/~jnz1568/getInfo.php?workbook=16_15.xlsx&amp;sheet=A0&amp;row=1687&amp;col=12&amp;number=&amp;sourceID=53","")</f>
        <v/>
      </c>
      <c r="M1687" s="4" t="str">
        <f>HYPERLINK("http://141.218.60.56/~jnz1568/getInfo.php?workbook=16_15.xlsx&amp;sheet=A0&amp;row=1687&amp;col=13&amp;number=&amp;sourceID=53","")</f>
        <v/>
      </c>
      <c r="N1687" s="4" t="str">
        <f>HYPERLINK("http://141.218.60.56/~jnz1568/getInfo.php?workbook=16_15.xlsx&amp;sheet=A0&amp;row=1687&amp;col=14&amp;number=&amp;sourceID=53","")</f>
        <v/>
      </c>
      <c r="O1687" s="4" t="str">
        <f>HYPERLINK("http://141.218.60.56/~jnz1568/getInfo.php?workbook=16_15.xlsx&amp;sheet=A0&amp;row=1687&amp;col=15&amp;number=&amp;sourceID=55","")</f>
        <v/>
      </c>
      <c r="P1687" s="4" t="str">
        <f>HYPERLINK("http://141.218.60.56/~jnz1568/getInfo.php?workbook=16_15.xlsx&amp;sheet=A0&amp;row=1687&amp;col=16&amp;number=&amp;sourceID=55","")</f>
        <v/>
      </c>
      <c r="Q1687" s="4" t="str">
        <f>HYPERLINK("http://141.218.60.56/~jnz1568/getInfo.php?workbook=16_15.xlsx&amp;sheet=A0&amp;row=1687&amp;col=17&amp;number=&amp;sourceID=56","")</f>
        <v/>
      </c>
      <c r="R1687" s="4" t="str">
        <f>HYPERLINK("http://141.218.60.56/~jnz1568/getInfo.php?workbook=16_15.xlsx&amp;sheet=A0&amp;row=1687&amp;col=18&amp;number=&amp;sourceID=56","")</f>
        <v/>
      </c>
      <c r="S1687" s="4" t="str">
        <f>HYPERLINK("http://141.218.60.56/~jnz1568/getInfo.php?workbook=16_15.xlsx&amp;sheet=A0&amp;row=1687&amp;col=19&amp;number=&amp;sourceID=57","")</f>
        <v/>
      </c>
      <c r="T1687" s="4" t="str">
        <f>HYPERLINK("http://141.218.60.56/~jnz1568/getInfo.php?workbook=16_15.xlsx&amp;sheet=A0&amp;row=1687&amp;col=20&amp;number=&amp;sourceID=57","")</f>
        <v/>
      </c>
      <c r="U1687" s="4" t="str">
        <f>HYPERLINK("http://141.218.60.56/~jnz1568/getInfo.php?workbook=16_15.xlsx&amp;sheet=A0&amp;row=1687&amp;col=21&amp;number=&amp;sourceID=47","")</f>
        <v/>
      </c>
      <c r="V1687" s="4" t="str">
        <f>HYPERLINK("http://141.218.60.56/~jnz1568/getInfo.php?workbook=16_15.xlsx&amp;sheet=A0&amp;row=1687&amp;col=22&amp;number=&amp;sourceID=47","")</f>
        <v/>
      </c>
    </row>
    <row r="1688" spans="1:22">
      <c r="A1688" s="3">
        <v>16</v>
      </c>
      <c r="B1688" s="3">
        <v>15</v>
      </c>
      <c r="C1688" s="3">
        <v>66</v>
      </c>
      <c r="D1688" s="3">
        <v>9</v>
      </c>
      <c r="E1688" s="3">
        <f>((1/(INDEX(E0!J$4:J$73,C1688,1)-INDEX(E0!J$4:J$73,D1688,1))))*100000000</f>
        <v>0</v>
      </c>
      <c r="F1688" s="4" t="str">
        <f>HYPERLINK("http://141.218.60.56/~jnz1568/getInfo.php?workbook=16_15.xlsx&amp;sheet=A0&amp;row=1688&amp;col=6&amp;number=&amp;sourceID=54","")</f>
        <v/>
      </c>
      <c r="G1688" s="4" t="str">
        <f>HYPERLINK("http://141.218.60.56/~jnz1568/getInfo.php?workbook=16_15.xlsx&amp;sheet=A0&amp;row=1688&amp;col=7&amp;number=0.93899&amp;sourceID=54","0.93899")</f>
        <v>0.93899</v>
      </c>
      <c r="H1688" s="4" t="str">
        <f>HYPERLINK("http://141.218.60.56/~jnz1568/getInfo.php?workbook=16_15.xlsx&amp;sheet=A0&amp;row=1688&amp;col=8&amp;number=0.082022&amp;sourceID=54","0.082022")</f>
        <v>0.082022</v>
      </c>
      <c r="I1688" s="4" t="str">
        <f>HYPERLINK("http://141.218.60.56/~jnz1568/getInfo.php?workbook=16_15.xlsx&amp;sheet=A0&amp;row=1688&amp;col=9&amp;number=&amp;sourceID=54","")</f>
        <v/>
      </c>
      <c r="J1688" s="4" t="str">
        <f>HYPERLINK("http://141.218.60.56/~jnz1568/getInfo.php?workbook=16_15.xlsx&amp;sheet=A0&amp;row=1688&amp;col=10&amp;number=0.79393&amp;sourceID=54","0.79393")</f>
        <v>0.79393</v>
      </c>
      <c r="K1688" s="4" t="str">
        <f>HYPERLINK("http://141.218.60.56/~jnz1568/getInfo.php?workbook=16_15.xlsx&amp;sheet=A0&amp;row=1688&amp;col=11&amp;number=0.072959&amp;sourceID=54","0.072959")</f>
        <v>0.072959</v>
      </c>
      <c r="L1688" s="4" t="str">
        <f>HYPERLINK("http://141.218.60.56/~jnz1568/getInfo.php?workbook=16_15.xlsx&amp;sheet=A0&amp;row=1688&amp;col=12&amp;number=&amp;sourceID=53","")</f>
        <v/>
      </c>
      <c r="M1688" s="4" t="str">
        <f>HYPERLINK("http://141.218.60.56/~jnz1568/getInfo.php?workbook=16_15.xlsx&amp;sheet=A0&amp;row=1688&amp;col=13&amp;number=&amp;sourceID=53","")</f>
        <v/>
      </c>
      <c r="N1688" s="4" t="str">
        <f>HYPERLINK("http://141.218.60.56/~jnz1568/getInfo.php?workbook=16_15.xlsx&amp;sheet=A0&amp;row=1688&amp;col=14&amp;number=&amp;sourceID=53","")</f>
        <v/>
      </c>
      <c r="O1688" s="4" t="str">
        <f>HYPERLINK("http://141.218.60.56/~jnz1568/getInfo.php?workbook=16_15.xlsx&amp;sheet=A0&amp;row=1688&amp;col=15&amp;number=&amp;sourceID=55","")</f>
        <v/>
      </c>
      <c r="P1688" s="4" t="str">
        <f>HYPERLINK("http://141.218.60.56/~jnz1568/getInfo.php?workbook=16_15.xlsx&amp;sheet=A0&amp;row=1688&amp;col=16&amp;number=&amp;sourceID=55","")</f>
        <v/>
      </c>
      <c r="Q1688" s="4" t="str">
        <f>HYPERLINK("http://141.218.60.56/~jnz1568/getInfo.php?workbook=16_15.xlsx&amp;sheet=A0&amp;row=1688&amp;col=17&amp;number=&amp;sourceID=56","")</f>
        <v/>
      </c>
      <c r="R1688" s="4" t="str">
        <f>HYPERLINK("http://141.218.60.56/~jnz1568/getInfo.php?workbook=16_15.xlsx&amp;sheet=A0&amp;row=1688&amp;col=18&amp;number=&amp;sourceID=56","")</f>
        <v/>
      </c>
      <c r="S1688" s="4" t="str">
        <f>HYPERLINK("http://141.218.60.56/~jnz1568/getInfo.php?workbook=16_15.xlsx&amp;sheet=A0&amp;row=1688&amp;col=19&amp;number=&amp;sourceID=57","")</f>
        <v/>
      </c>
      <c r="T1688" s="4" t="str">
        <f>HYPERLINK("http://141.218.60.56/~jnz1568/getInfo.php?workbook=16_15.xlsx&amp;sheet=A0&amp;row=1688&amp;col=20&amp;number=&amp;sourceID=57","")</f>
        <v/>
      </c>
      <c r="U1688" s="4" t="str">
        <f>HYPERLINK("http://141.218.60.56/~jnz1568/getInfo.php?workbook=16_15.xlsx&amp;sheet=A0&amp;row=1688&amp;col=21&amp;number=&amp;sourceID=47","")</f>
        <v/>
      </c>
      <c r="V1688" s="4" t="str">
        <f>HYPERLINK("http://141.218.60.56/~jnz1568/getInfo.php?workbook=16_15.xlsx&amp;sheet=A0&amp;row=1688&amp;col=22&amp;number=&amp;sourceID=47","")</f>
        <v/>
      </c>
    </row>
    <row r="1689" spans="1:22">
      <c r="A1689" s="3">
        <v>16</v>
      </c>
      <c r="B1689" s="3">
        <v>15</v>
      </c>
      <c r="C1689" s="3">
        <v>66</v>
      </c>
      <c r="D1689" s="3">
        <v>10</v>
      </c>
      <c r="E1689" s="3">
        <f>((1/(INDEX(E0!J$4:J$73,C1689,1)-INDEX(E0!J$4:J$73,D1689,1))))*100000000</f>
        <v>0</v>
      </c>
      <c r="F1689" s="4" t="str">
        <f>HYPERLINK("http://141.218.60.56/~jnz1568/getInfo.php?workbook=16_15.xlsx&amp;sheet=A0&amp;row=1689&amp;col=6&amp;number=&amp;sourceID=54","")</f>
        <v/>
      </c>
      <c r="G1689" s="4" t="str">
        <f>HYPERLINK("http://141.218.60.56/~jnz1568/getInfo.php?workbook=16_15.xlsx&amp;sheet=A0&amp;row=1689&amp;col=7&amp;number=3.5508&amp;sourceID=54","3.5508")</f>
        <v>3.5508</v>
      </c>
      <c r="H1689" s="4" t="str">
        <f>HYPERLINK("http://141.218.60.56/~jnz1568/getInfo.php?workbook=16_15.xlsx&amp;sheet=A0&amp;row=1689&amp;col=8&amp;number=2.8705&amp;sourceID=54","2.8705")</f>
        <v>2.8705</v>
      </c>
      <c r="I1689" s="4" t="str">
        <f>HYPERLINK("http://141.218.60.56/~jnz1568/getInfo.php?workbook=16_15.xlsx&amp;sheet=A0&amp;row=1689&amp;col=9&amp;number=&amp;sourceID=54","")</f>
        <v/>
      </c>
      <c r="J1689" s="4" t="str">
        <f>HYPERLINK("http://141.218.60.56/~jnz1568/getInfo.php?workbook=16_15.xlsx&amp;sheet=A0&amp;row=1689&amp;col=10&amp;number=2.9351&amp;sourceID=54","2.9351")</f>
        <v>2.9351</v>
      </c>
      <c r="K1689" s="4" t="str">
        <f>HYPERLINK("http://141.218.60.56/~jnz1568/getInfo.php?workbook=16_15.xlsx&amp;sheet=A0&amp;row=1689&amp;col=11&amp;number=2.5599&amp;sourceID=54","2.5599")</f>
        <v>2.5599</v>
      </c>
      <c r="L1689" s="4" t="str">
        <f>HYPERLINK("http://141.218.60.56/~jnz1568/getInfo.php?workbook=16_15.xlsx&amp;sheet=A0&amp;row=1689&amp;col=12&amp;number=&amp;sourceID=53","")</f>
        <v/>
      </c>
      <c r="M1689" s="4" t="str">
        <f>HYPERLINK("http://141.218.60.56/~jnz1568/getInfo.php?workbook=16_15.xlsx&amp;sheet=A0&amp;row=1689&amp;col=13&amp;number=&amp;sourceID=53","")</f>
        <v/>
      </c>
      <c r="N1689" s="4" t="str">
        <f>HYPERLINK("http://141.218.60.56/~jnz1568/getInfo.php?workbook=16_15.xlsx&amp;sheet=A0&amp;row=1689&amp;col=14&amp;number=&amp;sourceID=53","")</f>
        <v/>
      </c>
      <c r="O1689" s="4" t="str">
        <f>HYPERLINK("http://141.218.60.56/~jnz1568/getInfo.php?workbook=16_15.xlsx&amp;sheet=A0&amp;row=1689&amp;col=15&amp;number=&amp;sourceID=55","")</f>
        <v/>
      </c>
      <c r="P1689" s="4" t="str">
        <f>HYPERLINK("http://141.218.60.56/~jnz1568/getInfo.php?workbook=16_15.xlsx&amp;sheet=A0&amp;row=1689&amp;col=16&amp;number=&amp;sourceID=55","")</f>
        <v/>
      </c>
      <c r="Q1689" s="4" t="str">
        <f>HYPERLINK("http://141.218.60.56/~jnz1568/getInfo.php?workbook=16_15.xlsx&amp;sheet=A0&amp;row=1689&amp;col=17&amp;number=&amp;sourceID=56","")</f>
        <v/>
      </c>
      <c r="R1689" s="4" t="str">
        <f>HYPERLINK("http://141.218.60.56/~jnz1568/getInfo.php?workbook=16_15.xlsx&amp;sheet=A0&amp;row=1689&amp;col=18&amp;number=&amp;sourceID=56","")</f>
        <v/>
      </c>
      <c r="S1689" s="4" t="str">
        <f>HYPERLINK("http://141.218.60.56/~jnz1568/getInfo.php?workbook=16_15.xlsx&amp;sheet=A0&amp;row=1689&amp;col=19&amp;number=&amp;sourceID=57","")</f>
        <v/>
      </c>
      <c r="T1689" s="4" t="str">
        <f>HYPERLINK("http://141.218.60.56/~jnz1568/getInfo.php?workbook=16_15.xlsx&amp;sheet=A0&amp;row=1689&amp;col=20&amp;number=&amp;sourceID=57","")</f>
        <v/>
      </c>
      <c r="U1689" s="4" t="str">
        <f>HYPERLINK("http://141.218.60.56/~jnz1568/getInfo.php?workbook=16_15.xlsx&amp;sheet=A0&amp;row=1689&amp;col=21&amp;number=&amp;sourceID=47","")</f>
        <v/>
      </c>
      <c r="V1689" s="4" t="str">
        <f>HYPERLINK("http://141.218.60.56/~jnz1568/getInfo.php?workbook=16_15.xlsx&amp;sheet=A0&amp;row=1689&amp;col=22&amp;number=&amp;sourceID=47","")</f>
        <v/>
      </c>
    </row>
    <row r="1690" spans="1:22">
      <c r="A1690" s="3">
        <v>16</v>
      </c>
      <c r="B1690" s="3">
        <v>15</v>
      </c>
      <c r="C1690" s="3">
        <v>66</v>
      </c>
      <c r="D1690" s="3">
        <v>11</v>
      </c>
      <c r="E1690" s="3">
        <f>((1/(INDEX(E0!J$4:J$73,C1690,1)-INDEX(E0!J$4:J$73,D1690,1))))*100000000</f>
        <v>0</v>
      </c>
      <c r="F1690" s="4" t="str">
        <f>HYPERLINK("http://141.218.60.56/~jnz1568/getInfo.php?workbook=16_15.xlsx&amp;sheet=A0&amp;row=1690&amp;col=6&amp;number=&amp;sourceID=54","")</f>
        <v/>
      </c>
      <c r="G1690" s="4" t="str">
        <f>HYPERLINK("http://141.218.60.56/~jnz1568/getInfo.php?workbook=16_15.xlsx&amp;sheet=A0&amp;row=1690&amp;col=7&amp;number=4.3556&amp;sourceID=54","4.3556")</f>
        <v>4.3556</v>
      </c>
      <c r="H1690" s="4" t="str">
        <f>HYPERLINK("http://141.218.60.56/~jnz1568/getInfo.php?workbook=16_15.xlsx&amp;sheet=A0&amp;row=1690&amp;col=8&amp;number=0.0086099&amp;sourceID=54","0.0086099")</f>
        <v>0.0086099</v>
      </c>
      <c r="I1690" s="4" t="str">
        <f>HYPERLINK("http://141.218.60.56/~jnz1568/getInfo.php?workbook=16_15.xlsx&amp;sheet=A0&amp;row=1690&amp;col=9&amp;number=&amp;sourceID=54","")</f>
        <v/>
      </c>
      <c r="J1690" s="4" t="str">
        <f>HYPERLINK("http://141.218.60.56/~jnz1568/getInfo.php?workbook=16_15.xlsx&amp;sheet=A0&amp;row=1690&amp;col=10&amp;number=3.5823&amp;sourceID=54","3.5823")</f>
        <v>3.5823</v>
      </c>
      <c r="K1690" s="4" t="str">
        <f>HYPERLINK("http://141.218.60.56/~jnz1568/getInfo.php?workbook=16_15.xlsx&amp;sheet=A0&amp;row=1690&amp;col=11&amp;number=0.0076019&amp;sourceID=54","0.0076019")</f>
        <v>0.0076019</v>
      </c>
      <c r="L1690" s="4" t="str">
        <f>HYPERLINK("http://141.218.60.56/~jnz1568/getInfo.php?workbook=16_15.xlsx&amp;sheet=A0&amp;row=1690&amp;col=12&amp;number=&amp;sourceID=53","")</f>
        <v/>
      </c>
      <c r="M1690" s="4" t="str">
        <f>HYPERLINK("http://141.218.60.56/~jnz1568/getInfo.php?workbook=16_15.xlsx&amp;sheet=A0&amp;row=1690&amp;col=13&amp;number=&amp;sourceID=53","")</f>
        <v/>
      </c>
      <c r="N1690" s="4" t="str">
        <f>HYPERLINK("http://141.218.60.56/~jnz1568/getInfo.php?workbook=16_15.xlsx&amp;sheet=A0&amp;row=1690&amp;col=14&amp;number=&amp;sourceID=53","")</f>
        <v/>
      </c>
      <c r="O1690" s="4" t="str">
        <f>HYPERLINK("http://141.218.60.56/~jnz1568/getInfo.php?workbook=16_15.xlsx&amp;sheet=A0&amp;row=1690&amp;col=15&amp;number=&amp;sourceID=55","")</f>
        <v/>
      </c>
      <c r="P1690" s="4" t="str">
        <f>HYPERLINK("http://141.218.60.56/~jnz1568/getInfo.php?workbook=16_15.xlsx&amp;sheet=A0&amp;row=1690&amp;col=16&amp;number=&amp;sourceID=55","")</f>
        <v/>
      </c>
      <c r="Q1690" s="4" t="str">
        <f>HYPERLINK("http://141.218.60.56/~jnz1568/getInfo.php?workbook=16_15.xlsx&amp;sheet=A0&amp;row=1690&amp;col=17&amp;number=&amp;sourceID=56","")</f>
        <v/>
      </c>
      <c r="R1690" s="4" t="str">
        <f>HYPERLINK("http://141.218.60.56/~jnz1568/getInfo.php?workbook=16_15.xlsx&amp;sheet=A0&amp;row=1690&amp;col=18&amp;number=&amp;sourceID=56","")</f>
        <v/>
      </c>
      <c r="S1690" s="4" t="str">
        <f>HYPERLINK("http://141.218.60.56/~jnz1568/getInfo.php?workbook=16_15.xlsx&amp;sheet=A0&amp;row=1690&amp;col=19&amp;number=&amp;sourceID=57","")</f>
        <v/>
      </c>
      <c r="T1690" s="4" t="str">
        <f>HYPERLINK("http://141.218.60.56/~jnz1568/getInfo.php?workbook=16_15.xlsx&amp;sheet=A0&amp;row=1690&amp;col=20&amp;number=&amp;sourceID=57","")</f>
        <v/>
      </c>
      <c r="U1690" s="4" t="str">
        <f>HYPERLINK("http://141.218.60.56/~jnz1568/getInfo.php?workbook=16_15.xlsx&amp;sheet=A0&amp;row=1690&amp;col=21&amp;number=&amp;sourceID=47","")</f>
        <v/>
      </c>
      <c r="V1690" s="4" t="str">
        <f>HYPERLINK("http://141.218.60.56/~jnz1568/getInfo.php?workbook=16_15.xlsx&amp;sheet=A0&amp;row=1690&amp;col=22&amp;number=&amp;sourceID=47","")</f>
        <v/>
      </c>
    </row>
    <row r="1691" spans="1:22">
      <c r="A1691" s="3">
        <v>16</v>
      </c>
      <c r="B1691" s="3">
        <v>15</v>
      </c>
      <c r="C1691" s="3">
        <v>66</v>
      </c>
      <c r="D1691" s="3">
        <v>12</v>
      </c>
      <c r="E1691" s="3">
        <f>((1/(INDEX(E0!J$4:J$73,C1691,1)-INDEX(E0!J$4:J$73,D1691,1))))*100000000</f>
        <v>0</v>
      </c>
      <c r="F1691" s="4" t="str">
        <f>HYPERLINK("http://141.218.60.56/~jnz1568/getInfo.php?workbook=16_15.xlsx&amp;sheet=A0&amp;row=1691&amp;col=6&amp;number=&amp;sourceID=54","")</f>
        <v/>
      </c>
      <c r="G1691" s="4" t="str">
        <f>HYPERLINK("http://141.218.60.56/~jnz1568/getInfo.php?workbook=16_15.xlsx&amp;sheet=A0&amp;row=1691&amp;col=7&amp;number=1.3932&amp;sourceID=54","1.3932")</f>
        <v>1.3932</v>
      </c>
      <c r="H1691" s="4" t="str">
        <f>HYPERLINK("http://141.218.60.56/~jnz1568/getInfo.php?workbook=16_15.xlsx&amp;sheet=A0&amp;row=1691&amp;col=8&amp;number=&amp;sourceID=54","")</f>
        <v/>
      </c>
      <c r="I1691" s="4" t="str">
        <f>HYPERLINK("http://141.218.60.56/~jnz1568/getInfo.php?workbook=16_15.xlsx&amp;sheet=A0&amp;row=1691&amp;col=9&amp;number=&amp;sourceID=54","")</f>
        <v/>
      </c>
      <c r="J1691" s="4" t="str">
        <f>HYPERLINK("http://141.218.60.56/~jnz1568/getInfo.php?workbook=16_15.xlsx&amp;sheet=A0&amp;row=1691&amp;col=10&amp;number=1.1468&amp;sourceID=54","1.1468")</f>
        <v>1.1468</v>
      </c>
      <c r="K1691" s="4" t="str">
        <f>HYPERLINK("http://141.218.60.56/~jnz1568/getInfo.php?workbook=16_15.xlsx&amp;sheet=A0&amp;row=1691&amp;col=11&amp;number=&amp;sourceID=54","")</f>
        <v/>
      </c>
      <c r="L1691" s="4" t="str">
        <f>HYPERLINK("http://141.218.60.56/~jnz1568/getInfo.php?workbook=16_15.xlsx&amp;sheet=A0&amp;row=1691&amp;col=12&amp;number=&amp;sourceID=53","")</f>
        <v/>
      </c>
      <c r="M1691" s="4" t="str">
        <f>HYPERLINK("http://141.218.60.56/~jnz1568/getInfo.php?workbook=16_15.xlsx&amp;sheet=A0&amp;row=1691&amp;col=13&amp;number=&amp;sourceID=53","")</f>
        <v/>
      </c>
      <c r="N1691" s="4" t="str">
        <f>HYPERLINK("http://141.218.60.56/~jnz1568/getInfo.php?workbook=16_15.xlsx&amp;sheet=A0&amp;row=1691&amp;col=14&amp;number=&amp;sourceID=53","")</f>
        <v/>
      </c>
      <c r="O1691" s="4" t="str">
        <f>HYPERLINK("http://141.218.60.56/~jnz1568/getInfo.php?workbook=16_15.xlsx&amp;sheet=A0&amp;row=1691&amp;col=15&amp;number=&amp;sourceID=55","")</f>
        <v/>
      </c>
      <c r="P1691" s="4" t="str">
        <f>HYPERLINK("http://141.218.60.56/~jnz1568/getInfo.php?workbook=16_15.xlsx&amp;sheet=A0&amp;row=1691&amp;col=16&amp;number=&amp;sourceID=55","")</f>
        <v/>
      </c>
      <c r="Q1691" s="4" t="str">
        <f>HYPERLINK("http://141.218.60.56/~jnz1568/getInfo.php?workbook=16_15.xlsx&amp;sheet=A0&amp;row=1691&amp;col=17&amp;number=&amp;sourceID=56","")</f>
        <v/>
      </c>
      <c r="R1691" s="4" t="str">
        <f>HYPERLINK("http://141.218.60.56/~jnz1568/getInfo.php?workbook=16_15.xlsx&amp;sheet=A0&amp;row=1691&amp;col=18&amp;number=&amp;sourceID=56","")</f>
        <v/>
      </c>
      <c r="S1691" s="4" t="str">
        <f>HYPERLINK("http://141.218.60.56/~jnz1568/getInfo.php?workbook=16_15.xlsx&amp;sheet=A0&amp;row=1691&amp;col=19&amp;number=&amp;sourceID=57","")</f>
        <v/>
      </c>
      <c r="T1691" s="4" t="str">
        <f>HYPERLINK("http://141.218.60.56/~jnz1568/getInfo.php?workbook=16_15.xlsx&amp;sheet=A0&amp;row=1691&amp;col=20&amp;number=&amp;sourceID=57","")</f>
        <v/>
      </c>
      <c r="U1691" s="4" t="str">
        <f>HYPERLINK("http://141.218.60.56/~jnz1568/getInfo.php?workbook=16_15.xlsx&amp;sheet=A0&amp;row=1691&amp;col=21&amp;number=&amp;sourceID=47","")</f>
        <v/>
      </c>
      <c r="V1691" s="4" t="str">
        <f>HYPERLINK("http://141.218.60.56/~jnz1568/getInfo.php?workbook=16_15.xlsx&amp;sheet=A0&amp;row=1691&amp;col=22&amp;number=&amp;sourceID=47","")</f>
        <v/>
      </c>
    </row>
    <row r="1692" spans="1:22">
      <c r="A1692" s="3">
        <v>16</v>
      </c>
      <c r="B1692" s="3">
        <v>15</v>
      </c>
      <c r="C1692" s="3">
        <v>66</v>
      </c>
      <c r="D1692" s="3">
        <v>13</v>
      </c>
      <c r="E1692" s="3">
        <f>((1/(INDEX(E0!J$4:J$73,C1692,1)-INDEX(E0!J$4:J$73,D1692,1))))*100000000</f>
        <v>0</v>
      </c>
      <c r="F1692" s="4" t="str">
        <f>HYPERLINK("http://141.218.60.56/~jnz1568/getInfo.php?workbook=16_15.xlsx&amp;sheet=A0&amp;row=1692&amp;col=6&amp;number=&amp;sourceID=54","")</f>
        <v/>
      </c>
      <c r="G1692" s="4" t="str">
        <f>HYPERLINK("http://141.218.60.56/~jnz1568/getInfo.php?workbook=16_15.xlsx&amp;sheet=A0&amp;row=1692&amp;col=7&amp;number=0.10159&amp;sourceID=54","0.10159")</f>
        <v>0.10159</v>
      </c>
      <c r="H1692" s="4" t="str">
        <f>HYPERLINK("http://141.218.60.56/~jnz1568/getInfo.php?workbook=16_15.xlsx&amp;sheet=A0&amp;row=1692&amp;col=8&amp;number=&amp;sourceID=54","")</f>
        <v/>
      </c>
      <c r="I1692" s="4" t="str">
        <f>HYPERLINK("http://141.218.60.56/~jnz1568/getInfo.php?workbook=16_15.xlsx&amp;sheet=A0&amp;row=1692&amp;col=9&amp;number=&amp;sourceID=54","")</f>
        <v/>
      </c>
      <c r="J1692" s="4" t="str">
        <f>HYPERLINK("http://141.218.60.56/~jnz1568/getInfo.php?workbook=16_15.xlsx&amp;sheet=A0&amp;row=1692&amp;col=10&amp;number=0.081752&amp;sourceID=54","0.081752")</f>
        <v>0.081752</v>
      </c>
      <c r="K1692" s="4" t="str">
        <f>HYPERLINK("http://141.218.60.56/~jnz1568/getInfo.php?workbook=16_15.xlsx&amp;sheet=A0&amp;row=1692&amp;col=11&amp;number=&amp;sourceID=54","")</f>
        <v/>
      </c>
      <c r="L1692" s="4" t="str">
        <f>HYPERLINK("http://141.218.60.56/~jnz1568/getInfo.php?workbook=16_15.xlsx&amp;sheet=A0&amp;row=1692&amp;col=12&amp;number=&amp;sourceID=53","")</f>
        <v/>
      </c>
      <c r="M1692" s="4" t="str">
        <f>HYPERLINK("http://141.218.60.56/~jnz1568/getInfo.php?workbook=16_15.xlsx&amp;sheet=A0&amp;row=1692&amp;col=13&amp;number=&amp;sourceID=53","")</f>
        <v/>
      </c>
      <c r="N1692" s="4" t="str">
        <f>HYPERLINK("http://141.218.60.56/~jnz1568/getInfo.php?workbook=16_15.xlsx&amp;sheet=A0&amp;row=1692&amp;col=14&amp;number=&amp;sourceID=53","")</f>
        <v/>
      </c>
      <c r="O1692" s="4" t="str">
        <f>HYPERLINK("http://141.218.60.56/~jnz1568/getInfo.php?workbook=16_15.xlsx&amp;sheet=A0&amp;row=1692&amp;col=15&amp;number=&amp;sourceID=55","")</f>
        <v/>
      </c>
      <c r="P1692" s="4" t="str">
        <f>HYPERLINK("http://141.218.60.56/~jnz1568/getInfo.php?workbook=16_15.xlsx&amp;sheet=A0&amp;row=1692&amp;col=16&amp;number=&amp;sourceID=55","")</f>
        <v/>
      </c>
      <c r="Q1692" s="4" t="str">
        <f>HYPERLINK("http://141.218.60.56/~jnz1568/getInfo.php?workbook=16_15.xlsx&amp;sheet=A0&amp;row=1692&amp;col=17&amp;number=&amp;sourceID=56","")</f>
        <v/>
      </c>
      <c r="R1692" s="4" t="str">
        <f>HYPERLINK("http://141.218.60.56/~jnz1568/getInfo.php?workbook=16_15.xlsx&amp;sheet=A0&amp;row=1692&amp;col=18&amp;number=&amp;sourceID=56","")</f>
        <v/>
      </c>
      <c r="S1692" s="4" t="str">
        <f>HYPERLINK("http://141.218.60.56/~jnz1568/getInfo.php?workbook=16_15.xlsx&amp;sheet=A0&amp;row=1692&amp;col=19&amp;number=&amp;sourceID=57","")</f>
        <v/>
      </c>
      <c r="T1692" s="4" t="str">
        <f>HYPERLINK("http://141.218.60.56/~jnz1568/getInfo.php?workbook=16_15.xlsx&amp;sheet=A0&amp;row=1692&amp;col=20&amp;number=&amp;sourceID=57","")</f>
        <v/>
      </c>
      <c r="U1692" s="4" t="str">
        <f>HYPERLINK("http://141.218.60.56/~jnz1568/getInfo.php?workbook=16_15.xlsx&amp;sheet=A0&amp;row=1692&amp;col=21&amp;number=&amp;sourceID=47","")</f>
        <v/>
      </c>
      <c r="V1692" s="4" t="str">
        <f>HYPERLINK("http://141.218.60.56/~jnz1568/getInfo.php?workbook=16_15.xlsx&amp;sheet=A0&amp;row=1692&amp;col=22&amp;number=&amp;sourceID=47","")</f>
        <v/>
      </c>
    </row>
    <row r="1693" spans="1:22">
      <c r="A1693" s="3">
        <v>16</v>
      </c>
      <c r="B1693" s="3">
        <v>15</v>
      </c>
      <c r="C1693" s="3">
        <v>66</v>
      </c>
      <c r="D1693" s="3">
        <v>14</v>
      </c>
      <c r="E1693" s="3">
        <f>((1/(INDEX(E0!J$4:J$73,C1693,1)-INDEX(E0!J$4:J$73,D1693,1))))*100000000</f>
        <v>0</v>
      </c>
      <c r="F1693" s="4" t="str">
        <f>HYPERLINK("http://141.218.60.56/~jnz1568/getInfo.php?workbook=16_15.xlsx&amp;sheet=A0&amp;row=1693&amp;col=6&amp;number=&amp;sourceID=54","")</f>
        <v/>
      </c>
      <c r="G1693" s="4" t="str">
        <f>HYPERLINK("http://141.218.60.56/~jnz1568/getInfo.php?workbook=16_15.xlsx&amp;sheet=A0&amp;row=1693&amp;col=7&amp;number=0.1493&amp;sourceID=54","0.1493")</f>
        <v>0.1493</v>
      </c>
      <c r="H1693" s="4" t="str">
        <f>HYPERLINK("http://141.218.60.56/~jnz1568/getInfo.php?workbook=16_15.xlsx&amp;sheet=A0&amp;row=1693&amp;col=8&amp;number=0.00074085&amp;sourceID=54","0.00074085")</f>
        <v>0.00074085</v>
      </c>
      <c r="I1693" s="4" t="str">
        <f>HYPERLINK("http://141.218.60.56/~jnz1568/getInfo.php?workbook=16_15.xlsx&amp;sheet=A0&amp;row=1693&amp;col=9&amp;number=&amp;sourceID=54","")</f>
        <v/>
      </c>
      <c r="J1693" s="4" t="str">
        <f>HYPERLINK("http://141.218.60.56/~jnz1568/getInfo.php?workbook=16_15.xlsx&amp;sheet=A0&amp;row=1693&amp;col=10&amp;number=0.17424&amp;sourceID=54","0.17424")</f>
        <v>0.17424</v>
      </c>
      <c r="K1693" s="4" t="str">
        <f>HYPERLINK("http://141.218.60.56/~jnz1568/getInfo.php?workbook=16_15.xlsx&amp;sheet=A0&amp;row=1693&amp;col=11&amp;number=0.00067776&amp;sourceID=54","0.00067776")</f>
        <v>0.00067776</v>
      </c>
      <c r="L1693" s="4" t="str">
        <f>HYPERLINK("http://141.218.60.56/~jnz1568/getInfo.php?workbook=16_15.xlsx&amp;sheet=A0&amp;row=1693&amp;col=12&amp;number=&amp;sourceID=53","")</f>
        <v/>
      </c>
      <c r="M1693" s="4" t="str">
        <f>HYPERLINK("http://141.218.60.56/~jnz1568/getInfo.php?workbook=16_15.xlsx&amp;sheet=A0&amp;row=1693&amp;col=13&amp;number=&amp;sourceID=53","")</f>
        <v/>
      </c>
      <c r="N1693" s="4" t="str">
        <f>HYPERLINK("http://141.218.60.56/~jnz1568/getInfo.php?workbook=16_15.xlsx&amp;sheet=A0&amp;row=1693&amp;col=14&amp;number=&amp;sourceID=53","")</f>
        <v/>
      </c>
      <c r="O1693" s="4" t="str">
        <f>HYPERLINK("http://141.218.60.56/~jnz1568/getInfo.php?workbook=16_15.xlsx&amp;sheet=A0&amp;row=1693&amp;col=15&amp;number=&amp;sourceID=55","")</f>
        <v/>
      </c>
      <c r="P1693" s="4" t="str">
        <f>HYPERLINK("http://141.218.60.56/~jnz1568/getInfo.php?workbook=16_15.xlsx&amp;sheet=A0&amp;row=1693&amp;col=16&amp;number=&amp;sourceID=55","")</f>
        <v/>
      </c>
      <c r="Q1693" s="4" t="str">
        <f>HYPERLINK("http://141.218.60.56/~jnz1568/getInfo.php?workbook=16_15.xlsx&amp;sheet=A0&amp;row=1693&amp;col=17&amp;number=&amp;sourceID=56","")</f>
        <v/>
      </c>
      <c r="R1693" s="4" t="str">
        <f>HYPERLINK("http://141.218.60.56/~jnz1568/getInfo.php?workbook=16_15.xlsx&amp;sheet=A0&amp;row=1693&amp;col=18&amp;number=&amp;sourceID=56","")</f>
        <v/>
      </c>
      <c r="S1693" s="4" t="str">
        <f>HYPERLINK("http://141.218.60.56/~jnz1568/getInfo.php?workbook=16_15.xlsx&amp;sheet=A0&amp;row=1693&amp;col=19&amp;number=&amp;sourceID=57","")</f>
        <v/>
      </c>
      <c r="T1693" s="4" t="str">
        <f>HYPERLINK("http://141.218.60.56/~jnz1568/getInfo.php?workbook=16_15.xlsx&amp;sheet=A0&amp;row=1693&amp;col=20&amp;number=&amp;sourceID=57","")</f>
        <v/>
      </c>
      <c r="U1693" s="4" t="str">
        <f>HYPERLINK("http://141.218.60.56/~jnz1568/getInfo.php?workbook=16_15.xlsx&amp;sheet=A0&amp;row=1693&amp;col=21&amp;number=&amp;sourceID=47","")</f>
        <v/>
      </c>
      <c r="V1693" s="4" t="str">
        <f>HYPERLINK("http://141.218.60.56/~jnz1568/getInfo.php?workbook=16_15.xlsx&amp;sheet=A0&amp;row=1693&amp;col=22&amp;number=&amp;sourceID=47","")</f>
        <v/>
      </c>
    </row>
    <row r="1694" spans="1:22">
      <c r="A1694" s="3">
        <v>16</v>
      </c>
      <c r="B1694" s="3">
        <v>15</v>
      </c>
      <c r="C1694" s="3">
        <v>66</v>
      </c>
      <c r="D1694" s="3">
        <v>15</v>
      </c>
      <c r="E1694" s="3">
        <f>((1/(INDEX(E0!J$4:J$73,C1694,1)-INDEX(E0!J$4:J$73,D1694,1))))*100000000</f>
        <v>0</v>
      </c>
      <c r="F1694" s="4" t="str">
        <f>HYPERLINK("http://141.218.60.56/~jnz1568/getInfo.php?workbook=16_15.xlsx&amp;sheet=A0&amp;row=1694&amp;col=6&amp;number=&amp;sourceID=54","")</f>
        <v/>
      </c>
      <c r="G1694" s="4" t="str">
        <f>HYPERLINK("http://141.218.60.56/~jnz1568/getInfo.php?workbook=16_15.xlsx&amp;sheet=A0&amp;row=1694&amp;col=7&amp;number=0.00025427&amp;sourceID=54","0.00025427")</f>
        <v>0.00025427</v>
      </c>
      <c r="H1694" s="4" t="str">
        <f>HYPERLINK("http://141.218.60.56/~jnz1568/getInfo.php?workbook=16_15.xlsx&amp;sheet=A0&amp;row=1694&amp;col=8&amp;number=0.0050793&amp;sourceID=54","0.0050793")</f>
        <v>0.0050793</v>
      </c>
      <c r="I1694" s="4" t="str">
        <f>HYPERLINK("http://141.218.60.56/~jnz1568/getInfo.php?workbook=16_15.xlsx&amp;sheet=A0&amp;row=1694&amp;col=9&amp;number=&amp;sourceID=54","")</f>
        <v/>
      </c>
      <c r="J1694" s="4" t="str">
        <f>HYPERLINK("http://141.218.60.56/~jnz1568/getInfo.php?workbook=16_15.xlsx&amp;sheet=A0&amp;row=1694&amp;col=10&amp;number=6.619e-05&amp;sourceID=54","6.619e-05")</f>
        <v>6.619e-05</v>
      </c>
      <c r="K1694" s="4" t="str">
        <f>HYPERLINK("http://141.218.60.56/~jnz1568/getInfo.php?workbook=16_15.xlsx&amp;sheet=A0&amp;row=1694&amp;col=11&amp;number=0.0062574&amp;sourceID=54","0.0062574")</f>
        <v>0.0062574</v>
      </c>
      <c r="L1694" s="4" t="str">
        <f>HYPERLINK("http://141.218.60.56/~jnz1568/getInfo.php?workbook=16_15.xlsx&amp;sheet=A0&amp;row=1694&amp;col=12&amp;number=&amp;sourceID=53","")</f>
        <v/>
      </c>
      <c r="M1694" s="4" t="str">
        <f>HYPERLINK("http://141.218.60.56/~jnz1568/getInfo.php?workbook=16_15.xlsx&amp;sheet=A0&amp;row=1694&amp;col=13&amp;number=&amp;sourceID=53","")</f>
        <v/>
      </c>
      <c r="N1694" s="4" t="str">
        <f>HYPERLINK("http://141.218.60.56/~jnz1568/getInfo.php?workbook=16_15.xlsx&amp;sheet=A0&amp;row=1694&amp;col=14&amp;number=&amp;sourceID=53","")</f>
        <v/>
      </c>
      <c r="O1694" s="4" t="str">
        <f>HYPERLINK("http://141.218.60.56/~jnz1568/getInfo.php?workbook=16_15.xlsx&amp;sheet=A0&amp;row=1694&amp;col=15&amp;number=&amp;sourceID=55","")</f>
        <v/>
      </c>
      <c r="P1694" s="4" t="str">
        <f>HYPERLINK("http://141.218.60.56/~jnz1568/getInfo.php?workbook=16_15.xlsx&amp;sheet=A0&amp;row=1694&amp;col=16&amp;number=&amp;sourceID=55","")</f>
        <v/>
      </c>
      <c r="Q1694" s="4" t="str">
        <f>HYPERLINK("http://141.218.60.56/~jnz1568/getInfo.php?workbook=16_15.xlsx&amp;sheet=A0&amp;row=1694&amp;col=17&amp;number=&amp;sourceID=56","")</f>
        <v/>
      </c>
      <c r="R1694" s="4" t="str">
        <f>HYPERLINK("http://141.218.60.56/~jnz1568/getInfo.php?workbook=16_15.xlsx&amp;sheet=A0&amp;row=1694&amp;col=18&amp;number=&amp;sourceID=56","")</f>
        <v/>
      </c>
      <c r="S1694" s="4" t="str">
        <f>HYPERLINK("http://141.218.60.56/~jnz1568/getInfo.php?workbook=16_15.xlsx&amp;sheet=A0&amp;row=1694&amp;col=19&amp;number=&amp;sourceID=57","")</f>
        <v/>
      </c>
      <c r="T1694" s="4" t="str">
        <f>HYPERLINK("http://141.218.60.56/~jnz1568/getInfo.php?workbook=16_15.xlsx&amp;sheet=A0&amp;row=1694&amp;col=20&amp;number=&amp;sourceID=57","")</f>
        <v/>
      </c>
      <c r="U1694" s="4" t="str">
        <f>HYPERLINK("http://141.218.60.56/~jnz1568/getInfo.php?workbook=16_15.xlsx&amp;sheet=A0&amp;row=1694&amp;col=21&amp;number=&amp;sourceID=47","")</f>
        <v/>
      </c>
      <c r="V1694" s="4" t="str">
        <f>HYPERLINK("http://141.218.60.56/~jnz1568/getInfo.php?workbook=16_15.xlsx&amp;sheet=A0&amp;row=1694&amp;col=22&amp;number=&amp;sourceID=47","")</f>
        <v/>
      </c>
    </row>
    <row r="1695" spans="1:22">
      <c r="A1695" s="3">
        <v>16</v>
      </c>
      <c r="B1695" s="3">
        <v>15</v>
      </c>
      <c r="C1695" s="3">
        <v>66</v>
      </c>
      <c r="D1695" s="3">
        <v>16</v>
      </c>
      <c r="E1695" s="3">
        <f>((1/(INDEX(E0!J$4:J$73,C1695,1)-INDEX(E0!J$4:J$73,D1695,1))))*100000000</f>
        <v>0</v>
      </c>
      <c r="F1695" s="4" t="str">
        <f>HYPERLINK("http://141.218.60.56/~jnz1568/getInfo.php?workbook=16_15.xlsx&amp;sheet=A0&amp;row=1695&amp;col=6&amp;number=&amp;sourceID=54","")</f>
        <v/>
      </c>
      <c r="G1695" s="4" t="str">
        <f>HYPERLINK("http://141.218.60.56/~jnz1568/getInfo.php?workbook=16_15.xlsx&amp;sheet=A0&amp;row=1695&amp;col=7&amp;number=0.039556&amp;sourceID=54","0.039556")</f>
        <v>0.039556</v>
      </c>
      <c r="H1695" s="4" t="str">
        <f>HYPERLINK("http://141.218.60.56/~jnz1568/getInfo.php?workbook=16_15.xlsx&amp;sheet=A0&amp;row=1695&amp;col=8&amp;number=0.0039804&amp;sourceID=54","0.0039804")</f>
        <v>0.0039804</v>
      </c>
      <c r="I1695" s="4" t="str">
        <f>HYPERLINK("http://141.218.60.56/~jnz1568/getInfo.php?workbook=16_15.xlsx&amp;sheet=A0&amp;row=1695&amp;col=9&amp;number=&amp;sourceID=54","")</f>
        <v/>
      </c>
      <c r="J1695" s="4" t="str">
        <f>HYPERLINK("http://141.218.60.56/~jnz1568/getInfo.php?workbook=16_15.xlsx&amp;sheet=A0&amp;row=1695&amp;col=10&amp;number=0.029677&amp;sourceID=54","0.029677")</f>
        <v>0.029677</v>
      </c>
      <c r="K1695" s="4" t="str">
        <f>HYPERLINK("http://141.218.60.56/~jnz1568/getInfo.php?workbook=16_15.xlsx&amp;sheet=A0&amp;row=1695&amp;col=11&amp;number=0.0037934&amp;sourceID=54","0.0037934")</f>
        <v>0.0037934</v>
      </c>
      <c r="L1695" s="4" t="str">
        <f>HYPERLINK("http://141.218.60.56/~jnz1568/getInfo.php?workbook=16_15.xlsx&amp;sheet=A0&amp;row=1695&amp;col=12&amp;number=&amp;sourceID=53","")</f>
        <v/>
      </c>
      <c r="M1695" s="4" t="str">
        <f>HYPERLINK("http://141.218.60.56/~jnz1568/getInfo.php?workbook=16_15.xlsx&amp;sheet=A0&amp;row=1695&amp;col=13&amp;number=&amp;sourceID=53","")</f>
        <v/>
      </c>
      <c r="N1695" s="4" t="str">
        <f>HYPERLINK("http://141.218.60.56/~jnz1568/getInfo.php?workbook=16_15.xlsx&amp;sheet=A0&amp;row=1695&amp;col=14&amp;number=&amp;sourceID=53","")</f>
        <v/>
      </c>
      <c r="O1695" s="4" t="str">
        <f>HYPERLINK("http://141.218.60.56/~jnz1568/getInfo.php?workbook=16_15.xlsx&amp;sheet=A0&amp;row=1695&amp;col=15&amp;number=&amp;sourceID=55","")</f>
        <v/>
      </c>
      <c r="P1695" s="4" t="str">
        <f>HYPERLINK("http://141.218.60.56/~jnz1568/getInfo.php?workbook=16_15.xlsx&amp;sheet=A0&amp;row=1695&amp;col=16&amp;number=&amp;sourceID=55","")</f>
        <v/>
      </c>
      <c r="Q1695" s="4" t="str">
        <f>HYPERLINK("http://141.218.60.56/~jnz1568/getInfo.php?workbook=16_15.xlsx&amp;sheet=A0&amp;row=1695&amp;col=17&amp;number=&amp;sourceID=56","")</f>
        <v/>
      </c>
      <c r="R1695" s="4" t="str">
        <f>HYPERLINK("http://141.218.60.56/~jnz1568/getInfo.php?workbook=16_15.xlsx&amp;sheet=A0&amp;row=1695&amp;col=18&amp;number=&amp;sourceID=56","")</f>
        <v/>
      </c>
      <c r="S1695" s="4" t="str">
        <f>HYPERLINK("http://141.218.60.56/~jnz1568/getInfo.php?workbook=16_15.xlsx&amp;sheet=A0&amp;row=1695&amp;col=19&amp;number=&amp;sourceID=57","")</f>
        <v/>
      </c>
      <c r="T1695" s="4" t="str">
        <f>HYPERLINK("http://141.218.60.56/~jnz1568/getInfo.php?workbook=16_15.xlsx&amp;sheet=A0&amp;row=1695&amp;col=20&amp;number=&amp;sourceID=57","")</f>
        <v/>
      </c>
      <c r="U1695" s="4" t="str">
        <f>HYPERLINK("http://141.218.60.56/~jnz1568/getInfo.php?workbook=16_15.xlsx&amp;sheet=A0&amp;row=1695&amp;col=21&amp;number=&amp;sourceID=47","")</f>
        <v/>
      </c>
      <c r="V1695" s="4" t="str">
        <f>HYPERLINK("http://141.218.60.56/~jnz1568/getInfo.php?workbook=16_15.xlsx&amp;sheet=A0&amp;row=1695&amp;col=22&amp;number=&amp;sourceID=47","")</f>
        <v/>
      </c>
    </row>
    <row r="1696" spans="1:22">
      <c r="A1696" s="3">
        <v>16</v>
      </c>
      <c r="B1696" s="3">
        <v>15</v>
      </c>
      <c r="C1696" s="3">
        <v>66</v>
      </c>
      <c r="D1696" s="3">
        <v>17</v>
      </c>
      <c r="E1696" s="3">
        <f>((1/(INDEX(E0!J$4:J$73,C1696,1)-INDEX(E0!J$4:J$73,D1696,1))))*100000000</f>
        <v>0</v>
      </c>
      <c r="F1696" s="4" t="str">
        <f>HYPERLINK("http://141.218.60.56/~jnz1568/getInfo.php?workbook=16_15.xlsx&amp;sheet=A0&amp;row=1696&amp;col=6&amp;number=&amp;sourceID=54","")</f>
        <v/>
      </c>
      <c r="G1696" s="4" t="str">
        <f>HYPERLINK("http://141.218.60.56/~jnz1568/getInfo.php?workbook=16_15.xlsx&amp;sheet=A0&amp;row=1696&amp;col=7&amp;number=0.00088709&amp;sourceID=54","0.00088709")</f>
        <v>0.00088709</v>
      </c>
      <c r="H1696" s="4" t="str">
        <f>HYPERLINK("http://141.218.60.56/~jnz1568/getInfo.php?workbook=16_15.xlsx&amp;sheet=A0&amp;row=1696&amp;col=8&amp;number=0.012765&amp;sourceID=54","0.012765")</f>
        <v>0.012765</v>
      </c>
      <c r="I1696" s="4" t="str">
        <f>HYPERLINK("http://141.218.60.56/~jnz1568/getInfo.php?workbook=16_15.xlsx&amp;sheet=A0&amp;row=1696&amp;col=9&amp;number=&amp;sourceID=54","")</f>
        <v/>
      </c>
      <c r="J1696" s="4" t="str">
        <f>HYPERLINK("http://141.218.60.56/~jnz1568/getInfo.php?workbook=16_15.xlsx&amp;sheet=A0&amp;row=1696&amp;col=10&amp;number=0.00030373&amp;sourceID=54","0.00030373")</f>
        <v>0.00030373</v>
      </c>
      <c r="K1696" s="4" t="str">
        <f>HYPERLINK("http://141.218.60.56/~jnz1568/getInfo.php?workbook=16_15.xlsx&amp;sheet=A0&amp;row=1696&amp;col=11&amp;number=0.0056549&amp;sourceID=54","0.0056549")</f>
        <v>0.0056549</v>
      </c>
      <c r="L1696" s="4" t="str">
        <f>HYPERLINK("http://141.218.60.56/~jnz1568/getInfo.php?workbook=16_15.xlsx&amp;sheet=A0&amp;row=1696&amp;col=12&amp;number=&amp;sourceID=53","")</f>
        <v/>
      </c>
      <c r="M1696" s="4" t="str">
        <f>HYPERLINK("http://141.218.60.56/~jnz1568/getInfo.php?workbook=16_15.xlsx&amp;sheet=A0&amp;row=1696&amp;col=13&amp;number=&amp;sourceID=53","")</f>
        <v/>
      </c>
      <c r="N1696" s="4" t="str">
        <f>HYPERLINK("http://141.218.60.56/~jnz1568/getInfo.php?workbook=16_15.xlsx&amp;sheet=A0&amp;row=1696&amp;col=14&amp;number=&amp;sourceID=53","")</f>
        <v/>
      </c>
      <c r="O1696" s="4" t="str">
        <f>HYPERLINK("http://141.218.60.56/~jnz1568/getInfo.php?workbook=16_15.xlsx&amp;sheet=A0&amp;row=1696&amp;col=15&amp;number=&amp;sourceID=55","")</f>
        <v/>
      </c>
      <c r="P1696" s="4" t="str">
        <f>HYPERLINK("http://141.218.60.56/~jnz1568/getInfo.php?workbook=16_15.xlsx&amp;sheet=A0&amp;row=1696&amp;col=16&amp;number=&amp;sourceID=55","")</f>
        <v/>
      </c>
      <c r="Q1696" s="4" t="str">
        <f>HYPERLINK("http://141.218.60.56/~jnz1568/getInfo.php?workbook=16_15.xlsx&amp;sheet=A0&amp;row=1696&amp;col=17&amp;number=&amp;sourceID=56","")</f>
        <v/>
      </c>
      <c r="R1696" s="4" t="str">
        <f>HYPERLINK("http://141.218.60.56/~jnz1568/getInfo.php?workbook=16_15.xlsx&amp;sheet=A0&amp;row=1696&amp;col=18&amp;number=&amp;sourceID=56","")</f>
        <v/>
      </c>
      <c r="S1696" s="4" t="str">
        <f>HYPERLINK("http://141.218.60.56/~jnz1568/getInfo.php?workbook=16_15.xlsx&amp;sheet=A0&amp;row=1696&amp;col=19&amp;number=&amp;sourceID=57","")</f>
        <v/>
      </c>
      <c r="T1696" s="4" t="str">
        <f>HYPERLINK("http://141.218.60.56/~jnz1568/getInfo.php?workbook=16_15.xlsx&amp;sheet=A0&amp;row=1696&amp;col=20&amp;number=&amp;sourceID=57","")</f>
        <v/>
      </c>
      <c r="U1696" s="4" t="str">
        <f>HYPERLINK("http://141.218.60.56/~jnz1568/getInfo.php?workbook=16_15.xlsx&amp;sheet=A0&amp;row=1696&amp;col=21&amp;number=&amp;sourceID=47","")</f>
        <v/>
      </c>
      <c r="V1696" s="4" t="str">
        <f>HYPERLINK("http://141.218.60.56/~jnz1568/getInfo.php?workbook=16_15.xlsx&amp;sheet=A0&amp;row=1696&amp;col=22&amp;number=&amp;sourceID=47","")</f>
        <v/>
      </c>
    </row>
    <row r="1697" spans="1:22">
      <c r="A1697" s="3">
        <v>16</v>
      </c>
      <c r="B1697" s="3">
        <v>15</v>
      </c>
      <c r="C1697" s="3">
        <v>66</v>
      </c>
      <c r="D1697" s="3">
        <v>18</v>
      </c>
      <c r="E1697" s="3">
        <f>((1/(INDEX(E0!J$4:J$73,C1697,1)-INDEX(E0!J$4:J$73,D1697,1))))*100000000</f>
        <v>0</v>
      </c>
      <c r="F1697" s="4" t="str">
        <f>HYPERLINK("http://141.218.60.56/~jnz1568/getInfo.php?workbook=16_15.xlsx&amp;sheet=A0&amp;row=1697&amp;col=6&amp;number=&amp;sourceID=54","")</f>
        <v/>
      </c>
      <c r="G1697" s="4" t="str">
        <f>HYPERLINK("http://141.218.60.56/~jnz1568/getInfo.php?workbook=16_15.xlsx&amp;sheet=A0&amp;row=1697&amp;col=7&amp;number=3.5101e-05&amp;sourceID=54","3.5101e-05")</f>
        <v>3.5101e-05</v>
      </c>
      <c r="H1697" s="4" t="str">
        <f>HYPERLINK("http://141.218.60.56/~jnz1568/getInfo.php?workbook=16_15.xlsx&amp;sheet=A0&amp;row=1697&amp;col=8&amp;number=0.11433&amp;sourceID=54","0.11433")</f>
        <v>0.11433</v>
      </c>
      <c r="I1697" s="4" t="str">
        <f>HYPERLINK("http://141.218.60.56/~jnz1568/getInfo.php?workbook=16_15.xlsx&amp;sheet=A0&amp;row=1697&amp;col=9&amp;number=&amp;sourceID=54","")</f>
        <v/>
      </c>
      <c r="J1697" s="4" t="str">
        <f>HYPERLINK("http://141.218.60.56/~jnz1568/getInfo.php?workbook=16_15.xlsx&amp;sheet=A0&amp;row=1697&amp;col=10&amp;number=4.741e-05&amp;sourceID=54","4.741e-05")</f>
        <v>4.741e-05</v>
      </c>
      <c r="K1697" s="4" t="str">
        <f>HYPERLINK("http://141.218.60.56/~jnz1568/getInfo.php?workbook=16_15.xlsx&amp;sheet=A0&amp;row=1697&amp;col=11&amp;number=0.10929&amp;sourceID=54","0.10929")</f>
        <v>0.10929</v>
      </c>
      <c r="L1697" s="4" t="str">
        <f>HYPERLINK("http://141.218.60.56/~jnz1568/getInfo.php?workbook=16_15.xlsx&amp;sheet=A0&amp;row=1697&amp;col=12&amp;number=&amp;sourceID=53","")</f>
        <v/>
      </c>
      <c r="M1697" s="4" t="str">
        <f>HYPERLINK("http://141.218.60.56/~jnz1568/getInfo.php?workbook=16_15.xlsx&amp;sheet=A0&amp;row=1697&amp;col=13&amp;number=&amp;sourceID=53","")</f>
        <v/>
      </c>
      <c r="N1697" s="4" t="str">
        <f>HYPERLINK("http://141.218.60.56/~jnz1568/getInfo.php?workbook=16_15.xlsx&amp;sheet=A0&amp;row=1697&amp;col=14&amp;number=&amp;sourceID=53","")</f>
        <v/>
      </c>
      <c r="O1697" s="4" t="str">
        <f>HYPERLINK("http://141.218.60.56/~jnz1568/getInfo.php?workbook=16_15.xlsx&amp;sheet=A0&amp;row=1697&amp;col=15&amp;number=&amp;sourceID=55","")</f>
        <v/>
      </c>
      <c r="P1697" s="4" t="str">
        <f>HYPERLINK("http://141.218.60.56/~jnz1568/getInfo.php?workbook=16_15.xlsx&amp;sheet=A0&amp;row=1697&amp;col=16&amp;number=&amp;sourceID=55","")</f>
        <v/>
      </c>
      <c r="Q1697" s="4" t="str">
        <f>HYPERLINK("http://141.218.60.56/~jnz1568/getInfo.php?workbook=16_15.xlsx&amp;sheet=A0&amp;row=1697&amp;col=17&amp;number=&amp;sourceID=56","")</f>
        <v/>
      </c>
      <c r="R1697" s="4" t="str">
        <f>HYPERLINK("http://141.218.60.56/~jnz1568/getInfo.php?workbook=16_15.xlsx&amp;sheet=A0&amp;row=1697&amp;col=18&amp;number=&amp;sourceID=56","")</f>
        <v/>
      </c>
      <c r="S1697" s="4" t="str">
        <f>HYPERLINK("http://141.218.60.56/~jnz1568/getInfo.php?workbook=16_15.xlsx&amp;sheet=A0&amp;row=1697&amp;col=19&amp;number=&amp;sourceID=57","")</f>
        <v/>
      </c>
      <c r="T1697" s="4" t="str">
        <f>HYPERLINK("http://141.218.60.56/~jnz1568/getInfo.php?workbook=16_15.xlsx&amp;sheet=A0&amp;row=1697&amp;col=20&amp;number=&amp;sourceID=57","")</f>
        <v/>
      </c>
      <c r="U1697" s="4" t="str">
        <f>HYPERLINK("http://141.218.60.56/~jnz1568/getInfo.php?workbook=16_15.xlsx&amp;sheet=A0&amp;row=1697&amp;col=21&amp;number=&amp;sourceID=47","")</f>
        <v/>
      </c>
      <c r="V1697" s="4" t="str">
        <f>HYPERLINK("http://141.218.60.56/~jnz1568/getInfo.php?workbook=16_15.xlsx&amp;sheet=A0&amp;row=1697&amp;col=22&amp;number=&amp;sourceID=47","")</f>
        <v/>
      </c>
    </row>
    <row r="1698" spans="1:22">
      <c r="A1698" s="3">
        <v>16</v>
      </c>
      <c r="B1698" s="3">
        <v>15</v>
      </c>
      <c r="C1698" s="3">
        <v>66</v>
      </c>
      <c r="D1698" s="3">
        <v>19</v>
      </c>
      <c r="E1698" s="3">
        <f>((1/(INDEX(E0!J$4:J$73,C1698,1)-INDEX(E0!J$4:J$73,D1698,1))))*100000000</f>
        <v>0</v>
      </c>
      <c r="F1698" s="4" t="str">
        <f>HYPERLINK("http://141.218.60.56/~jnz1568/getInfo.php?workbook=16_15.xlsx&amp;sheet=A0&amp;row=1698&amp;col=6&amp;number=&amp;sourceID=54","")</f>
        <v/>
      </c>
      <c r="G1698" s="4" t="str">
        <f>HYPERLINK("http://141.218.60.56/~jnz1568/getInfo.php?workbook=16_15.xlsx&amp;sheet=A0&amp;row=1698&amp;col=7&amp;number=0.0016472&amp;sourceID=54","0.0016472")</f>
        <v>0.0016472</v>
      </c>
      <c r="H1698" s="4" t="str">
        <f>HYPERLINK("http://141.218.60.56/~jnz1568/getInfo.php?workbook=16_15.xlsx&amp;sheet=A0&amp;row=1698&amp;col=8&amp;number=&amp;sourceID=54","")</f>
        <v/>
      </c>
      <c r="I1698" s="4" t="str">
        <f>HYPERLINK("http://141.218.60.56/~jnz1568/getInfo.php?workbook=16_15.xlsx&amp;sheet=A0&amp;row=1698&amp;col=9&amp;number=&amp;sourceID=54","")</f>
        <v/>
      </c>
      <c r="J1698" s="4" t="str">
        <f>HYPERLINK("http://141.218.60.56/~jnz1568/getInfo.php?workbook=16_15.xlsx&amp;sheet=A0&amp;row=1698&amp;col=10&amp;number=0.0014516&amp;sourceID=54","0.0014516")</f>
        <v>0.0014516</v>
      </c>
      <c r="K1698" s="4" t="str">
        <f>HYPERLINK("http://141.218.60.56/~jnz1568/getInfo.php?workbook=16_15.xlsx&amp;sheet=A0&amp;row=1698&amp;col=11&amp;number=&amp;sourceID=54","")</f>
        <v/>
      </c>
      <c r="L1698" s="4" t="str">
        <f>HYPERLINK("http://141.218.60.56/~jnz1568/getInfo.php?workbook=16_15.xlsx&amp;sheet=A0&amp;row=1698&amp;col=12&amp;number=&amp;sourceID=53","")</f>
        <v/>
      </c>
      <c r="M1698" s="4" t="str">
        <f>HYPERLINK("http://141.218.60.56/~jnz1568/getInfo.php?workbook=16_15.xlsx&amp;sheet=A0&amp;row=1698&amp;col=13&amp;number=&amp;sourceID=53","")</f>
        <v/>
      </c>
      <c r="N1698" s="4" t="str">
        <f>HYPERLINK("http://141.218.60.56/~jnz1568/getInfo.php?workbook=16_15.xlsx&amp;sheet=A0&amp;row=1698&amp;col=14&amp;number=&amp;sourceID=53","")</f>
        <v/>
      </c>
      <c r="O1698" s="4" t="str">
        <f>HYPERLINK("http://141.218.60.56/~jnz1568/getInfo.php?workbook=16_15.xlsx&amp;sheet=A0&amp;row=1698&amp;col=15&amp;number=&amp;sourceID=55","")</f>
        <v/>
      </c>
      <c r="P1698" s="4" t="str">
        <f>HYPERLINK("http://141.218.60.56/~jnz1568/getInfo.php?workbook=16_15.xlsx&amp;sheet=A0&amp;row=1698&amp;col=16&amp;number=&amp;sourceID=55","")</f>
        <v/>
      </c>
      <c r="Q1698" s="4" t="str">
        <f>HYPERLINK("http://141.218.60.56/~jnz1568/getInfo.php?workbook=16_15.xlsx&amp;sheet=A0&amp;row=1698&amp;col=17&amp;number=&amp;sourceID=56","")</f>
        <v/>
      </c>
      <c r="R1698" s="4" t="str">
        <f>HYPERLINK("http://141.218.60.56/~jnz1568/getInfo.php?workbook=16_15.xlsx&amp;sheet=A0&amp;row=1698&amp;col=18&amp;number=&amp;sourceID=56","")</f>
        <v/>
      </c>
      <c r="S1698" s="4" t="str">
        <f>HYPERLINK("http://141.218.60.56/~jnz1568/getInfo.php?workbook=16_15.xlsx&amp;sheet=A0&amp;row=1698&amp;col=19&amp;number=&amp;sourceID=57","")</f>
        <v/>
      </c>
      <c r="T1698" s="4" t="str">
        <f>HYPERLINK("http://141.218.60.56/~jnz1568/getInfo.php?workbook=16_15.xlsx&amp;sheet=A0&amp;row=1698&amp;col=20&amp;number=&amp;sourceID=57","")</f>
        <v/>
      </c>
      <c r="U1698" s="4" t="str">
        <f>HYPERLINK("http://141.218.60.56/~jnz1568/getInfo.php?workbook=16_15.xlsx&amp;sheet=A0&amp;row=1698&amp;col=21&amp;number=&amp;sourceID=47","")</f>
        <v/>
      </c>
      <c r="V1698" s="4" t="str">
        <f>HYPERLINK("http://141.218.60.56/~jnz1568/getInfo.php?workbook=16_15.xlsx&amp;sheet=A0&amp;row=1698&amp;col=22&amp;number=&amp;sourceID=47","")</f>
        <v/>
      </c>
    </row>
    <row r="1699" spans="1:22">
      <c r="A1699" s="3">
        <v>16</v>
      </c>
      <c r="B1699" s="3">
        <v>15</v>
      </c>
      <c r="C1699" s="3">
        <v>66</v>
      </c>
      <c r="D1699" s="3">
        <v>20</v>
      </c>
      <c r="E1699" s="3">
        <f>((1/(INDEX(E0!J$4:J$73,C1699,1)-INDEX(E0!J$4:J$73,D1699,1))))*100000000</f>
        <v>0</v>
      </c>
      <c r="F1699" s="4" t="str">
        <f>HYPERLINK("http://141.218.60.56/~jnz1568/getInfo.php?workbook=16_15.xlsx&amp;sheet=A0&amp;row=1699&amp;col=6&amp;number=&amp;sourceID=54","")</f>
        <v/>
      </c>
      <c r="G1699" s="4" t="str">
        <f>HYPERLINK("http://141.218.60.56/~jnz1568/getInfo.php?workbook=16_15.xlsx&amp;sheet=A0&amp;row=1699&amp;col=7&amp;number=28.706&amp;sourceID=54","28.706")</f>
        <v>28.706</v>
      </c>
      <c r="H1699" s="4" t="str">
        <f>HYPERLINK("http://141.218.60.56/~jnz1568/getInfo.php?workbook=16_15.xlsx&amp;sheet=A0&amp;row=1699&amp;col=8&amp;number=&amp;sourceID=54","")</f>
        <v/>
      </c>
      <c r="I1699" s="4" t="str">
        <f>HYPERLINK("http://141.218.60.56/~jnz1568/getInfo.php?workbook=16_15.xlsx&amp;sheet=A0&amp;row=1699&amp;col=9&amp;number=&amp;sourceID=54","")</f>
        <v/>
      </c>
      <c r="J1699" s="4" t="str">
        <f>HYPERLINK("http://141.218.60.56/~jnz1568/getInfo.php?workbook=16_15.xlsx&amp;sheet=A0&amp;row=1699&amp;col=10&amp;number=21.686&amp;sourceID=54","21.686")</f>
        <v>21.686</v>
      </c>
      <c r="K1699" s="4" t="str">
        <f>HYPERLINK("http://141.218.60.56/~jnz1568/getInfo.php?workbook=16_15.xlsx&amp;sheet=A0&amp;row=1699&amp;col=11&amp;number=&amp;sourceID=54","")</f>
        <v/>
      </c>
      <c r="L1699" s="4" t="str">
        <f>HYPERLINK("http://141.218.60.56/~jnz1568/getInfo.php?workbook=16_15.xlsx&amp;sheet=A0&amp;row=1699&amp;col=12&amp;number=&amp;sourceID=53","")</f>
        <v/>
      </c>
      <c r="M1699" s="4" t="str">
        <f>HYPERLINK("http://141.218.60.56/~jnz1568/getInfo.php?workbook=16_15.xlsx&amp;sheet=A0&amp;row=1699&amp;col=13&amp;number=&amp;sourceID=53","")</f>
        <v/>
      </c>
      <c r="N1699" s="4" t="str">
        <f>HYPERLINK("http://141.218.60.56/~jnz1568/getInfo.php?workbook=16_15.xlsx&amp;sheet=A0&amp;row=1699&amp;col=14&amp;number=&amp;sourceID=53","")</f>
        <v/>
      </c>
      <c r="O1699" s="4" t="str">
        <f>HYPERLINK("http://141.218.60.56/~jnz1568/getInfo.php?workbook=16_15.xlsx&amp;sheet=A0&amp;row=1699&amp;col=15&amp;number=&amp;sourceID=55","")</f>
        <v/>
      </c>
      <c r="P1699" s="4" t="str">
        <f>HYPERLINK("http://141.218.60.56/~jnz1568/getInfo.php?workbook=16_15.xlsx&amp;sheet=A0&amp;row=1699&amp;col=16&amp;number=&amp;sourceID=55","")</f>
        <v/>
      </c>
      <c r="Q1699" s="4" t="str">
        <f>HYPERLINK("http://141.218.60.56/~jnz1568/getInfo.php?workbook=16_15.xlsx&amp;sheet=A0&amp;row=1699&amp;col=17&amp;number=&amp;sourceID=56","")</f>
        <v/>
      </c>
      <c r="R1699" s="4" t="str">
        <f>HYPERLINK("http://141.218.60.56/~jnz1568/getInfo.php?workbook=16_15.xlsx&amp;sheet=A0&amp;row=1699&amp;col=18&amp;number=&amp;sourceID=56","")</f>
        <v/>
      </c>
      <c r="S1699" s="4" t="str">
        <f>HYPERLINK("http://141.218.60.56/~jnz1568/getInfo.php?workbook=16_15.xlsx&amp;sheet=A0&amp;row=1699&amp;col=19&amp;number=&amp;sourceID=57","")</f>
        <v/>
      </c>
      <c r="T1699" s="4" t="str">
        <f>HYPERLINK("http://141.218.60.56/~jnz1568/getInfo.php?workbook=16_15.xlsx&amp;sheet=A0&amp;row=1699&amp;col=20&amp;number=&amp;sourceID=57","")</f>
        <v/>
      </c>
      <c r="U1699" s="4" t="str">
        <f>HYPERLINK("http://141.218.60.56/~jnz1568/getInfo.php?workbook=16_15.xlsx&amp;sheet=A0&amp;row=1699&amp;col=21&amp;number=&amp;sourceID=47","")</f>
        <v/>
      </c>
      <c r="V1699" s="4" t="str">
        <f>HYPERLINK("http://141.218.60.56/~jnz1568/getInfo.php?workbook=16_15.xlsx&amp;sheet=A0&amp;row=1699&amp;col=22&amp;number=&amp;sourceID=47","")</f>
        <v/>
      </c>
    </row>
    <row r="1700" spans="1:22">
      <c r="A1700" s="3">
        <v>16</v>
      </c>
      <c r="B1700" s="3">
        <v>15</v>
      </c>
      <c r="C1700" s="3">
        <v>66</v>
      </c>
      <c r="D1700" s="3">
        <v>21</v>
      </c>
      <c r="E1700" s="3">
        <f>((1/(INDEX(E0!J$4:J$73,C1700,1)-INDEX(E0!J$4:J$73,D1700,1))))*100000000</f>
        <v>0</v>
      </c>
      <c r="F1700" s="4" t="str">
        <f>HYPERLINK("http://141.218.60.56/~jnz1568/getInfo.php?workbook=16_15.xlsx&amp;sheet=A0&amp;row=1700&amp;col=6&amp;number=&amp;sourceID=54","")</f>
        <v/>
      </c>
      <c r="G1700" s="4" t="str">
        <f>HYPERLINK("http://141.218.60.56/~jnz1568/getInfo.php?workbook=16_15.xlsx&amp;sheet=A0&amp;row=1700&amp;col=7&amp;number=109.78&amp;sourceID=54","109.78")</f>
        <v>109.78</v>
      </c>
      <c r="H1700" s="4" t="str">
        <f>HYPERLINK("http://141.218.60.56/~jnz1568/getInfo.php?workbook=16_15.xlsx&amp;sheet=A0&amp;row=1700&amp;col=8&amp;number=4.2071e-05&amp;sourceID=54","4.2071e-05")</f>
        <v>4.2071e-05</v>
      </c>
      <c r="I1700" s="4" t="str">
        <f>HYPERLINK("http://141.218.60.56/~jnz1568/getInfo.php?workbook=16_15.xlsx&amp;sheet=A0&amp;row=1700&amp;col=9&amp;number=&amp;sourceID=54","")</f>
        <v/>
      </c>
      <c r="J1700" s="4" t="str">
        <f>HYPERLINK("http://141.218.60.56/~jnz1568/getInfo.php?workbook=16_15.xlsx&amp;sheet=A0&amp;row=1700&amp;col=10&amp;number=82.165&amp;sourceID=54","82.165")</f>
        <v>82.165</v>
      </c>
      <c r="K1700" s="4" t="str">
        <f>HYPERLINK("http://141.218.60.56/~jnz1568/getInfo.php?workbook=16_15.xlsx&amp;sheet=A0&amp;row=1700&amp;col=11&amp;number=3.898e-05&amp;sourceID=54","3.898e-05")</f>
        <v>3.898e-05</v>
      </c>
      <c r="L1700" s="4" t="str">
        <f>HYPERLINK("http://141.218.60.56/~jnz1568/getInfo.php?workbook=16_15.xlsx&amp;sheet=A0&amp;row=1700&amp;col=12&amp;number=&amp;sourceID=53","")</f>
        <v/>
      </c>
      <c r="M1700" s="4" t="str">
        <f>HYPERLINK("http://141.218.60.56/~jnz1568/getInfo.php?workbook=16_15.xlsx&amp;sheet=A0&amp;row=1700&amp;col=13&amp;number=&amp;sourceID=53","")</f>
        <v/>
      </c>
      <c r="N1700" s="4" t="str">
        <f>HYPERLINK("http://141.218.60.56/~jnz1568/getInfo.php?workbook=16_15.xlsx&amp;sheet=A0&amp;row=1700&amp;col=14&amp;number=&amp;sourceID=53","")</f>
        <v/>
      </c>
      <c r="O1700" s="4" t="str">
        <f>HYPERLINK("http://141.218.60.56/~jnz1568/getInfo.php?workbook=16_15.xlsx&amp;sheet=A0&amp;row=1700&amp;col=15&amp;number=&amp;sourceID=55","")</f>
        <v/>
      </c>
      <c r="P1700" s="4" t="str">
        <f>HYPERLINK("http://141.218.60.56/~jnz1568/getInfo.php?workbook=16_15.xlsx&amp;sheet=A0&amp;row=1700&amp;col=16&amp;number=&amp;sourceID=55","")</f>
        <v/>
      </c>
      <c r="Q1700" s="4" t="str">
        <f>HYPERLINK("http://141.218.60.56/~jnz1568/getInfo.php?workbook=16_15.xlsx&amp;sheet=A0&amp;row=1700&amp;col=17&amp;number=&amp;sourceID=56","")</f>
        <v/>
      </c>
      <c r="R1700" s="4" t="str">
        <f>HYPERLINK("http://141.218.60.56/~jnz1568/getInfo.php?workbook=16_15.xlsx&amp;sheet=A0&amp;row=1700&amp;col=18&amp;number=&amp;sourceID=56","")</f>
        <v/>
      </c>
      <c r="S1700" s="4" t="str">
        <f>HYPERLINK("http://141.218.60.56/~jnz1568/getInfo.php?workbook=16_15.xlsx&amp;sheet=A0&amp;row=1700&amp;col=19&amp;number=&amp;sourceID=57","")</f>
        <v/>
      </c>
      <c r="T1700" s="4" t="str">
        <f>HYPERLINK("http://141.218.60.56/~jnz1568/getInfo.php?workbook=16_15.xlsx&amp;sheet=A0&amp;row=1700&amp;col=20&amp;number=&amp;sourceID=57","")</f>
        <v/>
      </c>
      <c r="U1700" s="4" t="str">
        <f>HYPERLINK("http://141.218.60.56/~jnz1568/getInfo.php?workbook=16_15.xlsx&amp;sheet=A0&amp;row=1700&amp;col=21&amp;number=&amp;sourceID=47","")</f>
        <v/>
      </c>
      <c r="V1700" s="4" t="str">
        <f>HYPERLINK("http://141.218.60.56/~jnz1568/getInfo.php?workbook=16_15.xlsx&amp;sheet=A0&amp;row=1700&amp;col=22&amp;number=&amp;sourceID=47","")</f>
        <v/>
      </c>
    </row>
    <row r="1701" spans="1:22">
      <c r="A1701" s="3">
        <v>16</v>
      </c>
      <c r="B1701" s="3">
        <v>15</v>
      </c>
      <c r="C1701" s="3">
        <v>66</v>
      </c>
      <c r="D1701" s="3">
        <v>22</v>
      </c>
      <c r="E1701" s="3">
        <f>((1/(INDEX(E0!J$4:J$73,C1701,1)-INDEX(E0!J$4:J$73,D1701,1))))*100000000</f>
        <v>0</v>
      </c>
      <c r="F1701" s="4" t="str">
        <f>HYPERLINK("http://141.218.60.56/~jnz1568/getInfo.php?workbook=16_15.xlsx&amp;sheet=A0&amp;row=1701&amp;col=6&amp;number=&amp;sourceID=54","")</f>
        <v/>
      </c>
      <c r="G1701" s="4" t="str">
        <f>HYPERLINK("http://141.218.60.56/~jnz1568/getInfo.php?workbook=16_15.xlsx&amp;sheet=A0&amp;row=1701&amp;col=7&amp;number=0.0029812&amp;sourceID=54","0.0029812")</f>
        <v>0.0029812</v>
      </c>
      <c r="H1701" s="4" t="str">
        <f>HYPERLINK("http://141.218.60.56/~jnz1568/getInfo.php?workbook=16_15.xlsx&amp;sheet=A0&amp;row=1701&amp;col=8&amp;number=&amp;sourceID=54","")</f>
        <v/>
      </c>
      <c r="I1701" s="4" t="str">
        <f>HYPERLINK("http://141.218.60.56/~jnz1568/getInfo.php?workbook=16_15.xlsx&amp;sheet=A0&amp;row=1701&amp;col=9&amp;number=&amp;sourceID=54","")</f>
        <v/>
      </c>
      <c r="J1701" s="4" t="str">
        <f>HYPERLINK("http://141.218.60.56/~jnz1568/getInfo.php?workbook=16_15.xlsx&amp;sheet=A0&amp;row=1701&amp;col=10&amp;number=0.002336&amp;sourceID=54","0.002336")</f>
        <v>0.002336</v>
      </c>
      <c r="K1701" s="4" t="str">
        <f>HYPERLINK("http://141.218.60.56/~jnz1568/getInfo.php?workbook=16_15.xlsx&amp;sheet=A0&amp;row=1701&amp;col=11&amp;number=&amp;sourceID=54","")</f>
        <v/>
      </c>
      <c r="L1701" s="4" t="str">
        <f>HYPERLINK("http://141.218.60.56/~jnz1568/getInfo.php?workbook=16_15.xlsx&amp;sheet=A0&amp;row=1701&amp;col=12&amp;number=&amp;sourceID=53","")</f>
        <v/>
      </c>
      <c r="M1701" s="4" t="str">
        <f>HYPERLINK("http://141.218.60.56/~jnz1568/getInfo.php?workbook=16_15.xlsx&amp;sheet=A0&amp;row=1701&amp;col=13&amp;number=&amp;sourceID=53","")</f>
        <v/>
      </c>
      <c r="N1701" s="4" t="str">
        <f>HYPERLINK("http://141.218.60.56/~jnz1568/getInfo.php?workbook=16_15.xlsx&amp;sheet=A0&amp;row=1701&amp;col=14&amp;number=&amp;sourceID=53","")</f>
        <v/>
      </c>
      <c r="O1701" s="4" t="str">
        <f>HYPERLINK("http://141.218.60.56/~jnz1568/getInfo.php?workbook=16_15.xlsx&amp;sheet=A0&amp;row=1701&amp;col=15&amp;number=&amp;sourceID=55","")</f>
        <v/>
      </c>
      <c r="P1701" s="4" t="str">
        <f>HYPERLINK("http://141.218.60.56/~jnz1568/getInfo.php?workbook=16_15.xlsx&amp;sheet=A0&amp;row=1701&amp;col=16&amp;number=&amp;sourceID=55","")</f>
        <v/>
      </c>
      <c r="Q1701" s="4" t="str">
        <f>HYPERLINK("http://141.218.60.56/~jnz1568/getInfo.php?workbook=16_15.xlsx&amp;sheet=A0&amp;row=1701&amp;col=17&amp;number=&amp;sourceID=56","")</f>
        <v/>
      </c>
      <c r="R1701" s="4" t="str">
        <f>HYPERLINK("http://141.218.60.56/~jnz1568/getInfo.php?workbook=16_15.xlsx&amp;sheet=A0&amp;row=1701&amp;col=18&amp;number=&amp;sourceID=56","")</f>
        <v/>
      </c>
      <c r="S1701" s="4" t="str">
        <f>HYPERLINK("http://141.218.60.56/~jnz1568/getInfo.php?workbook=16_15.xlsx&amp;sheet=A0&amp;row=1701&amp;col=19&amp;number=&amp;sourceID=57","")</f>
        <v/>
      </c>
      <c r="T1701" s="4" t="str">
        <f>HYPERLINK("http://141.218.60.56/~jnz1568/getInfo.php?workbook=16_15.xlsx&amp;sheet=A0&amp;row=1701&amp;col=20&amp;number=&amp;sourceID=57","")</f>
        <v/>
      </c>
      <c r="U1701" s="4" t="str">
        <f>HYPERLINK("http://141.218.60.56/~jnz1568/getInfo.php?workbook=16_15.xlsx&amp;sheet=A0&amp;row=1701&amp;col=21&amp;number=&amp;sourceID=47","")</f>
        <v/>
      </c>
      <c r="V1701" s="4" t="str">
        <f>HYPERLINK("http://141.218.60.56/~jnz1568/getInfo.php?workbook=16_15.xlsx&amp;sheet=A0&amp;row=1701&amp;col=22&amp;number=&amp;sourceID=47","")</f>
        <v/>
      </c>
    </row>
    <row r="1702" spans="1:22">
      <c r="A1702" s="3">
        <v>16</v>
      </c>
      <c r="B1702" s="3">
        <v>15</v>
      </c>
      <c r="C1702" s="3">
        <v>66</v>
      </c>
      <c r="D1702" s="3">
        <v>23</v>
      </c>
      <c r="E1702" s="3">
        <f>((1/(INDEX(E0!J$4:J$73,C1702,1)-INDEX(E0!J$4:J$73,D1702,1))))*100000000</f>
        <v>0</v>
      </c>
      <c r="F1702" s="4" t="str">
        <f>HYPERLINK("http://141.218.60.56/~jnz1568/getInfo.php?workbook=16_15.xlsx&amp;sheet=A0&amp;row=1702&amp;col=6&amp;number=&amp;sourceID=54","")</f>
        <v/>
      </c>
      <c r="G1702" s="4" t="str">
        <f>HYPERLINK("http://141.218.60.56/~jnz1568/getInfo.php?workbook=16_15.xlsx&amp;sheet=A0&amp;row=1702&amp;col=7&amp;number=0.0018514&amp;sourceID=54","0.0018514")</f>
        <v>0.0018514</v>
      </c>
      <c r="H1702" s="4" t="str">
        <f>HYPERLINK("http://141.218.60.56/~jnz1568/getInfo.php?workbook=16_15.xlsx&amp;sheet=A0&amp;row=1702&amp;col=8&amp;number=0.014755&amp;sourceID=54","0.014755")</f>
        <v>0.014755</v>
      </c>
      <c r="I1702" s="4" t="str">
        <f>HYPERLINK("http://141.218.60.56/~jnz1568/getInfo.php?workbook=16_15.xlsx&amp;sheet=A0&amp;row=1702&amp;col=9&amp;number=&amp;sourceID=54","")</f>
        <v/>
      </c>
      <c r="J1702" s="4" t="str">
        <f>HYPERLINK("http://141.218.60.56/~jnz1568/getInfo.php?workbook=16_15.xlsx&amp;sheet=A0&amp;row=1702&amp;col=10&amp;number=0.0017913&amp;sourceID=54","0.0017913")</f>
        <v>0.0017913</v>
      </c>
      <c r="K1702" s="4" t="str">
        <f>HYPERLINK("http://141.218.60.56/~jnz1568/getInfo.php?workbook=16_15.xlsx&amp;sheet=A0&amp;row=1702&amp;col=11&amp;number=0.01492&amp;sourceID=54","0.01492")</f>
        <v>0.01492</v>
      </c>
      <c r="L1702" s="4" t="str">
        <f>HYPERLINK("http://141.218.60.56/~jnz1568/getInfo.php?workbook=16_15.xlsx&amp;sheet=A0&amp;row=1702&amp;col=12&amp;number=&amp;sourceID=53","")</f>
        <v/>
      </c>
      <c r="M1702" s="4" t="str">
        <f>HYPERLINK("http://141.218.60.56/~jnz1568/getInfo.php?workbook=16_15.xlsx&amp;sheet=A0&amp;row=1702&amp;col=13&amp;number=&amp;sourceID=53","")</f>
        <v/>
      </c>
      <c r="N1702" s="4" t="str">
        <f>HYPERLINK("http://141.218.60.56/~jnz1568/getInfo.php?workbook=16_15.xlsx&amp;sheet=A0&amp;row=1702&amp;col=14&amp;number=&amp;sourceID=53","")</f>
        <v/>
      </c>
      <c r="O1702" s="4" t="str">
        <f>HYPERLINK("http://141.218.60.56/~jnz1568/getInfo.php?workbook=16_15.xlsx&amp;sheet=A0&amp;row=1702&amp;col=15&amp;number=&amp;sourceID=55","")</f>
        <v/>
      </c>
      <c r="P1702" s="4" t="str">
        <f>HYPERLINK("http://141.218.60.56/~jnz1568/getInfo.php?workbook=16_15.xlsx&amp;sheet=A0&amp;row=1702&amp;col=16&amp;number=&amp;sourceID=55","")</f>
        <v/>
      </c>
      <c r="Q1702" s="4" t="str">
        <f>HYPERLINK("http://141.218.60.56/~jnz1568/getInfo.php?workbook=16_15.xlsx&amp;sheet=A0&amp;row=1702&amp;col=17&amp;number=&amp;sourceID=56","")</f>
        <v/>
      </c>
      <c r="R1702" s="4" t="str">
        <f>HYPERLINK("http://141.218.60.56/~jnz1568/getInfo.php?workbook=16_15.xlsx&amp;sheet=A0&amp;row=1702&amp;col=18&amp;number=&amp;sourceID=56","")</f>
        <v/>
      </c>
      <c r="S1702" s="4" t="str">
        <f>HYPERLINK("http://141.218.60.56/~jnz1568/getInfo.php?workbook=16_15.xlsx&amp;sheet=A0&amp;row=1702&amp;col=19&amp;number=&amp;sourceID=57","")</f>
        <v/>
      </c>
      <c r="T1702" s="4" t="str">
        <f>HYPERLINK("http://141.218.60.56/~jnz1568/getInfo.php?workbook=16_15.xlsx&amp;sheet=A0&amp;row=1702&amp;col=20&amp;number=&amp;sourceID=57","")</f>
        <v/>
      </c>
      <c r="U1702" s="4" t="str">
        <f>HYPERLINK("http://141.218.60.56/~jnz1568/getInfo.php?workbook=16_15.xlsx&amp;sheet=A0&amp;row=1702&amp;col=21&amp;number=&amp;sourceID=47","")</f>
        <v/>
      </c>
      <c r="V1702" s="4" t="str">
        <f>HYPERLINK("http://141.218.60.56/~jnz1568/getInfo.php?workbook=16_15.xlsx&amp;sheet=A0&amp;row=1702&amp;col=22&amp;number=&amp;sourceID=47","")</f>
        <v/>
      </c>
    </row>
    <row r="1703" spans="1:22">
      <c r="A1703" s="3">
        <v>16</v>
      </c>
      <c r="B1703" s="3">
        <v>15</v>
      </c>
      <c r="C1703" s="3">
        <v>66</v>
      </c>
      <c r="D1703" s="3">
        <v>24</v>
      </c>
      <c r="E1703" s="3">
        <f>((1/(INDEX(E0!J$4:J$73,C1703,1)-INDEX(E0!J$4:J$73,D1703,1))))*100000000</f>
        <v>0</v>
      </c>
      <c r="F1703" s="4" t="str">
        <f>HYPERLINK("http://141.218.60.56/~jnz1568/getInfo.php?workbook=16_15.xlsx&amp;sheet=A0&amp;row=1703&amp;col=6&amp;number=&amp;sourceID=54","")</f>
        <v/>
      </c>
      <c r="G1703" s="4" t="str">
        <f>HYPERLINK("http://141.218.60.56/~jnz1568/getInfo.php?workbook=16_15.xlsx&amp;sheet=A0&amp;row=1703&amp;col=7&amp;number=0.023016&amp;sourceID=54","0.023016")</f>
        <v>0.023016</v>
      </c>
      <c r="H1703" s="4" t="str">
        <f>HYPERLINK("http://141.218.60.56/~jnz1568/getInfo.php?workbook=16_15.xlsx&amp;sheet=A0&amp;row=1703&amp;col=8&amp;number=0.0061795&amp;sourceID=54","0.0061795")</f>
        <v>0.0061795</v>
      </c>
      <c r="I1703" s="4" t="str">
        <f>HYPERLINK("http://141.218.60.56/~jnz1568/getInfo.php?workbook=16_15.xlsx&amp;sheet=A0&amp;row=1703&amp;col=9&amp;number=&amp;sourceID=54","")</f>
        <v/>
      </c>
      <c r="J1703" s="4" t="str">
        <f>HYPERLINK("http://141.218.60.56/~jnz1568/getInfo.php?workbook=16_15.xlsx&amp;sheet=A0&amp;row=1703&amp;col=10&amp;number=0.035234&amp;sourceID=54","0.035234")</f>
        <v>0.035234</v>
      </c>
      <c r="K1703" s="4" t="str">
        <f>HYPERLINK("http://141.218.60.56/~jnz1568/getInfo.php?workbook=16_15.xlsx&amp;sheet=A0&amp;row=1703&amp;col=11&amp;number=0.0085558&amp;sourceID=54","0.0085558")</f>
        <v>0.0085558</v>
      </c>
      <c r="L1703" s="4" t="str">
        <f>HYPERLINK("http://141.218.60.56/~jnz1568/getInfo.php?workbook=16_15.xlsx&amp;sheet=A0&amp;row=1703&amp;col=12&amp;number=&amp;sourceID=53","")</f>
        <v/>
      </c>
      <c r="M1703" s="4" t="str">
        <f>HYPERLINK("http://141.218.60.56/~jnz1568/getInfo.php?workbook=16_15.xlsx&amp;sheet=A0&amp;row=1703&amp;col=13&amp;number=&amp;sourceID=53","")</f>
        <v/>
      </c>
      <c r="N1703" s="4" t="str">
        <f>HYPERLINK("http://141.218.60.56/~jnz1568/getInfo.php?workbook=16_15.xlsx&amp;sheet=A0&amp;row=1703&amp;col=14&amp;number=&amp;sourceID=53","")</f>
        <v/>
      </c>
      <c r="O1703" s="4" t="str">
        <f>HYPERLINK("http://141.218.60.56/~jnz1568/getInfo.php?workbook=16_15.xlsx&amp;sheet=A0&amp;row=1703&amp;col=15&amp;number=&amp;sourceID=55","")</f>
        <v/>
      </c>
      <c r="P1703" s="4" t="str">
        <f>HYPERLINK("http://141.218.60.56/~jnz1568/getInfo.php?workbook=16_15.xlsx&amp;sheet=A0&amp;row=1703&amp;col=16&amp;number=&amp;sourceID=55","")</f>
        <v/>
      </c>
      <c r="Q1703" s="4" t="str">
        <f>HYPERLINK("http://141.218.60.56/~jnz1568/getInfo.php?workbook=16_15.xlsx&amp;sheet=A0&amp;row=1703&amp;col=17&amp;number=&amp;sourceID=56","")</f>
        <v/>
      </c>
      <c r="R1703" s="4" t="str">
        <f>HYPERLINK("http://141.218.60.56/~jnz1568/getInfo.php?workbook=16_15.xlsx&amp;sheet=A0&amp;row=1703&amp;col=18&amp;number=&amp;sourceID=56","")</f>
        <v/>
      </c>
      <c r="S1703" s="4" t="str">
        <f>HYPERLINK("http://141.218.60.56/~jnz1568/getInfo.php?workbook=16_15.xlsx&amp;sheet=A0&amp;row=1703&amp;col=19&amp;number=&amp;sourceID=57","")</f>
        <v/>
      </c>
      <c r="T1703" s="4" t="str">
        <f>HYPERLINK("http://141.218.60.56/~jnz1568/getInfo.php?workbook=16_15.xlsx&amp;sheet=A0&amp;row=1703&amp;col=20&amp;number=&amp;sourceID=57","")</f>
        <v/>
      </c>
      <c r="U1703" s="4" t="str">
        <f>HYPERLINK("http://141.218.60.56/~jnz1568/getInfo.php?workbook=16_15.xlsx&amp;sheet=A0&amp;row=1703&amp;col=21&amp;number=&amp;sourceID=47","")</f>
        <v/>
      </c>
      <c r="V1703" s="4" t="str">
        <f>HYPERLINK("http://141.218.60.56/~jnz1568/getInfo.php?workbook=16_15.xlsx&amp;sheet=A0&amp;row=1703&amp;col=22&amp;number=&amp;sourceID=47","")</f>
        <v/>
      </c>
    </row>
    <row r="1704" spans="1:22">
      <c r="A1704" s="3">
        <v>16</v>
      </c>
      <c r="B1704" s="3">
        <v>15</v>
      </c>
      <c r="C1704" s="3">
        <v>66</v>
      </c>
      <c r="D1704" s="3">
        <v>25</v>
      </c>
      <c r="E1704" s="3">
        <f>((1/(INDEX(E0!J$4:J$73,C1704,1)-INDEX(E0!J$4:J$73,D1704,1))))*100000000</f>
        <v>0</v>
      </c>
      <c r="F1704" s="4" t="str">
        <f>HYPERLINK("http://141.218.60.56/~jnz1568/getInfo.php?workbook=16_15.xlsx&amp;sheet=A0&amp;row=1704&amp;col=6&amp;number=&amp;sourceID=54","")</f>
        <v/>
      </c>
      <c r="G1704" s="4" t="str">
        <f>HYPERLINK("http://141.218.60.56/~jnz1568/getInfo.php?workbook=16_15.xlsx&amp;sheet=A0&amp;row=1704&amp;col=7&amp;number=0.21833&amp;sourceID=54","0.21833")</f>
        <v>0.21833</v>
      </c>
      <c r="H1704" s="4" t="str">
        <f>HYPERLINK("http://141.218.60.56/~jnz1568/getInfo.php?workbook=16_15.xlsx&amp;sheet=A0&amp;row=1704&amp;col=8&amp;number=0.037492&amp;sourceID=54","0.037492")</f>
        <v>0.037492</v>
      </c>
      <c r="I1704" s="4" t="str">
        <f>HYPERLINK("http://141.218.60.56/~jnz1568/getInfo.php?workbook=16_15.xlsx&amp;sheet=A0&amp;row=1704&amp;col=9&amp;number=&amp;sourceID=54","")</f>
        <v/>
      </c>
      <c r="J1704" s="4" t="str">
        <f>HYPERLINK("http://141.218.60.56/~jnz1568/getInfo.php?workbook=16_15.xlsx&amp;sheet=A0&amp;row=1704&amp;col=10&amp;number=0.33489&amp;sourceID=54","0.33489")</f>
        <v>0.33489</v>
      </c>
      <c r="K1704" s="4" t="str">
        <f>HYPERLINK("http://141.218.60.56/~jnz1568/getInfo.php?workbook=16_15.xlsx&amp;sheet=A0&amp;row=1704&amp;col=11&amp;number=0.037604&amp;sourceID=54","0.037604")</f>
        <v>0.037604</v>
      </c>
      <c r="L1704" s="4" t="str">
        <f>HYPERLINK("http://141.218.60.56/~jnz1568/getInfo.php?workbook=16_15.xlsx&amp;sheet=A0&amp;row=1704&amp;col=12&amp;number=&amp;sourceID=53","")</f>
        <v/>
      </c>
      <c r="M1704" s="4" t="str">
        <f>HYPERLINK("http://141.218.60.56/~jnz1568/getInfo.php?workbook=16_15.xlsx&amp;sheet=A0&amp;row=1704&amp;col=13&amp;number=&amp;sourceID=53","")</f>
        <v/>
      </c>
      <c r="N1704" s="4" t="str">
        <f>HYPERLINK("http://141.218.60.56/~jnz1568/getInfo.php?workbook=16_15.xlsx&amp;sheet=A0&amp;row=1704&amp;col=14&amp;number=&amp;sourceID=53","")</f>
        <v/>
      </c>
      <c r="O1704" s="4" t="str">
        <f>HYPERLINK("http://141.218.60.56/~jnz1568/getInfo.php?workbook=16_15.xlsx&amp;sheet=A0&amp;row=1704&amp;col=15&amp;number=&amp;sourceID=55","")</f>
        <v/>
      </c>
      <c r="P1704" s="4" t="str">
        <f>HYPERLINK("http://141.218.60.56/~jnz1568/getInfo.php?workbook=16_15.xlsx&amp;sheet=A0&amp;row=1704&amp;col=16&amp;number=&amp;sourceID=55","")</f>
        <v/>
      </c>
      <c r="Q1704" s="4" t="str">
        <f>HYPERLINK("http://141.218.60.56/~jnz1568/getInfo.php?workbook=16_15.xlsx&amp;sheet=A0&amp;row=1704&amp;col=17&amp;number=&amp;sourceID=56","")</f>
        <v/>
      </c>
      <c r="R1704" s="4" t="str">
        <f>HYPERLINK("http://141.218.60.56/~jnz1568/getInfo.php?workbook=16_15.xlsx&amp;sheet=A0&amp;row=1704&amp;col=18&amp;number=&amp;sourceID=56","")</f>
        <v/>
      </c>
      <c r="S1704" s="4" t="str">
        <f>HYPERLINK("http://141.218.60.56/~jnz1568/getInfo.php?workbook=16_15.xlsx&amp;sheet=A0&amp;row=1704&amp;col=19&amp;number=&amp;sourceID=57","")</f>
        <v/>
      </c>
      <c r="T1704" s="4" t="str">
        <f>HYPERLINK("http://141.218.60.56/~jnz1568/getInfo.php?workbook=16_15.xlsx&amp;sheet=A0&amp;row=1704&amp;col=20&amp;number=&amp;sourceID=57","")</f>
        <v/>
      </c>
      <c r="U1704" s="4" t="str">
        <f>HYPERLINK("http://141.218.60.56/~jnz1568/getInfo.php?workbook=16_15.xlsx&amp;sheet=A0&amp;row=1704&amp;col=21&amp;number=&amp;sourceID=47","")</f>
        <v/>
      </c>
      <c r="V1704" s="4" t="str">
        <f>HYPERLINK("http://141.218.60.56/~jnz1568/getInfo.php?workbook=16_15.xlsx&amp;sheet=A0&amp;row=1704&amp;col=22&amp;number=&amp;sourceID=47","")</f>
        <v/>
      </c>
    </row>
    <row r="1705" spans="1:22">
      <c r="A1705" s="3">
        <v>16</v>
      </c>
      <c r="B1705" s="3">
        <v>15</v>
      </c>
      <c r="C1705" s="3">
        <v>66</v>
      </c>
      <c r="D1705" s="3">
        <v>26</v>
      </c>
      <c r="E1705" s="3">
        <f>((1/(INDEX(E0!J$4:J$73,C1705,1)-INDEX(E0!J$4:J$73,D1705,1))))*100000000</f>
        <v>0</v>
      </c>
      <c r="F1705" s="4" t="str">
        <f>HYPERLINK("http://141.218.60.56/~jnz1568/getInfo.php?workbook=16_15.xlsx&amp;sheet=A0&amp;row=1705&amp;col=6&amp;number=&amp;sourceID=54","")</f>
        <v/>
      </c>
      <c r="G1705" s="4" t="str">
        <f>HYPERLINK("http://141.218.60.56/~jnz1568/getInfo.php?workbook=16_15.xlsx&amp;sheet=A0&amp;row=1705&amp;col=7&amp;number=0.87001&amp;sourceID=54","0.87001")</f>
        <v>0.87001</v>
      </c>
      <c r="H1705" s="4" t="str">
        <f>HYPERLINK("http://141.218.60.56/~jnz1568/getInfo.php?workbook=16_15.xlsx&amp;sheet=A0&amp;row=1705&amp;col=8&amp;number=0.036649&amp;sourceID=54","0.036649")</f>
        <v>0.036649</v>
      </c>
      <c r="I1705" s="4" t="str">
        <f>HYPERLINK("http://141.218.60.56/~jnz1568/getInfo.php?workbook=16_15.xlsx&amp;sheet=A0&amp;row=1705&amp;col=9&amp;number=&amp;sourceID=54","")</f>
        <v/>
      </c>
      <c r="J1705" s="4" t="str">
        <f>HYPERLINK("http://141.218.60.56/~jnz1568/getInfo.php?workbook=16_15.xlsx&amp;sheet=A0&amp;row=1705&amp;col=10&amp;number=0.69054&amp;sourceID=54","0.69054")</f>
        <v>0.69054</v>
      </c>
      <c r="K1705" s="4" t="str">
        <f>HYPERLINK("http://141.218.60.56/~jnz1568/getInfo.php?workbook=16_15.xlsx&amp;sheet=A0&amp;row=1705&amp;col=11&amp;number=0.033722&amp;sourceID=54","0.033722")</f>
        <v>0.033722</v>
      </c>
      <c r="L1705" s="4" t="str">
        <f>HYPERLINK("http://141.218.60.56/~jnz1568/getInfo.php?workbook=16_15.xlsx&amp;sheet=A0&amp;row=1705&amp;col=12&amp;number=&amp;sourceID=53","")</f>
        <v/>
      </c>
      <c r="M1705" s="4" t="str">
        <f>HYPERLINK("http://141.218.60.56/~jnz1568/getInfo.php?workbook=16_15.xlsx&amp;sheet=A0&amp;row=1705&amp;col=13&amp;number=&amp;sourceID=53","")</f>
        <v/>
      </c>
      <c r="N1705" s="4" t="str">
        <f>HYPERLINK("http://141.218.60.56/~jnz1568/getInfo.php?workbook=16_15.xlsx&amp;sheet=A0&amp;row=1705&amp;col=14&amp;number=&amp;sourceID=53","")</f>
        <v/>
      </c>
      <c r="O1705" s="4" t="str">
        <f>HYPERLINK("http://141.218.60.56/~jnz1568/getInfo.php?workbook=16_15.xlsx&amp;sheet=A0&amp;row=1705&amp;col=15&amp;number=&amp;sourceID=55","")</f>
        <v/>
      </c>
      <c r="P1705" s="4" t="str">
        <f>HYPERLINK("http://141.218.60.56/~jnz1568/getInfo.php?workbook=16_15.xlsx&amp;sheet=A0&amp;row=1705&amp;col=16&amp;number=&amp;sourceID=55","")</f>
        <v/>
      </c>
      <c r="Q1705" s="4" t="str">
        <f>HYPERLINK("http://141.218.60.56/~jnz1568/getInfo.php?workbook=16_15.xlsx&amp;sheet=A0&amp;row=1705&amp;col=17&amp;number=&amp;sourceID=56","")</f>
        <v/>
      </c>
      <c r="R1705" s="4" t="str">
        <f>HYPERLINK("http://141.218.60.56/~jnz1568/getInfo.php?workbook=16_15.xlsx&amp;sheet=A0&amp;row=1705&amp;col=18&amp;number=&amp;sourceID=56","")</f>
        <v/>
      </c>
      <c r="S1705" s="4" t="str">
        <f>HYPERLINK("http://141.218.60.56/~jnz1568/getInfo.php?workbook=16_15.xlsx&amp;sheet=A0&amp;row=1705&amp;col=19&amp;number=&amp;sourceID=57","")</f>
        <v/>
      </c>
      <c r="T1705" s="4" t="str">
        <f>HYPERLINK("http://141.218.60.56/~jnz1568/getInfo.php?workbook=16_15.xlsx&amp;sheet=A0&amp;row=1705&amp;col=20&amp;number=&amp;sourceID=57","")</f>
        <v/>
      </c>
      <c r="U1705" s="4" t="str">
        <f>HYPERLINK("http://141.218.60.56/~jnz1568/getInfo.php?workbook=16_15.xlsx&amp;sheet=A0&amp;row=1705&amp;col=21&amp;number=&amp;sourceID=47","")</f>
        <v/>
      </c>
      <c r="V1705" s="4" t="str">
        <f>HYPERLINK("http://141.218.60.56/~jnz1568/getInfo.php?workbook=16_15.xlsx&amp;sheet=A0&amp;row=1705&amp;col=22&amp;number=&amp;sourceID=47","")</f>
        <v/>
      </c>
    </row>
    <row r="1706" spans="1:22">
      <c r="A1706" s="3">
        <v>16</v>
      </c>
      <c r="B1706" s="3">
        <v>15</v>
      </c>
      <c r="C1706" s="3">
        <v>66</v>
      </c>
      <c r="D1706" s="3">
        <v>27</v>
      </c>
      <c r="E1706" s="3">
        <f>((1/(INDEX(E0!J$4:J$73,C1706,1)-INDEX(E0!J$4:J$73,D1706,1))))*100000000</f>
        <v>0</v>
      </c>
      <c r="F1706" s="4" t="str">
        <f>HYPERLINK("http://141.218.60.56/~jnz1568/getInfo.php?workbook=16_15.xlsx&amp;sheet=A0&amp;row=1706&amp;col=6&amp;number=&amp;sourceID=54","")</f>
        <v/>
      </c>
      <c r="G1706" s="4" t="str">
        <f>HYPERLINK("http://141.218.60.56/~jnz1568/getInfo.php?workbook=16_15.xlsx&amp;sheet=A0&amp;row=1706&amp;col=7&amp;number=6.3171&amp;sourceID=54","6.3171")</f>
        <v>6.3171</v>
      </c>
      <c r="H1706" s="4" t="str">
        <f>HYPERLINK("http://141.218.60.56/~jnz1568/getInfo.php?workbook=16_15.xlsx&amp;sheet=A0&amp;row=1706&amp;col=8&amp;number=0.0083823&amp;sourceID=54","0.0083823")</f>
        <v>0.0083823</v>
      </c>
      <c r="I1706" s="4" t="str">
        <f>HYPERLINK("http://141.218.60.56/~jnz1568/getInfo.php?workbook=16_15.xlsx&amp;sheet=A0&amp;row=1706&amp;col=9&amp;number=&amp;sourceID=54","")</f>
        <v/>
      </c>
      <c r="J1706" s="4" t="str">
        <f>HYPERLINK("http://141.218.60.56/~jnz1568/getInfo.php?workbook=16_15.xlsx&amp;sheet=A0&amp;row=1706&amp;col=10&amp;number=5.0044&amp;sourceID=54","5.0044")</f>
        <v>5.0044</v>
      </c>
      <c r="K1706" s="4" t="str">
        <f>HYPERLINK("http://141.218.60.56/~jnz1568/getInfo.php?workbook=16_15.xlsx&amp;sheet=A0&amp;row=1706&amp;col=11&amp;number=0.0052029&amp;sourceID=54","0.0052029")</f>
        <v>0.0052029</v>
      </c>
      <c r="L1706" s="4" t="str">
        <f>HYPERLINK("http://141.218.60.56/~jnz1568/getInfo.php?workbook=16_15.xlsx&amp;sheet=A0&amp;row=1706&amp;col=12&amp;number=&amp;sourceID=53","")</f>
        <v/>
      </c>
      <c r="M1706" s="4" t="str">
        <f>HYPERLINK("http://141.218.60.56/~jnz1568/getInfo.php?workbook=16_15.xlsx&amp;sheet=A0&amp;row=1706&amp;col=13&amp;number=&amp;sourceID=53","")</f>
        <v/>
      </c>
      <c r="N1706" s="4" t="str">
        <f>HYPERLINK("http://141.218.60.56/~jnz1568/getInfo.php?workbook=16_15.xlsx&amp;sheet=A0&amp;row=1706&amp;col=14&amp;number=&amp;sourceID=53","")</f>
        <v/>
      </c>
      <c r="O1706" s="4" t="str">
        <f>HYPERLINK("http://141.218.60.56/~jnz1568/getInfo.php?workbook=16_15.xlsx&amp;sheet=A0&amp;row=1706&amp;col=15&amp;number=&amp;sourceID=55","")</f>
        <v/>
      </c>
      <c r="P1706" s="4" t="str">
        <f>HYPERLINK("http://141.218.60.56/~jnz1568/getInfo.php?workbook=16_15.xlsx&amp;sheet=A0&amp;row=1706&amp;col=16&amp;number=&amp;sourceID=55","")</f>
        <v/>
      </c>
      <c r="Q1706" s="4" t="str">
        <f>HYPERLINK("http://141.218.60.56/~jnz1568/getInfo.php?workbook=16_15.xlsx&amp;sheet=A0&amp;row=1706&amp;col=17&amp;number=&amp;sourceID=56","")</f>
        <v/>
      </c>
      <c r="R1706" s="4" t="str">
        <f>HYPERLINK("http://141.218.60.56/~jnz1568/getInfo.php?workbook=16_15.xlsx&amp;sheet=A0&amp;row=1706&amp;col=18&amp;number=&amp;sourceID=56","")</f>
        <v/>
      </c>
      <c r="S1706" s="4" t="str">
        <f>HYPERLINK("http://141.218.60.56/~jnz1568/getInfo.php?workbook=16_15.xlsx&amp;sheet=A0&amp;row=1706&amp;col=19&amp;number=&amp;sourceID=57","")</f>
        <v/>
      </c>
      <c r="T1706" s="4" t="str">
        <f>HYPERLINK("http://141.218.60.56/~jnz1568/getInfo.php?workbook=16_15.xlsx&amp;sheet=A0&amp;row=1706&amp;col=20&amp;number=&amp;sourceID=57","")</f>
        <v/>
      </c>
      <c r="U1706" s="4" t="str">
        <f>HYPERLINK("http://141.218.60.56/~jnz1568/getInfo.php?workbook=16_15.xlsx&amp;sheet=A0&amp;row=1706&amp;col=21&amp;number=&amp;sourceID=47","")</f>
        <v/>
      </c>
      <c r="V1706" s="4" t="str">
        <f>HYPERLINK("http://141.218.60.56/~jnz1568/getInfo.php?workbook=16_15.xlsx&amp;sheet=A0&amp;row=1706&amp;col=22&amp;number=&amp;sourceID=47","")</f>
        <v/>
      </c>
    </row>
    <row r="1707" spans="1:22">
      <c r="A1707" s="3">
        <v>16</v>
      </c>
      <c r="B1707" s="3">
        <v>15</v>
      </c>
      <c r="C1707" s="3">
        <v>66</v>
      </c>
      <c r="D1707" s="3">
        <v>28</v>
      </c>
      <c r="E1707" s="3">
        <f>((1/(INDEX(E0!J$4:J$73,C1707,1)-INDEX(E0!J$4:J$73,D1707,1))))*100000000</f>
        <v>0</v>
      </c>
      <c r="F1707" s="4" t="str">
        <f>HYPERLINK("http://141.218.60.56/~jnz1568/getInfo.php?workbook=16_15.xlsx&amp;sheet=A0&amp;row=1707&amp;col=6&amp;number=&amp;sourceID=54","")</f>
        <v/>
      </c>
      <c r="G1707" s="4" t="str">
        <f>HYPERLINK("http://141.218.60.56/~jnz1568/getInfo.php?workbook=16_15.xlsx&amp;sheet=A0&amp;row=1707&amp;col=7&amp;number=0.13999&amp;sourceID=54","0.13999")</f>
        <v>0.13999</v>
      </c>
      <c r="H1707" s="4" t="str">
        <f>HYPERLINK("http://141.218.60.56/~jnz1568/getInfo.php?workbook=16_15.xlsx&amp;sheet=A0&amp;row=1707&amp;col=8&amp;number=&amp;sourceID=54","")</f>
        <v/>
      </c>
      <c r="I1707" s="4" t="str">
        <f>HYPERLINK("http://141.218.60.56/~jnz1568/getInfo.php?workbook=16_15.xlsx&amp;sheet=A0&amp;row=1707&amp;col=9&amp;number=&amp;sourceID=54","")</f>
        <v/>
      </c>
      <c r="J1707" s="4" t="str">
        <f>HYPERLINK("http://141.218.60.56/~jnz1568/getInfo.php?workbook=16_15.xlsx&amp;sheet=A0&amp;row=1707&amp;col=10&amp;number=0.15671&amp;sourceID=54","0.15671")</f>
        <v>0.15671</v>
      </c>
      <c r="K1707" s="4" t="str">
        <f>HYPERLINK("http://141.218.60.56/~jnz1568/getInfo.php?workbook=16_15.xlsx&amp;sheet=A0&amp;row=1707&amp;col=11&amp;number=&amp;sourceID=54","")</f>
        <v/>
      </c>
      <c r="L1707" s="4" t="str">
        <f>HYPERLINK("http://141.218.60.56/~jnz1568/getInfo.php?workbook=16_15.xlsx&amp;sheet=A0&amp;row=1707&amp;col=12&amp;number=&amp;sourceID=53","")</f>
        <v/>
      </c>
      <c r="M1707" s="4" t="str">
        <f>HYPERLINK("http://141.218.60.56/~jnz1568/getInfo.php?workbook=16_15.xlsx&amp;sheet=A0&amp;row=1707&amp;col=13&amp;number=&amp;sourceID=53","")</f>
        <v/>
      </c>
      <c r="N1707" s="4" t="str">
        <f>HYPERLINK("http://141.218.60.56/~jnz1568/getInfo.php?workbook=16_15.xlsx&amp;sheet=A0&amp;row=1707&amp;col=14&amp;number=&amp;sourceID=53","")</f>
        <v/>
      </c>
      <c r="O1707" s="4" t="str">
        <f>HYPERLINK("http://141.218.60.56/~jnz1568/getInfo.php?workbook=16_15.xlsx&amp;sheet=A0&amp;row=1707&amp;col=15&amp;number=&amp;sourceID=55","")</f>
        <v/>
      </c>
      <c r="P1707" s="4" t="str">
        <f>HYPERLINK("http://141.218.60.56/~jnz1568/getInfo.php?workbook=16_15.xlsx&amp;sheet=A0&amp;row=1707&amp;col=16&amp;number=&amp;sourceID=55","")</f>
        <v/>
      </c>
      <c r="Q1707" s="4" t="str">
        <f>HYPERLINK("http://141.218.60.56/~jnz1568/getInfo.php?workbook=16_15.xlsx&amp;sheet=A0&amp;row=1707&amp;col=17&amp;number=&amp;sourceID=56","")</f>
        <v/>
      </c>
      <c r="R1707" s="4" t="str">
        <f>HYPERLINK("http://141.218.60.56/~jnz1568/getInfo.php?workbook=16_15.xlsx&amp;sheet=A0&amp;row=1707&amp;col=18&amp;number=&amp;sourceID=56","")</f>
        <v/>
      </c>
      <c r="S1707" s="4" t="str">
        <f>HYPERLINK("http://141.218.60.56/~jnz1568/getInfo.php?workbook=16_15.xlsx&amp;sheet=A0&amp;row=1707&amp;col=19&amp;number=&amp;sourceID=57","")</f>
        <v/>
      </c>
      <c r="T1707" s="4" t="str">
        <f>HYPERLINK("http://141.218.60.56/~jnz1568/getInfo.php?workbook=16_15.xlsx&amp;sheet=A0&amp;row=1707&amp;col=20&amp;number=&amp;sourceID=57","")</f>
        <v/>
      </c>
      <c r="U1707" s="4" t="str">
        <f>HYPERLINK("http://141.218.60.56/~jnz1568/getInfo.php?workbook=16_15.xlsx&amp;sheet=A0&amp;row=1707&amp;col=21&amp;number=&amp;sourceID=47","")</f>
        <v/>
      </c>
      <c r="V1707" s="4" t="str">
        <f>HYPERLINK("http://141.218.60.56/~jnz1568/getInfo.php?workbook=16_15.xlsx&amp;sheet=A0&amp;row=1707&amp;col=22&amp;number=&amp;sourceID=47","")</f>
        <v/>
      </c>
    </row>
    <row r="1708" spans="1:22">
      <c r="A1708" s="3">
        <v>16</v>
      </c>
      <c r="B1708" s="3">
        <v>15</v>
      </c>
      <c r="C1708" s="3">
        <v>66</v>
      </c>
      <c r="D1708" s="3">
        <v>29</v>
      </c>
      <c r="E1708" s="3">
        <f>((1/(INDEX(E0!J$4:J$73,C1708,1)-INDEX(E0!J$4:J$73,D1708,1))))*100000000</f>
        <v>0</v>
      </c>
      <c r="F1708" s="4" t="str">
        <f>HYPERLINK("http://141.218.60.56/~jnz1568/getInfo.php?workbook=16_15.xlsx&amp;sheet=A0&amp;row=1708&amp;col=6&amp;number=&amp;sourceID=54","")</f>
        <v/>
      </c>
      <c r="G1708" s="4" t="str">
        <f>HYPERLINK("http://141.218.60.56/~jnz1568/getInfo.php?workbook=16_15.xlsx&amp;sheet=A0&amp;row=1708&amp;col=7&amp;number=12.831&amp;sourceID=54","12.831")</f>
        <v>12.831</v>
      </c>
      <c r="H1708" s="4" t="str">
        <f>HYPERLINK("http://141.218.60.56/~jnz1568/getInfo.php?workbook=16_15.xlsx&amp;sheet=A0&amp;row=1708&amp;col=8&amp;number=7.4823e-05&amp;sourceID=54","7.4823e-05")</f>
        <v>7.4823e-05</v>
      </c>
      <c r="I1708" s="4" t="str">
        <f>HYPERLINK("http://141.218.60.56/~jnz1568/getInfo.php?workbook=16_15.xlsx&amp;sheet=A0&amp;row=1708&amp;col=9&amp;number=&amp;sourceID=54","")</f>
        <v/>
      </c>
      <c r="J1708" s="4" t="str">
        <f>HYPERLINK("http://141.218.60.56/~jnz1568/getInfo.php?workbook=16_15.xlsx&amp;sheet=A0&amp;row=1708&amp;col=10&amp;number=9.3474&amp;sourceID=54","9.3474")</f>
        <v>9.3474</v>
      </c>
      <c r="K1708" s="4" t="str">
        <f>HYPERLINK("http://141.218.60.56/~jnz1568/getInfo.php?workbook=16_15.xlsx&amp;sheet=A0&amp;row=1708&amp;col=11&amp;number=6.1211e-05&amp;sourceID=54","6.1211e-05")</f>
        <v>6.1211e-05</v>
      </c>
      <c r="L1708" s="4" t="str">
        <f>HYPERLINK("http://141.218.60.56/~jnz1568/getInfo.php?workbook=16_15.xlsx&amp;sheet=A0&amp;row=1708&amp;col=12&amp;number=&amp;sourceID=53","")</f>
        <v/>
      </c>
      <c r="M1708" s="4" t="str">
        <f>HYPERLINK("http://141.218.60.56/~jnz1568/getInfo.php?workbook=16_15.xlsx&amp;sheet=A0&amp;row=1708&amp;col=13&amp;number=&amp;sourceID=53","")</f>
        <v/>
      </c>
      <c r="N1708" s="4" t="str">
        <f>HYPERLINK("http://141.218.60.56/~jnz1568/getInfo.php?workbook=16_15.xlsx&amp;sheet=A0&amp;row=1708&amp;col=14&amp;number=&amp;sourceID=53","")</f>
        <v/>
      </c>
      <c r="O1708" s="4" t="str">
        <f>HYPERLINK("http://141.218.60.56/~jnz1568/getInfo.php?workbook=16_15.xlsx&amp;sheet=A0&amp;row=1708&amp;col=15&amp;number=&amp;sourceID=55","")</f>
        <v/>
      </c>
      <c r="P1708" s="4" t="str">
        <f>HYPERLINK("http://141.218.60.56/~jnz1568/getInfo.php?workbook=16_15.xlsx&amp;sheet=A0&amp;row=1708&amp;col=16&amp;number=&amp;sourceID=55","")</f>
        <v/>
      </c>
      <c r="Q1708" s="4" t="str">
        <f>HYPERLINK("http://141.218.60.56/~jnz1568/getInfo.php?workbook=16_15.xlsx&amp;sheet=A0&amp;row=1708&amp;col=17&amp;number=&amp;sourceID=56","")</f>
        <v/>
      </c>
      <c r="R1708" s="4" t="str">
        <f>HYPERLINK("http://141.218.60.56/~jnz1568/getInfo.php?workbook=16_15.xlsx&amp;sheet=A0&amp;row=1708&amp;col=18&amp;number=&amp;sourceID=56","")</f>
        <v/>
      </c>
      <c r="S1708" s="4" t="str">
        <f>HYPERLINK("http://141.218.60.56/~jnz1568/getInfo.php?workbook=16_15.xlsx&amp;sheet=A0&amp;row=1708&amp;col=19&amp;number=&amp;sourceID=57","")</f>
        <v/>
      </c>
      <c r="T1708" s="4" t="str">
        <f>HYPERLINK("http://141.218.60.56/~jnz1568/getInfo.php?workbook=16_15.xlsx&amp;sheet=A0&amp;row=1708&amp;col=20&amp;number=&amp;sourceID=57","")</f>
        <v/>
      </c>
      <c r="U1708" s="4" t="str">
        <f>HYPERLINK("http://141.218.60.56/~jnz1568/getInfo.php?workbook=16_15.xlsx&amp;sheet=A0&amp;row=1708&amp;col=21&amp;number=&amp;sourceID=47","")</f>
        <v/>
      </c>
      <c r="V1708" s="4" t="str">
        <f>HYPERLINK("http://141.218.60.56/~jnz1568/getInfo.php?workbook=16_15.xlsx&amp;sheet=A0&amp;row=1708&amp;col=22&amp;number=&amp;sourceID=47","")</f>
        <v/>
      </c>
    </row>
    <row r="1709" spans="1:22">
      <c r="A1709" s="3">
        <v>16</v>
      </c>
      <c r="B1709" s="3">
        <v>15</v>
      </c>
      <c r="C1709" s="3">
        <v>66</v>
      </c>
      <c r="D1709" s="3">
        <v>30</v>
      </c>
      <c r="E1709" s="3">
        <f>((1/(INDEX(E0!J$4:J$73,C1709,1)-INDEX(E0!J$4:J$73,D1709,1))))*100000000</f>
        <v>0</v>
      </c>
      <c r="F1709" s="4" t="str">
        <f>HYPERLINK("http://141.218.60.56/~jnz1568/getInfo.php?workbook=16_15.xlsx&amp;sheet=A0&amp;row=1709&amp;col=6&amp;number=&amp;sourceID=54","")</f>
        <v/>
      </c>
      <c r="G1709" s="4" t="str">
        <f>HYPERLINK("http://141.218.60.56/~jnz1568/getInfo.php?workbook=16_15.xlsx&amp;sheet=A0&amp;row=1709&amp;col=7&amp;number=40.378&amp;sourceID=54","40.378")</f>
        <v>40.378</v>
      </c>
      <c r="H1709" s="4" t="str">
        <f>HYPERLINK("http://141.218.60.56/~jnz1568/getInfo.php?workbook=16_15.xlsx&amp;sheet=A0&amp;row=1709&amp;col=8&amp;number=1.309e-05&amp;sourceID=54","1.309e-05")</f>
        <v>1.309e-05</v>
      </c>
      <c r="I1709" s="4" t="str">
        <f>HYPERLINK("http://141.218.60.56/~jnz1568/getInfo.php?workbook=16_15.xlsx&amp;sheet=A0&amp;row=1709&amp;col=9&amp;number=&amp;sourceID=54","")</f>
        <v/>
      </c>
      <c r="J1709" s="4" t="str">
        <f>HYPERLINK("http://141.218.60.56/~jnz1568/getInfo.php?workbook=16_15.xlsx&amp;sheet=A0&amp;row=1709&amp;col=10&amp;number=29.381&amp;sourceID=54","29.381")</f>
        <v>29.381</v>
      </c>
      <c r="K1709" s="4" t="str">
        <f>HYPERLINK("http://141.218.60.56/~jnz1568/getInfo.php?workbook=16_15.xlsx&amp;sheet=A0&amp;row=1709&amp;col=11&amp;number=1.3751e-05&amp;sourceID=54","1.3751e-05")</f>
        <v>1.3751e-05</v>
      </c>
      <c r="L1709" s="4" t="str">
        <f>HYPERLINK("http://141.218.60.56/~jnz1568/getInfo.php?workbook=16_15.xlsx&amp;sheet=A0&amp;row=1709&amp;col=12&amp;number=&amp;sourceID=53","")</f>
        <v/>
      </c>
      <c r="M1709" s="4" t="str">
        <f>HYPERLINK("http://141.218.60.56/~jnz1568/getInfo.php?workbook=16_15.xlsx&amp;sheet=A0&amp;row=1709&amp;col=13&amp;number=&amp;sourceID=53","")</f>
        <v/>
      </c>
      <c r="N1709" s="4" t="str">
        <f>HYPERLINK("http://141.218.60.56/~jnz1568/getInfo.php?workbook=16_15.xlsx&amp;sheet=A0&amp;row=1709&amp;col=14&amp;number=&amp;sourceID=53","")</f>
        <v/>
      </c>
      <c r="O1709" s="4" t="str">
        <f>HYPERLINK("http://141.218.60.56/~jnz1568/getInfo.php?workbook=16_15.xlsx&amp;sheet=A0&amp;row=1709&amp;col=15&amp;number=&amp;sourceID=55","")</f>
        <v/>
      </c>
      <c r="P1709" s="4" t="str">
        <f>HYPERLINK("http://141.218.60.56/~jnz1568/getInfo.php?workbook=16_15.xlsx&amp;sheet=A0&amp;row=1709&amp;col=16&amp;number=&amp;sourceID=55","")</f>
        <v/>
      </c>
      <c r="Q1709" s="4" t="str">
        <f>HYPERLINK("http://141.218.60.56/~jnz1568/getInfo.php?workbook=16_15.xlsx&amp;sheet=A0&amp;row=1709&amp;col=17&amp;number=&amp;sourceID=56","")</f>
        <v/>
      </c>
      <c r="R1709" s="4" t="str">
        <f>HYPERLINK("http://141.218.60.56/~jnz1568/getInfo.php?workbook=16_15.xlsx&amp;sheet=A0&amp;row=1709&amp;col=18&amp;number=&amp;sourceID=56","")</f>
        <v/>
      </c>
      <c r="S1709" s="4" t="str">
        <f>HYPERLINK("http://141.218.60.56/~jnz1568/getInfo.php?workbook=16_15.xlsx&amp;sheet=A0&amp;row=1709&amp;col=19&amp;number=&amp;sourceID=57","")</f>
        <v/>
      </c>
      <c r="T1709" s="4" t="str">
        <f>HYPERLINK("http://141.218.60.56/~jnz1568/getInfo.php?workbook=16_15.xlsx&amp;sheet=A0&amp;row=1709&amp;col=20&amp;number=&amp;sourceID=57","")</f>
        <v/>
      </c>
      <c r="U1709" s="4" t="str">
        <f>HYPERLINK("http://141.218.60.56/~jnz1568/getInfo.php?workbook=16_15.xlsx&amp;sheet=A0&amp;row=1709&amp;col=21&amp;number=&amp;sourceID=47","")</f>
        <v/>
      </c>
      <c r="V1709" s="4" t="str">
        <f>HYPERLINK("http://141.218.60.56/~jnz1568/getInfo.php?workbook=16_15.xlsx&amp;sheet=A0&amp;row=1709&amp;col=22&amp;number=&amp;sourceID=47","")</f>
        <v/>
      </c>
    </row>
    <row r="1710" spans="1:22">
      <c r="A1710" s="3">
        <v>16</v>
      </c>
      <c r="B1710" s="3">
        <v>15</v>
      </c>
      <c r="C1710" s="3">
        <v>66</v>
      </c>
      <c r="D1710" s="3">
        <v>32</v>
      </c>
      <c r="E1710" s="3">
        <f>((1/(INDEX(E0!J$4:J$73,C1710,1)-INDEX(E0!J$4:J$73,D1710,1))))*100000000</f>
        <v>0</v>
      </c>
      <c r="F1710" s="4" t="str">
        <f>HYPERLINK("http://141.218.60.56/~jnz1568/getInfo.php?workbook=16_15.xlsx&amp;sheet=A0&amp;row=1710&amp;col=6&amp;number=&amp;sourceID=54","")</f>
        <v/>
      </c>
      <c r="G1710" s="4" t="str">
        <f>HYPERLINK("http://141.218.60.56/~jnz1568/getInfo.php?workbook=16_15.xlsx&amp;sheet=A0&amp;row=1710&amp;col=7&amp;number=0.00090192&amp;sourceID=54","0.00090192")</f>
        <v>0.00090192</v>
      </c>
      <c r="H1710" s="4" t="str">
        <f>HYPERLINK("http://141.218.60.56/~jnz1568/getInfo.php?workbook=16_15.xlsx&amp;sheet=A0&amp;row=1710&amp;col=8&amp;number=3.9845e-05&amp;sourceID=54","3.9845e-05")</f>
        <v>3.9845e-05</v>
      </c>
      <c r="I1710" s="4" t="str">
        <f>HYPERLINK("http://141.218.60.56/~jnz1568/getInfo.php?workbook=16_15.xlsx&amp;sheet=A0&amp;row=1710&amp;col=9&amp;number=&amp;sourceID=54","")</f>
        <v/>
      </c>
      <c r="J1710" s="4" t="str">
        <f>HYPERLINK("http://141.218.60.56/~jnz1568/getInfo.php?workbook=16_15.xlsx&amp;sheet=A0&amp;row=1710&amp;col=10&amp;number=0.00061902&amp;sourceID=54","0.00061902")</f>
        <v>0.00061902</v>
      </c>
      <c r="K1710" s="4" t="str">
        <f>HYPERLINK("http://141.218.60.56/~jnz1568/getInfo.php?workbook=16_15.xlsx&amp;sheet=A0&amp;row=1710&amp;col=11&amp;number=3.4246e-05&amp;sourceID=54","3.4246e-05")</f>
        <v>3.4246e-05</v>
      </c>
      <c r="L1710" s="4" t="str">
        <f>HYPERLINK("http://141.218.60.56/~jnz1568/getInfo.php?workbook=16_15.xlsx&amp;sheet=A0&amp;row=1710&amp;col=12&amp;number=&amp;sourceID=53","")</f>
        <v/>
      </c>
      <c r="M1710" s="4" t="str">
        <f>HYPERLINK("http://141.218.60.56/~jnz1568/getInfo.php?workbook=16_15.xlsx&amp;sheet=A0&amp;row=1710&amp;col=13&amp;number=&amp;sourceID=53","")</f>
        <v/>
      </c>
      <c r="N1710" s="4" t="str">
        <f>HYPERLINK("http://141.218.60.56/~jnz1568/getInfo.php?workbook=16_15.xlsx&amp;sheet=A0&amp;row=1710&amp;col=14&amp;number=&amp;sourceID=53","")</f>
        <v/>
      </c>
      <c r="O1710" s="4" t="str">
        <f>HYPERLINK("http://141.218.60.56/~jnz1568/getInfo.php?workbook=16_15.xlsx&amp;sheet=A0&amp;row=1710&amp;col=15&amp;number=&amp;sourceID=55","")</f>
        <v/>
      </c>
      <c r="P1710" s="4" t="str">
        <f>HYPERLINK("http://141.218.60.56/~jnz1568/getInfo.php?workbook=16_15.xlsx&amp;sheet=A0&amp;row=1710&amp;col=16&amp;number=&amp;sourceID=55","")</f>
        <v/>
      </c>
      <c r="Q1710" s="4" t="str">
        <f>HYPERLINK("http://141.218.60.56/~jnz1568/getInfo.php?workbook=16_15.xlsx&amp;sheet=A0&amp;row=1710&amp;col=17&amp;number=&amp;sourceID=56","")</f>
        <v/>
      </c>
      <c r="R1710" s="4" t="str">
        <f>HYPERLINK("http://141.218.60.56/~jnz1568/getInfo.php?workbook=16_15.xlsx&amp;sheet=A0&amp;row=1710&amp;col=18&amp;number=&amp;sourceID=56","")</f>
        <v/>
      </c>
      <c r="S1710" s="4" t="str">
        <f>HYPERLINK("http://141.218.60.56/~jnz1568/getInfo.php?workbook=16_15.xlsx&amp;sheet=A0&amp;row=1710&amp;col=19&amp;number=&amp;sourceID=57","")</f>
        <v/>
      </c>
      <c r="T1710" s="4" t="str">
        <f>HYPERLINK("http://141.218.60.56/~jnz1568/getInfo.php?workbook=16_15.xlsx&amp;sheet=A0&amp;row=1710&amp;col=20&amp;number=&amp;sourceID=57","")</f>
        <v/>
      </c>
      <c r="U1710" s="4" t="str">
        <f>HYPERLINK("http://141.218.60.56/~jnz1568/getInfo.php?workbook=16_15.xlsx&amp;sheet=A0&amp;row=1710&amp;col=21&amp;number=&amp;sourceID=47","")</f>
        <v/>
      </c>
      <c r="V1710" s="4" t="str">
        <f>HYPERLINK("http://141.218.60.56/~jnz1568/getInfo.php?workbook=16_15.xlsx&amp;sheet=A0&amp;row=1710&amp;col=22&amp;number=&amp;sourceID=47","")</f>
        <v/>
      </c>
    </row>
    <row r="1711" spans="1:22">
      <c r="A1711" s="3">
        <v>16</v>
      </c>
      <c r="B1711" s="3">
        <v>15</v>
      </c>
      <c r="C1711" s="3">
        <v>66</v>
      </c>
      <c r="D1711" s="3">
        <v>33</v>
      </c>
      <c r="E1711" s="3">
        <f>((1/(INDEX(E0!J$4:J$73,C1711,1)-INDEX(E0!J$4:J$73,D1711,1))))*100000000</f>
        <v>0</v>
      </c>
      <c r="F1711" s="4" t="str">
        <f>HYPERLINK("http://141.218.60.56/~jnz1568/getInfo.php?workbook=16_15.xlsx&amp;sheet=A0&amp;row=1711&amp;col=6&amp;number=&amp;sourceID=54","")</f>
        <v/>
      </c>
      <c r="G1711" s="4" t="str">
        <f>HYPERLINK("http://141.218.60.56/~jnz1568/getInfo.php?workbook=16_15.xlsx&amp;sheet=A0&amp;row=1711&amp;col=7&amp;number=0.03047&amp;sourceID=54","0.03047")</f>
        <v>0.03047</v>
      </c>
      <c r="H1711" s="4" t="str">
        <f>HYPERLINK("http://141.218.60.56/~jnz1568/getInfo.php?workbook=16_15.xlsx&amp;sheet=A0&amp;row=1711&amp;col=8&amp;number=&amp;sourceID=54","")</f>
        <v/>
      </c>
      <c r="I1711" s="4" t="str">
        <f>HYPERLINK("http://141.218.60.56/~jnz1568/getInfo.php?workbook=16_15.xlsx&amp;sheet=A0&amp;row=1711&amp;col=9&amp;number=&amp;sourceID=54","")</f>
        <v/>
      </c>
      <c r="J1711" s="4" t="str">
        <f>HYPERLINK("http://141.218.60.56/~jnz1568/getInfo.php?workbook=16_15.xlsx&amp;sheet=A0&amp;row=1711&amp;col=10&amp;number=0.024861&amp;sourceID=54","0.024861")</f>
        <v>0.024861</v>
      </c>
      <c r="K1711" s="4" t="str">
        <f>HYPERLINK("http://141.218.60.56/~jnz1568/getInfo.php?workbook=16_15.xlsx&amp;sheet=A0&amp;row=1711&amp;col=11&amp;number=&amp;sourceID=54","")</f>
        <v/>
      </c>
      <c r="L1711" s="4" t="str">
        <f>HYPERLINK("http://141.218.60.56/~jnz1568/getInfo.php?workbook=16_15.xlsx&amp;sheet=A0&amp;row=1711&amp;col=12&amp;number=&amp;sourceID=53","")</f>
        <v/>
      </c>
      <c r="M1711" s="4" t="str">
        <f>HYPERLINK("http://141.218.60.56/~jnz1568/getInfo.php?workbook=16_15.xlsx&amp;sheet=A0&amp;row=1711&amp;col=13&amp;number=&amp;sourceID=53","")</f>
        <v/>
      </c>
      <c r="N1711" s="4" t="str">
        <f>HYPERLINK("http://141.218.60.56/~jnz1568/getInfo.php?workbook=16_15.xlsx&amp;sheet=A0&amp;row=1711&amp;col=14&amp;number=&amp;sourceID=53","")</f>
        <v/>
      </c>
      <c r="O1711" s="4" t="str">
        <f>HYPERLINK("http://141.218.60.56/~jnz1568/getInfo.php?workbook=16_15.xlsx&amp;sheet=A0&amp;row=1711&amp;col=15&amp;number=&amp;sourceID=55","")</f>
        <v/>
      </c>
      <c r="P1711" s="4" t="str">
        <f>HYPERLINK("http://141.218.60.56/~jnz1568/getInfo.php?workbook=16_15.xlsx&amp;sheet=A0&amp;row=1711&amp;col=16&amp;number=&amp;sourceID=55","")</f>
        <v/>
      </c>
      <c r="Q1711" s="4" t="str">
        <f>HYPERLINK("http://141.218.60.56/~jnz1568/getInfo.php?workbook=16_15.xlsx&amp;sheet=A0&amp;row=1711&amp;col=17&amp;number=&amp;sourceID=56","")</f>
        <v/>
      </c>
      <c r="R1711" s="4" t="str">
        <f>HYPERLINK("http://141.218.60.56/~jnz1568/getInfo.php?workbook=16_15.xlsx&amp;sheet=A0&amp;row=1711&amp;col=18&amp;number=&amp;sourceID=56","")</f>
        <v/>
      </c>
      <c r="S1711" s="4" t="str">
        <f>HYPERLINK("http://141.218.60.56/~jnz1568/getInfo.php?workbook=16_15.xlsx&amp;sheet=A0&amp;row=1711&amp;col=19&amp;number=&amp;sourceID=57","")</f>
        <v/>
      </c>
      <c r="T1711" s="4" t="str">
        <f>HYPERLINK("http://141.218.60.56/~jnz1568/getInfo.php?workbook=16_15.xlsx&amp;sheet=A0&amp;row=1711&amp;col=20&amp;number=&amp;sourceID=57","")</f>
        <v/>
      </c>
      <c r="U1711" s="4" t="str">
        <f>HYPERLINK("http://141.218.60.56/~jnz1568/getInfo.php?workbook=16_15.xlsx&amp;sheet=A0&amp;row=1711&amp;col=21&amp;number=&amp;sourceID=47","")</f>
        <v/>
      </c>
      <c r="V1711" s="4" t="str">
        <f>HYPERLINK("http://141.218.60.56/~jnz1568/getInfo.php?workbook=16_15.xlsx&amp;sheet=A0&amp;row=1711&amp;col=22&amp;number=&amp;sourceID=47","")</f>
        <v/>
      </c>
    </row>
    <row r="1712" spans="1:22">
      <c r="A1712" s="3">
        <v>16</v>
      </c>
      <c r="B1712" s="3">
        <v>15</v>
      </c>
      <c r="C1712" s="3">
        <v>66</v>
      </c>
      <c r="D1712" s="3">
        <v>35</v>
      </c>
      <c r="E1712" s="3">
        <f>((1/(INDEX(E0!J$4:J$73,C1712,1)-INDEX(E0!J$4:J$73,D1712,1))))*100000000</f>
        <v>0</v>
      </c>
      <c r="F1712" s="4" t="str">
        <f>HYPERLINK("http://141.218.60.56/~jnz1568/getInfo.php?workbook=16_15.xlsx&amp;sheet=A0&amp;row=1712&amp;col=6&amp;number=114.9&amp;sourceID=54","114.9")</f>
        <v>114.9</v>
      </c>
      <c r="G1712" s="4" t="str">
        <f>HYPERLINK("http://141.218.60.56/~jnz1568/getInfo.php?workbook=16_15.xlsx&amp;sheet=A0&amp;row=1712&amp;col=7&amp;number=&amp;sourceID=54","")</f>
        <v/>
      </c>
      <c r="H1712" s="4" t="str">
        <f>HYPERLINK("http://141.218.60.56/~jnz1568/getInfo.php?workbook=16_15.xlsx&amp;sheet=A0&amp;row=1712&amp;col=8&amp;number=&amp;sourceID=54","")</f>
        <v/>
      </c>
      <c r="I1712" s="4" t="str">
        <f>HYPERLINK("http://141.218.60.56/~jnz1568/getInfo.php?workbook=16_15.xlsx&amp;sheet=A0&amp;row=1712&amp;col=9&amp;number=2.7349&amp;sourceID=54","2.7349")</f>
        <v>2.7349</v>
      </c>
      <c r="J1712" s="4" t="str">
        <f>HYPERLINK("http://141.218.60.56/~jnz1568/getInfo.php?workbook=16_15.xlsx&amp;sheet=A0&amp;row=1712&amp;col=10&amp;number=&amp;sourceID=54","")</f>
        <v/>
      </c>
      <c r="K1712" s="4" t="str">
        <f>HYPERLINK("http://141.218.60.56/~jnz1568/getInfo.php?workbook=16_15.xlsx&amp;sheet=A0&amp;row=1712&amp;col=11&amp;number=&amp;sourceID=54","")</f>
        <v/>
      </c>
      <c r="L1712" s="4" t="str">
        <f>HYPERLINK("http://141.218.60.56/~jnz1568/getInfo.php?workbook=16_15.xlsx&amp;sheet=A0&amp;row=1712&amp;col=12&amp;number=3704.87080202&amp;sourceID=53","3704.87080202")</f>
        <v>3704.87080202</v>
      </c>
      <c r="M1712" s="4" t="str">
        <f>HYPERLINK("http://141.218.60.56/~jnz1568/getInfo.php?workbook=16_15.xlsx&amp;sheet=A0&amp;row=1712&amp;col=13&amp;number=&amp;sourceID=53","")</f>
        <v/>
      </c>
      <c r="N1712" s="4" t="str">
        <f>HYPERLINK("http://141.218.60.56/~jnz1568/getInfo.php?workbook=16_15.xlsx&amp;sheet=A0&amp;row=1712&amp;col=14&amp;number=&amp;sourceID=53","")</f>
        <v/>
      </c>
      <c r="O1712" s="4" t="str">
        <f>HYPERLINK("http://141.218.60.56/~jnz1568/getInfo.php?workbook=16_15.xlsx&amp;sheet=A0&amp;row=1712&amp;col=15&amp;number=&amp;sourceID=55","")</f>
        <v/>
      </c>
      <c r="P1712" s="4" t="str">
        <f>HYPERLINK("http://141.218.60.56/~jnz1568/getInfo.php?workbook=16_15.xlsx&amp;sheet=A0&amp;row=1712&amp;col=16&amp;number=&amp;sourceID=55","")</f>
        <v/>
      </c>
      <c r="Q1712" s="4" t="str">
        <f>HYPERLINK("http://141.218.60.56/~jnz1568/getInfo.php?workbook=16_15.xlsx&amp;sheet=A0&amp;row=1712&amp;col=17&amp;number=&amp;sourceID=56","")</f>
        <v/>
      </c>
      <c r="R1712" s="4" t="str">
        <f>HYPERLINK("http://141.218.60.56/~jnz1568/getInfo.php?workbook=16_15.xlsx&amp;sheet=A0&amp;row=1712&amp;col=18&amp;number=&amp;sourceID=56","")</f>
        <v/>
      </c>
      <c r="S1712" s="4" t="str">
        <f>HYPERLINK("http://141.218.60.56/~jnz1568/getInfo.php?workbook=16_15.xlsx&amp;sheet=A0&amp;row=1712&amp;col=19&amp;number=&amp;sourceID=57","")</f>
        <v/>
      </c>
      <c r="T1712" s="4" t="str">
        <f>HYPERLINK("http://141.218.60.56/~jnz1568/getInfo.php?workbook=16_15.xlsx&amp;sheet=A0&amp;row=1712&amp;col=20&amp;number=&amp;sourceID=57","")</f>
        <v/>
      </c>
      <c r="U1712" s="4" t="str">
        <f>HYPERLINK("http://141.218.60.56/~jnz1568/getInfo.php?workbook=16_15.xlsx&amp;sheet=A0&amp;row=1712&amp;col=21&amp;number=&amp;sourceID=47","")</f>
        <v/>
      </c>
      <c r="V1712" s="4" t="str">
        <f>HYPERLINK("http://141.218.60.56/~jnz1568/getInfo.php?workbook=16_15.xlsx&amp;sheet=A0&amp;row=1712&amp;col=22&amp;number=&amp;sourceID=47","")</f>
        <v/>
      </c>
    </row>
    <row r="1713" spans="1:22">
      <c r="A1713" s="3">
        <v>16</v>
      </c>
      <c r="B1713" s="3">
        <v>15</v>
      </c>
      <c r="C1713" s="3">
        <v>66</v>
      </c>
      <c r="D1713" s="3">
        <v>36</v>
      </c>
      <c r="E1713" s="3">
        <f>((1/(INDEX(E0!J$4:J$73,C1713,1)-INDEX(E0!J$4:J$73,D1713,1))))*100000000</f>
        <v>0</v>
      </c>
      <c r="F1713" s="4" t="str">
        <f>HYPERLINK("http://141.218.60.56/~jnz1568/getInfo.php?workbook=16_15.xlsx&amp;sheet=A0&amp;row=1713&amp;col=6&amp;number=1774.1&amp;sourceID=54","1774.1")</f>
        <v>1774.1</v>
      </c>
      <c r="G1713" s="4" t="str">
        <f>HYPERLINK("http://141.218.60.56/~jnz1568/getInfo.php?workbook=16_15.xlsx&amp;sheet=A0&amp;row=1713&amp;col=7&amp;number=&amp;sourceID=54","")</f>
        <v/>
      </c>
      <c r="H1713" s="4" t="str">
        <f>HYPERLINK("http://141.218.60.56/~jnz1568/getInfo.php?workbook=16_15.xlsx&amp;sheet=A0&amp;row=1713&amp;col=8&amp;number=&amp;sourceID=54","")</f>
        <v/>
      </c>
      <c r="I1713" s="4" t="str">
        <f>HYPERLINK("http://141.218.60.56/~jnz1568/getInfo.php?workbook=16_15.xlsx&amp;sheet=A0&amp;row=1713&amp;col=9&amp;number=1500.9&amp;sourceID=54","1500.9")</f>
        <v>1500.9</v>
      </c>
      <c r="J1713" s="4" t="str">
        <f>HYPERLINK("http://141.218.60.56/~jnz1568/getInfo.php?workbook=16_15.xlsx&amp;sheet=A0&amp;row=1713&amp;col=10&amp;number=&amp;sourceID=54","")</f>
        <v/>
      </c>
      <c r="K1713" s="4" t="str">
        <f>HYPERLINK("http://141.218.60.56/~jnz1568/getInfo.php?workbook=16_15.xlsx&amp;sheet=A0&amp;row=1713&amp;col=11&amp;number=&amp;sourceID=54","")</f>
        <v/>
      </c>
      <c r="L1713" s="4" t="str">
        <f>HYPERLINK("http://141.218.60.56/~jnz1568/getInfo.php?workbook=16_15.xlsx&amp;sheet=A0&amp;row=1713&amp;col=12&amp;number=3897.26075271&amp;sourceID=53","3897.26075271")</f>
        <v>3897.26075271</v>
      </c>
      <c r="M1713" s="4" t="str">
        <f>HYPERLINK("http://141.218.60.56/~jnz1568/getInfo.php?workbook=16_15.xlsx&amp;sheet=A0&amp;row=1713&amp;col=13&amp;number=&amp;sourceID=53","")</f>
        <v/>
      </c>
      <c r="N1713" s="4" t="str">
        <f>HYPERLINK("http://141.218.60.56/~jnz1568/getInfo.php?workbook=16_15.xlsx&amp;sheet=A0&amp;row=1713&amp;col=14&amp;number=&amp;sourceID=53","")</f>
        <v/>
      </c>
      <c r="O1713" s="4" t="str">
        <f>HYPERLINK("http://141.218.60.56/~jnz1568/getInfo.php?workbook=16_15.xlsx&amp;sheet=A0&amp;row=1713&amp;col=15&amp;number=&amp;sourceID=55","")</f>
        <v/>
      </c>
      <c r="P1713" s="4" t="str">
        <f>HYPERLINK("http://141.218.60.56/~jnz1568/getInfo.php?workbook=16_15.xlsx&amp;sheet=A0&amp;row=1713&amp;col=16&amp;number=&amp;sourceID=55","")</f>
        <v/>
      </c>
      <c r="Q1713" s="4" t="str">
        <f>HYPERLINK("http://141.218.60.56/~jnz1568/getInfo.php?workbook=16_15.xlsx&amp;sheet=A0&amp;row=1713&amp;col=17&amp;number=&amp;sourceID=56","")</f>
        <v/>
      </c>
      <c r="R1713" s="4" t="str">
        <f>HYPERLINK("http://141.218.60.56/~jnz1568/getInfo.php?workbook=16_15.xlsx&amp;sheet=A0&amp;row=1713&amp;col=18&amp;number=&amp;sourceID=56","")</f>
        <v/>
      </c>
      <c r="S1713" s="4" t="str">
        <f>HYPERLINK("http://141.218.60.56/~jnz1568/getInfo.php?workbook=16_15.xlsx&amp;sheet=A0&amp;row=1713&amp;col=19&amp;number=&amp;sourceID=57","")</f>
        <v/>
      </c>
      <c r="T1713" s="4" t="str">
        <f>HYPERLINK("http://141.218.60.56/~jnz1568/getInfo.php?workbook=16_15.xlsx&amp;sheet=A0&amp;row=1713&amp;col=20&amp;number=&amp;sourceID=57","")</f>
        <v/>
      </c>
      <c r="U1713" s="4" t="str">
        <f>HYPERLINK("http://141.218.60.56/~jnz1568/getInfo.php?workbook=16_15.xlsx&amp;sheet=A0&amp;row=1713&amp;col=21&amp;number=&amp;sourceID=47","")</f>
        <v/>
      </c>
      <c r="V1713" s="4" t="str">
        <f>HYPERLINK("http://141.218.60.56/~jnz1568/getInfo.php?workbook=16_15.xlsx&amp;sheet=A0&amp;row=1713&amp;col=22&amp;number=&amp;sourceID=47","")</f>
        <v/>
      </c>
    </row>
    <row r="1714" spans="1:22">
      <c r="A1714" s="3">
        <v>16</v>
      </c>
      <c r="B1714" s="3">
        <v>15</v>
      </c>
      <c r="C1714" s="3">
        <v>66</v>
      </c>
      <c r="D1714" s="3">
        <v>37</v>
      </c>
      <c r="E1714" s="3">
        <f>((1/(INDEX(E0!J$4:J$73,C1714,1)-INDEX(E0!J$4:J$73,D1714,1))))*100000000</f>
        <v>0</v>
      </c>
      <c r="F1714" s="4" t="str">
        <f>HYPERLINK("http://141.218.60.56/~jnz1568/getInfo.php?workbook=16_15.xlsx&amp;sheet=A0&amp;row=1714&amp;col=6&amp;number=816.83&amp;sourceID=54","816.83")</f>
        <v>816.83</v>
      </c>
      <c r="G1714" s="4" t="str">
        <f>HYPERLINK("http://141.218.60.56/~jnz1568/getInfo.php?workbook=16_15.xlsx&amp;sheet=A0&amp;row=1714&amp;col=7&amp;number=&amp;sourceID=54","")</f>
        <v/>
      </c>
      <c r="H1714" s="4" t="str">
        <f>HYPERLINK("http://141.218.60.56/~jnz1568/getInfo.php?workbook=16_15.xlsx&amp;sheet=A0&amp;row=1714&amp;col=8&amp;number=&amp;sourceID=54","")</f>
        <v/>
      </c>
      <c r="I1714" s="4" t="str">
        <f>HYPERLINK("http://141.218.60.56/~jnz1568/getInfo.php?workbook=16_15.xlsx&amp;sheet=A0&amp;row=1714&amp;col=9&amp;number=665.05&amp;sourceID=54","665.05")</f>
        <v>665.05</v>
      </c>
      <c r="J1714" s="4" t="str">
        <f>HYPERLINK("http://141.218.60.56/~jnz1568/getInfo.php?workbook=16_15.xlsx&amp;sheet=A0&amp;row=1714&amp;col=10&amp;number=&amp;sourceID=54","")</f>
        <v/>
      </c>
      <c r="K1714" s="4" t="str">
        <f>HYPERLINK("http://141.218.60.56/~jnz1568/getInfo.php?workbook=16_15.xlsx&amp;sheet=A0&amp;row=1714&amp;col=11&amp;number=&amp;sourceID=54","")</f>
        <v/>
      </c>
      <c r="L1714" s="4" t="str">
        <f>HYPERLINK("http://141.218.60.56/~jnz1568/getInfo.php?workbook=16_15.xlsx&amp;sheet=A0&amp;row=1714&amp;col=12&amp;number=5667.49659875&amp;sourceID=53","5667.49659875")</f>
        <v>5667.49659875</v>
      </c>
      <c r="M1714" s="4" t="str">
        <f>HYPERLINK("http://141.218.60.56/~jnz1568/getInfo.php?workbook=16_15.xlsx&amp;sheet=A0&amp;row=1714&amp;col=13&amp;number=&amp;sourceID=53","")</f>
        <v/>
      </c>
      <c r="N1714" s="4" t="str">
        <f>HYPERLINK("http://141.218.60.56/~jnz1568/getInfo.php?workbook=16_15.xlsx&amp;sheet=A0&amp;row=1714&amp;col=14&amp;number=&amp;sourceID=53","")</f>
        <v/>
      </c>
      <c r="O1714" s="4" t="str">
        <f>HYPERLINK("http://141.218.60.56/~jnz1568/getInfo.php?workbook=16_15.xlsx&amp;sheet=A0&amp;row=1714&amp;col=15&amp;number=&amp;sourceID=55","")</f>
        <v/>
      </c>
      <c r="P1714" s="4" t="str">
        <f>HYPERLINK("http://141.218.60.56/~jnz1568/getInfo.php?workbook=16_15.xlsx&amp;sheet=A0&amp;row=1714&amp;col=16&amp;number=&amp;sourceID=55","")</f>
        <v/>
      </c>
      <c r="Q1714" s="4" t="str">
        <f>HYPERLINK("http://141.218.60.56/~jnz1568/getInfo.php?workbook=16_15.xlsx&amp;sheet=A0&amp;row=1714&amp;col=17&amp;number=&amp;sourceID=56","")</f>
        <v/>
      </c>
      <c r="R1714" s="4" t="str">
        <f>HYPERLINK("http://141.218.60.56/~jnz1568/getInfo.php?workbook=16_15.xlsx&amp;sheet=A0&amp;row=1714&amp;col=18&amp;number=&amp;sourceID=56","")</f>
        <v/>
      </c>
      <c r="S1714" s="4" t="str">
        <f>HYPERLINK("http://141.218.60.56/~jnz1568/getInfo.php?workbook=16_15.xlsx&amp;sheet=A0&amp;row=1714&amp;col=19&amp;number=&amp;sourceID=57","")</f>
        <v/>
      </c>
      <c r="T1714" s="4" t="str">
        <f>HYPERLINK("http://141.218.60.56/~jnz1568/getInfo.php?workbook=16_15.xlsx&amp;sheet=A0&amp;row=1714&amp;col=20&amp;number=&amp;sourceID=57","")</f>
        <v/>
      </c>
      <c r="U1714" s="4" t="str">
        <f>HYPERLINK("http://141.218.60.56/~jnz1568/getInfo.php?workbook=16_15.xlsx&amp;sheet=A0&amp;row=1714&amp;col=21&amp;number=&amp;sourceID=47","")</f>
        <v/>
      </c>
      <c r="V1714" s="4" t="str">
        <f>HYPERLINK("http://141.218.60.56/~jnz1568/getInfo.php?workbook=16_15.xlsx&amp;sheet=A0&amp;row=1714&amp;col=22&amp;number=&amp;sourceID=47","")</f>
        <v/>
      </c>
    </row>
    <row r="1715" spans="1:22">
      <c r="A1715" s="3">
        <v>16</v>
      </c>
      <c r="B1715" s="3">
        <v>15</v>
      </c>
      <c r="C1715" s="3">
        <v>66</v>
      </c>
      <c r="D1715" s="3">
        <v>39</v>
      </c>
      <c r="E1715" s="3">
        <f>((1/(INDEX(E0!J$4:J$73,C1715,1)-INDEX(E0!J$4:J$73,D1715,1))))*100000000</f>
        <v>0</v>
      </c>
      <c r="F1715" s="4" t="str">
        <f>HYPERLINK("http://141.218.60.56/~jnz1568/getInfo.php?workbook=16_15.xlsx&amp;sheet=A0&amp;row=1715&amp;col=6&amp;number=19681&amp;sourceID=54","19681")</f>
        <v>19681</v>
      </c>
      <c r="G1715" s="4" t="str">
        <f>HYPERLINK("http://141.218.60.56/~jnz1568/getInfo.php?workbook=16_15.xlsx&amp;sheet=A0&amp;row=1715&amp;col=7&amp;number=&amp;sourceID=54","")</f>
        <v/>
      </c>
      <c r="H1715" s="4" t="str">
        <f>HYPERLINK("http://141.218.60.56/~jnz1568/getInfo.php?workbook=16_15.xlsx&amp;sheet=A0&amp;row=1715&amp;col=8&amp;number=&amp;sourceID=54","")</f>
        <v/>
      </c>
      <c r="I1715" s="4" t="str">
        <f>HYPERLINK("http://141.218.60.56/~jnz1568/getInfo.php?workbook=16_15.xlsx&amp;sheet=A0&amp;row=1715&amp;col=9&amp;number=15584&amp;sourceID=54","15584")</f>
        <v>15584</v>
      </c>
      <c r="J1715" s="4" t="str">
        <f>HYPERLINK("http://141.218.60.56/~jnz1568/getInfo.php?workbook=16_15.xlsx&amp;sheet=A0&amp;row=1715&amp;col=10&amp;number=&amp;sourceID=54","")</f>
        <v/>
      </c>
      <c r="K1715" s="4" t="str">
        <f>HYPERLINK("http://141.218.60.56/~jnz1568/getInfo.php?workbook=16_15.xlsx&amp;sheet=A0&amp;row=1715&amp;col=11&amp;number=&amp;sourceID=54","")</f>
        <v/>
      </c>
      <c r="L1715" s="4" t="str">
        <f>HYPERLINK("http://141.218.60.56/~jnz1568/getInfo.php?workbook=16_15.xlsx&amp;sheet=A0&amp;row=1715&amp;col=12&amp;number=27686.5272753&amp;sourceID=53","27686.5272753")</f>
        <v>27686.5272753</v>
      </c>
      <c r="M1715" s="4" t="str">
        <f>HYPERLINK("http://141.218.60.56/~jnz1568/getInfo.php?workbook=16_15.xlsx&amp;sheet=A0&amp;row=1715&amp;col=13&amp;number=&amp;sourceID=53","")</f>
        <v/>
      </c>
      <c r="N1715" s="4" t="str">
        <f>HYPERLINK("http://141.218.60.56/~jnz1568/getInfo.php?workbook=16_15.xlsx&amp;sheet=A0&amp;row=1715&amp;col=14&amp;number=&amp;sourceID=53","")</f>
        <v/>
      </c>
      <c r="O1715" s="4" t="str">
        <f>HYPERLINK("http://141.218.60.56/~jnz1568/getInfo.php?workbook=16_15.xlsx&amp;sheet=A0&amp;row=1715&amp;col=15&amp;number=&amp;sourceID=55","")</f>
        <v/>
      </c>
      <c r="P1715" s="4" t="str">
        <f>HYPERLINK("http://141.218.60.56/~jnz1568/getInfo.php?workbook=16_15.xlsx&amp;sheet=A0&amp;row=1715&amp;col=16&amp;number=&amp;sourceID=55","")</f>
        <v/>
      </c>
      <c r="Q1715" s="4" t="str">
        <f>HYPERLINK("http://141.218.60.56/~jnz1568/getInfo.php?workbook=16_15.xlsx&amp;sheet=A0&amp;row=1715&amp;col=17&amp;number=&amp;sourceID=56","")</f>
        <v/>
      </c>
      <c r="R1715" s="4" t="str">
        <f>HYPERLINK("http://141.218.60.56/~jnz1568/getInfo.php?workbook=16_15.xlsx&amp;sheet=A0&amp;row=1715&amp;col=18&amp;number=&amp;sourceID=56","")</f>
        <v/>
      </c>
      <c r="S1715" s="4" t="str">
        <f>HYPERLINK("http://141.218.60.56/~jnz1568/getInfo.php?workbook=16_15.xlsx&amp;sheet=A0&amp;row=1715&amp;col=19&amp;number=&amp;sourceID=57","")</f>
        <v/>
      </c>
      <c r="T1715" s="4" t="str">
        <f>HYPERLINK("http://141.218.60.56/~jnz1568/getInfo.php?workbook=16_15.xlsx&amp;sheet=A0&amp;row=1715&amp;col=20&amp;number=&amp;sourceID=57","")</f>
        <v/>
      </c>
      <c r="U1715" s="4" t="str">
        <f>HYPERLINK("http://141.218.60.56/~jnz1568/getInfo.php?workbook=16_15.xlsx&amp;sheet=A0&amp;row=1715&amp;col=21&amp;number=&amp;sourceID=47","")</f>
        <v/>
      </c>
      <c r="V1715" s="4" t="str">
        <f>HYPERLINK("http://141.218.60.56/~jnz1568/getInfo.php?workbook=16_15.xlsx&amp;sheet=A0&amp;row=1715&amp;col=22&amp;number=&amp;sourceID=47","")</f>
        <v/>
      </c>
    </row>
    <row r="1716" spans="1:22">
      <c r="A1716" s="3">
        <v>16</v>
      </c>
      <c r="B1716" s="3">
        <v>15</v>
      </c>
      <c r="C1716" s="3">
        <v>66</v>
      </c>
      <c r="D1716" s="3">
        <v>40</v>
      </c>
      <c r="E1716" s="3">
        <f>((1/(INDEX(E0!J$4:J$73,C1716,1)-INDEX(E0!J$4:J$73,D1716,1))))*100000000</f>
        <v>0</v>
      </c>
      <c r="F1716" s="4" t="str">
        <f>HYPERLINK("http://141.218.60.56/~jnz1568/getInfo.php?workbook=16_15.xlsx&amp;sheet=A0&amp;row=1716&amp;col=6&amp;number=352370&amp;sourceID=54","352370")</f>
        <v>352370</v>
      </c>
      <c r="G1716" s="4" t="str">
        <f>HYPERLINK("http://141.218.60.56/~jnz1568/getInfo.php?workbook=16_15.xlsx&amp;sheet=A0&amp;row=1716&amp;col=7&amp;number=&amp;sourceID=54","")</f>
        <v/>
      </c>
      <c r="H1716" s="4" t="str">
        <f>HYPERLINK("http://141.218.60.56/~jnz1568/getInfo.php?workbook=16_15.xlsx&amp;sheet=A0&amp;row=1716&amp;col=8&amp;number=&amp;sourceID=54","")</f>
        <v/>
      </c>
      <c r="I1716" s="4" t="str">
        <f>HYPERLINK("http://141.218.60.56/~jnz1568/getInfo.php?workbook=16_15.xlsx&amp;sheet=A0&amp;row=1716&amp;col=9&amp;number=305120&amp;sourceID=54","305120")</f>
        <v>305120</v>
      </c>
      <c r="J1716" s="4" t="str">
        <f>HYPERLINK("http://141.218.60.56/~jnz1568/getInfo.php?workbook=16_15.xlsx&amp;sheet=A0&amp;row=1716&amp;col=10&amp;number=&amp;sourceID=54","")</f>
        <v/>
      </c>
      <c r="K1716" s="4" t="str">
        <f>HYPERLINK("http://141.218.60.56/~jnz1568/getInfo.php?workbook=16_15.xlsx&amp;sheet=A0&amp;row=1716&amp;col=11&amp;number=&amp;sourceID=54","")</f>
        <v/>
      </c>
      <c r="L1716" s="4" t="str">
        <f>HYPERLINK("http://141.218.60.56/~jnz1568/getInfo.php?workbook=16_15.xlsx&amp;sheet=A0&amp;row=1716&amp;col=12&amp;number=398602.201044&amp;sourceID=53","398602.201044")</f>
        <v>398602.201044</v>
      </c>
      <c r="M1716" s="4" t="str">
        <f>HYPERLINK("http://141.218.60.56/~jnz1568/getInfo.php?workbook=16_15.xlsx&amp;sheet=A0&amp;row=1716&amp;col=13&amp;number=&amp;sourceID=53","")</f>
        <v/>
      </c>
      <c r="N1716" s="4" t="str">
        <f>HYPERLINK("http://141.218.60.56/~jnz1568/getInfo.php?workbook=16_15.xlsx&amp;sheet=A0&amp;row=1716&amp;col=14&amp;number=&amp;sourceID=53","")</f>
        <v/>
      </c>
      <c r="O1716" s="4" t="str">
        <f>HYPERLINK("http://141.218.60.56/~jnz1568/getInfo.php?workbook=16_15.xlsx&amp;sheet=A0&amp;row=1716&amp;col=15&amp;number=&amp;sourceID=55","")</f>
        <v/>
      </c>
      <c r="P1716" s="4" t="str">
        <f>HYPERLINK("http://141.218.60.56/~jnz1568/getInfo.php?workbook=16_15.xlsx&amp;sheet=A0&amp;row=1716&amp;col=16&amp;number=&amp;sourceID=55","")</f>
        <v/>
      </c>
      <c r="Q1716" s="4" t="str">
        <f>HYPERLINK("http://141.218.60.56/~jnz1568/getInfo.php?workbook=16_15.xlsx&amp;sheet=A0&amp;row=1716&amp;col=17&amp;number=&amp;sourceID=56","")</f>
        <v/>
      </c>
      <c r="R1716" s="4" t="str">
        <f>HYPERLINK("http://141.218.60.56/~jnz1568/getInfo.php?workbook=16_15.xlsx&amp;sheet=A0&amp;row=1716&amp;col=18&amp;number=&amp;sourceID=56","")</f>
        <v/>
      </c>
      <c r="S1716" s="4" t="str">
        <f>HYPERLINK("http://141.218.60.56/~jnz1568/getInfo.php?workbook=16_15.xlsx&amp;sheet=A0&amp;row=1716&amp;col=19&amp;number=&amp;sourceID=57","")</f>
        <v/>
      </c>
      <c r="T1716" s="4" t="str">
        <f>HYPERLINK("http://141.218.60.56/~jnz1568/getInfo.php?workbook=16_15.xlsx&amp;sheet=A0&amp;row=1716&amp;col=20&amp;number=&amp;sourceID=57","")</f>
        <v/>
      </c>
      <c r="U1716" s="4" t="str">
        <f>HYPERLINK("http://141.218.60.56/~jnz1568/getInfo.php?workbook=16_15.xlsx&amp;sheet=A0&amp;row=1716&amp;col=21&amp;number=&amp;sourceID=47","")</f>
        <v/>
      </c>
      <c r="V1716" s="4" t="str">
        <f>HYPERLINK("http://141.218.60.56/~jnz1568/getInfo.php?workbook=16_15.xlsx&amp;sheet=A0&amp;row=1716&amp;col=22&amp;number=&amp;sourceID=47","")</f>
        <v/>
      </c>
    </row>
    <row r="1717" spans="1:22">
      <c r="A1717" s="3">
        <v>16</v>
      </c>
      <c r="B1717" s="3">
        <v>15</v>
      </c>
      <c r="C1717" s="3">
        <v>66</v>
      </c>
      <c r="D1717" s="3">
        <v>41</v>
      </c>
      <c r="E1717" s="3">
        <f>((1/(INDEX(E0!J$4:J$73,C1717,1)-INDEX(E0!J$4:J$73,D1717,1))))*100000000</f>
        <v>0</v>
      </c>
      <c r="F1717" s="4" t="str">
        <f>HYPERLINK("http://141.218.60.56/~jnz1568/getInfo.php?workbook=16_15.xlsx&amp;sheet=A0&amp;row=1717&amp;col=6&amp;number=&amp;sourceID=54","")</f>
        <v/>
      </c>
      <c r="G1717" s="4" t="str">
        <f>HYPERLINK("http://141.218.60.56/~jnz1568/getInfo.php?workbook=16_15.xlsx&amp;sheet=A0&amp;row=1717&amp;col=7&amp;number=0.00048423&amp;sourceID=54","0.00048423")</f>
        <v>0.00048423</v>
      </c>
      <c r="H1717" s="4" t="str">
        <f>HYPERLINK("http://141.218.60.56/~jnz1568/getInfo.php?workbook=16_15.xlsx&amp;sheet=A0&amp;row=1717&amp;col=8&amp;number=0.090577&amp;sourceID=54","0.090577")</f>
        <v>0.090577</v>
      </c>
      <c r="I1717" s="4" t="str">
        <f>HYPERLINK("http://141.218.60.56/~jnz1568/getInfo.php?workbook=16_15.xlsx&amp;sheet=A0&amp;row=1717&amp;col=9&amp;number=&amp;sourceID=54","")</f>
        <v/>
      </c>
      <c r="J1717" s="4" t="str">
        <f>HYPERLINK("http://141.218.60.56/~jnz1568/getInfo.php?workbook=16_15.xlsx&amp;sheet=A0&amp;row=1717&amp;col=10&amp;number=0.00030075&amp;sourceID=54","0.00030075")</f>
        <v>0.00030075</v>
      </c>
      <c r="K1717" s="4" t="str">
        <f>HYPERLINK("http://141.218.60.56/~jnz1568/getInfo.php?workbook=16_15.xlsx&amp;sheet=A0&amp;row=1717&amp;col=11&amp;number=0.11523&amp;sourceID=54","0.11523")</f>
        <v>0.11523</v>
      </c>
      <c r="L1717" s="4" t="str">
        <f>HYPERLINK("http://141.218.60.56/~jnz1568/getInfo.php?workbook=16_15.xlsx&amp;sheet=A0&amp;row=1717&amp;col=12&amp;number=&amp;sourceID=53","")</f>
        <v/>
      </c>
      <c r="M1717" s="4" t="str">
        <f>HYPERLINK("http://141.218.60.56/~jnz1568/getInfo.php?workbook=16_15.xlsx&amp;sheet=A0&amp;row=1717&amp;col=13&amp;number=&amp;sourceID=53","")</f>
        <v/>
      </c>
      <c r="N1717" s="4" t="str">
        <f>HYPERLINK("http://141.218.60.56/~jnz1568/getInfo.php?workbook=16_15.xlsx&amp;sheet=A0&amp;row=1717&amp;col=14&amp;number=&amp;sourceID=53","")</f>
        <v/>
      </c>
      <c r="O1717" s="4" t="str">
        <f>HYPERLINK("http://141.218.60.56/~jnz1568/getInfo.php?workbook=16_15.xlsx&amp;sheet=A0&amp;row=1717&amp;col=15&amp;number=&amp;sourceID=55","")</f>
        <v/>
      </c>
      <c r="P1717" s="4" t="str">
        <f>HYPERLINK("http://141.218.60.56/~jnz1568/getInfo.php?workbook=16_15.xlsx&amp;sheet=A0&amp;row=1717&amp;col=16&amp;number=&amp;sourceID=55","")</f>
        <v/>
      </c>
      <c r="Q1717" s="4" t="str">
        <f>HYPERLINK("http://141.218.60.56/~jnz1568/getInfo.php?workbook=16_15.xlsx&amp;sheet=A0&amp;row=1717&amp;col=17&amp;number=&amp;sourceID=56","")</f>
        <v/>
      </c>
      <c r="R1717" s="4" t="str">
        <f>HYPERLINK("http://141.218.60.56/~jnz1568/getInfo.php?workbook=16_15.xlsx&amp;sheet=A0&amp;row=1717&amp;col=18&amp;number=&amp;sourceID=56","")</f>
        <v/>
      </c>
      <c r="S1717" s="4" t="str">
        <f>HYPERLINK("http://141.218.60.56/~jnz1568/getInfo.php?workbook=16_15.xlsx&amp;sheet=A0&amp;row=1717&amp;col=19&amp;number=&amp;sourceID=57","")</f>
        <v/>
      </c>
      <c r="T1717" s="4" t="str">
        <f>HYPERLINK("http://141.218.60.56/~jnz1568/getInfo.php?workbook=16_15.xlsx&amp;sheet=A0&amp;row=1717&amp;col=20&amp;number=&amp;sourceID=57","")</f>
        <v/>
      </c>
      <c r="U1717" s="4" t="str">
        <f>HYPERLINK("http://141.218.60.56/~jnz1568/getInfo.php?workbook=16_15.xlsx&amp;sheet=A0&amp;row=1717&amp;col=21&amp;number=&amp;sourceID=47","")</f>
        <v/>
      </c>
      <c r="V1717" s="4" t="str">
        <f>HYPERLINK("http://141.218.60.56/~jnz1568/getInfo.php?workbook=16_15.xlsx&amp;sheet=A0&amp;row=1717&amp;col=22&amp;number=&amp;sourceID=47","")</f>
        <v/>
      </c>
    </row>
    <row r="1718" spans="1:22">
      <c r="A1718" s="3">
        <v>16</v>
      </c>
      <c r="B1718" s="3">
        <v>15</v>
      </c>
      <c r="C1718" s="3">
        <v>66</v>
      </c>
      <c r="D1718" s="3">
        <v>42</v>
      </c>
      <c r="E1718" s="3">
        <f>((1/(INDEX(E0!J$4:J$73,C1718,1)-INDEX(E0!J$4:J$73,D1718,1))))*100000000</f>
        <v>0</v>
      </c>
      <c r="F1718" s="4" t="str">
        <f>HYPERLINK("http://141.218.60.56/~jnz1568/getInfo.php?workbook=16_15.xlsx&amp;sheet=A0&amp;row=1718&amp;col=6&amp;number=614970&amp;sourceID=54","614970")</f>
        <v>614970</v>
      </c>
      <c r="G1718" s="4" t="str">
        <f>HYPERLINK("http://141.218.60.56/~jnz1568/getInfo.php?workbook=16_15.xlsx&amp;sheet=A0&amp;row=1718&amp;col=7&amp;number=&amp;sourceID=54","")</f>
        <v/>
      </c>
      <c r="H1718" s="4" t="str">
        <f>HYPERLINK("http://141.218.60.56/~jnz1568/getInfo.php?workbook=16_15.xlsx&amp;sheet=A0&amp;row=1718&amp;col=8&amp;number=&amp;sourceID=54","")</f>
        <v/>
      </c>
      <c r="I1718" s="4" t="str">
        <f>HYPERLINK("http://141.218.60.56/~jnz1568/getInfo.php?workbook=16_15.xlsx&amp;sheet=A0&amp;row=1718&amp;col=9&amp;number=459190&amp;sourceID=54","459190")</f>
        <v>459190</v>
      </c>
      <c r="J1718" s="4" t="str">
        <f>HYPERLINK("http://141.218.60.56/~jnz1568/getInfo.php?workbook=16_15.xlsx&amp;sheet=A0&amp;row=1718&amp;col=10&amp;number=&amp;sourceID=54","")</f>
        <v/>
      </c>
      <c r="K1718" s="4" t="str">
        <f>HYPERLINK("http://141.218.60.56/~jnz1568/getInfo.php?workbook=16_15.xlsx&amp;sheet=A0&amp;row=1718&amp;col=11&amp;number=&amp;sourceID=54","")</f>
        <v/>
      </c>
      <c r="L1718" s="4" t="str">
        <f>HYPERLINK("http://141.218.60.56/~jnz1568/getInfo.php?workbook=16_15.xlsx&amp;sheet=A0&amp;row=1718&amp;col=12&amp;number=781456.520525&amp;sourceID=53","781456.520525")</f>
        <v>781456.520525</v>
      </c>
      <c r="M1718" s="4" t="str">
        <f>HYPERLINK("http://141.218.60.56/~jnz1568/getInfo.php?workbook=16_15.xlsx&amp;sheet=A0&amp;row=1718&amp;col=13&amp;number=&amp;sourceID=53","")</f>
        <v/>
      </c>
      <c r="N1718" s="4" t="str">
        <f>HYPERLINK("http://141.218.60.56/~jnz1568/getInfo.php?workbook=16_15.xlsx&amp;sheet=A0&amp;row=1718&amp;col=14&amp;number=&amp;sourceID=53","")</f>
        <v/>
      </c>
      <c r="O1718" s="4" t="str">
        <f>HYPERLINK("http://141.218.60.56/~jnz1568/getInfo.php?workbook=16_15.xlsx&amp;sheet=A0&amp;row=1718&amp;col=15&amp;number=&amp;sourceID=55","")</f>
        <v/>
      </c>
      <c r="P1718" s="4" t="str">
        <f>HYPERLINK("http://141.218.60.56/~jnz1568/getInfo.php?workbook=16_15.xlsx&amp;sheet=A0&amp;row=1718&amp;col=16&amp;number=&amp;sourceID=55","")</f>
        <v/>
      </c>
      <c r="Q1718" s="4" t="str">
        <f>HYPERLINK("http://141.218.60.56/~jnz1568/getInfo.php?workbook=16_15.xlsx&amp;sheet=A0&amp;row=1718&amp;col=17&amp;number=&amp;sourceID=56","")</f>
        <v/>
      </c>
      <c r="R1718" s="4" t="str">
        <f>HYPERLINK("http://141.218.60.56/~jnz1568/getInfo.php?workbook=16_15.xlsx&amp;sheet=A0&amp;row=1718&amp;col=18&amp;number=&amp;sourceID=56","")</f>
        <v/>
      </c>
      <c r="S1718" s="4" t="str">
        <f>HYPERLINK("http://141.218.60.56/~jnz1568/getInfo.php?workbook=16_15.xlsx&amp;sheet=A0&amp;row=1718&amp;col=19&amp;number=&amp;sourceID=57","")</f>
        <v/>
      </c>
      <c r="T1718" s="4" t="str">
        <f>HYPERLINK("http://141.218.60.56/~jnz1568/getInfo.php?workbook=16_15.xlsx&amp;sheet=A0&amp;row=1718&amp;col=20&amp;number=&amp;sourceID=57","")</f>
        <v/>
      </c>
      <c r="U1718" s="4" t="str">
        <f>HYPERLINK("http://141.218.60.56/~jnz1568/getInfo.php?workbook=16_15.xlsx&amp;sheet=A0&amp;row=1718&amp;col=21&amp;number=&amp;sourceID=47","")</f>
        <v/>
      </c>
      <c r="V1718" s="4" t="str">
        <f>HYPERLINK("http://141.218.60.56/~jnz1568/getInfo.php?workbook=16_15.xlsx&amp;sheet=A0&amp;row=1718&amp;col=22&amp;number=&amp;sourceID=47","")</f>
        <v/>
      </c>
    </row>
    <row r="1719" spans="1:22">
      <c r="A1719" s="3">
        <v>16</v>
      </c>
      <c r="B1719" s="3">
        <v>15</v>
      </c>
      <c r="C1719" s="3">
        <v>66</v>
      </c>
      <c r="D1719" s="3">
        <v>43</v>
      </c>
      <c r="E1719" s="3">
        <f>((1/(INDEX(E0!J$4:J$73,C1719,1)-INDEX(E0!J$4:J$73,D1719,1))))*100000000</f>
        <v>0</v>
      </c>
      <c r="F1719" s="4" t="str">
        <f>HYPERLINK("http://141.218.60.56/~jnz1568/getInfo.php?workbook=16_15.xlsx&amp;sheet=A0&amp;row=1719&amp;col=6&amp;number=&amp;sourceID=54","")</f>
        <v/>
      </c>
      <c r="G1719" s="4" t="str">
        <f>HYPERLINK("http://141.218.60.56/~jnz1568/getInfo.php?workbook=16_15.xlsx&amp;sheet=A0&amp;row=1719&amp;col=7&amp;number=0.001048&amp;sourceID=54","0.001048")</f>
        <v>0.001048</v>
      </c>
      <c r="H1719" s="4" t="str">
        <f>HYPERLINK("http://141.218.60.56/~jnz1568/getInfo.php?workbook=16_15.xlsx&amp;sheet=A0&amp;row=1719&amp;col=8&amp;number=0.016543&amp;sourceID=54","0.016543")</f>
        <v>0.016543</v>
      </c>
      <c r="I1719" s="4" t="str">
        <f>HYPERLINK("http://141.218.60.56/~jnz1568/getInfo.php?workbook=16_15.xlsx&amp;sheet=A0&amp;row=1719&amp;col=9&amp;number=&amp;sourceID=54","")</f>
        <v/>
      </c>
      <c r="J1719" s="4" t="str">
        <f>HYPERLINK("http://141.218.60.56/~jnz1568/getInfo.php?workbook=16_15.xlsx&amp;sheet=A0&amp;row=1719&amp;col=10&amp;number=0.00052093&amp;sourceID=54","0.00052093")</f>
        <v>0.00052093</v>
      </c>
      <c r="K1719" s="4" t="str">
        <f>HYPERLINK("http://141.218.60.56/~jnz1568/getInfo.php?workbook=16_15.xlsx&amp;sheet=A0&amp;row=1719&amp;col=11&amp;number=0.016462&amp;sourceID=54","0.016462")</f>
        <v>0.016462</v>
      </c>
      <c r="L1719" s="4" t="str">
        <f>HYPERLINK("http://141.218.60.56/~jnz1568/getInfo.php?workbook=16_15.xlsx&amp;sheet=A0&amp;row=1719&amp;col=12&amp;number=&amp;sourceID=53","")</f>
        <v/>
      </c>
      <c r="M1719" s="4" t="str">
        <f>HYPERLINK("http://141.218.60.56/~jnz1568/getInfo.php?workbook=16_15.xlsx&amp;sheet=A0&amp;row=1719&amp;col=13&amp;number=&amp;sourceID=53","")</f>
        <v/>
      </c>
      <c r="N1719" s="4" t="str">
        <f>HYPERLINK("http://141.218.60.56/~jnz1568/getInfo.php?workbook=16_15.xlsx&amp;sheet=A0&amp;row=1719&amp;col=14&amp;number=&amp;sourceID=53","")</f>
        <v/>
      </c>
      <c r="O1719" s="4" t="str">
        <f>HYPERLINK("http://141.218.60.56/~jnz1568/getInfo.php?workbook=16_15.xlsx&amp;sheet=A0&amp;row=1719&amp;col=15&amp;number=&amp;sourceID=55","")</f>
        <v/>
      </c>
      <c r="P1719" s="4" t="str">
        <f>HYPERLINK("http://141.218.60.56/~jnz1568/getInfo.php?workbook=16_15.xlsx&amp;sheet=A0&amp;row=1719&amp;col=16&amp;number=&amp;sourceID=55","")</f>
        <v/>
      </c>
      <c r="Q1719" s="4" t="str">
        <f>HYPERLINK("http://141.218.60.56/~jnz1568/getInfo.php?workbook=16_15.xlsx&amp;sheet=A0&amp;row=1719&amp;col=17&amp;number=&amp;sourceID=56","")</f>
        <v/>
      </c>
      <c r="R1719" s="4" t="str">
        <f>HYPERLINK("http://141.218.60.56/~jnz1568/getInfo.php?workbook=16_15.xlsx&amp;sheet=A0&amp;row=1719&amp;col=18&amp;number=&amp;sourceID=56","")</f>
        <v/>
      </c>
      <c r="S1719" s="4" t="str">
        <f>HYPERLINK("http://141.218.60.56/~jnz1568/getInfo.php?workbook=16_15.xlsx&amp;sheet=A0&amp;row=1719&amp;col=19&amp;number=&amp;sourceID=57","")</f>
        <v/>
      </c>
      <c r="T1719" s="4" t="str">
        <f>HYPERLINK("http://141.218.60.56/~jnz1568/getInfo.php?workbook=16_15.xlsx&amp;sheet=A0&amp;row=1719&amp;col=20&amp;number=&amp;sourceID=57","")</f>
        <v/>
      </c>
      <c r="U1719" s="4" t="str">
        <f>HYPERLINK("http://141.218.60.56/~jnz1568/getInfo.php?workbook=16_15.xlsx&amp;sheet=A0&amp;row=1719&amp;col=21&amp;number=&amp;sourceID=47","")</f>
        <v/>
      </c>
      <c r="V1719" s="4" t="str">
        <f>HYPERLINK("http://141.218.60.56/~jnz1568/getInfo.php?workbook=16_15.xlsx&amp;sheet=A0&amp;row=1719&amp;col=22&amp;number=&amp;sourceID=47","")</f>
        <v/>
      </c>
    </row>
    <row r="1720" spans="1:22">
      <c r="A1720" s="3">
        <v>16</v>
      </c>
      <c r="B1720" s="3">
        <v>15</v>
      </c>
      <c r="C1720" s="3">
        <v>66</v>
      </c>
      <c r="D1720" s="3">
        <v>44</v>
      </c>
      <c r="E1720" s="3">
        <f>((1/(INDEX(E0!J$4:J$73,C1720,1)-INDEX(E0!J$4:J$73,D1720,1))))*100000000</f>
        <v>0</v>
      </c>
      <c r="F1720" s="4" t="str">
        <f>HYPERLINK("http://141.218.60.56/~jnz1568/getInfo.php?workbook=16_15.xlsx&amp;sheet=A0&amp;row=1720&amp;col=6&amp;number=&amp;sourceID=54","")</f>
        <v/>
      </c>
      <c r="G1720" s="4" t="str">
        <f>HYPERLINK("http://141.218.60.56/~jnz1568/getInfo.php?workbook=16_15.xlsx&amp;sheet=A0&amp;row=1720&amp;col=7&amp;number=0.0011356&amp;sourceID=54","0.0011356")</f>
        <v>0.0011356</v>
      </c>
      <c r="H1720" s="4" t="str">
        <f>HYPERLINK("http://141.218.60.56/~jnz1568/getInfo.php?workbook=16_15.xlsx&amp;sheet=A0&amp;row=1720&amp;col=8&amp;number=&amp;sourceID=54","")</f>
        <v/>
      </c>
      <c r="I1720" s="4" t="str">
        <f>HYPERLINK("http://141.218.60.56/~jnz1568/getInfo.php?workbook=16_15.xlsx&amp;sheet=A0&amp;row=1720&amp;col=9&amp;number=&amp;sourceID=54","")</f>
        <v/>
      </c>
      <c r="J1720" s="4" t="str">
        <f>HYPERLINK("http://141.218.60.56/~jnz1568/getInfo.php?workbook=16_15.xlsx&amp;sheet=A0&amp;row=1720&amp;col=10&amp;number=0.00060515&amp;sourceID=54","0.00060515")</f>
        <v>0.00060515</v>
      </c>
      <c r="K1720" s="4" t="str">
        <f>HYPERLINK("http://141.218.60.56/~jnz1568/getInfo.php?workbook=16_15.xlsx&amp;sheet=A0&amp;row=1720&amp;col=11&amp;number=&amp;sourceID=54","")</f>
        <v/>
      </c>
      <c r="L1720" s="4" t="str">
        <f>HYPERLINK("http://141.218.60.56/~jnz1568/getInfo.php?workbook=16_15.xlsx&amp;sheet=A0&amp;row=1720&amp;col=12&amp;number=&amp;sourceID=53","")</f>
        <v/>
      </c>
      <c r="M1720" s="4" t="str">
        <f>HYPERLINK("http://141.218.60.56/~jnz1568/getInfo.php?workbook=16_15.xlsx&amp;sheet=A0&amp;row=1720&amp;col=13&amp;number=&amp;sourceID=53","")</f>
        <v/>
      </c>
      <c r="N1720" s="4" t="str">
        <f>HYPERLINK("http://141.218.60.56/~jnz1568/getInfo.php?workbook=16_15.xlsx&amp;sheet=A0&amp;row=1720&amp;col=14&amp;number=&amp;sourceID=53","")</f>
        <v/>
      </c>
      <c r="O1720" s="4" t="str">
        <f>HYPERLINK("http://141.218.60.56/~jnz1568/getInfo.php?workbook=16_15.xlsx&amp;sheet=A0&amp;row=1720&amp;col=15&amp;number=&amp;sourceID=55","")</f>
        <v/>
      </c>
      <c r="P1720" s="4" t="str">
        <f>HYPERLINK("http://141.218.60.56/~jnz1568/getInfo.php?workbook=16_15.xlsx&amp;sheet=A0&amp;row=1720&amp;col=16&amp;number=&amp;sourceID=55","")</f>
        <v/>
      </c>
      <c r="Q1720" s="4" t="str">
        <f>HYPERLINK("http://141.218.60.56/~jnz1568/getInfo.php?workbook=16_15.xlsx&amp;sheet=A0&amp;row=1720&amp;col=17&amp;number=&amp;sourceID=56","")</f>
        <v/>
      </c>
      <c r="R1720" s="4" t="str">
        <f>HYPERLINK("http://141.218.60.56/~jnz1568/getInfo.php?workbook=16_15.xlsx&amp;sheet=A0&amp;row=1720&amp;col=18&amp;number=&amp;sourceID=56","")</f>
        <v/>
      </c>
      <c r="S1720" s="4" t="str">
        <f>HYPERLINK("http://141.218.60.56/~jnz1568/getInfo.php?workbook=16_15.xlsx&amp;sheet=A0&amp;row=1720&amp;col=19&amp;number=&amp;sourceID=57","")</f>
        <v/>
      </c>
      <c r="T1720" s="4" t="str">
        <f>HYPERLINK("http://141.218.60.56/~jnz1568/getInfo.php?workbook=16_15.xlsx&amp;sheet=A0&amp;row=1720&amp;col=20&amp;number=&amp;sourceID=57","")</f>
        <v/>
      </c>
      <c r="U1720" s="4" t="str">
        <f>HYPERLINK("http://141.218.60.56/~jnz1568/getInfo.php?workbook=16_15.xlsx&amp;sheet=A0&amp;row=1720&amp;col=21&amp;number=&amp;sourceID=47","")</f>
        <v/>
      </c>
      <c r="V1720" s="4" t="str">
        <f>HYPERLINK("http://141.218.60.56/~jnz1568/getInfo.php?workbook=16_15.xlsx&amp;sheet=A0&amp;row=1720&amp;col=22&amp;number=&amp;sourceID=47","")</f>
        <v/>
      </c>
    </row>
    <row r="1721" spans="1:22">
      <c r="A1721" s="3">
        <v>16</v>
      </c>
      <c r="B1721" s="3">
        <v>15</v>
      </c>
      <c r="C1721" s="3">
        <v>66</v>
      </c>
      <c r="D1721" s="3">
        <v>45</v>
      </c>
      <c r="E1721" s="3">
        <f>((1/(INDEX(E0!J$4:J$73,C1721,1)-INDEX(E0!J$4:J$73,D1721,1))))*100000000</f>
        <v>0</v>
      </c>
      <c r="F1721" s="4" t="str">
        <f>HYPERLINK("http://141.218.60.56/~jnz1568/getInfo.php?workbook=16_15.xlsx&amp;sheet=A0&amp;row=1721&amp;col=6&amp;number=18045&amp;sourceID=54","18045")</f>
        <v>18045</v>
      </c>
      <c r="G1721" s="4" t="str">
        <f>HYPERLINK("http://141.218.60.56/~jnz1568/getInfo.php?workbook=16_15.xlsx&amp;sheet=A0&amp;row=1721&amp;col=7&amp;number=&amp;sourceID=54","")</f>
        <v/>
      </c>
      <c r="H1721" s="4" t="str">
        <f>HYPERLINK("http://141.218.60.56/~jnz1568/getInfo.php?workbook=16_15.xlsx&amp;sheet=A0&amp;row=1721&amp;col=8&amp;number=&amp;sourceID=54","")</f>
        <v/>
      </c>
      <c r="I1721" s="4" t="str">
        <f>HYPERLINK("http://141.218.60.56/~jnz1568/getInfo.php?workbook=16_15.xlsx&amp;sheet=A0&amp;row=1721&amp;col=9&amp;number=7740.2&amp;sourceID=54","7740.2")</f>
        <v>7740.2</v>
      </c>
      <c r="J1721" s="4" t="str">
        <f>HYPERLINK("http://141.218.60.56/~jnz1568/getInfo.php?workbook=16_15.xlsx&amp;sheet=A0&amp;row=1721&amp;col=10&amp;number=&amp;sourceID=54","")</f>
        <v/>
      </c>
      <c r="K1721" s="4" t="str">
        <f>HYPERLINK("http://141.218.60.56/~jnz1568/getInfo.php?workbook=16_15.xlsx&amp;sheet=A0&amp;row=1721&amp;col=11&amp;number=&amp;sourceID=54","")</f>
        <v/>
      </c>
      <c r="L1721" s="4" t="str">
        <f>HYPERLINK("http://141.218.60.56/~jnz1568/getInfo.php?workbook=16_15.xlsx&amp;sheet=A0&amp;row=1721&amp;col=12&amp;number=22499.8323117&amp;sourceID=53","22499.8323117")</f>
        <v>22499.8323117</v>
      </c>
      <c r="M1721" s="4" t="str">
        <f>HYPERLINK("http://141.218.60.56/~jnz1568/getInfo.php?workbook=16_15.xlsx&amp;sheet=A0&amp;row=1721&amp;col=13&amp;number=&amp;sourceID=53","")</f>
        <v/>
      </c>
      <c r="N1721" s="4" t="str">
        <f>HYPERLINK("http://141.218.60.56/~jnz1568/getInfo.php?workbook=16_15.xlsx&amp;sheet=A0&amp;row=1721&amp;col=14&amp;number=&amp;sourceID=53","")</f>
        <v/>
      </c>
      <c r="O1721" s="4" t="str">
        <f>HYPERLINK("http://141.218.60.56/~jnz1568/getInfo.php?workbook=16_15.xlsx&amp;sheet=A0&amp;row=1721&amp;col=15&amp;number=&amp;sourceID=55","")</f>
        <v/>
      </c>
      <c r="P1721" s="4" t="str">
        <f>HYPERLINK("http://141.218.60.56/~jnz1568/getInfo.php?workbook=16_15.xlsx&amp;sheet=A0&amp;row=1721&amp;col=16&amp;number=&amp;sourceID=55","")</f>
        <v/>
      </c>
      <c r="Q1721" s="4" t="str">
        <f>HYPERLINK("http://141.218.60.56/~jnz1568/getInfo.php?workbook=16_15.xlsx&amp;sheet=A0&amp;row=1721&amp;col=17&amp;number=&amp;sourceID=56","")</f>
        <v/>
      </c>
      <c r="R1721" s="4" t="str">
        <f>HYPERLINK("http://141.218.60.56/~jnz1568/getInfo.php?workbook=16_15.xlsx&amp;sheet=A0&amp;row=1721&amp;col=18&amp;number=&amp;sourceID=56","")</f>
        <v/>
      </c>
      <c r="S1721" s="4" t="str">
        <f>HYPERLINK("http://141.218.60.56/~jnz1568/getInfo.php?workbook=16_15.xlsx&amp;sheet=A0&amp;row=1721&amp;col=19&amp;number=&amp;sourceID=57","")</f>
        <v/>
      </c>
      <c r="T1721" s="4" t="str">
        <f>HYPERLINK("http://141.218.60.56/~jnz1568/getInfo.php?workbook=16_15.xlsx&amp;sheet=A0&amp;row=1721&amp;col=20&amp;number=&amp;sourceID=57","")</f>
        <v/>
      </c>
      <c r="U1721" s="4" t="str">
        <f>HYPERLINK("http://141.218.60.56/~jnz1568/getInfo.php?workbook=16_15.xlsx&amp;sheet=A0&amp;row=1721&amp;col=21&amp;number=&amp;sourceID=47","")</f>
        <v/>
      </c>
      <c r="V1721" s="4" t="str">
        <f>HYPERLINK("http://141.218.60.56/~jnz1568/getInfo.php?workbook=16_15.xlsx&amp;sheet=A0&amp;row=1721&amp;col=22&amp;number=&amp;sourceID=47","")</f>
        <v/>
      </c>
    </row>
    <row r="1722" spans="1:22">
      <c r="A1722" s="3">
        <v>16</v>
      </c>
      <c r="B1722" s="3">
        <v>15</v>
      </c>
      <c r="C1722" s="3">
        <v>66</v>
      </c>
      <c r="D1722" s="3">
        <v>46</v>
      </c>
      <c r="E1722" s="3">
        <f>((1/(INDEX(E0!J$4:J$73,C1722,1)-INDEX(E0!J$4:J$73,D1722,1))))*100000000</f>
        <v>0</v>
      </c>
      <c r="F1722" s="4" t="str">
        <f>HYPERLINK("http://141.218.60.56/~jnz1568/getInfo.php?workbook=16_15.xlsx&amp;sheet=A0&amp;row=1722&amp;col=6&amp;number=9428900&amp;sourceID=54","9428900")</f>
        <v>9428900</v>
      </c>
      <c r="G1722" s="4" t="str">
        <f>HYPERLINK("http://141.218.60.56/~jnz1568/getInfo.php?workbook=16_15.xlsx&amp;sheet=A0&amp;row=1722&amp;col=7&amp;number=&amp;sourceID=54","")</f>
        <v/>
      </c>
      <c r="H1722" s="4" t="str">
        <f>HYPERLINK("http://141.218.60.56/~jnz1568/getInfo.php?workbook=16_15.xlsx&amp;sheet=A0&amp;row=1722&amp;col=8&amp;number=&amp;sourceID=54","")</f>
        <v/>
      </c>
      <c r="I1722" s="4" t="str">
        <f>HYPERLINK("http://141.218.60.56/~jnz1568/getInfo.php?workbook=16_15.xlsx&amp;sheet=A0&amp;row=1722&amp;col=9&amp;number=6898400&amp;sourceID=54","6898400")</f>
        <v>6898400</v>
      </c>
      <c r="J1722" s="4" t="str">
        <f>HYPERLINK("http://141.218.60.56/~jnz1568/getInfo.php?workbook=16_15.xlsx&amp;sheet=A0&amp;row=1722&amp;col=10&amp;number=&amp;sourceID=54","")</f>
        <v/>
      </c>
      <c r="K1722" s="4" t="str">
        <f>HYPERLINK("http://141.218.60.56/~jnz1568/getInfo.php?workbook=16_15.xlsx&amp;sheet=A0&amp;row=1722&amp;col=11&amp;number=&amp;sourceID=54","")</f>
        <v/>
      </c>
      <c r="L1722" s="4" t="str">
        <f>HYPERLINK("http://141.218.60.56/~jnz1568/getInfo.php?workbook=16_15.xlsx&amp;sheet=A0&amp;row=1722&amp;col=12&amp;number=10653733.2611&amp;sourceID=53","10653733.2611")</f>
        <v>10653733.2611</v>
      </c>
      <c r="M1722" s="4" t="str">
        <f>HYPERLINK("http://141.218.60.56/~jnz1568/getInfo.php?workbook=16_15.xlsx&amp;sheet=A0&amp;row=1722&amp;col=13&amp;number=&amp;sourceID=53","")</f>
        <v/>
      </c>
      <c r="N1722" s="4" t="str">
        <f>HYPERLINK("http://141.218.60.56/~jnz1568/getInfo.php?workbook=16_15.xlsx&amp;sheet=A0&amp;row=1722&amp;col=14&amp;number=&amp;sourceID=53","")</f>
        <v/>
      </c>
      <c r="O1722" s="4" t="str">
        <f>HYPERLINK("http://141.218.60.56/~jnz1568/getInfo.php?workbook=16_15.xlsx&amp;sheet=A0&amp;row=1722&amp;col=15&amp;number=&amp;sourceID=55","")</f>
        <v/>
      </c>
      <c r="P1722" s="4" t="str">
        <f>HYPERLINK("http://141.218.60.56/~jnz1568/getInfo.php?workbook=16_15.xlsx&amp;sheet=A0&amp;row=1722&amp;col=16&amp;number=&amp;sourceID=55","")</f>
        <v/>
      </c>
      <c r="Q1722" s="4" t="str">
        <f>HYPERLINK("http://141.218.60.56/~jnz1568/getInfo.php?workbook=16_15.xlsx&amp;sheet=A0&amp;row=1722&amp;col=17&amp;number=&amp;sourceID=56","")</f>
        <v/>
      </c>
      <c r="R1722" s="4" t="str">
        <f>HYPERLINK("http://141.218.60.56/~jnz1568/getInfo.php?workbook=16_15.xlsx&amp;sheet=A0&amp;row=1722&amp;col=18&amp;number=&amp;sourceID=56","")</f>
        <v/>
      </c>
      <c r="S1722" s="4" t="str">
        <f>HYPERLINK("http://141.218.60.56/~jnz1568/getInfo.php?workbook=16_15.xlsx&amp;sheet=A0&amp;row=1722&amp;col=19&amp;number=&amp;sourceID=57","")</f>
        <v/>
      </c>
      <c r="T1722" s="4" t="str">
        <f>HYPERLINK("http://141.218.60.56/~jnz1568/getInfo.php?workbook=16_15.xlsx&amp;sheet=A0&amp;row=1722&amp;col=20&amp;number=&amp;sourceID=57","")</f>
        <v/>
      </c>
      <c r="U1722" s="4" t="str">
        <f>HYPERLINK("http://141.218.60.56/~jnz1568/getInfo.php?workbook=16_15.xlsx&amp;sheet=A0&amp;row=1722&amp;col=21&amp;number=&amp;sourceID=47","")</f>
        <v/>
      </c>
      <c r="V1722" s="4" t="str">
        <f>HYPERLINK("http://141.218.60.56/~jnz1568/getInfo.php?workbook=16_15.xlsx&amp;sheet=A0&amp;row=1722&amp;col=22&amp;number=&amp;sourceID=47","")</f>
        <v/>
      </c>
    </row>
    <row r="1723" spans="1:22">
      <c r="A1723" s="3">
        <v>16</v>
      </c>
      <c r="B1723" s="3">
        <v>15</v>
      </c>
      <c r="C1723" s="3">
        <v>66</v>
      </c>
      <c r="D1723" s="3">
        <v>48</v>
      </c>
      <c r="E1723" s="3">
        <f>((1/(INDEX(E0!J$4:J$73,C1723,1)-INDEX(E0!J$4:J$73,D1723,1))))*100000000</f>
        <v>0</v>
      </c>
      <c r="F1723" s="4" t="str">
        <f>HYPERLINK("http://141.218.60.56/~jnz1568/getInfo.php?workbook=16_15.xlsx&amp;sheet=A0&amp;row=1723&amp;col=6&amp;number=&amp;sourceID=54","")</f>
        <v/>
      </c>
      <c r="G1723" s="4" t="str">
        <f>HYPERLINK("http://141.218.60.56/~jnz1568/getInfo.php?workbook=16_15.xlsx&amp;sheet=A0&amp;row=1723&amp;col=7&amp;number=0.05255&amp;sourceID=54","0.05255")</f>
        <v>0.05255</v>
      </c>
      <c r="H1723" s="4" t="str">
        <f>HYPERLINK("http://141.218.60.56/~jnz1568/getInfo.php?workbook=16_15.xlsx&amp;sheet=A0&amp;row=1723&amp;col=8&amp;number=0.0023028&amp;sourceID=54","0.0023028")</f>
        <v>0.0023028</v>
      </c>
      <c r="I1723" s="4" t="str">
        <f>HYPERLINK("http://141.218.60.56/~jnz1568/getInfo.php?workbook=16_15.xlsx&amp;sheet=A0&amp;row=1723&amp;col=9&amp;number=&amp;sourceID=54","")</f>
        <v/>
      </c>
      <c r="J1723" s="4" t="str">
        <f>HYPERLINK("http://141.218.60.56/~jnz1568/getInfo.php?workbook=16_15.xlsx&amp;sheet=A0&amp;row=1723&amp;col=10&amp;number=0.039927&amp;sourceID=54","0.039927")</f>
        <v>0.039927</v>
      </c>
      <c r="K1723" s="4" t="str">
        <f>HYPERLINK("http://141.218.60.56/~jnz1568/getInfo.php?workbook=16_15.xlsx&amp;sheet=A0&amp;row=1723&amp;col=11&amp;number=0.0018883&amp;sourceID=54","0.0018883")</f>
        <v>0.0018883</v>
      </c>
      <c r="L1723" s="4" t="str">
        <f>HYPERLINK("http://141.218.60.56/~jnz1568/getInfo.php?workbook=16_15.xlsx&amp;sheet=A0&amp;row=1723&amp;col=12&amp;number=&amp;sourceID=53","")</f>
        <v/>
      </c>
      <c r="M1723" s="4" t="str">
        <f>HYPERLINK("http://141.218.60.56/~jnz1568/getInfo.php?workbook=16_15.xlsx&amp;sheet=A0&amp;row=1723&amp;col=13&amp;number=&amp;sourceID=53","")</f>
        <v/>
      </c>
      <c r="N1723" s="4" t="str">
        <f>HYPERLINK("http://141.218.60.56/~jnz1568/getInfo.php?workbook=16_15.xlsx&amp;sheet=A0&amp;row=1723&amp;col=14&amp;number=&amp;sourceID=53","")</f>
        <v/>
      </c>
      <c r="O1723" s="4" t="str">
        <f>HYPERLINK("http://141.218.60.56/~jnz1568/getInfo.php?workbook=16_15.xlsx&amp;sheet=A0&amp;row=1723&amp;col=15&amp;number=&amp;sourceID=55","")</f>
        <v/>
      </c>
      <c r="P1723" s="4" t="str">
        <f>HYPERLINK("http://141.218.60.56/~jnz1568/getInfo.php?workbook=16_15.xlsx&amp;sheet=A0&amp;row=1723&amp;col=16&amp;number=&amp;sourceID=55","")</f>
        <v/>
      </c>
      <c r="Q1723" s="4" t="str">
        <f>HYPERLINK("http://141.218.60.56/~jnz1568/getInfo.php?workbook=16_15.xlsx&amp;sheet=A0&amp;row=1723&amp;col=17&amp;number=&amp;sourceID=56","")</f>
        <v/>
      </c>
      <c r="R1723" s="4" t="str">
        <f>HYPERLINK("http://141.218.60.56/~jnz1568/getInfo.php?workbook=16_15.xlsx&amp;sheet=A0&amp;row=1723&amp;col=18&amp;number=&amp;sourceID=56","")</f>
        <v/>
      </c>
      <c r="S1723" s="4" t="str">
        <f>HYPERLINK("http://141.218.60.56/~jnz1568/getInfo.php?workbook=16_15.xlsx&amp;sheet=A0&amp;row=1723&amp;col=19&amp;number=&amp;sourceID=57","")</f>
        <v/>
      </c>
      <c r="T1723" s="4" t="str">
        <f>HYPERLINK("http://141.218.60.56/~jnz1568/getInfo.php?workbook=16_15.xlsx&amp;sheet=A0&amp;row=1723&amp;col=20&amp;number=&amp;sourceID=57","")</f>
        <v/>
      </c>
      <c r="U1723" s="4" t="str">
        <f>HYPERLINK("http://141.218.60.56/~jnz1568/getInfo.php?workbook=16_15.xlsx&amp;sheet=A0&amp;row=1723&amp;col=21&amp;number=&amp;sourceID=47","")</f>
        <v/>
      </c>
      <c r="V1723" s="4" t="str">
        <f>HYPERLINK("http://141.218.60.56/~jnz1568/getInfo.php?workbook=16_15.xlsx&amp;sheet=A0&amp;row=1723&amp;col=22&amp;number=&amp;sourceID=47","")</f>
        <v/>
      </c>
    </row>
    <row r="1724" spans="1:22">
      <c r="A1724" s="3">
        <v>16</v>
      </c>
      <c r="B1724" s="3">
        <v>15</v>
      </c>
      <c r="C1724" s="3">
        <v>66</v>
      </c>
      <c r="D1724" s="3">
        <v>49</v>
      </c>
      <c r="E1724" s="3">
        <f>((1/(INDEX(E0!J$4:J$73,C1724,1)-INDEX(E0!J$4:J$73,D1724,1))))*100000000</f>
        <v>0</v>
      </c>
      <c r="F1724" s="4" t="str">
        <f>HYPERLINK("http://141.218.60.56/~jnz1568/getInfo.php?workbook=16_15.xlsx&amp;sheet=A0&amp;row=1724&amp;col=6&amp;number=4550300&amp;sourceID=54","4550300")</f>
        <v>4550300</v>
      </c>
      <c r="G1724" s="4" t="str">
        <f>HYPERLINK("http://141.218.60.56/~jnz1568/getInfo.php?workbook=16_15.xlsx&amp;sheet=A0&amp;row=1724&amp;col=7&amp;number=&amp;sourceID=54","")</f>
        <v/>
      </c>
      <c r="H1724" s="4" t="str">
        <f>HYPERLINK("http://141.218.60.56/~jnz1568/getInfo.php?workbook=16_15.xlsx&amp;sheet=A0&amp;row=1724&amp;col=8&amp;number=&amp;sourceID=54","")</f>
        <v/>
      </c>
      <c r="I1724" s="4" t="str">
        <f>HYPERLINK("http://141.218.60.56/~jnz1568/getInfo.php?workbook=16_15.xlsx&amp;sheet=A0&amp;row=1724&amp;col=9&amp;number=3238500&amp;sourceID=54","3238500")</f>
        <v>3238500</v>
      </c>
      <c r="J1724" s="4" t="str">
        <f>HYPERLINK("http://141.218.60.56/~jnz1568/getInfo.php?workbook=16_15.xlsx&amp;sheet=A0&amp;row=1724&amp;col=10&amp;number=&amp;sourceID=54","")</f>
        <v/>
      </c>
      <c r="K1724" s="4" t="str">
        <f>HYPERLINK("http://141.218.60.56/~jnz1568/getInfo.php?workbook=16_15.xlsx&amp;sheet=A0&amp;row=1724&amp;col=11&amp;number=&amp;sourceID=54","")</f>
        <v/>
      </c>
      <c r="L1724" s="4" t="str">
        <f>HYPERLINK("http://141.218.60.56/~jnz1568/getInfo.php?workbook=16_15.xlsx&amp;sheet=A0&amp;row=1724&amp;col=12&amp;number=4941739.60692&amp;sourceID=53","4941739.60692")</f>
        <v>4941739.60692</v>
      </c>
      <c r="M1724" s="4" t="str">
        <f>HYPERLINK("http://141.218.60.56/~jnz1568/getInfo.php?workbook=16_15.xlsx&amp;sheet=A0&amp;row=1724&amp;col=13&amp;number=&amp;sourceID=53","")</f>
        <v/>
      </c>
      <c r="N1724" s="4" t="str">
        <f>HYPERLINK("http://141.218.60.56/~jnz1568/getInfo.php?workbook=16_15.xlsx&amp;sheet=A0&amp;row=1724&amp;col=14&amp;number=&amp;sourceID=53","")</f>
        <v/>
      </c>
      <c r="O1724" s="4" t="str">
        <f>HYPERLINK("http://141.218.60.56/~jnz1568/getInfo.php?workbook=16_15.xlsx&amp;sheet=A0&amp;row=1724&amp;col=15&amp;number=&amp;sourceID=55","")</f>
        <v/>
      </c>
      <c r="P1724" s="4" t="str">
        <f>HYPERLINK("http://141.218.60.56/~jnz1568/getInfo.php?workbook=16_15.xlsx&amp;sheet=A0&amp;row=1724&amp;col=16&amp;number=&amp;sourceID=55","")</f>
        <v/>
      </c>
      <c r="Q1724" s="4" t="str">
        <f>HYPERLINK("http://141.218.60.56/~jnz1568/getInfo.php?workbook=16_15.xlsx&amp;sheet=A0&amp;row=1724&amp;col=17&amp;number=&amp;sourceID=56","")</f>
        <v/>
      </c>
      <c r="R1724" s="4" t="str">
        <f>HYPERLINK("http://141.218.60.56/~jnz1568/getInfo.php?workbook=16_15.xlsx&amp;sheet=A0&amp;row=1724&amp;col=18&amp;number=&amp;sourceID=56","")</f>
        <v/>
      </c>
      <c r="S1724" s="4" t="str">
        <f>HYPERLINK("http://141.218.60.56/~jnz1568/getInfo.php?workbook=16_15.xlsx&amp;sheet=A0&amp;row=1724&amp;col=19&amp;number=&amp;sourceID=57","")</f>
        <v/>
      </c>
      <c r="T1724" s="4" t="str">
        <f>HYPERLINK("http://141.218.60.56/~jnz1568/getInfo.php?workbook=16_15.xlsx&amp;sheet=A0&amp;row=1724&amp;col=20&amp;number=&amp;sourceID=57","")</f>
        <v/>
      </c>
      <c r="U1724" s="4" t="str">
        <f>HYPERLINK("http://141.218.60.56/~jnz1568/getInfo.php?workbook=16_15.xlsx&amp;sheet=A0&amp;row=1724&amp;col=21&amp;number=&amp;sourceID=47","")</f>
        <v/>
      </c>
      <c r="V1724" s="4" t="str">
        <f>HYPERLINK("http://141.218.60.56/~jnz1568/getInfo.php?workbook=16_15.xlsx&amp;sheet=A0&amp;row=1724&amp;col=22&amp;number=&amp;sourceID=47","")</f>
        <v/>
      </c>
    </row>
    <row r="1725" spans="1:22">
      <c r="A1725" s="3">
        <v>16</v>
      </c>
      <c r="B1725" s="3">
        <v>15</v>
      </c>
      <c r="C1725" s="3">
        <v>66</v>
      </c>
      <c r="D1725" s="3">
        <v>50</v>
      </c>
      <c r="E1725" s="3">
        <f>((1/(INDEX(E0!J$4:J$73,C1725,1)-INDEX(E0!J$4:J$73,D1725,1))))*100000000</f>
        <v>0</v>
      </c>
      <c r="F1725" s="4" t="str">
        <f>HYPERLINK("http://141.218.60.56/~jnz1568/getInfo.php?workbook=16_15.xlsx&amp;sheet=A0&amp;row=1725&amp;col=6&amp;number=&amp;sourceID=54","")</f>
        <v/>
      </c>
      <c r="G1725" s="4" t="str">
        <f>HYPERLINK("http://141.218.60.56/~jnz1568/getInfo.php?workbook=16_15.xlsx&amp;sheet=A0&amp;row=1725&amp;col=7&amp;number=0.19249&amp;sourceID=54","0.19249")</f>
        <v>0.19249</v>
      </c>
      <c r="H1725" s="4" t="str">
        <f>HYPERLINK("http://141.218.60.56/~jnz1568/getInfo.php?workbook=16_15.xlsx&amp;sheet=A0&amp;row=1725&amp;col=8&amp;number=0.00019665&amp;sourceID=54","0.00019665")</f>
        <v>0.00019665</v>
      </c>
      <c r="I1725" s="4" t="str">
        <f>HYPERLINK("http://141.218.60.56/~jnz1568/getInfo.php?workbook=16_15.xlsx&amp;sheet=A0&amp;row=1725&amp;col=9&amp;number=&amp;sourceID=54","")</f>
        <v/>
      </c>
      <c r="J1725" s="4" t="str">
        <f>HYPERLINK("http://141.218.60.56/~jnz1568/getInfo.php?workbook=16_15.xlsx&amp;sheet=A0&amp;row=1725&amp;col=10&amp;number=0.13956&amp;sourceID=54","0.13956")</f>
        <v>0.13956</v>
      </c>
      <c r="K1725" s="4" t="str">
        <f>HYPERLINK("http://141.218.60.56/~jnz1568/getInfo.php?workbook=16_15.xlsx&amp;sheet=A0&amp;row=1725&amp;col=11&amp;number=0.00015211&amp;sourceID=54","0.00015211")</f>
        <v>0.00015211</v>
      </c>
      <c r="L1725" s="4" t="str">
        <f>HYPERLINK("http://141.218.60.56/~jnz1568/getInfo.php?workbook=16_15.xlsx&amp;sheet=A0&amp;row=1725&amp;col=12&amp;number=&amp;sourceID=53","")</f>
        <v/>
      </c>
      <c r="M1725" s="4" t="str">
        <f>HYPERLINK("http://141.218.60.56/~jnz1568/getInfo.php?workbook=16_15.xlsx&amp;sheet=A0&amp;row=1725&amp;col=13&amp;number=&amp;sourceID=53","")</f>
        <v/>
      </c>
      <c r="N1725" s="4" t="str">
        <f>HYPERLINK("http://141.218.60.56/~jnz1568/getInfo.php?workbook=16_15.xlsx&amp;sheet=A0&amp;row=1725&amp;col=14&amp;number=&amp;sourceID=53","")</f>
        <v/>
      </c>
      <c r="O1725" s="4" t="str">
        <f>HYPERLINK("http://141.218.60.56/~jnz1568/getInfo.php?workbook=16_15.xlsx&amp;sheet=A0&amp;row=1725&amp;col=15&amp;number=&amp;sourceID=55","")</f>
        <v/>
      </c>
      <c r="P1725" s="4" t="str">
        <f>HYPERLINK("http://141.218.60.56/~jnz1568/getInfo.php?workbook=16_15.xlsx&amp;sheet=A0&amp;row=1725&amp;col=16&amp;number=&amp;sourceID=55","")</f>
        <v/>
      </c>
      <c r="Q1725" s="4" t="str">
        <f>HYPERLINK("http://141.218.60.56/~jnz1568/getInfo.php?workbook=16_15.xlsx&amp;sheet=A0&amp;row=1725&amp;col=17&amp;number=&amp;sourceID=56","")</f>
        <v/>
      </c>
      <c r="R1725" s="4" t="str">
        <f>HYPERLINK("http://141.218.60.56/~jnz1568/getInfo.php?workbook=16_15.xlsx&amp;sheet=A0&amp;row=1725&amp;col=18&amp;number=&amp;sourceID=56","")</f>
        <v/>
      </c>
      <c r="S1725" s="4" t="str">
        <f>HYPERLINK("http://141.218.60.56/~jnz1568/getInfo.php?workbook=16_15.xlsx&amp;sheet=A0&amp;row=1725&amp;col=19&amp;number=&amp;sourceID=57","")</f>
        <v/>
      </c>
      <c r="T1725" s="4" t="str">
        <f>HYPERLINK("http://141.218.60.56/~jnz1568/getInfo.php?workbook=16_15.xlsx&amp;sheet=A0&amp;row=1725&amp;col=20&amp;number=&amp;sourceID=57","")</f>
        <v/>
      </c>
      <c r="U1725" s="4" t="str">
        <f>HYPERLINK("http://141.218.60.56/~jnz1568/getInfo.php?workbook=16_15.xlsx&amp;sheet=A0&amp;row=1725&amp;col=21&amp;number=&amp;sourceID=47","")</f>
        <v/>
      </c>
      <c r="V1725" s="4" t="str">
        <f>HYPERLINK("http://141.218.60.56/~jnz1568/getInfo.php?workbook=16_15.xlsx&amp;sheet=A0&amp;row=1725&amp;col=22&amp;number=&amp;sourceID=47","")</f>
        <v/>
      </c>
    </row>
    <row r="1726" spans="1:22">
      <c r="A1726" s="3">
        <v>16</v>
      </c>
      <c r="B1726" s="3">
        <v>15</v>
      </c>
      <c r="C1726" s="3">
        <v>66</v>
      </c>
      <c r="D1726" s="3">
        <v>51</v>
      </c>
      <c r="E1726" s="3">
        <f>((1/(INDEX(E0!J$4:J$73,C1726,1)-INDEX(E0!J$4:J$73,D1726,1))))*100000000</f>
        <v>0</v>
      </c>
      <c r="F1726" s="4" t="str">
        <f>HYPERLINK("http://141.218.60.56/~jnz1568/getInfo.php?workbook=16_15.xlsx&amp;sheet=A0&amp;row=1726&amp;col=6&amp;number=&amp;sourceID=54","")</f>
        <v/>
      </c>
      <c r="G1726" s="4" t="str">
        <f>HYPERLINK("http://141.218.60.56/~jnz1568/getInfo.php?workbook=16_15.xlsx&amp;sheet=A0&amp;row=1726&amp;col=7&amp;number=2.4745&amp;sourceID=54","2.4745")</f>
        <v>2.4745</v>
      </c>
      <c r="H1726" s="4" t="str">
        <f>HYPERLINK("http://141.218.60.56/~jnz1568/getInfo.php?workbook=16_15.xlsx&amp;sheet=A0&amp;row=1726&amp;col=8&amp;number=&amp;sourceID=54","")</f>
        <v/>
      </c>
      <c r="I1726" s="4" t="str">
        <f>HYPERLINK("http://141.218.60.56/~jnz1568/getInfo.php?workbook=16_15.xlsx&amp;sheet=A0&amp;row=1726&amp;col=9&amp;number=&amp;sourceID=54","")</f>
        <v/>
      </c>
      <c r="J1726" s="4" t="str">
        <f>HYPERLINK("http://141.218.60.56/~jnz1568/getInfo.php?workbook=16_15.xlsx&amp;sheet=A0&amp;row=1726&amp;col=10&amp;number=1.238&amp;sourceID=54","1.238")</f>
        <v>1.238</v>
      </c>
      <c r="K1726" s="4" t="str">
        <f>HYPERLINK("http://141.218.60.56/~jnz1568/getInfo.php?workbook=16_15.xlsx&amp;sheet=A0&amp;row=1726&amp;col=11&amp;number=&amp;sourceID=54","")</f>
        <v/>
      </c>
      <c r="L1726" s="4" t="str">
        <f>HYPERLINK("http://141.218.60.56/~jnz1568/getInfo.php?workbook=16_15.xlsx&amp;sheet=A0&amp;row=1726&amp;col=12&amp;number=&amp;sourceID=53","")</f>
        <v/>
      </c>
      <c r="M1726" s="4" t="str">
        <f>HYPERLINK("http://141.218.60.56/~jnz1568/getInfo.php?workbook=16_15.xlsx&amp;sheet=A0&amp;row=1726&amp;col=13&amp;number=&amp;sourceID=53","")</f>
        <v/>
      </c>
      <c r="N1726" s="4" t="str">
        <f>HYPERLINK("http://141.218.60.56/~jnz1568/getInfo.php?workbook=16_15.xlsx&amp;sheet=A0&amp;row=1726&amp;col=14&amp;number=&amp;sourceID=53","")</f>
        <v/>
      </c>
      <c r="O1726" s="4" t="str">
        <f>HYPERLINK("http://141.218.60.56/~jnz1568/getInfo.php?workbook=16_15.xlsx&amp;sheet=A0&amp;row=1726&amp;col=15&amp;number=&amp;sourceID=55","")</f>
        <v/>
      </c>
      <c r="P1726" s="4" t="str">
        <f>HYPERLINK("http://141.218.60.56/~jnz1568/getInfo.php?workbook=16_15.xlsx&amp;sheet=A0&amp;row=1726&amp;col=16&amp;number=&amp;sourceID=55","")</f>
        <v/>
      </c>
      <c r="Q1726" s="4" t="str">
        <f>HYPERLINK("http://141.218.60.56/~jnz1568/getInfo.php?workbook=16_15.xlsx&amp;sheet=A0&amp;row=1726&amp;col=17&amp;number=&amp;sourceID=56","")</f>
        <v/>
      </c>
      <c r="R1726" s="4" t="str">
        <f>HYPERLINK("http://141.218.60.56/~jnz1568/getInfo.php?workbook=16_15.xlsx&amp;sheet=A0&amp;row=1726&amp;col=18&amp;number=&amp;sourceID=56","")</f>
        <v/>
      </c>
      <c r="S1726" s="4" t="str">
        <f>HYPERLINK("http://141.218.60.56/~jnz1568/getInfo.php?workbook=16_15.xlsx&amp;sheet=A0&amp;row=1726&amp;col=19&amp;number=&amp;sourceID=57","")</f>
        <v/>
      </c>
      <c r="T1726" s="4" t="str">
        <f>HYPERLINK("http://141.218.60.56/~jnz1568/getInfo.php?workbook=16_15.xlsx&amp;sheet=A0&amp;row=1726&amp;col=20&amp;number=&amp;sourceID=57","")</f>
        <v/>
      </c>
      <c r="U1726" s="4" t="str">
        <f>HYPERLINK("http://141.218.60.56/~jnz1568/getInfo.php?workbook=16_15.xlsx&amp;sheet=A0&amp;row=1726&amp;col=21&amp;number=&amp;sourceID=47","")</f>
        <v/>
      </c>
      <c r="V1726" s="4" t="str">
        <f>HYPERLINK("http://141.218.60.56/~jnz1568/getInfo.php?workbook=16_15.xlsx&amp;sheet=A0&amp;row=1726&amp;col=22&amp;number=&amp;sourceID=47","")</f>
        <v/>
      </c>
    </row>
    <row r="1727" spans="1:22">
      <c r="A1727" s="3">
        <v>16</v>
      </c>
      <c r="B1727" s="3">
        <v>15</v>
      </c>
      <c r="C1727" s="3">
        <v>66</v>
      </c>
      <c r="D1727" s="3">
        <v>52</v>
      </c>
      <c r="E1727" s="3">
        <f>((1/(INDEX(E0!J$4:J$73,C1727,1)-INDEX(E0!J$4:J$73,D1727,1))))*100000000</f>
        <v>0</v>
      </c>
      <c r="F1727" s="4" t="str">
        <f>HYPERLINK("http://141.218.60.56/~jnz1568/getInfo.php?workbook=16_15.xlsx&amp;sheet=A0&amp;row=1727&amp;col=6&amp;number=&amp;sourceID=54","")</f>
        <v/>
      </c>
      <c r="G1727" s="4" t="str">
        <f>HYPERLINK("http://141.218.60.56/~jnz1568/getInfo.php?workbook=16_15.xlsx&amp;sheet=A0&amp;row=1727&amp;col=7&amp;number=0.017617&amp;sourceID=54","0.017617")</f>
        <v>0.017617</v>
      </c>
      <c r="H1727" s="4" t="str">
        <f>HYPERLINK("http://141.218.60.56/~jnz1568/getInfo.php?workbook=16_15.xlsx&amp;sheet=A0&amp;row=1727&amp;col=8&amp;number=0.026762&amp;sourceID=54","0.026762")</f>
        <v>0.026762</v>
      </c>
      <c r="I1727" s="4" t="str">
        <f>HYPERLINK("http://141.218.60.56/~jnz1568/getInfo.php?workbook=16_15.xlsx&amp;sheet=A0&amp;row=1727&amp;col=9&amp;number=&amp;sourceID=54","")</f>
        <v/>
      </c>
      <c r="J1727" s="4" t="str">
        <f>HYPERLINK("http://141.218.60.56/~jnz1568/getInfo.php?workbook=16_15.xlsx&amp;sheet=A0&amp;row=1727&amp;col=10&amp;number=0.015476&amp;sourceID=54","0.015476")</f>
        <v>0.015476</v>
      </c>
      <c r="K1727" s="4" t="str">
        <f>HYPERLINK("http://141.218.60.56/~jnz1568/getInfo.php?workbook=16_15.xlsx&amp;sheet=A0&amp;row=1727&amp;col=11&amp;number=0.01231&amp;sourceID=54","0.01231")</f>
        <v>0.01231</v>
      </c>
      <c r="L1727" s="4" t="str">
        <f>HYPERLINK("http://141.218.60.56/~jnz1568/getInfo.php?workbook=16_15.xlsx&amp;sheet=A0&amp;row=1727&amp;col=12&amp;number=&amp;sourceID=53","")</f>
        <v/>
      </c>
      <c r="M1727" s="4" t="str">
        <f>HYPERLINK("http://141.218.60.56/~jnz1568/getInfo.php?workbook=16_15.xlsx&amp;sheet=A0&amp;row=1727&amp;col=13&amp;number=&amp;sourceID=53","")</f>
        <v/>
      </c>
      <c r="N1727" s="4" t="str">
        <f>HYPERLINK("http://141.218.60.56/~jnz1568/getInfo.php?workbook=16_15.xlsx&amp;sheet=A0&amp;row=1727&amp;col=14&amp;number=&amp;sourceID=53","")</f>
        <v/>
      </c>
      <c r="O1727" s="4" t="str">
        <f>HYPERLINK("http://141.218.60.56/~jnz1568/getInfo.php?workbook=16_15.xlsx&amp;sheet=A0&amp;row=1727&amp;col=15&amp;number=&amp;sourceID=55","")</f>
        <v/>
      </c>
      <c r="P1727" s="4" t="str">
        <f>HYPERLINK("http://141.218.60.56/~jnz1568/getInfo.php?workbook=16_15.xlsx&amp;sheet=A0&amp;row=1727&amp;col=16&amp;number=&amp;sourceID=55","")</f>
        <v/>
      </c>
      <c r="Q1727" s="4" t="str">
        <f>HYPERLINK("http://141.218.60.56/~jnz1568/getInfo.php?workbook=16_15.xlsx&amp;sheet=A0&amp;row=1727&amp;col=17&amp;number=&amp;sourceID=56","")</f>
        <v/>
      </c>
      <c r="R1727" s="4" t="str">
        <f>HYPERLINK("http://141.218.60.56/~jnz1568/getInfo.php?workbook=16_15.xlsx&amp;sheet=A0&amp;row=1727&amp;col=18&amp;number=&amp;sourceID=56","")</f>
        <v/>
      </c>
      <c r="S1727" s="4" t="str">
        <f>HYPERLINK("http://141.218.60.56/~jnz1568/getInfo.php?workbook=16_15.xlsx&amp;sheet=A0&amp;row=1727&amp;col=19&amp;number=&amp;sourceID=57","")</f>
        <v/>
      </c>
      <c r="T1727" s="4" t="str">
        <f>HYPERLINK("http://141.218.60.56/~jnz1568/getInfo.php?workbook=16_15.xlsx&amp;sheet=A0&amp;row=1727&amp;col=20&amp;number=&amp;sourceID=57","")</f>
        <v/>
      </c>
      <c r="U1727" s="4" t="str">
        <f>HYPERLINK("http://141.218.60.56/~jnz1568/getInfo.php?workbook=16_15.xlsx&amp;sheet=A0&amp;row=1727&amp;col=21&amp;number=&amp;sourceID=47","")</f>
        <v/>
      </c>
      <c r="V1727" s="4" t="str">
        <f>HYPERLINK("http://141.218.60.56/~jnz1568/getInfo.php?workbook=16_15.xlsx&amp;sheet=A0&amp;row=1727&amp;col=22&amp;number=&amp;sourceID=47","")</f>
        <v/>
      </c>
    </row>
    <row r="1728" spans="1:22">
      <c r="A1728" s="3">
        <v>16</v>
      </c>
      <c r="B1728" s="3">
        <v>15</v>
      </c>
      <c r="C1728" s="3">
        <v>66</v>
      </c>
      <c r="D1728" s="3">
        <v>53</v>
      </c>
      <c r="E1728" s="3">
        <f>((1/(INDEX(E0!J$4:J$73,C1728,1)-INDEX(E0!J$4:J$73,D1728,1))))*100000000</f>
        <v>0</v>
      </c>
      <c r="F1728" s="4" t="str">
        <f>HYPERLINK("http://141.218.60.56/~jnz1568/getInfo.php?workbook=16_15.xlsx&amp;sheet=A0&amp;row=1728&amp;col=6&amp;number=&amp;sourceID=54","")</f>
        <v/>
      </c>
      <c r="G1728" s="4" t="str">
        <f>HYPERLINK("http://141.218.60.56/~jnz1568/getInfo.php?workbook=16_15.xlsx&amp;sheet=A0&amp;row=1728&amp;col=7&amp;number=0.11493&amp;sourceID=54","0.11493")</f>
        <v>0.11493</v>
      </c>
      <c r="H1728" s="4" t="str">
        <f>HYPERLINK("http://141.218.60.56/~jnz1568/getInfo.php?workbook=16_15.xlsx&amp;sheet=A0&amp;row=1728&amp;col=8&amp;number=0.014851&amp;sourceID=54","0.014851")</f>
        <v>0.014851</v>
      </c>
      <c r="I1728" s="4" t="str">
        <f>HYPERLINK("http://141.218.60.56/~jnz1568/getInfo.php?workbook=16_15.xlsx&amp;sheet=A0&amp;row=1728&amp;col=9&amp;number=&amp;sourceID=54","")</f>
        <v/>
      </c>
      <c r="J1728" s="4" t="str">
        <f>HYPERLINK("http://141.218.60.56/~jnz1568/getInfo.php?workbook=16_15.xlsx&amp;sheet=A0&amp;row=1728&amp;col=10&amp;number=0.10781&amp;sourceID=54","0.10781")</f>
        <v>0.10781</v>
      </c>
      <c r="K1728" s="4" t="str">
        <f>HYPERLINK("http://141.218.60.56/~jnz1568/getInfo.php?workbook=16_15.xlsx&amp;sheet=A0&amp;row=1728&amp;col=11&amp;number=0.014656&amp;sourceID=54","0.014656")</f>
        <v>0.014656</v>
      </c>
      <c r="L1728" s="4" t="str">
        <f>HYPERLINK("http://141.218.60.56/~jnz1568/getInfo.php?workbook=16_15.xlsx&amp;sheet=A0&amp;row=1728&amp;col=12&amp;number=&amp;sourceID=53","")</f>
        <v/>
      </c>
      <c r="M1728" s="4" t="str">
        <f>HYPERLINK("http://141.218.60.56/~jnz1568/getInfo.php?workbook=16_15.xlsx&amp;sheet=A0&amp;row=1728&amp;col=13&amp;number=&amp;sourceID=53","")</f>
        <v/>
      </c>
      <c r="N1728" s="4" t="str">
        <f>HYPERLINK("http://141.218.60.56/~jnz1568/getInfo.php?workbook=16_15.xlsx&amp;sheet=A0&amp;row=1728&amp;col=14&amp;number=&amp;sourceID=53","")</f>
        <v/>
      </c>
      <c r="O1728" s="4" t="str">
        <f>HYPERLINK("http://141.218.60.56/~jnz1568/getInfo.php?workbook=16_15.xlsx&amp;sheet=A0&amp;row=1728&amp;col=15&amp;number=&amp;sourceID=55","")</f>
        <v/>
      </c>
      <c r="P1728" s="4" t="str">
        <f>HYPERLINK("http://141.218.60.56/~jnz1568/getInfo.php?workbook=16_15.xlsx&amp;sheet=A0&amp;row=1728&amp;col=16&amp;number=&amp;sourceID=55","")</f>
        <v/>
      </c>
      <c r="Q1728" s="4" t="str">
        <f>HYPERLINK("http://141.218.60.56/~jnz1568/getInfo.php?workbook=16_15.xlsx&amp;sheet=A0&amp;row=1728&amp;col=17&amp;number=&amp;sourceID=56","")</f>
        <v/>
      </c>
      <c r="R1728" s="4" t="str">
        <f>HYPERLINK("http://141.218.60.56/~jnz1568/getInfo.php?workbook=16_15.xlsx&amp;sheet=A0&amp;row=1728&amp;col=18&amp;number=&amp;sourceID=56","")</f>
        <v/>
      </c>
      <c r="S1728" s="4" t="str">
        <f>HYPERLINK("http://141.218.60.56/~jnz1568/getInfo.php?workbook=16_15.xlsx&amp;sheet=A0&amp;row=1728&amp;col=19&amp;number=&amp;sourceID=57","")</f>
        <v/>
      </c>
      <c r="T1728" s="4" t="str">
        <f>HYPERLINK("http://141.218.60.56/~jnz1568/getInfo.php?workbook=16_15.xlsx&amp;sheet=A0&amp;row=1728&amp;col=20&amp;number=&amp;sourceID=57","")</f>
        <v/>
      </c>
      <c r="U1728" s="4" t="str">
        <f>HYPERLINK("http://141.218.60.56/~jnz1568/getInfo.php?workbook=16_15.xlsx&amp;sheet=A0&amp;row=1728&amp;col=21&amp;number=&amp;sourceID=47","")</f>
        <v/>
      </c>
      <c r="V1728" s="4" t="str">
        <f>HYPERLINK("http://141.218.60.56/~jnz1568/getInfo.php?workbook=16_15.xlsx&amp;sheet=A0&amp;row=1728&amp;col=22&amp;number=&amp;sourceID=47","")</f>
        <v/>
      </c>
    </row>
    <row r="1729" spans="1:22">
      <c r="A1729" s="3">
        <v>16</v>
      </c>
      <c r="B1729" s="3">
        <v>15</v>
      </c>
      <c r="C1729" s="3">
        <v>66</v>
      </c>
      <c r="D1729" s="3">
        <v>54</v>
      </c>
      <c r="E1729" s="3">
        <f>((1/(INDEX(E0!J$4:J$73,C1729,1)-INDEX(E0!J$4:J$73,D1729,1))))*100000000</f>
        <v>0</v>
      </c>
      <c r="F1729" s="4" t="str">
        <f>HYPERLINK("http://141.218.60.56/~jnz1568/getInfo.php?workbook=16_15.xlsx&amp;sheet=A0&amp;row=1729&amp;col=6&amp;number=&amp;sourceID=54","")</f>
        <v/>
      </c>
      <c r="G1729" s="4" t="str">
        <f>HYPERLINK("http://141.218.60.56/~jnz1568/getInfo.php?workbook=16_15.xlsx&amp;sheet=A0&amp;row=1729&amp;col=7&amp;number=0.030514&amp;sourceID=54","0.030514")</f>
        <v>0.030514</v>
      </c>
      <c r="H1729" s="4" t="str">
        <f>HYPERLINK("http://141.218.60.56/~jnz1568/getInfo.php?workbook=16_15.xlsx&amp;sheet=A0&amp;row=1729&amp;col=8&amp;number=&amp;sourceID=54","")</f>
        <v/>
      </c>
      <c r="I1729" s="4" t="str">
        <f>HYPERLINK("http://141.218.60.56/~jnz1568/getInfo.php?workbook=16_15.xlsx&amp;sheet=A0&amp;row=1729&amp;col=9&amp;number=&amp;sourceID=54","")</f>
        <v/>
      </c>
      <c r="J1729" s="4" t="str">
        <f>HYPERLINK("http://141.218.60.56/~jnz1568/getInfo.php?workbook=16_15.xlsx&amp;sheet=A0&amp;row=1729&amp;col=10&amp;number=0.018615&amp;sourceID=54","0.018615")</f>
        <v>0.018615</v>
      </c>
      <c r="K1729" s="4" t="str">
        <f>HYPERLINK("http://141.218.60.56/~jnz1568/getInfo.php?workbook=16_15.xlsx&amp;sheet=A0&amp;row=1729&amp;col=11&amp;number=&amp;sourceID=54","")</f>
        <v/>
      </c>
      <c r="L1729" s="4" t="str">
        <f>HYPERLINK("http://141.218.60.56/~jnz1568/getInfo.php?workbook=16_15.xlsx&amp;sheet=A0&amp;row=1729&amp;col=12&amp;number=&amp;sourceID=53","")</f>
        <v/>
      </c>
      <c r="M1729" s="4" t="str">
        <f>HYPERLINK("http://141.218.60.56/~jnz1568/getInfo.php?workbook=16_15.xlsx&amp;sheet=A0&amp;row=1729&amp;col=13&amp;number=&amp;sourceID=53","")</f>
        <v/>
      </c>
      <c r="N1729" s="4" t="str">
        <f>HYPERLINK("http://141.218.60.56/~jnz1568/getInfo.php?workbook=16_15.xlsx&amp;sheet=A0&amp;row=1729&amp;col=14&amp;number=&amp;sourceID=53","")</f>
        <v/>
      </c>
      <c r="O1729" s="4" t="str">
        <f>HYPERLINK("http://141.218.60.56/~jnz1568/getInfo.php?workbook=16_15.xlsx&amp;sheet=A0&amp;row=1729&amp;col=15&amp;number=&amp;sourceID=55","")</f>
        <v/>
      </c>
      <c r="P1729" s="4" t="str">
        <f>HYPERLINK("http://141.218.60.56/~jnz1568/getInfo.php?workbook=16_15.xlsx&amp;sheet=A0&amp;row=1729&amp;col=16&amp;number=&amp;sourceID=55","")</f>
        <v/>
      </c>
      <c r="Q1729" s="4" t="str">
        <f>HYPERLINK("http://141.218.60.56/~jnz1568/getInfo.php?workbook=16_15.xlsx&amp;sheet=A0&amp;row=1729&amp;col=17&amp;number=&amp;sourceID=56","")</f>
        <v/>
      </c>
      <c r="R1729" s="4" t="str">
        <f>HYPERLINK("http://141.218.60.56/~jnz1568/getInfo.php?workbook=16_15.xlsx&amp;sheet=A0&amp;row=1729&amp;col=18&amp;number=&amp;sourceID=56","")</f>
        <v/>
      </c>
      <c r="S1729" s="4" t="str">
        <f>HYPERLINK("http://141.218.60.56/~jnz1568/getInfo.php?workbook=16_15.xlsx&amp;sheet=A0&amp;row=1729&amp;col=19&amp;number=&amp;sourceID=57","")</f>
        <v/>
      </c>
      <c r="T1729" s="4" t="str">
        <f>HYPERLINK("http://141.218.60.56/~jnz1568/getInfo.php?workbook=16_15.xlsx&amp;sheet=A0&amp;row=1729&amp;col=20&amp;number=&amp;sourceID=57","")</f>
        <v/>
      </c>
      <c r="U1729" s="4" t="str">
        <f>HYPERLINK("http://141.218.60.56/~jnz1568/getInfo.php?workbook=16_15.xlsx&amp;sheet=A0&amp;row=1729&amp;col=21&amp;number=&amp;sourceID=47","")</f>
        <v/>
      </c>
      <c r="V1729" s="4" t="str">
        <f>HYPERLINK("http://141.218.60.56/~jnz1568/getInfo.php?workbook=16_15.xlsx&amp;sheet=A0&amp;row=1729&amp;col=22&amp;number=&amp;sourceID=47","")</f>
        <v/>
      </c>
    </row>
    <row r="1730" spans="1:22">
      <c r="A1730" s="3">
        <v>16</v>
      </c>
      <c r="B1730" s="3">
        <v>15</v>
      </c>
      <c r="C1730" s="3">
        <v>66</v>
      </c>
      <c r="D1730" s="3">
        <v>55</v>
      </c>
      <c r="E1730" s="3">
        <f>((1/(INDEX(E0!J$4:J$73,C1730,1)-INDEX(E0!J$4:J$73,D1730,1))))*100000000</f>
        <v>0</v>
      </c>
      <c r="F1730" s="4" t="str">
        <f>HYPERLINK("http://141.218.60.56/~jnz1568/getInfo.php?workbook=16_15.xlsx&amp;sheet=A0&amp;row=1730&amp;col=6&amp;number=&amp;sourceID=54","")</f>
        <v/>
      </c>
      <c r="G1730" s="4" t="str">
        <f>HYPERLINK("http://141.218.60.56/~jnz1568/getInfo.php?workbook=16_15.xlsx&amp;sheet=A0&amp;row=1730&amp;col=7&amp;number=0.099145&amp;sourceID=54","0.099145")</f>
        <v>0.099145</v>
      </c>
      <c r="H1730" s="4" t="str">
        <f>HYPERLINK("http://141.218.60.56/~jnz1568/getInfo.php?workbook=16_15.xlsx&amp;sheet=A0&amp;row=1730&amp;col=8&amp;number=3.4159e-06&amp;sourceID=54","3.4159e-06")</f>
        <v>3.4159e-06</v>
      </c>
      <c r="I1730" s="4" t="str">
        <f>HYPERLINK("http://141.218.60.56/~jnz1568/getInfo.php?workbook=16_15.xlsx&amp;sheet=A0&amp;row=1730&amp;col=9&amp;number=&amp;sourceID=54","")</f>
        <v/>
      </c>
      <c r="J1730" s="4" t="str">
        <f>HYPERLINK("http://141.218.60.56/~jnz1568/getInfo.php?workbook=16_15.xlsx&amp;sheet=A0&amp;row=1730&amp;col=10&amp;number=0.063668&amp;sourceID=54","0.063668")</f>
        <v>0.063668</v>
      </c>
      <c r="K1730" s="4" t="str">
        <f>HYPERLINK("http://141.218.60.56/~jnz1568/getInfo.php?workbook=16_15.xlsx&amp;sheet=A0&amp;row=1730&amp;col=11&amp;number=2.9697e-06&amp;sourceID=54","2.9697e-06")</f>
        <v>2.9697e-06</v>
      </c>
      <c r="L1730" s="4" t="str">
        <f>HYPERLINK("http://141.218.60.56/~jnz1568/getInfo.php?workbook=16_15.xlsx&amp;sheet=A0&amp;row=1730&amp;col=12&amp;number=&amp;sourceID=53","")</f>
        <v/>
      </c>
      <c r="M1730" s="4" t="str">
        <f>HYPERLINK("http://141.218.60.56/~jnz1568/getInfo.php?workbook=16_15.xlsx&amp;sheet=A0&amp;row=1730&amp;col=13&amp;number=&amp;sourceID=53","")</f>
        <v/>
      </c>
      <c r="N1730" s="4" t="str">
        <f>HYPERLINK("http://141.218.60.56/~jnz1568/getInfo.php?workbook=16_15.xlsx&amp;sheet=A0&amp;row=1730&amp;col=14&amp;number=&amp;sourceID=53","")</f>
        <v/>
      </c>
      <c r="O1730" s="4" t="str">
        <f>HYPERLINK("http://141.218.60.56/~jnz1568/getInfo.php?workbook=16_15.xlsx&amp;sheet=A0&amp;row=1730&amp;col=15&amp;number=&amp;sourceID=55","")</f>
        <v/>
      </c>
      <c r="P1730" s="4" t="str">
        <f>HYPERLINK("http://141.218.60.56/~jnz1568/getInfo.php?workbook=16_15.xlsx&amp;sheet=A0&amp;row=1730&amp;col=16&amp;number=&amp;sourceID=55","")</f>
        <v/>
      </c>
      <c r="Q1730" s="4" t="str">
        <f>HYPERLINK("http://141.218.60.56/~jnz1568/getInfo.php?workbook=16_15.xlsx&amp;sheet=A0&amp;row=1730&amp;col=17&amp;number=&amp;sourceID=56","")</f>
        <v/>
      </c>
      <c r="R1730" s="4" t="str">
        <f>HYPERLINK("http://141.218.60.56/~jnz1568/getInfo.php?workbook=16_15.xlsx&amp;sheet=A0&amp;row=1730&amp;col=18&amp;number=&amp;sourceID=56","")</f>
        <v/>
      </c>
      <c r="S1730" s="4" t="str">
        <f>HYPERLINK("http://141.218.60.56/~jnz1568/getInfo.php?workbook=16_15.xlsx&amp;sheet=A0&amp;row=1730&amp;col=19&amp;number=&amp;sourceID=57","")</f>
        <v/>
      </c>
      <c r="T1730" s="4" t="str">
        <f>HYPERLINK("http://141.218.60.56/~jnz1568/getInfo.php?workbook=16_15.xlsx&amp;sheet=A0&amp;row=1730&amp;col=20&amp;number=&amp;sourceID=57","")</f>
        <v/>
      </c>
      <c r="U1730" s="4" t="str">
        <f>HYPERLINK("http://141.218.60.56/~jnz1568/getInfo.php?workbook=16_15.xlsx&amp;sheet=A0&amp;row=1730&amp;col=21&amp;number=&amp;sourceID=47","")</f>
        <v/>
      </c>
      <c r="V1730" s="4" t="str">
        <f>HYPERLINK("http://141.218.60.56/~jnz1568/getInfo.php?workbook=16_15.xlsx&amp;sheet=A0&amp;row=1730&amp;col=22&amp;number=&amp;sourceID=47","")</f>
        <v/>
      </c>
    </row>
    <row r="1731" spans="1:22">
      <c r="A1731" s="3">
        <v>16</v>
      </c>
      <c r="B1731" s="3">
        <v>15</v>
      </c>
      <c r="C1731" s="3">
        <v>66</v>
      </c>
      <c r="D1731" s="3">
        <v>56</v>
      </c>
      <c r="E1731" s="3">
        <f>((1/(INDEX(E0!J$4:J$73,C1731,1)-INDEX(E0!J$4:J$73,D1731,1))))*100000000</f>
        <v>0</v>
      </c>
      <c r="F1731" s="4" t="str">
        <f>HYPERLINK("http://141.218.60.56/~jnz1568/getInfo.php?workbook=16_15.xlsx&amp;sheet=A0&amp;row=1731&amp;col=6&amp;number=82335&amp;sourceID=54","82335")</f>
        <v>82335</v>
      </c>
      <c r="G1731" s="4" t="str">
        <f>HYPERLINK("http://141.218.60.56/~jnz1568/getInfo.php?workbook=16_15.xlsx&amp;sheet=A0&amp;row=1731&amp;col=7&amp;number=&amp;sourceID=54","")</f>
        <v/>
      </c>
      <c r="H1731" s="4" t="str">
        <f>HYPERLINK("http://141.218.60.56/~jnz1568/getInfo.php?workbook=16_15.xlsx&amp;sheet=A0&amp;row=1731&amp;col=8&amp;number=&amp;sourceID=54","")</f>
        <v/>
      </c>
      <c r="I1731" s="4" t="str">
        <f>HYPERLINK("http://141.218.60.56/~jnz1568/getInfo.php?workbook=16_15.xlsx&amp;sheet=A0&amp;row=1731&amp;col=9&amp;number=36099&amp;sourceID=54","36099")</f>
        <v>36099</v>
      </c>
      <c r="J1731" s="4" t="str">
        <f>HYPERLINK("http://141.218.60.56/~jnz1568/getInfo.php?workbook=16_15.xlsx&amp;sheet=A0&amp;row=1731&amp;col=10&amp;number=&amp;sourceID=54","")</f>
        <v/>
      </c>
      <c r="K1731" s="4" t="str">
        <f>HYPERLINK("http://141.218.60.56/~jnz1568/getInfo.php?workbook=16_15.xlsx&amp;sheet=A0&amp;row=1731&amp;col=11&amp;number=&amp;sourceID=54","")</f>
        <v/>
      </c>
      <c r="L1731" s="4" t="str">
        <f>HYPERLINK("http://141.218.60.56/~jnz1568/getInfo.php?workbook=16_15.xlsx&amp;sheet=A0&amp;row=1731&amp;col=12&amp;number=66590.374993&amp;sourceID=53","66590.374993")</f>
        <v>66590.374993</v>
      </c>
      <c r="M1731" s="4" t="str">
        <f>HYPERLINK("http://141.218.60.56/~jnz1568/getInfo.php?workbook=16_15.xlsx&amp;sheet=A0&amp;row=1731&amp;col=13&amp;number=&amp;sourceID=53","")</f>
        <v/>
      </c>
      <c r="N1731" s="4" t="str">
        <f>HYPERLINK("http://141.218.60.56/~jnz1568/getInfo.php?workbook=16_15.xlsx&amp;sheet=A0&amp;row=1731&amp;col=14&amp;number=&amp;sourceID=53","")</f>
        <v/>
      </c>
      <c r="O1731" s="4" t="str">
        <f>HYPERLINK("http://141.218.60.56/~jnz1568/getInfo.php?workbook=16_15.xlsx&amp;sheet=A0&amp;row=1731&amp;col=15&amp;number=&amp;sourceID=55","")</f>
        <v/>
      </c>
      <c r="P1731" s="4" t="str">
        <f>HYPERLINK("http://141.218.60.56/~jnz1568/getInfo.php?workbook=16_15.xlsx&amp;sheet=A0&amp;row=1731&amp;col=16&amp;number=&amp;sourceID=55","")</f>
        <v/>
      </c>
      <c r="Q1731" s="4" t="str">
        <f>HYPERLINK("http://141.218.60.56/~jnz1568/getInfo.php?workbook=16_15.xlsx&amp;sheet=A0&amp;row=1731&amp;col=17&amp;number=&amp;sourceID=56","")</f>
        <v/>
      </c>
      <c r="R1731" s="4" t="str">
        <f>HYPERLINK("http://141.218.60.56/~jnz1568/getInfo.php?workbook=16_15.xlsx&amp;sheet=A0&amp;row=1731&amp;col=18&amp;number=&amp;sourceID=56","")</f>
        <v/>
      </c>
      <c r="S1731" s="4" t="str">
        <f>HYPERLINK("http://141.218.60.56/~jnz1568/getInfo.php?workbook=16_15.xlsx&amp;sheet=A0&amp;row=1731&amp;col=19&amp;number=&amp;sourceID=57","")</f>
        <v/>
      </c>
      <c r="T1731" s="4" t="str">
        <f>HYPERLINK("http://141.218.60.56/~jnz1568/getInfo.php?workbook=16_15.xlsx&amp;sheet=A0&amp;row=1731&amp;col=20&amp;number=&amp;sourceID=57","")</f>
        <v/>
      </c>
      <c r="U1731" s="4" t="str">
        <f>HYPERLINK("http://141.218.60.56/~jnz1568/getInfo.php?workbook=16_15.xlsx&amp;sheet=A0&amp;row=1731&amp;col=21&amp;number=&amp;sourceID=47","")</f>
        <v/>
      </c>
      <c r="V1731" s="4" t="str">
        <f>HYPERLINK("http://141.218.60.56/~jnz1568/getInfo.php?workbook=16_15.xlsx&amp;sheet=A0&amp;row=1731&amp;col=22&amp;number=&amp;sourceID=47","")</f>
        <v/>
      </c>
    </row>
    <row r="1732" spans="1:22">
      <c r="A1732" s="3">
        <v>16</v>
      </c>
      <c r="B1732" s="3">
        <v>15</v>
      </c>
      <c r="C1732" s="3">
        <v>66</v>
      </c>
      <c r="D1732" s="3">
        <v>57</v>
      </c>
      <c r="E1732" s="3">
        <f>((1/(INDEX(E0!J$4:J$73,C1732,1)-INDEX(E0!J$4:J$73,D1732,1))))*100000000</f>
        <v>0</v>
      </c>
      <c r="F1732" s="4" t="str">
        <f>HYPERLINK("http://141.218.60.56/~jnz1568/getInfo.php?workbook=16_15.xlsx&amp;sheet=A0&amp;row=1732&amp;col=6&amp;number=295140&amp;sourceID=54","295140")</f>
        <v>295140</v>
      </c>
      <c r="G1732" s="4" t="str">
        <f>HYPERLINK("http://141.218.60.56/~jnz1568/getInfo.php?workbook=16_15.xlsx&amp;sheet=A0&amp;row=1732&amp;col=7&amp;number=&amp;sourceID=54","")</f>
        <v/>
      </c>
      <c r="H1732" s="4" t="str">
        <f>HYPERLINK("http://141.218.60.56/~jnz1568/getInfo.php?workbook=16_15.xlsx&amp;sheet=A0&amp;row=1732&amp;col=8&amp;number=&amp;sourceID=54","")</f>
        <v/>
      </c>
      <c r="I1732" s="4" t="str">
        <f>HYPERLINK("http://141.218.60.56/~jnz1568/getInfo.php?workbook=16_15.xlsx&amp;sheet=A0&amp;row=1732&amp;col=9&amp;number=184760&amp;sourceID=54","184760")</f>
        <v>184760</v>
      </c>
      <c r="J1732" s="4" t="str">
        <f>HYPERLINK("http://141.218.60.56/~jnz1568/getInfo.php?workbook=16_15.xlsx&amp;sheet=A0&amp;row=1732&amp;col=10&amp;number=&amp;sourceID=54","")</f>
        <v/>
      </c>
      <c r="K1732" s="4" t="str">
        <f>HYPERLINK("http://141.218.60.56/~jnz1568/getInfo.php?workbook=16_15.xlsx&amp;sheet=A0&amp;row=1732&amp;col=11&amp;number=&amp;sourceID=54","")</f>
        <v/>
      </c>
      <c r="L1732" s="4" t="str">
        <f>HYPERLINK("http://141.218.60.56/~jnz1568/getInfo.php?workbook=16_15.xlsx&amp;sheet=A0&amp;row=1732&amp;col=12&amp;number=324896.348534&amp;sourceID=53","324896.348534")</f>
        <v>324896.348534</v>
      </c>
      <c r="M1732" s="4" t="str">
        <f>HYPERLINK("http://141.218.60.56/~jnz1568/getInfo.php?workbook=16_15.xlsx&amp;sheet=A0&amp;row=1732&amp;col=13&amp;number=&amp;sourceID=53","")</f>
        <v/>
      </c>
      <c r="N1732" s="4" t="str">
        <f>HYPERLINK("http://141.218.60.56/~jnz1568/getInfo.php?workbook=16_15.xlsx&amp;sheet=A0&amp;row=1732&amp;col=14&amp;number=&amp;sourceID=53","")</f>
        <v/>
      </c>
      <c r="O1732" s="4" t="str">
        <f>HYPERLINK("http://141.218.60.56/~jnz1568/getInfo.php?workbook=16_15.xlsx&amp;sheet=A0&amp;row=1732&amp;col=15&amp;number=&amp;sourceID=55","")</f>
        <v/>
      </c>
      <c r="P1732" s="4" t="str">
        <f>HYPERLINK("http://141.218.60.56/~jnz1568/getInfo.php?workbook=16_15.xlsx&amp;sheet=A0&amp;row=1732&amp;col=16&amp;number=&amp;sourceID=55","")</f>
        <v/>
      </c>
      <c r="Q1732" s="4" t="str">
        <f>HYPERLINK("http://141.218.60.56/~jnz1568/getInfo.php?workbook=16_15.xlsx&amp;sheet=A0&amp;row=1732&amp;col=17&amp;number=&amp;sourceID=56","")</f>
        <v/>
      </c>
      <c r="R1732" s="4" t="str">
        <f>HYPERLINK("http://141.218.60.56/~jnz1568/getInfo.php?workbook=16_15.xlsx&amp;sheet=A0&amp;row=1732&amp;col=18&amp;number=&amp;sourceID=56","")</f>
        <v/>
      </c>
      <c r="S1732" s="4" t="str">
        <f>HYPERLINK("http://141.218.60.56/~jnz1568/getInfo.php?workbook=16_15.xlsx&amp;sheet=A0&amp;row=1732&amp;col=19&amp;number=&amp;sourceID=57","")</f>
        <v/>
      </c>
      <c r="T1732" s="4" t="str">
        <f>HYPERLINK("http://141.218.60.56/~jnz1568/getInfo.php?workbook=16_15.xlsx&amp;sheet=A0&amp;row=1732&amp;col=20&amp;number=&amp;sourceID=57","")</f>
        <v/>
      </c>
      <c r="U1732" s="4" t="str">
        <f>HYPERLINK("http://141.218.60.56/~jnz1568/getInfo.php?workbook=16_15.xlsx&amp;sheet=A0&amp;row=1732&amp;col=21&amp;number=&amp;sourceID=47","")</f>
        <v/>
      </c>
      <c r="V1732" s="4" t="str">
        <f>HYPERLINK("http://141.218.60.56/~jnz1568/getInfo.php?workbook=16_15.xlsx&amp;sheet=A0&amp;row=1732&amp;col=22&amp;number=&amp;sourceID=47","")</f>
        <v/>
      </c>
    </row>
    <row r="1733" spans="1:22">
      <c r="A1733" s="3">
        <v>16</v>
      </c>
      <c r="B1733" s="3">
        <v>15</v>
      </c>
      <c r="C1733" s="3">
        <v>66</v>
      </c>
      <c r="D1733" s="3">
        <v>58</v>
      </c>
      <c r="E1733" s="3">
        <f>((1/(INDEX(E0!J$4:J$73,C1733,1)-INDEX(E0!J$4:J$73,D1733,1))))*100000000</f>
        <v>0</v>
      </c>
      <c r="F1733" s="4" t="str">
        <f>HYPERLINK("http://141.218.60.56/~jnz1568/getInfo.php?workbook=16_15.xlsx&amp;sheet=A0&amp;row=1733&amp;col=6&amp;number=519240&amp;sourceID=54","519240")</f>
        <v>519240</v>
      </c>
      <c r="G1733" s="4" t="str">
        <f>HYPERLINK("http://141.218.60.56/~jnz1568/getInfo.php?workbook=16_15.xlsx&amp;sheet=A0&amp;row=1733&amp;col=7&amp;number=&amp;sourceID=54","")</f>
        <v/>
      </c>
      <c r="H1733" s="4" t="str">
        <f>HYPERLINK("http://141.218.60.56/~jnz1568/getInfo.php?workbook=16_15.xlsx&amp;sheet=A0&amp;row=1733&amp;col=8&amp;number=&amp;sourceID=54","")</f>
        <v/>
      </c>
      <c r="I1733" s="4" t="str">
        <f>HYPERLINK("http://141.218.60.56/~jnz1568/getInfo.php?workbook=16_15.xlsx&amp;sheet=A0&amp;row=1733&amp;col=9&amp;number=317620&amp;sourceID=54","317620")</f>
        <v>317620</v>
      </c>
      <c r="J1733" s="4" t="str">
        <f>HYPERLINK("http://141.218.60.56/~jnz1568/getInfo.php?workbook=16_15.xlsx&amp;sheet=A0&amp;row=1733&amp;col=10&amp;number=&amp;sourceID=54","")</f>
        <v/>
      </c>
      <c r="K1733" s="4" t="str">
        <f>HYPERLINK("http://141.218.60.56/~jnz1568/getInfo.php?workbook=16_15.xlsx&amp;sheet=A0&amp;row=1733&amp;col=11&amp;number=&amp;sourceID=54","")</f>
        <v/>
      </c>
      <c r="L1733" s="4" t="str">
        <f>HYPERLINK("http://141.218.60.56/~jnz1568/getInfo.php?workbook=16_15.xlsx&amp;sheet=A0&amp;row=1733&amp;col=12&amp;number=201294.64738&amp;sourceID=53","201294.64738")</f>
        <v>201294.64738</v>
      </c>
      <c r="M1733" s="4" t="str">
        <f>HYPERLINK("http://141.218.60.56/~jnz1568/getInfo.php?workbook=16_15.xlsx&amp;sheet=A0&amp;row=1733&amp;col=13&amp;number=&amp;sourceID=53","")</f>
        <v/>
      </c>
      <c r="N1733" s="4" t="str">
        <f>HYPERLINK("http://141.218.60.56/~jnz1568/getInfo.php?workbook=16_15.xlsx&amp;sheet=A0&amp;row=1733&amp;col=14&amp;number=&amp;sourceID=53","")</f>
        <v/>
      </c>
      <c r="O1733" s="4" t="str">
        <f>HYPERLINK("http://141.218.60.56/~jnz1568/getInfo.php?workbook=16_15.xlsx&amp;sheet=A0&amp;row=1733&amp;col=15&amp;number=&amp;sourceID=55","")</f>
        <v/>
      </c>
      <c r="P1733" s="4" t="str">
        <f>HYPERLINK("http://141.218.60.56/~jnz1568/getInfo.php?workbook=16_15.xlsx&amp;sheet=A0&amp;row=1733&amp;col=16&amp;number=&amp;sourceID=55","")</f>
        <v/>
      </c>
      <c r="Q1733" s="4" t="str">
        <f>HYPERLINK("http://141.218.60.56/~jnz1568/getInfo.php?workbook=16_15.xlsx&amp;sheet=A0&amp;row=1733&amp;col=17&amp;number=&amp;sourceID=56","")</f>
        <v/>
      </c>
      <c r="R1733" s="4" t="str">
        <f>HYPERLINK("http://141.218.60.56/~jnz1568/getInfo.php?workbook=16_15.xlsx&amp;sheet=A0&amp;row=1733&amp;col=18&amp;number=&amp;sourceID=56","")</f>
        <v/>
      </c>
      <c r="S1733" s="4" t="str">
        <f>HYPERLINK("http://141.218.60.56/~jnz1568/getInfo.php?workbook=16_15.xlsx&amp;sheet=A0&amp;row=1733&amp;col=19&amp;number=&amp;sourceID=57","")</f>
        <v/>
      </c>
      <c r="T1733" s="4" t="str">
        <f>HYPERLINK("http://141.218.60.56/~jnz1568/getInfo.php?workbook=16_15.xlsx&amp;sheet=A0&amp;row=1733&amp;col=20&amp;number=&amp;sourceID=57","")</f>
        <v/>
      </c>
      <c r="U1733" s="4" t="str">
        <f>HYPERLINK("http://141.218.60.56/~jnz1568/getInfo.php?workbook=16_15.xlsx&amp;sheet=A0&amp;row=1733&amp;col=21&amp;number=&amp;sourceID=47","")</f>
        <v/>
      </c>
      <c r="V1733" s="4" t="str">
        <f>HYPERLINK("http://141.218.60.56/~jnz1568/getInfo.php?workbook=16_15.xlsx&amp;sheet=A0&amp;row=1733&amp;col=22&amp;number=&amp;sourceID=47","")</f>
        <v/>
      </c>
    </row>
    <row r="1734" spans="1:22">
      <c r="A1734" s="3">
        <v>16</v>
      </c>
      <c r="B1734" s="3">
        <v>15</v>
      </c>
      <c r="C1734" s="3">
        <v>66</v>
      </c>
      <c r="D1734" s="3">
        <v>59</v>
      </c>
      <c r="E1734" s="3">
        <f>((1/(INDEX(E0!J$4:J$73,C1734,1)-INDEX(E0!J$4:J$73,D1734,1))))*100000000</f>
        <v>0</v>
      </c>
      <c r="F1734" s="4" t="str">
        <f>HYPERLINK("http://141.218.60.56/~jnz1568/getInfo.php?workbook=16_15.xlsx&amp;sheet=A0&amp;row=1734&amp;col=6&amp;number=39151&amp;sourceID=54","39151")</f>
        <v>39151</v>
      </c>
      <c r="G1734" s="4" t="str">
        <f>HYPERLINK("http://141.218.60.56/~jnz1568/getInfo.php?workbook=16_15.xlsx&amp;sheet=A0&amp;row=1734&amp;col=7&amp;number=&amp;sourceID=54","")</f>
        <v/>
      </c>
      <c r="H1734" s="4" t="str">
        <f>HYPERLINK("http://141.218.60.56/~jnz1568/getInfo.php?workbook=16_15.xlsx&amp;sheet=A0&amp;row=1734&amp;col=8&amp;number=&amp;sourceID=54","")</f>
        <v/>
      </c>
      <c r="I1734" s="4" t="str">
        <f>HYPERLINK("http://141.218.60.56/~jnz1568/getInfo.php?workbook=16_15.xlsx&amp;sheet=A0&amp;row=1734&amp;col=9&amp;number=23520&amp;sourceID=54","23520")</f>
        <v>23520</v>
      </c>
      <c r="J1734" s="4" t="str">
        <f>HYPERLINK("http://141.218.60.56/~jnz1568/getInfo.php?workbook=16_15.xlsx&amp;sheet=A0&amp;row=1734&amp;col=10&amp;number=&amp;sourceID=54","")</f>
        <v/>
      </c>
      <c r="K1734" s="4" t="str">
        <f>HYPERLINK("http://141.218.60.56/~jnz1568/getInfo.php?workbook=16_15.xlsx&amp;sheet=A0&amp;row=1734&amp;col=11&amp;number=&amp;sourceID=54","")</f>
        <v/>
      </c>
      <c r="L1734" s="4" t="str">
        <f>HYPERLINK("http://141.218.60.56/~jnz1568/getInfo.php?workbook=16_15.xlsx&amp;sheet=A0&amp;row=1734&amp;col=12&amp;number=8548.36192095&amp;sourceID=53","8548.36192095")</f>
        <v>8548.36192095</v>
      </c>
      <c r="M1734" s="4" t="str">
        <f>HYPERLINK("http://141.218.60.56/~jnz1568/getInfo.php?workbook=16_15.xlsx&amp;sheet=A0&amp;row=1734&amp;col=13&amp;number=&amp;sourceID=53","")</f>
        <v/>
      </c>
      <c r="N1734" s="4" t="str">
        <f>HYPERLINK("http://141.218.60.56/~jnz1568/getInfo.php?workbook=16_15.xlsx&amp;sheet=A0&amp;row=1734&amp;col=14&amp;number=&amp;sourceID=53","")</f>
        <v/>
      </c>
      <c r="O1734" s="4" t="str">
        <f>HYPERLINK("http://141.218.60.56/~jnz1568/getInfo.php?workbook=16_15.xlsx&amp;sheet=A0&amp;row=1734&amp;col=15&amp;number=&amp;sourceID=55","")</f>
        <v/>
      </c>
      <c r="P1734" s="4" t="str">
        <f>HYPERLINK("http://141.218.60.56/~jnz1568/getInfo.php?workbook=16_15.xlsx&amp;sheet=A0&amp;row=1734&amp;col=16&amp;number=&amp;sourceID=55","")</f>
        <v/>
      </c>
      <c r="Q1734" s="4" t="str">
        <f>HYPERLINK("http://141.218.60.56/~jnz1568/getInfo.php?workbook=16_15.xlsx&amp;sheet=A0&amp;row=1734&amp;col=17&amp;number=&amp;sourceID=56","")</f>
        <v/>
      </c>
      <c r="R1734" s="4" t="str">
        <f>HYPERLINK("http://141.218.60.56/~jnz1568/getInfo.php?workbook=16_15.xlsx&amp;sheet=A0&amp;row=1734&amp;col=18&amp;number=&amp;sourceID=56","")</f>
        <v/>
      </c>
      <c r="S1734" s="4" t="str">
        <f>HYPERLINK("http://141.218.60.56/~jnz1568/getInfo.php?workbook=16_15.xlsx&amp;sheet=A0&amp;row=1734&amp;col=19&amp;number=&amp;sourceID=57","")</f>
        <v/>
      </c>
      <c r="T1734" s="4" t="str">
        <f>HYPERLINK("http://141.218.60.56/~jnz1568/getInfo.php?workbook=16_15.xlsx&amp;sheet=A0&amp;row=1734&amp;col=20&amp;number=&amp;sourceID=57","")</f>
        <v/>
      </c>
      <c r="U1734" s="4" t="str">
        <f>HYPERLINK("http://141.218.60.56/~jnz1568/getInfo.php?workbook=16_15.xlsx&amp;sheet=A0&amp;row=1734&amp;col=21&amp;number=&amp;sourceID=47","")</f>
        <v/>
      </c>
      <c r="V1734" s="4" t="str">
        <f>HYPERLINK("http://141.218.60.56/~jnz1568/getInfo.php?workbook=16_15.xlsx&amp;sheet=A0&amp;row=1734&amp;col=22&amp;number=&amp;sourceID=47","")</f>
        <v/>
      </c>
    </row>
    <row r="1735" spans="1:22">
      <c r="A1735" s="3">
        <v>16</v>
      </c>
      <c r="B1735" s="3">
        <v>15</v>
      </c>
      <c r="C1735" s="3">
        <v>66</v>
      </c>
      <c r="D1735" s="3">
        <v>61</v>
      </c>
      <c r="E1735" s="3">
        <f>((1/(INDEX(E0!J$4:J$73,C1735,1)-INDEX(E0!J$4:J$73,D1735,1))))*100000000</f>
        <v>0</v>
      </c>
      <c r="F1735" s="4" t="str">
        <f>HYPERLINK("http://141.218.60.56/~jnz1568/getInfo.php?workbook=16_15.xlsx&amp;sheet=A0&amp;row=1735&amp;col=6&amp;number=816560&amp;sourceID=54","816560")</f>
        <v>816560</v>
      </c>
      <c r="G1735" s="4" t="str">
        <f>HYPERLINK("http://141.218.60.56/~jnz1568/getInfo.php?workbook=16_15.xlsx&amp;sheet=A0&amp;row=1735&amp;col=7&amp;number=&amp;sourceID=54","")</f>
        <v/>
      </c>
      <c r="H1735" s="4" t="str">
        <f>HYPERLINK("http://141.218.60.56/~jnz1568/getInfo.php?workbook=16_15.xlsx&amp;sheet=A0&amp;row=1735&amp;col=8&amp;number=&amp;sourceID=54","")</f>
        <v/>
      </c>
      <c r="I1735" s="4" t="str">
        <f>HYPERLINK("http://141.218.60.56/~jnz1568/getInfo.php?workbook=16_15.xlsx&amp;sheet=A0&amp;row=1735&amp;col=9&amp;number=402420&amp;sourceID=54","402420")</f>
        <v>402420</v>
      </c>
      <c r="J1735" s="4" t="str">
        <f>HYPERLINK("http://141.218.60.56/~jnz1568/getInfo.php?workbook=16_15.xlsx&amp;sheet=A0&amp;row=1735&amp;col=10&amp;number=&amp;sourceID=54","")</f>
        <v/>
      </c>
      <c r="K1735" s="4" t="str">
        <f>HYPERLINK("http://141.218.60.56/~jnz1568/getInfo.php?workbook=16_15.xlsx&amp;sheet=A0&amp;row=1735&amp;col=11&amp;number=&amp;sourceID=54","")</f>
        <v/>
      </c>
      <c r="L1735" s="4" t="str">
        <f>HYPERLINK("http://141.218.60.56/~jnz1568/getInfo.php?workbook=16_15.xlsx&amp;sheet=A0&amp;row=1735&amp;col=12&amp;number=575975.273289&amp;sourceID=53","575975.273289")</f>
        <v>575975.273289</v>
      </c>
      <c r="M1735" s="4" t="str">
        <f>HYPERLINK("http://141.218.60.56/~jnz1568/getInfo.php?workbook=16_15.xlsx&amp;sheet=A0&amp;row=1735&amp;col=13&amp;number=&amp;sourceID=53","")</f>
        <v/>
      </c>
      <c r="N1735" s="4" t="str">
        <f>HYPERLINK("http://141.218.60.56/~jnz1568/getInfo.php?workbook=16_15.xlsx&amp;sheet=A0&amp;row=1735&amp;col=14&amp;number=&amp;sourceID=53","")</f>
        <v/>
      </c>
      <c r="O1735" s="4" t="str">
        <f>HYPERLINK("http://141.218.60.56/~jnz1568/getInfo.php?workbook=16_15.xlsx&amp;sheet=A0&amp;row=1735&amp;col=15&amp;number=&amp;sourceID=55","")</f>
        <v/>
      </c>
      <c r="P1735" s="4" t="str">
        <f>HYPERLINK("http://141.218.60.56/~jnz1568/getInfo.php?workbook=16_15.xlsx&amp;sheet=A0&amp;row=1735&amp;col=16&amp;number=&amp;sourceID=55","")</f>
        <v/>
      </c>
      <c r="Q1735" s="4" t="str">
        <f>HYPERLINK("http://141.218.60.56/~jnz1568/getInfo.php?workbook=16_15.xlsx&amp;sheet=A0&amp;row=1735&amp;col=17&amp;number=&amp;sourceID=56","")</f>
        <v/>
      </c>
      <c r="R1735" s="4" t="str">
        <f>HYPERLINK("http://141.218.60.56/~jnz1568/getInfo.php?workbook=16_15.xlsx&amp;sheet=A0&amp;row=1735&amp;col=18&amp;number=&amp;sourceID=56","")</f>
        <v/>
      </c>
      <c r="S1735" s="4" t="str">
        <f>HYPERLINK("http://141.218.60.56/~jnz1568/getInfo.php?workbook=16_15.xlsx&amp;sheet=A0&amp;row=1735&amp;col=19&amp;number=&amp;sourceID=57","")</f>
        <v/>
      </c>
      <c r="T1735" s="4" t="str">
        <f>HYPERLINK("http://141.218.60.56/~jnz1568/getInfo.php?workbook=16_15.xlsx&amp;sheet=A0&amp;row=1735&amp;col=20&amp;number=&amp;sourceID=57","")</f>
        <v/>
      </c>
      <c r="U1735" s="4" t="str">
        <f>HYPERLINK("http://141.218.60.56/~jnz1568/getInfo.php?workbook=16_15.xlsx&amp;sheet=A0&amp;row=1735&amp;col=21&amp;number=&amp;sourceID=47","")</f>
        <v/>
      </c>
      <c r="V1735" s="4" t="str">
        <f>HYPERLINK("http://141.218.60.56/~jnz1568/getInfo.php?workbook=16_15.xlsx&amp;sheet=A0&amp;row=1735&amp;col=22&amp;number=&amp;sourceID=47","")</f>
        <v/>
      </c>
    </row>
    <row r="1736" spans="1:22">
      <c r="A1736" s="3">
        <v>16</v>
      </c>
      <c r="B1736" s="3">
        <v>15</v>
      </c>
      <c r="C1736" s="3">
        <v>66</v>
      </c>
      <c r="D1736" s="3">
        <v>62</v>
      </c>
      <c r="E1736" s="3">
        <f>((1/(INDEX(E0!J$4:J$73,C1736,1)-INDEX(E0!J$4:J$73,D1736,1))))*100000000</f>
        <v>0</v>
      </c>
      <c r="F1736" s="4" t="str">
        <f>HYPERLINK("http://141.218.60.56/~jnz1568/getInfo.php?workbook=16_15.xlsx&amp;sheet=A0&amp;row=1736&amp;col=6&amp;number=&amp;sourceID=54","")</f>
        <v/>
      </c>
      <c r="G1736" s="4" t="str">
        <f>HYPERLINK("http://141.218.60.56/~jnz1568/getInfo.php?workbook=16_15.xlsx&amp;sheet=A0&amp;row=1736&amp;col=7&amp;number=0.0095086&amp;sourceID=54","0.0095086")</f>
        <v>0.0095086</v>
      </c>
      <c r="H1736" s="4" t="str">
        <f>HYPERLINK("http://141.218.60.56/~jnz1568/getInfo.php?workbook=16_15.xlsx&amp;sheet=A0&amp;row=1736&amp;col=8&amp;number=2.572e-06&amp;sourceID=54","2.572e-06")</f>
        <v>2.572e-06</v>
      </c>
      <c r="I1736" s="4" t="str">
        <f>HYPERLINK("http://141.218.60.56/~jnz1568/getInfo.php?workbook=16_15.xlsx&amp;sheet=A0&amp;row=1736&amp;col=9&amp;number=&amp;sourceID=54","")</f>
        <v/>
      </c>
      <c r="J1736" s="4" t="str">
        <f>HYPERLINK("http://141.218.60.56/~jnz1568/getInfo.php?workbook=16_15.xlsx&amp;sheet=A0&amp;row=1736&amp;col=10&amp;number=0.0053746&amp;sourceID=54","0.0053746")</f>
        <v>0.0053746</v>
      </c>
      <c r="K1736" s="4" t="str">
        <f>HYPERLINK("http://141.218.60.56/~jnz1568/getInfo.php?workbook=16_15.xlsx&amp;sheet=A0&amp;row=1736&amp;col=11&amp;number=8.4051e-07&amp;sourceID=54","8.4051e-07")</f>
        <v>8.4051e-07</v>
      </c>
      <c r="L1736" s="4" t="str">
        <f>HYPERLINK("http://141.218.60.56/~jnz1568/getInfo.php?workbook=16_15.xlsx&amp;sheet=A0&amp;row=1736&amp;col=12&amp;number=&amp;sourceID=53","")</f>
        <v/>
      </c>
      <c r="M1736" s="4" t="str">
        <f>HYPERLINK("http://141.218.60.56/~jnz1568/getInfo.php?workbook=16_15.xlsx&amp;sheet=A0&amp;row=1736&amp;col=13&amp;number=&amp;sourceID=53","")</f>
        <v/>
      </c>
      <c r="N1736" s="4" t="str">
        <f>HYPERLINK("http://141.218.60.56/~jnz1568/getInfo.php?workbook=16_15.xlsx&amp;sheet=A0&amp;row=1736&amp;col=14&amp;number=&amp;sourceID=53","")</f>
        <v/>
      </c>
      <c r="O1736" s="4" t="str">
        <f>HYPERLINK("http://141.218.60.56/~jnz1568/getInfo.php?workbook=16_15.xlsx&amp;sheet=A0&amp;row=1736&amp;col=15&amp;number=&amp;sourceID=55","")</f>
        <v/>
      </c>
      <c r="P1736" s="4" t="str">
        <f>HYPERLINK("http://141.218.60.56/~jnz1568/getInfo.php?workbook=16_15.xlsx&amp;sheet=A0&amp;row=1736&amp;col=16&amp;number=&amp;sourceID=55","")</f>
        <v/>
      </c>
      <c r="Q1736" s="4" t="str">
        <f>HYPERLINK("http://141.218.60.56/~jnz1568/getInfo.php?workbook=16_15.xlsx&amp;sheet=A0&amp;row=1736&amp;col=17&amp;number=&amp;sourceID=56","")</f>
        <v/>
      </c>
      <c r="R1736" s="4" t="str">
        <f>HYPERLINK("http://141.218.60.56/~jnz1568/getInfo.php?workbook=16_15.xlsx&amp;sheet=A0&amp;row=1736&amp;col=18&amp;number=&amp;sourceID=56","")</f>
        <v/>
      </c>
      <c r="S1736" s="4" t="str">
        <f>HYPERLINK("http://141.218.60.56/~jnz1568/getInfo.php?workbook=16_15.xlsx&amp;sheet=A0&amp;row=1736&amp;col=19&amp;number=&amp;sourceID=57","")</f>
        <v/>
      </c>
      <c r="T1736" s="4" t="str">
        <f>HYPERLINK("http://141.218.60.56/~jnz1568/getInfo.php?workbook=16_15.xlsx&amp;sheet=A0&amp;row=1736&amp;col=20&amp;number=&amp;sourceID=57","")</f>
        <v/>
      </c>
      <c r="U1736" s="4" t="str">
        <f>HYPERLINK("http://141.218.60.56/~jnz1568/getInfo.php?workbook=16_15.xlsx&amp;sheet=A0&amp;row=1736&amp;col=21&amp;number=&amp;sourceID=47","")</f>
        <v/>
      </c>
      <c r="V1736" s="4" t="str">
        <f>HYPERLINK("http://141.218.60.56/~jnz1568/getInfo.php?workbook=16_15.xlsx&amp;sheet=A0&amp;row=1736&amp;col=22&amp;number=&amp;sourceID=47","")</f>
        <v/>
      </c>
    </row>
    <row r="1737" spans="1:22">
      <c r="A1737" s="3">
        <v>16</v>
      </c>
      <c r="B1737" s="3">
        <v>15</v>
      </c>
      <c r="C1737" s="3">
        <v>66</v>
      </c>
      <c r="D1737" s="3">
        <v>63</v>
      </c>
      <c r="E1737" s="3">
        <f>((1/(INDEX(E0!J$4:J$73,C1737,1)-INDEX(E0!J$4:J$73,D1737,1))))*100000000</f>
        <v>0</v>
      </c>
      <c r="F1737" s="4" t="str">
        <f>HYPERLINK("http://141.218.60.56/~jnz1568/getInfo.php?workbook=16_15.xlsx&amp;sheet=A0&amp;row=1737&amp;col=6&amp;number=&amp;sourceID=54","")</f>
        <v/>
      </c>
      <c r="G1737" s="4" t="str">
        <f>HYPERLINK("http://141.218.60.56/~jnz1568/getInfo.php?workbook=16_15.xlsx&amp;sheet=A0&amp;row=1737&amp;col=7&amp;number=0.0020572&amp;sourceID=54","0.0020572")</f>
        <v>0.0020572</v>
      </c>
      <c r="H1737" s="4" t="str">
        <f>HYPERLINK("http://141.218.60.56/~jnz1568/getInfo.php?workbook=16_15.xlsx&amp;sheet=A0&amp;row=1737&amp;col=8&amp;number=0.0014097&amp;sourceID=54","0.0014097")</f>
        <v>0.0014097</v>
      </c>
      <c r="I1737" s="4" t="str">
        <f>HYPERLINK("http://141.218.60.56/~jnz1568/getInfo.php?workbook=16_15.xlsx&amp;sheet=A0&amp;row=1737&amp;col=9&amp;number=&amp;sourceID=54","")</f>
        <v/>
      </c>
      <c r="J1737" s="4" t="str">
        <f>HYPERLINK("http://141.218.60.56/~jnz1568/getInfo.php?workbook=16_15.xlsx&amp;sheet=A0&amp;row=1737&amp;col=10&amp;number=0.0011572&amp;sourceID=54","0.0011572")</f>
        <v>0.0011572</v>
      </c>
      <c r="K1737" s="4" t="str">
        <f>HYPERLINK("http://141.218.60.56/~jnz1568/getInfo.php?workbook=16_15.xlsx&amp;sheet=A0&amp;row=1737&amp;col=11&amp;number=0.0010065&amp;sourceID=54","0.0010065")</f>
        <v>0.0010065</v>
      </c>
      <c r="L1737" s="4" t="str">
        <f>HYPERLINK("http://141.218.60.56/~jnz1568/getInfo.php?workbook=16_15.xlsx&amp;sheet=A0&amp;row=1737&amp;col=12&amp;number=&amp;sourceID=53","")</f>
        <v/>
      </c>
      <c r="M1737" s="4" t="str">
        <f>HYPERLINK("http://141.218.60.56/~jnz1568/getInfo.php?workbook=16_15.xlsx&amp;sheet=A0&amp;row=1737&amp;col=13&amp;number=&amp;sourceID=53","")</f>
        <v/>
      </c>
      <c r="N1737" s="4" t="str">
        <f>HYPERLINK("http://141.218.60.56/~jnz1568/getInfo.php?workbook=16_15.xlsx&amp;sheet=A0&amp;row=1737&amp;col=14&amp;number=&amp;sourceID=53","")</f>
        <v/>
      </c>
      <c r="O1737" s="4" t="str">
        <f>HYPERLINK("http://141.218.60.56/~jnz1568/getInfo.php?workbook=16_15.xlsx&amp;sheet=A0&amp;row=1737&amp;col=15&amp;number=&amp;sourceID=55","")</f>
        <v/>
      </c>
      <c r="P1737" s="4" t="str">
        <f>HYPERLINK("http://141.218.60.56/~jnz1568/getInfo.php?workbook=16_15.xlsx&amp;sheet=A0&amp;row=1737&amp;col=16&amp;number=&amp;sourceID=55","")</f>
        <v/>
      </c>
      <c r="Q1737" s="4" t="str">
        <f>HYPERLINK("http://141.218.60.56/~jnz1568/getInfo.php?workbook=16_15.xlsx&amp;sheet=A0&amp;row=1737&amp;col=17&amp;number=&amp;sourceID=56","")</f>
        <v/>
      </c>
      <c r="R1737" s="4" t="str">
        <f>HYPERLINK("http://141.218.60.56/~jnz1568/getInfo.php?workbook=16_15.xlsx&amp;sheet=A0&amp;row=1737&amp;col=18&amp;number=&amp;sourceID=56","")</f>
        <v/>
      </c>
      <c r="S1737" s="4" t="str">
        <f>HYPERLINK("http://141.218.60.56/~jnz1568/getInfo.php?workbook=16_15.xlsx&amp;sheet=A0&amp;row=1737&amp;col=19&amp;number=&amp;sourceID=57","")</f>
        <v/>
      </c>
      <c r="T1737" s="4" t="str">
        <f>HYPERLINK("http://141.218.60.56/~jnz1568/getInfo.php?workbook=16_15.xlsx&amp;sheet=A0&amp;row=1737&amp;col=20&amp;number=&amp;sourceID=57","")</f>
        <v/>
      </c>
      <c r="U1737" s="4" t="str">
        <f>HYPERLINK("http://141.218.60.56/~jnz1568/getInfo.php?workbook=16_15.xlsx&amp;sheet=A0&amp;row=1737&amp;col=21&amp;number=&amp;sourceID=47","")</f>
        <v/>
      </c>
      <c r="V1737" s="4" t="str">
        <f>HYPERLINK("http://141.218.60.56/~jnz1568/getInfo.php?workbook=16_15.xlsx&amp;sheet=A0&amp;row=1737&amp;col=22&amp;number=&amp;sourceID=47","")</f>
        <v/>
      </c>
    </row>
    <row r="1738" spans="1:22">
      <c r="A1738" s="3">
        <v>16</v>
      </c>
      <c r="B1738" s="3">
        <v>15</v>
      </c>
      <c r="C1738" s="3">
        <v>66</v>
      </c>
      <c r="D1738" s="3">
        <v>64</v>
      </c>
      <c r="E1738" s="3">
        <f>((1/(INDEX(E0!J$4:J$73,C1738,1)-INDEX(E0!J$4:J$73,D1738,1))))*100000000</f>
        <v>0</v>
      </c>
      <c r="F1738" s="4" t="str">
        <f>HYPERLINK("http://141.218.60.56/~jnz1568/getInfo.php?workbook=16_15.xlsx&amp;sheet=A0&amp;row=1738&amp;col=6&amp;number=&amp;sourceID=54","")</f>
        <v/>
      </c>
      <c r="G1738" s="4" t="str">
        <f>HYPERLINK("http://141.218.60.56/~jnz1568/getInfo.php?workbook=16_15.xlsx&amp;sheet=A0&amp;row=1738&amp;col=7&amp;number=0.00058098&amp;sourceID=54","0.00058098")</f>
        <v>0.00058098</v>
      </c>
      <c r="H1738" s="4" t="str">
        <f>HYPERLINK("http://141.218.60.56/~jnz1568/getInfo.php?workbook=16_15.xlsx&amp;sheet=A0&amp;row=1738&amp;col=8&amp;number=0.012865&amp;sourceID=54","0.012865")</f>
        <v>0.012865</v>
      </c>
      <c r="I1738" s="4" t="str">
        <f>HYPERLINK("http://141.218.60.56/~jnz1568/getInfo.php?workbook=16_15.xlsx&amp;sheet=A0&amp;row=1738&amp;col=9&amp;number=&amp;sourceID=54","")</f>
        <v/>
      </c>
      <c r="J1738" s="4" t="str">
        <f>HYPERLINK("http://141.218.60.56/~jnz1568/getInfo.php?workbook=16_15.xlsx&amp;sheet=A0&amp;row=1738&amp;col=10&amp;number=0.00044071&amp;sourceID=54","0.00044071")</f>
        <v>0.00044071</v>
      </c>
      <c r="K1738" s="4" t="str">
        <f>HYPERLINK("http://141.218.60.56/~jnz1568/getInfo.php?workbook=16_15.xlsx&amp;sheet=A0&amp;row=1738&amp;col=11&amp;number=0.0006941&amp;sourceID=54","0.0006941")</f>
        <v>0.0006941</v>
      </c>
      <c r="L1738" s="4" t="str">
        <f>HYPERLINK("http://141.218.60.56/~jnz1568/getInfo.php?workbook=16_15.xlsx&amp;sheet=A0&amp;row=1738&amp;col=12&amp;number=&amp;sourceID=53","")</f>
        <v/>
      </c>
      <c r="M1738" s="4" t="str">
        <f>HYPERLINK("http://141.218.60.56/~jnz1568/getInfo.php?workbook=16_15.xlsx&amp;sheet=A0&amp;row=1738&amp;col=13&amp;number=&amp;sourceID=53","")</f>
        <v/>
      </c>
      <c r="N1738" s="4" t="str">
        <f>HYPERLINK("http://141.218.60.56/~jnz1568/getInfo.php?workbook=16_15.xlsx&amp;sheet=A0&amp;row=1738&amp;col=14&amp;number=&amp;sourceID=53","")</f>
        <v/>
      </c>
      <c r="O1738" s="4" t="str">
        <f>HYPERLINK("http://141.218.60.56/~jnz1568/getInfo.php?workbook=16_15.xlsx&amp;sheet=A0&amp;row=1738&amp;col=15&amp;number=&amp;sourceID=55","")</f>
        <v/>
      </c>
      <c r="P1738" s="4" t="str">
        <f>HYPERLINK("http://141.218.60.56/~jnz1568/getInfo.php?workbook=16_15.xlsx&amp;sheet=A0&amp;row=1738&amp;col=16&amp;number=&amp;sourceID=55","")</f>
        <v/>
      </c>
      <c r="Q1738" s="4" t="str">
        <f>HYPERLINK("http://141.218.60.56/~jnz1568/getInfo.php?workbook=16_15.xlsx&amp;sheet=A0&amp;row=1738&amp;col=17&amp;number=&amp;sourceID=56","")</f>
        <v/>
      </c>
      <c r="R1738" s="4" t="str">
        <f>HYPERLINK("http://141.218.60.56/~jnz1568/getInfo.php?workbook=16_15.xlsx&amp;sheet=A0&amp;row=1738&amp;col=18&amp;number=&amp;sourceID=56","")</f>
        <v/>
      </c>
      <c r="S1738" s="4" t="str">
        <f>HYPERLINK("http://141.218.60.56/~jnz1568/getInfo.php?workbook=16_15.xlsx&amp;sheet=A0&amp;row=1738&amp;col=19&amp;number=&amp;sourceID=57","")</f>
        <v/>
      </c>
      <c r="T1738" s="4" t="str">
        <f>HYPERLINK("http://141.218.60.56/~jnz1568/getInfo.php?workbook=16_15.xlsx&amp;sheet=A0&amp;row=1738&amp;col=20&amp;number=&amp;sourceID=57","")</f>
        <v/>
      </c>
      <c r="U1738" s="4" t="str">
        <f>HYPERLINK("http://141.218.60.56/~jnz1568/getInfo.php?workbook=16_15.xlsx&amp;sheet=A0&amp;row=1738&amp;col=21&amp;number=&amp;sourceID=47","")</f>
        <v/>
      </c>
      <c r="V1738" s="4" t="str">
        <f>HYPERLINK("http://141.218.60.56/~jnz1568/getInfo.php?workbook=16_15.xlsx&amp;sheet=A0&amp;row=1738&amp;col=22&amp;number=&amp;sourceID=47","")</f>
        <v/>
      </c>
    </row>
    <row r="1739" spans="1:22">
      <c r="A1739" s="3">
        <v>16</v>
      </c>
      <c r="B1739" s="3">
        <v>15</v>
      </c>
      <c r="C1739" s="3">
        <v>66</v>
      </c>
      <c r="D1739" s="3">
        <v>65</v>
      </c>
      <c r="E1739" s="3">
        <f>((1/(INDEX(E0!J$4:J$73,C1739,1)-INDEX(E0!J$4:J$73,D1739,1))))*100000000</f>
        <v>0</v>
      </c>
      <c r="F1739" s="4" t="str">
        <f>HYPERLINK("http://141.218.60.56/~jnz1568/getInfo.php?workbook=16_15.xlsx&amp;sheet=A0&amp;row=1739&amp;col=6&amp;number=&amp;sourceID=54","")</f>
        <v/>
      </c>
      <c r="G1739" s="4" t="str">
        <f>HYPERLINK("http://141.218.60.56/~jnz1568/getInfo.php?workbook=16_15.xlsx&amp;sheet=A0&amp;row=1739&amp;col=7&amp;number=0.00035027&amp;sourceID=54","0.00035027")</f>
        <v>0.00035027</v>
      </c>
      <c r="H1739" s="4" t="str">
        <f>HYPERLINK("http://141.218.60.56/~jnz1568/getInfo.php?workbook=16_15.xlsx&amp;sheet=A0&amp;row=1739&amp;col=8&amp;number=&amp;sourceID=54","")</f>
        <v/>
      </c>
      <c r="I1739" s="4" t="str">
        <f>HYPERLINK("http://141.218.60.56/~jnz1568/getInfo.php?workbook=16_15.xlsx&amp;sheet=A0&amp;row=1739&amp;col=9&amp;number=&amp;sourceID=54","")</f>
        <v/>
      </c>
      <c r="J1739" s="4" t="str">
        <f>HYPERLINK("http://141.218.60.56/~jnz1568/getInfo.php?workbook=16_15.xlsx&amp;sheet=A0&amp;row=1739&amp;col=10&amp;number=8.1769e-05&amp;sourceID=54","8.1769e-05")</f>
        <v>8.1769e-05</v>
      </c>
      <c r="K1739" s="4" t="str">
        <f>HYPERLINK("http://141.218.60.56/~jnz1568/getInfo.php?workbook=16_15.xlsx&amp;sheet=A0&amp;row=1739&amp;col=11&amp;number=&amp;sourceID=54","")</f>
        <v/>
      </c>
      <c r="L1739" s="4" t="str">
        <f>HYPERLINK("http://141.218.60.56/~jnz1568/getInfo.php?workbook=16_15.xlsx&amp;sheet=A0&amp;row=1739&amp;col=12&amp;number=&amp;sourceID=53","")</f>
        <v/>
      </c>
      <c r="M1739" s="4" t="str">
        <f>HYPERLINK("http://141.218.60.56/~jnz1568/getInfo.php?workbook=16_15.xlsx&amp;sheet=A0&amp;row=1739&amp;col=13&amp;number=&amp;sourceID=53","")</f>
        <v/>
      </c>
      <c r="N1739" s="4" t="str">
        <f>HYPERLINK("http://141.218.60.56/~jnz1568/getInfo.php?workbook=16_15.xlsx&amp;sheet=A0&amp;row=1739&amp;col=14&amp;number=&amp;sourceID=53","")</f>
        <v/>
      </c>
      <c r="O1739" s="4" t="str">
        <f>HYPERLINK("http://141.218.60.56/~jnz1568/getInfo.php?workbook=16_15.xlsx&amp;sheet=A0&amp;row=1739&amp;col=15&amp;number=&amp;sourceID=55","")</f>
        <v/>
      </c>
      <c r="P1739" s="4" t="str">
        <f>HYPERLINK("http://141.218.60.56/~jnz1568/getInfo.php?workbook=16_15.xlsx&amp;sheet=A0&amp;row=1739&amp;col=16&amp;number=&amp;sourceID=55","")</f>
        <v/>
      </c>
      <c r="Q1739" s="4" t="str">
        <f>HYPERLINK("http://141.218.60.56/~jnz1568/getInfo.php?workbook=16_15.xlsx&amp;sheet=A0&amp;row=1739&amp;col=17&amp;number=&amp;sourceID=56","")</f>
        <v/>
      </c>
      <c r="R1739" s="4" t="str">
        <f>HYPERLINK("http://141.218.60.56/~jnz1568/getInfo.php?workbook=16_15.xlsx&amp;sheet=A0&amp;row=1739&amp;col=18&amp;number=&amp;sourceID=56","")</f>
        <v/>
      </c>
      <c r="S1739" s="4" t="str">
        <f>HYPERLINK("http://141.218.60.56/~jnz1568/getInfo.php?workbook=16_15.xlsx&amp;sheet=A0&amp;row=1739&amp;col=19&amp;number=&amp;sourceID=57","")</f>
        <v/>
      </c>
      <c r="T1739" s="4" t="str">
        <f>HYPERLINK("http://141.218.60.56/~jnz1568/getInfo.php?workbook=16_15.xlsx&amp;sheet=A0&amp;row=1739&amp;col=20&amp;number=&amp;sourceID=57","")</f>
        <v/>
      </c>
      <c r="U1739" s="4" t="str">
        <f>HYPERLINK("http://141.218.60.56/~jnz1568/getInfo.php?workbook=16_15.xlsx&amp;sheet=A0&amp;row=1739&amp;col=21&amp;number=&amp;sourceID=47","")</f>
        <v/>
      </c>
      <c r="V1739" s="4" t="str">
        <f>HYPERLINK("http://141.218.60.56/~jnz1568/getInfo.php?workbook=16_15.xlsx&amp;sheet=A0&amp;row=1739&amp;col=22&amp;number=&amp;sourceID=47","")</f>
        <v/>
      </c>
    </row>
    <row r="1740" spans="1:22">
      <c r="A1740" s="3">
        <v>16</v>
      </c>
      <c r="B1740" s="3">
        <v>15</v>
      </c>
      <c r="C1740" s="3">
        <v>67</v>
      </c>
      <c r="D1740" s="3">
        <v>1</v>
      </c>
      <c r="E1740" s="3">
        <f>((1/(INDEX(E0!J$4:J$73,C1740,1)-INDEX(E0!J$4:J$73,D1740,1))))*100000000</f>
        <v>0</v>
      </c>
      <c r="F1740" s="4" t="str">
        <f>HYPERLINK("http://141.218.60.56/~jnz1568/getInfo.php?workbook=16_15.xlsx&amp;sheet=A0&amp;row=1740&amp;col=6&amp;number=26009&amp;sourceID=54","26009")</f>
        <v>26009</v>
      </c>
      <c r="G1740" s="4" t="str">
        <f>HYPERLINK("http://141.218.60.56/~jnz1568/getInfo.php?workbook=16_15.xlsx&amp;sheet=A0&amp;row=1740&amp;col=7&amp;number=&amp;sourceID=54","")</f>
        <v/>
      </c>
      <c r="H1740" s="4" t="str">
        <f>HYPERLINK("http://141.218.60.56/~jnz1568/getInfo.php?workbook=16_15.xlsx&amp;sheet=A0&amp;row=1740&amp;col=8&amp;number=&amp;sourceID=54","")</f>
        <v/>
      </c>
      <c r="I1740" s="4" t="str">
        <f>HYPERLINK("http://141.218.60.56/~jnz1568/getInfo.php?workbook=16_15.xlsx&amp;sheet=A0&amp;row=1740&amp;col=9&amp;number=96719&amp;sourceID=54","96719")</f>
        <v>96719</v>
      </c>
      <c r="J1740" s="4" t="str">
        <f>HYPERLINK("http://141.218.60.56/~jnz1568/getInfo.php?workbook=16_15.xlsx&amp;sheet=A0&amp;row=1740&amp;col=10&amp;number=&amp;sourceID=54","")</f>
        <v/>
      </c>
      <c r="K1740" s="4" t="str">
        <f>HYPERLINK("http://141.218.60.56/~jnz1568/getInfo.php?workbook=16_15.xlsx&amp;sheet=A0&amp;row=1740&amp;col=11&amp;number=&amp;sourceID=54","")</f>
        <v/>
      </c>
      <c r="L1740" s="4" t="str">
        <f>HYPERLINK("http://141.218.60.56/~jnz1568/getInfo.php?workbook=16_15.xlsx&amp;sheet=A0&amp;row=1740&amp;col=12&amp;number=139130.399854&amp;sourceID=53","139130.399854")</f>
        <v>139130.399854</v>
      </c>
      <c r="M1740" s="4" t="str">
        <f>HYPERLINK("http://141.218.60.56/~jnz1568/getInfo.php?workbook=16_15.xlsx&amp;sheet=A0&amp;row=1740&amp;col=13&amp;number=&amp;sourceID=53","")</f>
        <v/>
      </c>
      <c r="N1740" s="4" t="str">
        <f>HYPERLINK("http://141.218.60.56/~jnz1568/getInfo.php?workbook=16_15.xlsx&amp;sheet=A0&amp;row=1740&amp;col=14&amp;number=&amp;sourceID=53","")</f>
        <v/>
      </c>
      <c r="O1740" s="4" t="str">
        <f>HYPERLINK("http://141.218.60.56/~jnz1568/getInfo.php?workbook=16_15.xlsx&amp;sheet=A0&amp;row=1740&amp;col=15&amp;number=&amp;sourceID=55","")</f>
        <v/>
      </c>
      <c r="P1740" s="4" t="str">
        <f>HYPERLINK("http://141.218.60.56/~jnz1568/getInfo.php?workbook=16_15.xlsx&amp;sheet=A0&amp;row=1740&amp;col=16&amp;number=&amp;sourceID=55","")</f>
        <v/>
      </c>
      <c r="Q1740" s="4" t="str">
        <f>HYPERLINK("http://141.218.60.56/~jnz1568/getInfo.php?workbook=16_15.xlsx&amp;sheet=A0&amp;row=1740&amp;col=17&amp;number=&amp;sourceID=56","")</f>
        <v/>
      </c>
      <c r="R1740" s="4" t="str">
        <f>HYPERLINK("http://141.218.60.56/~jnz1568/getInfo.php?workbook=16_15.xlsx&amp;sheet=A0&amp;row=1740&amp;col=18&amp;number=&amp;sourceID=56","")</f>
        <v/>
      </c>
      <c r="S1740" s="4" t="str">
        <f>HYPERLINK("http://141.218.60.56/~jnz1568/getInfo.php?workbook=16_15.xlsx&amp;sheet=A0&amp;row=1740&amp;col=19&amp;number=&amp;sourceID=57","")</f>
        <v/>
      </c>
      <c r="T1740" s="4" t="str">
        <f>HYPERLINK("http://141.218.60.56/~jnz1568/getInfo.php?workbook=16_15.xlsx&amp;sheet=A0&amp;row=1740&amp;col=20&amp;number=&amp;sourceID=57","")</f>
        <v/>
      </c>
      <c r="U1740" s="4" t="str">
        <f>HYPERLINK("http://141.218.60.56/~jnz1568/getInfo.php?workbook=16_15.xlsx&amp;sheet=A0&amp;row=1740&amp;col=21&amp;number=&amp;sourceID=47","")</f>
        <v/>
      </c>
      <c r="V1740" s="4" t="str">
        <f>HYPERLINK("http://141.218.60.56/~jnz1568/getInfo.php?workbook=16_15.xlsx&amp;sheet=A0&amp;row=1740&amp;col=22&amp;number=&amp;sourceID=47","")</f>
        <v/>
      </c>
    </row>
    <row r="1741" spans="1:22">
      <c r="A1741" s="3">
        <v>16</v>
      </c>
      <c r="B1741" s="3">
        <v>15</v>
      </c>
      <c r="C1741" s="3">
        <v>67</v>
      </c>
      <c r="D1741" s="3">
        <v>2</v>
      </c>
      <c r="E1741" s="3">
        <f>((1/(INDEX(E0!J$4:J$73,C1741,1)-INDEX(E0!J$4:J$73,D1741,1))))*100000000</f>
        <v>0</v>
      </c>
      <c r="F1741" s="4" t="str">
        <f>HYPERLINK("http://141.218.60.56/~jnz1568/getInfo.php?workbook=16_15.xlsx&amp;sheet=A0&amp;row=1741&amp;col=6&amp;number=1222200000&amp;sourceID=54","1222200000")</f>
        <v>1222200000</v>
      </c>
      <c r="G1741" s="4" t="str">
        <f>HYPERLINK("http://141.218.60.56/~jnz1568/getInfo.php?workbook=16_15.xlsx&amp;sheet=A0&amp;row=1741&amp;col=7&amp;number=&amp;sourceID=54","")</f>
        <v/>
      </c>
      <c r="H1741" s="4" t="str">
        <f>HYPERLINK("http://141.218.60.56/~jnz1568/getInfo.php?workbook=16_15.xlsx&amp;sheet=A0&amp;row=1741&amp;col=8&amp;number=&amp;sourceID=54","")</f>
        <v/>
      </c>
      <c r="I1741" s="4" t="str">
        <f>HYPERLINK("http://141.218.60.56/~jnz1568/getInfo.php?workbook=16_15.xlsx&amp;sheet=A0&amp;row=1741&amp;col=9&amp;number=1077000000&amp;sourceID=54","1077000000")</f>
        <v>1077000000</v>
      </c>
      <c r="J1741" s="4" t="str">
        <f>HYPERLINK("http://141.218.60.56/~jnz1568/getInfo.php?workbook=16_15.xlsx&amp;sheet=A0&amp;row=1741&amp;col=10&amp;number=&amp;sourceID=54","")</f>
        <v/>
      </c>
      <c r="K1741" s="4" t="str">
        <f>HYPERLINK("http://141.218.60.56/~jnz1568/getInfo.php?workbook=16_15.xlsx&amp;sheet=A0&amp;row=1741&amp;col=11&amp;number=&amp;sourceID=54","")</f>
        <v/>
      </c>
      <c r="L1741" s="4" t="str">
        <f>HYPERLINK("http://141.218.60.56/~jnz1568/getInfo.php?workbook=16_15.xlsx&amp;sheet=A0&amp;row=1741&amp;col=12&amp;number=1184695136.51&amp;sourceID=53","1184695136.51")</f>
        <v>1184695136.51</v>
      </c>
      <c r="M1741" s="4" t="str">
        <f>HYPERLINK("http://141.218.60.56/~jnz1568/getInfo.php?workbook=16_15.xlsx&amp;sheet=A0&amp;row=1741&amp;col=13&amp;number=&amp;sourceID=53","")</f>
        <v/>
      </c>
      <c r="N1741" s="4" t="str">
        <f>HYPERLINK("http://141.218.60.56/~jnz1568/getInfo.php?workbook=16_15.xlsx&amp;sheet=A0&amp;row=1741&amp;col=14&amp;number=&amp;sourceID=53","")</f>
        <v/>
      </c>
      <c r="O1741" s="4" t="str">
        <f>HYPERLINK("http://141.218.60.56/~jnz1568/getInfo.php?workbook=16_15.xlsx&amp;sheet=A0&amp;row=1741&amp;col=15&amp;number=&amp;sourceID=55","")</f>
        <v/>
      </c>
      <c r="P1741" s="4" t="str">
        <f>HYPERLINK("http://141.218.60.56/~jnz1568/getInfo.php?workbook=16_15.xlsx&amp;sheet=A0&amp;row=1741&amp;col=16&amp;number=&amp;sourceID=55","")</f>
        <v/>
      </c>
      <c r="Q1741" s="4" t="str">
        <f>HYPERLINK("http://141.218.60.56/~jnz1568/getInfo.php?workbook=16_15.xlsx&amp;sheet=A0&amp;row=1741&amp;col=17&amp;number=&amp;sourceID=56","")</f>
        <v/>
      </c>
      <c r="R1741" s="4" t="str">
        <f>HYPERLINK("http://141.218.60.56/~jnz1568/getInfo.php?workbook=16_15.xlsx&amp;sheet=A0&amp;row=1741&amp;col=18&amp;number=&amp;sourceID=56","")</f>
        <v/>
      </c>
      <c r="S1741" s="4" t="str">
        <f>HYPERLINK("http://141.218.60.56/~jnz1568/getInfo.php?workbook=16_15.xlsx&amp;sheet=A0&amp;row=1741&amp;col=19&amp;number=&amp;sourceID=57","")</f>
        <v/>
      </c>
      <c r="T1741" s="4" t="str">
        <f>HYPERLINK("http://141.218.60.56/~jnz1568/getInfo.php?workbook=16_15.xlsx&amp;sheet=A0&amp;row=1741&amp;col=20&amp;number=&amp;sourceID=57","")</f>
        <v/>
      </c>
      <c r="U1741" s="4" t="str">
        <f>HYPERLINK("http://141.218.60.56/~jnz1568/getInfo.php?workbook=16_15.xlsx&amp;sheet=A0&amp;row=1741&amp;col=21&amp;number=&amp;sourceID=47","")</f>
        <v/>
      </c>
      <c r="V1741" s="4" t="str">
        <f>HYPERLINK("http://141.218.60.56/~jnz1568/getInfo.php?workbook=16_15.xlsx&amp;sheet=A0&amp;row=1741&amp;col=22&amp;number=&amp;sourceID=47","")</f>
        <v/>
      </c>
    </row>
    <row r="1742" spans="1:22">
      <c r="A1742" s="3">
        <v>16</v>
      </c>
      <c r="B1742" s="3">
        <v>15</v>
      </c>
      <c r="C1742" s="3">
        <v>67</v>
      </c>
      <c r="D1742" s="3">
        <v>3</v>
      </c>
      <c r="E1742" s="3">
        <f>((1/(INDEX(E0!J$4:J$73,C1742,1)-INDEX(E0!J$4:J$73,D1742,1))))*100000000</f>
        <v>0</v>
      </c>
      <c r="F1742" s="4" t="str">
        <f>HYPERLINK("http://141.218.60.56/~jnz1568/getInfo.php?workbook=16_15.xlsx&amp;sheet=A0&amp;row=1742&amp;col=6&amp;number=293560000&amp;sourceID=54","293560000")</f>
        <v>293560000</v>
      </c>
      <c r="G1742" s="4" t="str">
        <f>HYPERLINK("http://141.218.60.56/~jnz1568/getInfo.php?workbook=16_15.xlsx&amp;sheet=A0&amp;row=1742&amp;col=7&amp;number=&amp;sourceID=54","")</f>
        <v/>
      </c>
      <c r="H1742" s="4" t="str">
        <f>HYPERLINK("http://141.218.60.56/~jnz1568/getInfo.php?workbook=16_15.xlsx&amp;sheet=A0&amp;row=1742&amp;col=8&amp;number=&amp;sourceID=54","")</f>
        <v/>
      </c>
      <c r="I1742" s="4" t="str">
        <f>HYPERLINK("http://141.218.60.56/~jnz1568/getInfo.php?workbook=16_15.xlsx&amp;sheet=A0&amp;row=1742&amp;col=9&amp;number=307100000&amp;sourceID=54","307100000")</f>
        <v>307100000</v>
      </c>
      <c r="J1742" s="4" t="str">
        <f>HYPERLINK("http://141.218.60.56/~jnz1568/getInfo.php?workbook=16_15.xlsx&amp;sheet=A0&amp;row=1742&amp;col=10&amp;number=&amp;sourceID=54","")</f>
        <v/>
      </c>
      <c r="K1742" s="4" t="str">
        <f>HYPERLINK("http://141.218.60.56/~jnz1568/getInfo.php?workbook=16_15.xlsx&amp;sheet=A0&amp;row=1742&amp;col=11&amp;number=&amp;sourceID=54","")</f>
        <v/>
      </c>
      <c r="L1742" s="4" t="str">
        <f>HYPERLINK("http://141.218.60.56/~jnz1568/getInfo.php?workbook=16_15.xlsx&amp;sheet=A0&amp;row=1742&amp;col=12&amp;number=176785384.464&amp;sourceID=53","176785384.464")</f>
        <v>176785384.464</v>
      </c>
      <c r="M1742" s="4" t="str">
        <f>HYPERLINK("http://141.218.60.56/~jnz1568/getInfo.php?workbook=16_15.xlsx&amp;sheet=A0&amp;row=1742&amp;col=13&amp;number=&amp;sourceID=53","")</f>
        <v/>
      </c>
      <c r="N1742" s="4" t="str">
        <f>HYPERLINK("http://141.218.60.56/~jnz1568/getInfo.php?workbook=16_15.xlsx&amp;sheet=A0&amp;row=1742&amp;col=14&amp;number=&amp;sourceID=53","")</f>
        <v/>
      </c>
      <c r="O1742" s="4" t="str">
        <f>HYPERLINK("http://141.218.60.56/~jnz1568/getInfo.php?workbook=16_15.xlsx&amp;sheet=A0&amp;row=1742&amp;col=15&amp;number=&amp;sourceID=55","")</f>
        <v/>
      </c>
      <c r="P1742" s="4" t="str">
        <f>HYPERLINK("http://141.218.60.56/~jnz1568/getInfo.php?workbook=16_15.xlsx&amp;sheet=A0&amp;row=1742&amp;col=16&amp;number=&amp;sourceID=55","")</f>
        <v/>
      </c>
      <c r="Q1742" s="4" t="str">
        <f>HYPERLINK("http://141.218.60.56/~jnz1568/getInfo.php?workbook=16_15.xlsx&amp;sheet=A0&amp;row=1742&amp;col=17&amp;number=&amp;sourceID=56","")</f>
        <v/>
      </c>
      <c r="R1742" s="4" t="str">
        <f>HYPERLINK("http://141.218.60.56/~jnz1568/getInfo.php?workbook=16_15.xlsx&amp;sheet=A0&amp;row=1742&amp;col=18&amp;number=&amp;sourceID=56","")</f>
        <v/>
      </c>
      <c r="S1742" s="4" t="str">
        <f>HYPERLINK("http://141.218.60.56/~jnz1568/getInfo.php?workbook=16_15.xlsx&amp;sheet=A0&amp;row=1742&amp;col=19&amp;number=&amp;sourceID=57","")</f>
        <v/>
      </c>
      <c r="T1742" s="4" t="str">
        <f>HYPERLINK("http://141.218.60.56/~jnz1568/getInfo.php?workbook=16_15.xlsx&amp;sheet=A0&amp;row=1742&amp;col=20&amp;number=&amp;sourceID=57","")</f>
        <v/>
      </c>
      <c r="U1742" s="4" t="str">
        <f>HYPERLINK("http://141.218.60.56/~jnz1568/getInfo.php?workbook=16_15.xlsx&amp;sheet=A0&amp;row=1742&amp;col=21&amp;number=&amp;sourceID=47","")</f>
        <v/>
      </c>
      <c r="V1742" s="4" t="str">
        <f>HYPERLINK("http://141.218.60.56/~jnz1568/getInfo.php?workbook=16_15.xlsx&amp;sheet=A0&amp;row=1742&amp;col=22&amp;number=&amp;sourceID=47","")</f>
        <v/>
      </c>
    </row>
    <row r="1743" spans="1:22">
      <c r="A1743" s="3">
        <v>16</v>
      </c>
      <c r="B1743" s="3">
        <v>15</v>
      </c>
      <c r="C1743" s="3">
        <v>67</v>
      </c>
      <c r="D1743" s="3">
        <v>4</v>
      </c>
      <c r="E1743" s="3">
        <f>((1/(INDEX(E0!J$4:J$73,C1743,1)-INDEX(E0!J$4:J$73,D1743,1))))*100000000</f>
        <v>0</v>
      </c>
      <c r="F1743" s="4" t="str">
        <f>HYPERLINK("http://141.218.60.56/~jnz1568/getInfo.php?workbook=16_15.xlsx&amp;sheet=A0&amp;row=1743&amp;col=6&amp;number=5590800000&amp;sourceID=54","5590800000")</f>
        <v>5590800000</v>
      </c>
      <c r="G1743" s="4" t="str">
        <f>HYPERLINK("http://141.218.60.56/~jnz1568/getInfo.php?workbook=16_15.xlsx&amp;sheet=A0&amp;row=1743&amp;col=7&amp;number=&amp;sourceID=54","")</f>
        <v/>
      </c>
      <c r="H1743" s="4" t="str">
        <f>HYPERLINK("http://141.218.60.56/~jnz1568/getInfo.php?workbook=16_15.xlsx&amp;sheet=A0&amp;row=1743&amp;col=8&amp;number=&amp;sourceID=54","")</f>
        <v/>
      </c>
      <c r="I1743" s="4" t="str">
        <f>HYPERLINK("http://141.218.60.56/~jnz1568/getInfo.php?workbook=16_15.xlsx&amp;sheet=A0&amp;row=1743&amp;col=9&amp;number=5318100000&amp;sourceID=54","5318100000")</f>
        <v>5318100000</v>
      </c>
      <c r="J1743" s="4" t="str">
        <f>HYPERLINK("http://141.218.60.56/~jnz1568/getInfo.php?workbook=16_15.xlsx&amp;sheet=A0&amp;row=1743&amp;col=10&amp;number=&amp;sourceID=54","")</f>
        <v/>
      </c>
      <c r="K1743" s="4" t="str">
        <f>HYPERLINK("http://141.218.60.56/~jnz1568/getInfo.php?workbook=16_15.xlsx&amp;sheet=A0&amp;row=1743&amp;col=11&amp;number=&amp;sourceID=54","")</f>
        <v/>
      </c>
      <c r="L1743" s="4" t="str">
        <f>HYPERLINK("http://141.218.60.56/~jnz1568/getInfo.php?workbook=16_15.xlsx&amp;sheet=A0&amp;row=1743&amp;col=12&amp;number=3820351411.37&amp;sourceID=53","3820351411.37")</f>
        <v>3820351411.37</v>
      </c>
      <c r="M1743" s="4" t="str">
        <f>HYPERLINK("http://141.218.60.56/~jnz1568/getInfo.php?workbook=16_15.xlsx&amp;sheet=A0&amp;row=1743&amp;col=13&amp;number=&amp;sourceID=53","")</f>
        <v/>
      </c>
      <c r="N1743" s="4" t="str">
        <f>HYPERLINK("http://141.218.60.56/~jnz1568/getInfo.php?workbook=16_15.xlsx&amp;sheet=A0&amp;row=1743&amp;col=14&amp;number=&amp;sourceID=53","")</f>
        <v/>
      </c>
      <c r="O1743" s="4" t="str">
        <f>HYPERLINK("http://141.218.60.56/~jnz1568/getInfo.php?workbook=16_15.xlsx&amp;sheet=A0&amp;row=1743&amp;col=15&amp;number=&amp;sourceID=55","")</f>
        <v/>
      </c>
      <c r="P1743" s="4" t="str">
        <f>HYPERLINK("http://141.218.60.56/~jnz1568/getInfo.php?workbook=16_15.xlsx&amp;sheet=A0&amp;row=1743&amp;col=16&amp;number=&amp;sourceID=55","")</f>
        <v/>
      </c>
      <c r="Q1743" s="4" t="str">
        <f>HYPERLINK("http://141.218.60.56/~jnz1568/getInfo.php?workbook=16_15.xlsx&amp;sheet=A0&amp;row=1743&amp;col=17&amp;number=&amp;sourceID=56","")</f>
        <v/>
      </c>
      <c r="R1743" s="4" t="str">
        <f>HYPERLINK("http://141.218.60.56/~jnz1568/getInfo.php?workbook=16_15.xlsx&amp;sheet=A0&amp;row=1743&amp;col=18&amp;number=&amp;sourceID=56","")</f>
        <v/>
      </c>
      <c r="S1743" s="4" t="str">
        <f>HYPERLINK("http://141.218.60.56/~jnz1568/getInfo.php?workbook=16_15.xlsx&amp;sheet=A0&amp;row=1743&amp;col=19&amp;number=&amp;sourceID=57","")</f>
        <v/>
      </c>
      <c r="T1743" s="4" t="str">
        <f>HYPERLINK("http://141.218.60.56/~jnz1568/getInfo.php?workbook=16_15.xlsx&amp;sheet=A0&amp;row=1743&amp;col=20&amp;number=&amp;sourceID=57","")</f>
        <v/>
      </c>
      <c r="U1743" s="4" t="str">
        <f>HYPERLINK("http://141.218.60.56/~jnz1568/getInfo.php?workbook=16_15.xlsx&amp;sheet=A0&amp;row=1743&amp;col=21&amp;number=&amp;sourceID=47","")</f>
        <v/>
      </c>
      <c r="V1743" s="4" t="str">
        <f>HYPERLINK("http://141.218.60.56/~jnz1568/getInfo.php?workbook=16_15.xlsx&amp;sheet=A0&amp;row=1743&amp;col=22&amp;number=&amp;sourceID=47","")</f>
        <v/>
      </c>
    </row>
    <row r="1744" spans="1:22">
      <c r="A1744" s="3">
        <v>16</v>
      </c>
      <c r="B1744" s="3">
        <v>15</v>
      </c>
      <c r="C1744" s="3">
        <v>67</v>
      </c>
      <c r="D1744" s="3">
        <v>5</v>
      </c>
      <c r="E1744" s="3">
        <f>((1/(INDEX(E0!J$4:J$73,C1744,1)-INDEX(E0!J$4:J$73,D1744,1))))*100000000</f>
        <v>0</v>
      </c>
      <c r="F1744" s="4" t="str">
        <f>HYPERLINK("http://141.218.60.56/~jnz1568/getInfo.php?workbook=16_15.xlsx&amp;sheet=A0&amp;row=1744&amp;col=6&amp;number=693820000&amp;sourceID=54","693820000")</f>
        <v>693820000</v>
      </c>
      <c r="G1744" s="4" t="str">
        <f>HYPERLINK("http://141.218.60.56/~jnz1568/getInfo.php?workbook=16_15.xlsx&amp;sheet=A0&amp;row=1744&amp;col=7&amp;number=&amp;sourceID=54","")</f>
        <v/>
      </c>
      <c r="H1744" s="4" t="str">
        <f>HYPERLINK("http://141.218.60.56/~jnz1568/getInfo.php?workbook=16_15.xlsx&amp;sheet=A0&amp;row=1744&amp;col=8&amp;number=&amp;sourceID=54","")</f>
        <v/>
      </c>
      <c r="I1744" s="4" t="str">
        <f>HYPERLINK("http://141.218.60.56/~jnz1568/getInfo.php?workbook=16_15.xlsx&amp;sheet=A0&amp;row=1744&amp;col=9&amp;number=644360000&amp;sourceID=54","644360000")</f>
        <v>644360000</v>
      </c>
      <c r="J1744" s="4" t="str">
        <f>HYPERLINK("http://141.218.60.56/~jnz1568/getInfo.php?workbook=16_15.xlsx&amp;sheet=A0&amp;row=1744&amp;col=10&amp;number=&amp;sourceID=54","")</f>
        <v/>
      </c>
      <c r="K1744" s="4" t="str">
        <f>HYPERLINK("http://141.218.60.56/~jnz1568/getInfo.php?workbook=16_15.xlsx&amp;sheet=A0&amp;row=1744&amp;col=11&amp;number=&amp;sourceID=54","")</f>
        <v/>
      </c>
      <c r="L1744" s="4" t="str">
        <f>HYPERLINK("http://141.218.60.56/~jnz1568/getInfo.php?workbook=16_15.xlsx&amp;sheet=A0&amp;row=1744&amp;col=12&amp;number=617187480.744&amp;sourceID=53","617187480.744")</f>
        <v>617187480.744</v>
      </c>
      <c r="M1744" s="4" t="str">
        <f>HYPERLINK("http://141.218.60.56/~jnz1568/getInfo.php?workbook=16_15.xlsx&amp;sheet=A0&amp;row=1744&amp;col=13&amp;number=&amp;sourceID=53","")</f>
        <v/>
      </c>
      <c r="N1744" s="4" t="str">
        <f>HYPERLINK("http://141.218.60.56/~jnz1568/getInfo.php?workbook=16_15.xlsx&amp;sheet=A0&amp;row=1744&amp;col=14&amp;number=&amp;sourceID=53","")</f>
        <v/>
      </c>
      <c r="O1744" s="4" t="str">
        <f>HYPERLINK("http://141.218.60.56/~jnz1568/getInfo.php?workbook=16_15.xlsx&amp;sheet=A0&amp;row=1744&amp;col=15&amp;number=&amp;sourceID=55","")</f>
        <v/>
      </c>
      <c r="P1744" s="4" t="str">
        <f>HYPERLINK("http://141.218.60.56/~jnz1568/getInfo.php?workbook=16_15.xlsx&amp;sheet=A0&amp;row=1744&amp;col=16&amp;number=&amp;sourceID=55","")</f>
        <v/>
      </c>
      <c r="Q1744" s="4" t="str">
        <f>HYPERLINK("http://141.218.60.56/~jnz1568/getInfo.php?workbook=16_15.xlsx&amp;sheet=A0&amp;row=1744&amp;col=17&amp;number=&amp;sourceID=56","")</f>
        <v/>
      </c>
      <c r="R1744" s="4" t="str">
        <f>HYPERLINK("http://141.218.60.56/~jnz1568/getInfo.php?workbook=16_15.xlsx&amp;sheet=A0&amp;row=1744&amp;col=18&amp;number=&amp;sourceID=56","")</f>
        <v/>
      </c>
      <c r="S1744" s="4" t="str">
        <f>HYPERLINK("http://141.218.60.56/~jnz1568/getInfo.php?workbook=16_15.xlsx&amp;sheet=A0&amp;row=1744&amp;col=19&amp;number=&amp;sourceID=57","")</f>
        <v/>
      </c>
      <c r="T1744" s="4" t="str">
        <f>HYPERLINK("http://141.218.60.56/~jnz1568/getInfo.php?workbook=16_15.xlsx&amp;sheet=A0&amp;row=1744&amp;col=20&amp;number=&amp;sourceID=57","")</f>
        <v/>
      </c>
      <c r="U1744" s="4" t="str">
        <f>HYPERLINK("http://141.218.60.56/~jnz1568/getInfo.php?workbook=16_15.xlsx&amp;sheet=A0&amp;row=1744&amp;col=21&amp;number=&amp;sourceID=47","")</f>
        <v/>
      </c>
      <c r="V1744" s="4" t="str">
        <f>HYPERLINK("http://141.218.60.56/~jnz1568/getInfo.php?workbook=16_15.xlsx&amp;sheet=A0&amp;row=1744&amp;col=22&amp;number=&amp;sourceID=47","")</f>
        <v/>
      </c>
    </row>
    <row r="1745" spans="1:22">
      <c r="A1745" s="3">
        <v>16</v>
      </c>
      <c r="B1745" s="3">
        <v>15</v>
      </c>
      <c r="C1745" s="3">
        <v>67</v>
      </c>
      <c r="D1745" s="3">
        <v>6</v>
      </c>
      <c r="E1745" s="3">
        <f>((1/(INDEX(E0!J$4:J$73,C1745,1)-INDEX(E0!J$4:J$73,D1745,1))))*100000000</f>
        <v>0</v>
      </c>
      <c r="F1745" s="4" t="str">
        <f>HYPERLINK("http://141.218.60.56/~jnz1568/getInfo.php?workbook=16_15.xlsx&amp;sheet=A0&amp;row=1745&amp;col=6&amp;number=&amp;sourceID=54","")</f>
        <v/>
      </c>
      <c r="G1745" s="4" t="str">
        <f>HYPERLINK("http://141.218.60.56/~jnz1568/getInfo.php?workbook=16_15.xlsx&amp;sheet=A0&amp;row=1745&amp;col=7&amp;number=0.00058991&amp;sourceID=54","0.00058991")</f>
        <v>0.00058991</v>
      </c>
      <c r="H1745" s="4" t="str">
        <f>HYPERLINK("http://141.218.60.56/~jnz1568/getInfo.php?workbook=16_15.xlsx&amp;sheet=A0&amp;row=1745&amp;col=8&amp;number=0.00016872&amp;sourceID=54","0.00016872")</f>
        <v>0.00016872</v>
      </c>
      <c r="I1745" s="4" t="str">
        <f>HYPERLINK("http://141.218.60.56/~jnz1568/getInfo.php?workbook=16_15.xlsx&amp;sheet=A0&amp;row=1745&amp;col=9&amp;number=&amp;sourceID=54","")</f>
        <v/>
      </c>
      <c r="J1745" s="4" t="str">
        <f>HYPERLINK("http://141.218.60.56/~jnz1568/getInfo.php?workbook=16_15.xlsx&amp;sheet=A0&amp;row=1745&amp;col=10&amp;number=0.0059417&amp;sourceID=54","0.0059417")</f>
        <v>0.0059417</v>
      </c>
      <c r="K1745" s="4" t="str">
        <f>HYPERLINK("http://141.218.60.56/~jnz1568/getInfo.php?workbook=16_15.xlsx&amp;sheet=A0&amp;row=1745&amp;col=11&amp;number=0.00015888&amp;sourceID=54","0.00015888")</f>
        <v>0.00015888</v>
      </c>
      <c r="L1745" s="4" t="str">
        <f>HYPERLINK("http://141.218.60.56/~jnz1568/getInfo.php?workbook=16_15.xlsx&amp;sheet=A0&amp;row=1745&amp;col=12&amp;number=&amp;sourceID=53","")</f>
        <v/>
      </c>
      <c r="M1745" s="4" t="str">
        <f>HYPERLINK("http://141.218.60.56/~jnz1568/getInfo.php?workbook=16_15.xlsx&amp;sheet=A0&amp;row=1745&amp;col=13&amp;number=&amp;sourceID=53","")</f>
        <v/>
      </c>
      <c r="N1745" s="4" t="str">
        <f>HYPERLINK("http://141.218.60.56/~jnz1568/getInfo.php?workbook=16_15.xlsx&amp;sheet=A0&amp;row=1745&amp;col=14&amp;number=&amp;sourceID=53","")</f>
        <v/>
      </c>
      <c r="O1745" s="4" t="str">
        <f>HYPERLINK("http://141.218.60.56/~jnz1568/getInfo.php?workbook=16_15.xlsx&amp;sheet=A0&amp;row=1745&amp;col=15&amp;number=&amp;sourceID=55","")</f>
        <v/>
      </c>
      <c r="P1745" s="4" t="str">
        <f>HYPERLINK("http://141.218.60.56/~jnz1568/getInfo.php?workbook=16_15.xlsx&amp;sheet=A0&amp;row=1745&amp;col=16&amp;number=&amp;sourceID=55","")</f>
        <v/>
      </c>
      <c r="Q1745" s="4" t="str">
        <f>HYPERLINK("http://141.218.60.56/~jnz1568/getInfo.php?workbook=16_15.xlsx&amp;sheet=A0&amp;row=1745&amp;col=17&amp;number=&amp;sourceID=56","")</f>
        <v/>
      </c>
      <c r="R1745" s="4" t="str">
        <f>HYPERLINK("http://141.218.60.56/~jnz1568/getInfo.php?workbook=16_15.xlsx&amp;sheet=A0&amp;row=1745&amp;col=18&amp;number=&amp;sourceID=56","")</f>
        <v/>
      </c>
      <c r="S1745" s="4" t="str">
        <f>HYPERLINK("http://141.218.60.56/~jnz1568/getInfo.php?workbook=16_15.xlsx&amp;sheet=A0&amp;row=1745&amp;col=19&amp;number=&amp;sourceID=57","")</f>
        <v/>
      </c>
      <c r="T1745" s="4" t="str">
        <f>HYPERLINK("http://141.218.60.56/~jnz1568/getInfo.php?workbook=16_15.xlsx&amp;sheet=A0&amp;row=1745&amp;col=20&amp;number=&amp;sourceID=57","")</f>
        <v/>
      </c>
      <c r="U1745" s="4" t="str">
        <f>HYPERLINK("http://141.218.60.56/~jnz1568/getInfo.php?workbook=16_15.xlsx&amp;sheet=A0&amp;row=1745&amp;col=21&amp;number=&amp;sourceID=47","")</f>
        <v/>
      </c>
      <c r="V1745" s="4" t="str">
        <f>HYPERLINK("http://141.218.60.56/~jnz1568/getInfo.php?workbook=16_15.xlsx&amp;sheet=A0&amp;row=1745&amp;col=22&amp;number=&amp;sourceID=47","")</f>
        <v/>
      </c>
    </row>
    <row r="1746" spans="1:22">
      <c r="A1746" s="3">
        <v>16</v>
      </c>
      <c r="B1746" s="3">
        <v>15</v>
      </c>
      <c r="C1746" s="3">
        <v>67</v>
      </c>
      <c r="D1746" s="3">
        <v>7</v>
      </c>
      <c r="E1746" s="3">
        <f>((1/(INDEX(E0!J$4:J$73,C1746,1)-INDEX(E0!J$4:J$73,D1746,1))))*100000000</f>
        <v>0</v>
      </c>
      <c r="F1746" s="4" t="str">
        <f>HYPERLINK("http://141.218.60.56/~jnz1568/getInfo.php?workbook=16_15.xlsx&amp;sheet=A0&amp;row=1746&amp;col=6&amp;number=&amp;sourceID=54","")</f>
        <v/>
      </c>
      <c r="G1746" s="4" t="str">
        <f>HYPERLINK("http://141.218.60.56/~jnz1568/getInfo.php?workbook=16_15.xlsx&amp;sheet=A0&amp;row=1746&amp;col=7&amp;number=0.0049985&amp;sourceID=54","0.0049985")</f>
        <v>0.0049985</v>
      </c>
      <c r="H1746" s="4" t="str">
        <f>HYPERLINK("http://141.218.60.56/~jnz1568/getInfo.php?workbook=16_15.xlsx&amp;sheet=A0&amp;row=1746&amp;col=8&amp;number=0.00083835&amp;sourceID=54","0.00083835")</f>
        <v>0.00083835</v>
      </c>
      <c r="I1746" s="4" t="str">
        <f>HYPERLINK("http://141.218.60.56/~jnz1568/getInfo.php?workbook=16_15.xlsx&amp;sheet=A0&amp;row=1746&amp;col=9&amp;number=&amp;sourceID=54","")</f>
        <v/>
      </c>
      <c r="J1746" s="4" t="str">
        <f>HYPERLINK("http://141.218.60.56/~jnz1568/getInfo.php?workbook=16_15.xlsx&amp;sheet=A0&amp;row=1746&amp;col=10&amp;number=6.525e-06&amp;sourceID=54","6.525e-06")</f>
        <v>6.525e-06</v>
      </c>
      <c r="K1746" s="4" t="str">
        <f>HYPERLINK("http://141.218.60.56/~jnz1568/getInfo.php?workbook=16_15.xlsx&amp;sheet=A0&amp;row=1746&amp;col=11&amp;number=0.00056924&amp;sourceID=54","0.00056924")</f>
        <v>0.00056924</v>
      </c>
      <c r="L1746" s="4" t="str">
        <f>HYPERLINK("http://141.218.60.56/~jnz1568/getInfo.php?workbook=16_15.xlsx&amp;sheet=A0&amp;row=1746&amp;col=12&amp;number=&amp;sourceID=53","")</f>
        <v/>
      </c>
      <c r="M1746" s="4" t="str">
        <f>HYPERLINK("http://141.218.60.56/~jnz1568/getInfo.php?workbook=16_15.xlsx&amp;sheet=A0&amp;row=1746&amp;col=13&amp;number=&amp;sourceID=53","")</f>
        <v/>
      </c>
      <c r="N1746" s="4" t="str">
        <f>HYPERLINK("http://141.218.60.56/~jnz1568/getInfo.php?workbook=16_15.xlsx&amp;sheet=A0&amp;row=1746&amp;col=14&amp;number=&amp;sourceID=53","")</f>
        <v/>
      </c>
      <c r="O1746" s="4" t="str">
        <f>HYPERLINK("http://141.218.60.56/~jnz1568/getInfo.php?workbook=16_15.xlsx&amp;sheet=A0&amp;row=1746&amp;col=15&amp;number=&amp;sourceID=55","")</f>
        <v/>
      </c>
      <c r="P1746" s="4" t="str">
        <f>HYPERLINK("http://141.218.60.56/~jnz1568/getInfo.php?workbook=16_15.xlsx&amp;sheet=A0&amp;row=1746&amp;col=16&amp;number=&amp;sourceID=55","")</f>
        <v/>
      </c>
      <c r="Q1746" s="4" t="str">
        <f>HYPERLINK("http://141.218.60.56/~jnz1568/getInfo.php?workbook=16_15.xlsx&amp;sheet=A0&amp;row=1746&amp;col=17&amp;number=&amp;sourceID=56","")</f>
        <v/>
      </c>
      <c r="R1746" s="4" t="str">
        <f>HYPERLINK("http://141.218.60.56/~jnz1568/getInfo.php?workbook=16_15.xlsx&amp;sheet=A0&amp;row=1746&amp;col=18&amp;number=&amp;sourceID=56","")</f>
        <v/>
      </c>
      <c r="S1746" s="4" t="str">
        <f>HYPERLINK("http://141.218.60.56/~jnz1568/getInfo.php?workbook=16_15.xlsx&amp;sheet=A0&amp;row=1746&amp;col=19&amp;number=&amp;sourceID=57","")</f>
        <v/>
      </c>
      <c r="T1746" s="4" t="str">
        <f>HYPERLINK("http://141.218.60.56/~jnz1568/getInfo.php?workbook=16_15.xlsx&amp;sheet=A0&amp;row=1746&amp;col=20&amp;number==N1746-C1740&amp;sourceID=57","=N1746-C1740")</f>
        <v>=N1746-C1740</v>
      </c>
      <c r="U1746" s="4" t="str">
        <f>HYPERLINK("http://141.218.60.56/~jnz1568/getInfo.php?workbook=16_15.xlsx&amp;sheet=A0&amp;row=1746&amp;col=21&amp;number==O1746-D1740&amp;sourceID=47","=O1746-D1740")</f>
        <v>=O1746-D1740</v>
      </c>
      <c r="V1746" s="4" t="str">
        <f>HYPERLINK("http://141.218.60.56/~jnz1568/getInfo.php?workbook=16_15.xlsx&amp;sheet=A0&amp;row=1746&amp;col=22&amp;number=&amp;sourceID=47","")</f>
        <v/>
      </c>
    </row>
    <row r="1747" spans="1:22">
      <c r="A1747" s="3">
        <v>16</v>
      </c>
      <c r="B1747" s="3">
        <v>15</v>
      </c>
      <c r="C1747" s="3">
        <v>67</v>
      </c>
      <c r="D1747" s="3">
        <v>8</v>
      </c>
      <c r="E1747" s="3">
        <f>((1/(INDEX(E0!J$4:J$73,C1747,1)-INDEX(E0!J$4:J$73,D1747,1))))*100000000</f>
        <v>0</v>
      </c>
      <c r="F1747" s="4" t="str">
        <f>HYPERLINK("http://141.218.60.56/~jnz1568/getInfo.php?workbook=16_15.xlsx&amp;sheet=A0&amp;row=1747&amp;col=6&amp;number=&amp;sourceID=54","")</f>
        <v/>
      </c>
      <c r="G1747" s="4" t="str">
        <f>HYPERLINK("http://141.218.60.56/~jnz1568/getInfo.php?workbook=16_15.xlsx&amp;sheet=A0&amp;row=1747&amp;col=7&amp;number=0.0015666&amp;sourceID=54","0.0015666")</f>
        <v>0.0015666</v>
      </c>
      <c r="H1747" s="4" t="str">
        <f>HYPERLINK("http://141.218.60.56/~jnz1568/getInfo.php?workbook=16_15.xlsx&amp;sheet=A0&amp;row=1747&amp;col=8&amp;number=0.00015774&amp;sourceID=54","0.00015774")</f>
        <v>0.00015774</v>
      </c>
      <c r="I1747" s="4" t="str">
        <f>HYPERLINK("http://141.218.60.56/~jnz1568/getInfo.php?workbook=16_15.xlsx&amp;sheet=A0&amp;row=1747&amp;col=9&amp;number=&amp;sourceID=54","")</f>
        <v/>
      </c>
      <c r="J1747" s="4" t="str">
        <f>HYPERLINK("http://141.218.60.56/~jnz1568/getInfo.php?workbook=16_15.xlsx&amp;sheet=A0&amp;row=1747&amp;col=10&amp;number=0.0052216&amp;sourceID=54","0.0052216")</f>
        <v>0.0052216</v>
      </c>
      <c r="K1747" s="4" t="str">
        <f>HYPERLINK("http://141.218.60.56/~jnz1568/getInfo.php?workbook=16_15.xlsx&amp;sheet=A0&amp;row=1747&amp;col=11&amp;number=0.00014415&amp;sourceID=54","0.00014415")</f>
        <v>0.00014415</v>
      </c>
      <c r="L1747" s="4" t="str">
        <f>HYPERLINK("http://141.218.60.56/~jnz1568/getInfo.php?workbook=16_15.xlsx&amp;sheet=A0&amp;row=1747&amp;col=12&amp;number=&amp;sourceID=53","")</f>
        <v/>
      </c>
      <c r="M1747" s="4" t="str">
        <f>HYPERLINK("http://141.218.60.56/~jnz1568/getInfo.php?workbook=16_15.xlsx&amp;sheet=A0&amp;row=1747&amp;col=13&amp;number=&amp;sourceID=53","")</f>
        <v/>
      </c>
      <c r="N1747" s="4" t="str">
        <f>HYPERLINK("http://141.218.60.56/~jnz1568/getInfo.php?workbook=16_15.xlsx&amp;sheet=A0&amp;row=1747&amp;col=14&amp;number=&amp;sourceID=53","")</f>
        <v/>
      </c>
      <c r="O1747" s="4" t="str">
        <f>HYPERLINK("http://141.218.60.56/~jnz1568/getInfo.php?workbook=16_15.xlsx&amp;sheet=A0&amp;row=1747&amp;col=15&amp;number=&amp;sourceID=55","")</f>
        <v/>
      </c>
      <c r="P1747" s="4" t="str">
        <f>HYPERLINK("http://141.218.60.56/~jnz1568/getInfo.php?workbook=16_15.xlsx&amp;sheet=A0&amp;row=1747&amp;col=16&amp;number=&amp;sourceID=55","")</f>
        <v/>
      </c>
      <c r="Q1747" s="4" t="str">
        <f>HYPERLINK("http://141.218.60.56/~jnz1568/getInfo.php?workbook=16_15.xlsx&amp;sheet=A0&amp;row=1747&amp;col=17&amp;number=&amp;sourceID=56","")</f>
        <v/>
      </c>
      <c r="R1747" s="4" t="str">
        <f>HYPERLINK("http://141.218.60.56/~jnz1568/getInfo.php?workbook=16_15.xlsx&amp;sheet=A0&amp;row=1747&amp;col=18&amp;number=&amp;sourceID=56","")</f>
        <v/>
      </c>
      <c r="S1747" s="4" t="str">
        <f>HYPERLINK("http://141.218.60.56/~jnz1568/getInfo.php?workbook=16_15.xlsx&amp;sheet=A0&amp;row=1747&amp;col=19&amp;number=&amp;sourceID=57","")</f>
        <v/>
      </c>
      <c r="T1747" s="4" t="str">
        <f>HYPERLINK("http://141.218.60.56/~jnz1568/getInfo.php?workbook=16_15.xlsx&amp;sheet=A0&amp;row=1747&amp;col=20&amp;number==&amp;sourceID=57","=")</f>
        <v>=</v>
      </c>
      <c r="U1747" s="4" t="str">
        <f>HYPERLINK("http://141.218.60.56/~jnz1568/getInfo.php?workbook=16_15.xlsx&amp;sheet=A0&amp;row=1747&amp;col=21&amp;number==&amp;sourceID=47","=")</f>
        <v>=</v>
      </c>
      <c r="V1747" s="4" t="str">
        <f>HYPERLINK("http://141.218.60.56/~jnz1568/getInfo.php?workbook=16_15.xlsx&amp;sheet=A0&amp;row=1747&amp;col=22&amp;number=&amp;sourceID=47","")</f>
        <v/>
      </c>
    </row>
    <row r="1748" spans="1:22">
      <c r="A1748" s="3">
        <v>16</v>
      </c>
      <c r="B1748" s="3">
        <v>15</v>
      </c>
      <c r="C1748" s="3">
        <v>67</v>
      </c>
      <c r="D1748" s="3">
        <v>9</v>
      </c>
      <c r="E1748" s="3">
        <f>((1/(INDEX(E0!J$4:J$73,C1748,1)-INDEX(E0!J$4:J$73,D1748,1))))*100000000</f>
        <v>0</v>
      </c>
      <c r="F1748" s="4" t="str">
        <f>HYPERLINK("http://141.218.60.56/~jnz1568/getInfo.php?workbook=16_15.xlsx&amp;sheet=A0&amp;row=1748&amp;col=6&amp;number=&amp;sourceID=54","")</f>
        <v/>
      </c>
      <c r="G1748" s="4" t="str">
        <f>HYPERLINK("http://141.218.60.56/~jnz1568/getInfo.php?workbook=16_15.xlsx&amp;sheet=A0&amp;row=1748&amp;col=7&amp;number=2.3256&amp;sourceID=54","2.3256")</f>
        <v>2.3256</v>
      </c>
      <c r="H1748" s="4" t="str">
        <f>HYPERLINK("http://141.218.60.56/~jnz1568/getInfo.php?workbook=16_15.xlsx&amp;sheet=A0&amp;row=1748&amp;col=8&amp;number=0.52742&amp;sourceID=54","0.52742")</f>
        <v>0.52742</v>
      </c>
      <c r="I1748" s="4" t="str">
        <f>HYPERLINK("http://141.218.60.56/~jnz1568/getInfo.php?workbook=16_15.xlsx&amp;sheet=A0&amp;row=1748&amp;col=9&amp;number=&amp;sourceID=54","")</f>
        <v/>
      </c>
      <c r="J1748" s="4" t="str">
        <f>HYPERLINK("http://141.218.60.56/~jnz1568/getInfo.php?workbook=16_15.xlsx&amp;sheet=A0&amp;row=1748&amp;col=10&amp;number=1.5892&amp;sourceID=54","1.5892")</f>
        <v>1.5892</v>
      </c>
      <c r="K1748" s="4" t="str">
        <f>HYPERLINK("http://141.218.60.56/~jnz1568/getInfo.php?workbook=16_15.xlsx&amp;sheet=A0&amp;row=1748&amp;col=11&amp;number=0.44969&amp;sourceID=54","0.44969")</f>
        <v>0.44969</v>
      </c>
      <c r="L1748" s="4" t="str">
        <f>HYPERLINK("http://141.218.60.56/~jnz1568/getInfo.php?workbook=16_15.xlsx&amp;sheet=A0&amp;row=1748&amp;col=12&amp;number=&amp;sourceID=53","")</f>
        <v/>
      </c>
      <c r="M1748" s="4" t="str">
        <f>HYPERLINK("http://141.218.60.56/~jnz1568/getInfo.php?workbook=16_15.xlsx&amp;sheet=A0&amp;row=1748&amp;col=13&amp;number=&amp;sourceID=53","")</f>
        <v/>
      </c>
      <c r="N1748" s="4" t="str">
        <f>HYPERLINK("http://141.218.60.56/~jnz1568/getInfo.php?workbook=16_15.xlsx&amp;sheet=A0&amp;row=1748&amp;col=14&amp;number=&amp;sourceID=53","")</f>
        <v/>
      </c>
      <c r="O1748" s="4" t="str">
        <f>HYPERLINK("http://141.218.60.56/~jnz1568/getInfo.php?workbook=16_15.xlsx&amp;sheet=A0&amp;row=1748&amp;col=15&amp;number=&amp;sourceID=55","")</f>
        <v/>
      </c>
      <c r="P1748" s="4" t="str">
        <f>HYPERLINK("http://141.218.60.56/~jnz1568/getInfo.php?workbook=16_15.xlsx&amp;sheet=A0&amp;row=1748&amp;col=16&amp;number=&amp;sourceID=55","")</f>
        <v/>
      </c>
      <c r="Q1748" s="4" t="str">
        <f>HYPERLINK("http://141.218.60.56/~jnz1568/getInfo.php?workbook=16_15.xlsx&amp;sheet=A0&amp;row=1748&amp;col=17&amp;number=&amp;sourceID=56","")</f>
        <v/>
      </c>
      <c r="R1748" s="4" t="str">
        <f>HYPERLINK("http://141.218.60.56/~jnz1568/getInfo.php?workbook=16_15.xlsx&amp;sheet=A0&amp;row=1748&amp;col=18&amp;number=&amp;sourceID=56","")</f>
        <v/>
      </c>
      <c r="S1748" s="4" t="str">
        <f>HYPERLINK("http://141.218.60.56/~jnz1568/getInfo.php?workbook=16_15.xlsx&amp;sheet=A0&amp;row=1748&amp;col=19&amp;number=&amp;sourceID=57","")</f>
        <v/>
      </c>
      <c r="T1748" s="4" t="str">
        <f>HYPERLINK("http://141.218.60.56/~jnz1568/getInfo.php?workbook=16_15.xlsx&amp;sheet=A0&amp;row=1748&amp;col=20&amp;number==&amp;sourceID=57","=")</f>
        <v>=</v>
      </c>
      <c r="U1748" s="4" t="str">
        <f>HYPERLINK("http://141.218.60.56/~jnz1568/getInfo.php?workbook=16_15.xlsx&amp;sheet=A0&amp;row=1748&amp;col=21&amp;number==&amp;sourceID=47","=")</f>
        <v>=</v>
      </c>
      <c r="V1748" s="4" t="str">
        <f>HYPERLINK("http://141.218.60.56/~jnz1568/getInfo.php?workbook=16_15.xlsx&amp;sheet=A0&amp;row=1748&amp;col=22&amp;number=&amp;sourceID=47","")</f>
        <v/>
      </c>
    </row>
    <row r="1749" spans="1:22">
      <c r="A1749" s="3">
        <v>16</v>
      </c>
      <c r="B1749" s="3">
        <v>15</v>
      </c>
      <c r="C1749" s="3">
        <v>67</v>
      </c>
      <c r="D1749" s="3">
        <v>10</v>
      </c>
      <c r="E1749" s="3">
        <f>((1/(INDEX(E0!J$4:J$73,C1749,1)-INDEX(E0!J$4:J$73,D1749,1))))*100000000</f>
        <v>0</v>
      </c>
      <c r="F1749" s="4" t="str">
        <f>HYPERLINK("http://141.218.60.56/~jnz1568/getInfo.php?workbook=16_15.xlsx&amp;sheet=A0&amp;row=1749&amp;col=6&amp;number=&amp;sourceID=54","")</f>
        <v/>
      </c>
      <c r="G1749" s="4" t="str">
        <f>HYPERLINK("http://141.218.60.56/~jnz1568/getInfo.php?workbook=16_15.xlsx&amp;sheet=A0&amp;row=1749&amp;col=7&amp;number=1.7835&amp;sourceID=54","1.7835")</f>
        <v>1.7835</v>
      </c>
      <c r="H1749" s="4" t="str">
        <f>HYPERLINK("http://141.218.60.56/~jnz1568/getInfo.php?workbook=16_15.xlsx&amp;sheet=A0&amp;row=1749&amp;col=8&amp;number=0.15372&amp;sourceID=54","0.15372")</f>
        <v>0.15372</v>
      </c>
      <c r="I1749" s="4" t="str">
        <f>HYPERLINK("http://141.218.60.56/~jnz1568/getInfo.php?workbook=16_15.xlsx&amp;sheet=A0&amp;row=1749&amp;col=9&amp;number=&amp;sourceID=54","")</f>
        <v/>
      </c>
      <c r="J1749" s="4" t="str">
        <f>HYPERLINK("http://141.218.60.56/~jnz1568/getInfo.php?workbook=16_15.xlsx&amp;sheet=A0&amp;row=1749&amp;col=10&amp;number=1.4721&amp;sourceID=54","1.4721")</f>
        <v>1.4721</v>
      </c>
      <c r="K1749" s="4" t="str">
        <f>HYPERLINK("http://141.218.60.56/~jnz1568/getInfo.php?workbook=16_15.xlsx&amp;sheet=A0&amp;row=1749&amp;col=11&amp;number=0.13376&amp;sourceID=54","0.13376")</f>
        <v>0.13376</v>
      </c>
      <c r="L1749" s="4" t="str">
        <f>HYPERLINK("http://141.218.60.56/~jnz1568/getInfo.php?workbook=16_15.xlsx&amp;sheet=A0&amp;row=1749&amp;col=12&amp;number=&amp;sourceID=53","")</f>
        <v/>
      </c>
      <c r="M1749" s="4" t="str">
        <f>HYPERLINK("http://141.218.60.56/~jnz1568/getInfo.php?workbook=16_15.xlsx&amp;sheet=A0&amp;row=1749&amp;col=13&amp;number=&amp;sourceID=53","")</f>
        <v/>
      </c>
      <c r="N1749" s="4" t="str">
        <f>HYPERLINK("http://141.218.60.56/~jnz1568/getInfo.php?workbook=16_15.xlsx&amp;sheet=A0&amp;row=1749&amp;col=14&amp;number=&amp;sourceID=53","")</f>
        <v/>
      </c>
      <c r="O1749" s="4" t="str">
        <f>HYPERLINK("http://141.218.60.56/~jnz1568/getInfo.php?workbook=16_15.xlsx&amp;sheet=A0&amp;row=1749&amp;col=15&amp;number=&amp;sourceID=55","")</f>
        <v/>
      </c>
      <c r="P1749" s="4" t="str">
        <f>HYPERLINK("http://141.218.60.56/~jnz1568/getInfo.php?workbook=16_15.xlsx&amp;sheet=A0&amp;row=1749&amp;col=16&amp;number=&amp;sourceID=55","")</f>
        <v/>
      </c>
      <c r="Q1749" s="4" t="str">
        <f>HYPERLINK("http://141.218.60.56/~jnz1568/getInfo.php?workbook=16_15.xlsx&amp;sheet=A0&amp;row=1749&amp;col=17&amp;number=&amp;sourceID=56","")</f>
        <v/>
      </c>
      <c r="R1749" s="4" t="str">
        <f>HYPERLINK("http://141.218.60.56/~jnz1568/getInfo.php?workbook=16_15.xlsx&amp;sheet=A0&amp;row=1749&amp;col=18&amp;number=&amp;sourceID=56","")</f>
        <v/>
      </c>
      <c r="S1749" s="4" t="str">
        <f>HYPERLINK("http://141.218.60.56/~jnz1568/getInfo.php?workbook=16_15.xlsx&amp;sheet=A0&amp;row=1749&amp;col=19&amp;number=&amp;sourceID=57","")</f>
        <v/>
      </c>
      <c r="T1749" s="4" t="str">
        <f>HYPERLINK("http://141.218.60.56/~jnz1568/getInfo.php?workbook=16_15.xlsx&amp;sheet=A0&amp;row=1749&amp;col=20&amp;number==&amp;sourceID=57","=")</f>
        <v>=</v>
      </c>
      <c r="U1749" s="4" t="str">
        <f>HYPERLINK("http://141.218.60.56/~jnz1568/getInfo.php?workbook=16_15.xlsx&amp;sheet=A0&amp;row=1749&amp;col=21&amp;number==&amp;sourceID=47","=")</f>
        <v>=</v>
      </c>
      <c r="V1749" s="4" t="str">
        <f>HYPERLINK("http://141.218.60.56/~jnz1568/getInfo.php?workbook=16_15.xlsx&amp;sheet=A0&amp;row=1749&amp;col=22&amp;number=&amp;sourceID=47","")</f>
        <v/>
      </c>
    </row>
    <row r="1750" spans="1:22">
      <c r="A1750" s="3">
        <v>16</v>
      </c>
      <c r="B1750" s="3">
        <v>15</v>
      </c>
      <c r="C1750" s="3">
        <v>67</v>
      </c>
      <c r="D1750" s="3">
        <v>11</v>
      </c>
      <c r="E1750" s="3">
        <f>((1/(INDEX(E0!J$4:J$73,C1750,1)-INDEX(E0!J$4:J$73,D1750,1))))*100000000</f>
        <v>0</v>
      </c>
      <c r="F1750" s="4" t="str">
        <f>HYPERLINK("http://141.218.60.56/~jnz1568/getInfo.php?workbook=16_15.xlsx&amp;sheet=A0&amp;row=1750&amp;col=6&amp;number=&amp;sourceID=54","")</f>
        <v/>
      </c>
      <c r="G1750" s="4" t="str">
        <f>HYPERLINK("http://141.218.60.56/~jnz1568/getInfo.php?workbook=16_15.xlsx&amp;sheet=A0&amp;row=1750&amp;col=7&amp;number=5.0023&amp;sourceID=54","5.0023")</f>
        <v>5.0023</v>
      </c>
      <c r="H1750" s="4" t="str">
        <f>HYPERLINK("http://141.218.60.56/~jnz1568/getInfo.php?workbook=16_15.xlsx&amp;sheet=A0&amp;row=1750&amp;col=8&amp;number=0.024551&amp;sourceID=54","0.024551")</f>
        <v>0.024551</v>
      </c>
      <c r="I1750" s="4" t="str">
        <f>HYPERLINK("http://141.218.60.56/~jnz1568/getInfo.php?workbook=16_15.xlsx&amp;sheet=A0&amp;row=1750&amp;col=9&amp;number=&amp;sourceID=54","")</f>
        <v/>
      </c>
      <c r="J1750" s="4" t="str">
        <f>HYPERLINK("http://141.218.60.56/~jnz1568/getInfo.php?workbook=16_15.xlsx&amp;sheet=A0&amp;row=1750&amp;col=10&amp;number=4.4286&amp;sourceID=54","4.4286")</f>
        <v>4.4286</v>
      </c>
      <c r="K1750" s="4" t="str">
        <f>HYPERLINK("http://141.218.60.56/~jnz1568/getInfo.php?workbook=16_15.xlsx&amp;sheet=A0&amp;row=1750&amp;col=11&amp;number=0.023329&amp;sourceID=54","0.023329")</f>
        <v>0.023329</v>
      </c>
      <c r="L1750" s="4" t="str">
        <f>HYPERLINK("http://141.218.60.56/~jnz1568/getInfo.php?workbook=16_15.xlsx&amp;sheet=A0&amp;row=1750&amp;col=12&amp;number=&amp;sourceID=53","")</f>
        <v/>
      </c>
      <c r="M1750" s="4" t="str">
        <f>HYPERLINK("http://141.218.60.56/~jnz1568/getInfo.php?workbook=16_15.xlsx&amp;sheet=A0&amp;row=1750&amp;col=13&amp;number=&amp;sourceID=53","")</f>
        <v/>
      </c>
      <c r="N1750" s="4" t="str">
        <f>HYPERLINK("http://141.218.60.56/~jnz1568/getInfo.php?workbook=16_15.xlsx&amp;sheet=A0&amp;row=1750&amp;col=14&amp;number=&amp;sourceID=53","")</f>
        <v/>
      </c>
      <c r="O1750" s="4" t="str">
        <f>HYPERLINK("http://141.218.60.56/~jnz1568/getInfo.php?workbook=16_15.xlsx&amp;sheet=A0&amp;row=1750&amp;col=15&amp;number=&amp;sourceID=55","")</f>
        <v/>
      </c>
      <c r="P1750" s="4" t="str">
        <f>HYPERLINK("http://141.218.60.56/~jnz1568/getInfo.php?workbook=16_15.xlsx&amp;sheet=A0&amp;row=1750&amp;col=16&amp;number=&amp;sourceID=55","")</f>
        <v/>
      </c>
      <c r="Q1750" s="4" t="str">
        <f>HYPERLINK("http://141.218.60.56/~jnz1568/getInfo.php?workbook=16_15.xlsx&amp;sheet=A0&amp;row=1750&amp;col=17&amp;number=&amp;sourceID=56","")</f>
        <v/>
      </c>
      <c r="R1750" s="4" t="str">
        <f>HYPERLINK("http://141.218.60.56/~jnz1568/getInfo.php?workbook=16_15.xlsx&amp;sheet=A0&amp;row=1750&amp;col=18&amp;number=&amp;sourceID=56","")</f>
        <v/>
      </c>
      <c r="S1750" s="4" t="str">
        <f>HYPERLINK("http://141.218.60.56/~jnz1568/getInfo.php?workbook=16_15.xlsx&amp;sheet=A0&amp;row=1750&amp;col=19&amp;number=&amp;sourceID=57","")</f>
        <v/>
      </c>
      <c r="T1750" s="4" t="str">
        <f>HYPERLINK("http://141.218.60.56/~jnz1568/getInfo.php?workbook=16_15.xlsx&amp;sheet=A0&amp;row=1750&amp;col=20&amp;number==&amp;sourceID=57","=")</f>
        <v>=</v>
      </c>
      <c r="U1750" s="4" t="str">
        <f>HYPERLINK("http://141.218.60.56/~jnz1568/getInfo.php?workbook=16_15.xlsx&amp;sheet=A0&amp;row=1750&amp;col=21&amp;number==&amp;sourceID=47","=")</f>
        <v>=</v>
      </c>
      <c r="V1750" s="4" t="str">
        <f>HYPERLINK("http://141.218.60.56/~jnz1568/getInfo.php?workbook=16_15.xlsx&amp;sheet=A0&amp;row=1750&amp;col=22&amp;number=&amp;sourceID=47","")</f>
        <v/>
      </c>
    </row>
    <row r="1751" spans="1:22">
      <c r="A1751" s="3">
        <v>16</v>
      </c>
      <c r="B1751" s="3">
        <v>15</v>
      </c>
      <c r="C1751" s="3">
        <v>67</v>
      </c>
      <c r="D1751" s="3">
        <v>12</v>
      </c>
      <c r="E1751" s="3">
        <f>((1/(INDEX(E0!J$4:J$73,C1751,1)-INDEX(E0!J$4:J$73,D1751,1))))*100000000</f>
        <v>0</v>
      </c>
      <c r="F1751" s="4" t="str">
        <f>HYPERLINK("http://141.218.60.56/~jnz1568/getInfo.php?workbook=16_15.xlsx&amp;sheet=A0&amp;row=1751&amp;col=6&amp;number=&amp;sourceID=54","")</f>
        <v/>
      </c>
      <c r="G1751" s="4" t="str">
        <f>HYPERLINK("http://141.218.60.56/~jnz1568/getInfo.php?workbook=16_15.xlsx&amp;sheet=A0&amp;row=1751&amp;col=7&amp;number=2.1218&amp;sourceID=54","2.1218")</f>
        <v>2.1218</v>
      </c>
      <c r="H1751" s="4" t="str">
        <f>HYPERLINK("http://141.218.60.56/~jnz1568/getInfo.php?workbook=16_15.xlsx&amp;sheet=A0&amp;row=1751&amp;col=8&amp;number=0.0082359&amp;sourceID=54","0.0082359")</f>
        <v>0.0082359</v>
      </c>
      <c r="I1751" s="4" t="str">
        <f>HYPERLINK("http://141.218.60.56/~jnz1568/getInfo.php?workbook=16_15.xlsx&amp;sheet=A0&amp;row=1751&amp;col=9&amp;number=&amp;sourceID=54","")</f>
        <v/>
      </c>
      <c r="J1751" s="4" t="str">
        <f>HYPERLINK("http://141.218.60.56/~jnz1568/getInfo.php?workbook=16_15.xlsx&amp;sheet=A0&amp;row=1751&amp;col=10&amp;number=1.4585&amp;sourceID=54","1.4585")</f>
        <v>1.4585</v>
      </c>
      <c r="K1751" s="4" t="str">
        <f>HYPERLINK("http://141.218.60.56/~jnz1568/getInfo.php?workbook=16_15.xlsx&amp;sheet=A0&amp;row=1751&amp;col=11&amp;number=0.0074143&amp;sourceID=54","0.0074143")</f>
        <v>0.0074143</v>
      </c>
      <c r="L1751" s="4" t="str">
        <f>HYPERLINK("http://141.218.60.56/~jnz1568/getInfo.php?workbook=16_15.xlsx&amp;sheet=A0&amp;row=1751&amp;col=12&amp;number=&amp;sourceID=53","")</f>
        <v/>
      </c>
      <c r="M1751" s="4" t="str">
        <f>HYPERLINK("http://141.218.60.56/~jnz1568/getInfo.php?workbook=16_15.xlsx&amp;sheet=A0&amp;row=1751&amp;col=13&amp;number=&amp;sourceID=53","")</f>
        <v/>
      </c>
      <c r="N1751" s="4" t="str">
        <f>HYPERLINK("http://141.218.60.56/~jnz1568/getInfo.php?workbook=16_15.xlsx&amp;sheet=A0&amp;row=1751&amp;col=14&amp;number=&amp;sourceID=53","")</f>
        <v/>
      </c>
      <c r="O1751" s="4" t="str">
        <f>HYPERLINK("http://141.218.60.56/~jnz1568/getInfo.php?workbook=16_15.xlsx&amp;sheet=A0&amp;row=1751&amp;col=15&amp;number=&amp;sourceID=55","")</f>
        <v/>
      </c>
      <c r="P1751" s="4" t="str">
        <f>HYPERLINK("http://141.218.60.56/~jnz1568/getInfo.php?workbook=16_15.xlsx&amp;sheet=A0&amp;row=1751&amp;col=16&amp;number=&amp;sourceID=55","")</f>
        <v/>
      </c>
      <c r="Q1751" s="4" t="str">
        <f>HYPERLINK("http://141.218.60.56/~jnz1568/getInfo.php?workbook=16_15.xlsx&amp;sheet=A0&amp;row=1751&amp;col=17&amp;number=&amp;sourceID=56","")</f>
        <v/>
      </c>
      <c r="R1751" s="4" t="str">
        <f>HYPERLINK("http://141.218.60.56/~jnz1568/getInfo.php?workbook=16_15.xlsx&amp;sheet=A0&amp;row=1751&amp;col=18&amp;number=&amp;sourceID=56","")</f>
        <v/>
      </c>
      <c r="S1751" s="4" t="str">
        <f>HYPERLINK("http://141.218.60.56/~jnz1568/getInfo.php?workbook=16_15.xlsx&amp;sheet=A0&amp;row=1751&amp;col=19&amp;number=&amp;sourceID=57","")</f>
        <v/>
      </c>
      <c r="T1751" s="4" t="str">
        <f>HYPERLINK("http://141.218.60.56/~jnz1568/getInfo.php?workbook=16_15.xlsx&amp;sheet=A0&amp;row=1751&amp;col=20&amp;number==&amp;sourceID=57","=")</f>
        <v>=</v>
      </c>
      <c r="U1751" s="4" t="str">
        <f>HYPERLINK("http://141.218.60.56/~jnz1568/getInfo.php?workbook=16_15.xlsx&amp;sheet=A0&amp;row=1751&amp;col=21&amp;number==&amp;sourceID=47","=")</f>
        <v>=</v>
      </c>
      <c r="V1751" s="4" t="str">
        <f>HYPERLINK("http://141.218.60.56/~jnz1568/getInfo.php?workbook=16_15.xlsx&amp;sheet=A0&amp;row=1751&amp;col=22&amp;number=&amp;sourceID=47","")</f>
        <v/>
      </c>
    </row>
    <row r="1752" spans="1:22">
      <c r="A1752" s="3">
        <v>16</v>
      </c>
      <c r="B1752" s="3">
        <v>15</v>
      </c>
      <c r="C1752" s="3">
        <v>67</v>
      </c>
      <c r="D1752" s="3">
        <v>13</v>
      </c>
      <c r="E1752" s="3">
        <f>((1/(INDEX(E0!J$4:J$73,C1752,1)-INDEX(E0!J$4:J$73,D1752,1))))*100000000</f>
        <v>0</v>
      </c>
      <c r="F1752" s="4" t="str">
        <f>HYPERLINK("http://141.218.60.56/~jnz1568/getInfo.php?workbook=16_15.xlsx&amp;sheet=A0&amp;row=1752&amp;col=6&amp;number=&amp;sourceID=54","")</f>
        <v/>
      </c>
      <c r="G1752" s="4" t="str">
        <f>HYPERLINK("http://141.218.60.56/~jnz1568/getInfo.php?workbook=16_15.xlsx&amp;sheet=A0&amp;row=1752&amp;col=7&amp;number=0.23169&amp;sourceID=54","0.23169")</f>
        <v>0.23169</v>
      </c>
      <c r="H1752" s="4" t="str">
        <f>HYPERLINK("http://141.218.60.56/~jnz1568/getInfo.php?workbook=16_15.xlsx&amp;sheet=A0&amp;row=1752&amp;col=8&amp;number=0.00031746&amp;sourceID=54","0.00031746")</f>
        <v>0.00031746</v>
      </c>
      <c r="I1752" s="4" t="str">
        <f>HYPERLINK("http://141.218.60.56/~jnz1568/getInfo.php?workbook=16_15.xlsx&amp;sheet=A0&amp;row=1752&amp;col=9&amp;number=&amp;sourceID=54","")</f>
        <v/>
      </c>
      <c r="J1752" s="4" t="str">
        <f>HYPERLINK("http://141.218.60.56/~jnz1568/getInfo.php?workbook=16_15.xlsx&amp;sheet=A0&amp;row=1752&amp;col=10&amp;number=0.044332&amp;sourceID=54","0.044332")</f>
        <v>0.044332</v>
      </c>
      <c r="K1752" s="4" t="str">
        <f>HYPERLINK("http://141.218.60.56/~jnz1568/getInfo.php?workbook=16_15.xlsx&amp;sheet=A0&amp;row=1752&amp;col=11&amp;number=0.0002676&amp;sourceID=54","0.0002676")</f>
        <v>0.0002676</v>
      </c>
      <c r="L1752" s="4" t="str">
        <f>HYPERLINK("http://141.218.60.56/~jnz1568/getInfo.php?workbook=16_15.xlsx&amp;sheet=A0&amp;row=1752&amp;col=12&amp;number=&amp;sourceID=53","")</f>
        <v/>
      </c>
      <c r="M1752" s="4" t="str">
        <f>HYPERLINK("http://141.218.60.56/~jnz1568/getInfo.php?workbook=16_15.xlsx&amp;sheet=A0&amp;row=1752&amp;col=13&amp;number=&amp;sourceID=53","")</f>
        <v/>
      </c>
      <c r="N1752" s="4" t="str">
        <f>HYPERLINK("http://141.218.60.56/~jnz1568/getInfo.php?workbook=16_15.xlsx&amp;sheet=A0&amp;row=1752&amp;col=14&amp;number=&amp;sourceID=53","")</f>
        <v/>
      </c>
      <c r="O1752" s="4" t="str">
        <f>HYPERLINK("http://141.218.60.56/~jnz1568/getInfo.php?workbook=16_15.xlsx&amp;sheet=A0&amp;row=1752&amp;col=15&amp;number=&amp;sourceID=55","")</f>
        <v/>
      </c>
      <c r="P1752" s="4" t="str">
        <f>HYPERLINK("http://141.218.60.56/~jnz1568/getInfo.php?workbook=16_15.xlsx&amp;sheet=A0&amp;row=1752&amp;col=16&amp;number=&amp;sourceID=55","")</f>
        <v/>
      </c>
      <c r="Q1752" s="4" t="str">
        <f>HYPERLINK("http://141.218.60.56/~jnz1568/getInfo.php?workbook=16_15.xlsx&amp;sheet=A0&amp;row=1752&amp;col=17&amp;number=&amp;sourceID=56","")</f>
        <v/>
      </c>
      <c r="R1752" s="4" t="str">
        <f>HYPERLINK("http://141.218.60.56/~jnz1568/getInfo.php?workbook=16_15.xlsx&amp;sheet=A0&amp;row=1752&amp;col=18&amp;number=&amp;sourceID=56","")</f>
        <v/>
      </c>
      <c r="S1752" s="4" t="str">
        <f>HYPERLINK("http://141.218.60.56/~jnz1568/getInfo.php?workbook=16_15.xlsx&amp;sheet=A0&amp;row=1752&amp;col=19&amp;number=&amp;sourceID=57","")</f>
        <v/>
      </c>
      <c r="T1752" s="4" t="str">
        <f>HYPERLINK("http://141.218.60.56/~jnz1568/getInfo.php?workbook=16_15.xlsx&amp;sheet=A0&amp;row=1752&amp;col=20&amp;number==&amp;sourceID=57","=")</f>
        <v>=</v>
      </c>
      <c r="U1752" s="4" t="str">
        <f>HYPERLINK("http://141.218.60.56/~jnz1568/getInfo.php?workbook=16_15.xlsx&amp;sheet=A0&amp;row=1752&amp;col=21&amp;number==&amp;sourceID=47","=")</f>
        <v>=</v>
      </c>
      <c r="V1752" s="4" t="str">
        <f>HYPERLINK("http://141.218.60.56/~jnz1568/getInfo.php?workbook=16_15.xlsx&amp;sheet=A0&amp;row=1752&amp;col=22&amp;number=&amp;sourceID=47","")</f>
        <v/>
      </c>
    </row>
    <row r="1753" spans="1:22">
      <c r="A1753" s="3">
        <v>16</v>
      </c>
      <c r="B1753" s="3">
        <v>15</v>
      </c>
      <c r="C1753" s="3">
        <v>67</v>
      </c>
      <c r="D1753" s="3">
        <v>14</v>
      </c>
      <c r="E1753" s="3">
        <f>((1/(INDEX(E0!J$4:J$73,C1753,1)-INDEX(E0!J$4:J$73,D1753,1))))*100000000</f>
        <v>0</v>
      </c>
      <c r="F1753" s="4" t="str">
        <f>HYPERLINK("http://141.218.60.56/~jnz1568/getInfo.php?workbook=16_15.xlsx&amp;sheet=A0&amp;row=1753&amp;col=6&amp;number=&amp;sourceID=54","")</f>
        <v/>
      </c>
      <c r="G1753" s="4" t="str">
        <f>HYPERLINK("http://141.218.60.56/~jnz1568/getInfo.php?workbook=16_15.xlsx&amp;sheet=A0&amp;row=1753&amp;col=7&amp;number=0.0027851&amp;sourceID=54","0.0027851")</f>
        <v>0.0027851</v>
      </c>
      <c r="H1753" s="4" t="str">
        <f>HYPERLINK("http://141.218.60.56/~jnz1568/getInfo.php?workbook=16_15.xlsx&amp;sheet=A0&amp;row=1753&amp;col=8&amp;number=0.0012947&amp;sourceID=54","0.0012947")</f>
        <v>0.0012947</v>
      </c>
      <c r="I1753" s="4" t="str">
        <f>HYPERLINK("http://141.218.60.56/~jnz1568/getInfo.php?workbook=16_15.xlsx&amp;sheet=A0&amp;row=1753&amp;col=9&amp;number=&amp;sourceID=54","")</f>
        <v/>
      </c>
      <c r="J1753" s="4" t="str">
        <f>HYPERLINK("http://141.218.60.56/~jnz1568/getInfo.php?workbook=16_15.xlsx&amp;sheet=A0&amp;row=1753&amp;col=10&amp;number=0.02455&amp;sourceID=54","0.02455")</f>
        <v>0.02455</v>
      </c>
      <c r="K1753" s="4" t="str">
        <f>HYPERLINK("http://141.218.60.56/~jnz1568/getInfo.php?workbook=16_15.xlsx&amp;sheet=A0&amp;row=1753&amp;col=11&amp;number=0.0011076&amp;sourceID=54","0.0011076")</f>
        <v>0.0011076</v>
      </c>
      <c r="L1753" s="4" t="str">
        <f>HYPERLINK("http://141.218.60.56/~jnz1568/getInfo.php?workbook=16_15.xlsx&amp;sheet=A0&amp;row=1753&amp;col=12&amp;number=&amp;sourceID=53","")</f>
        <v/>
      </c>
      <c r="M1753" s="4" t="str">
        <f>HYPERLINK("http://141.218.60.56/~jnz1568/getInfo.php?workbook=16_15.xlsx&amp;sheet=A0&amp;row=1753&amp;col=13&amp;number=&amp;sourceID=53","")</f>
        <v/>
      </c>
      <c r="N1753" s="4" t="str">
        <f>HYPERLINK("http://141.218.60.56/~jnz1568/getInfo.php?workbook=16_15.xlsx&amp;sheet=A0&amp;row=1753&amp;col=14&amp;number=&amp;sourceID=53","")</f>
        <v/>
      </c>
      <c r="O1753" s="4" t="str">
        <f>HYPERLINK("http://141.218.60.56/~jnz1568/getInfo.php?workbook=16_15.xlsx&amp;sheet=A0&amp;row=1753&amp;col=15&amp;number=&amp;sourceID=55","")</f>
        <v/>
      </c>
      <c r="P1753" s="4" t="str">
        <f>HYPERLINK("http://141.218.60.56/~jnz1568/getInfo.php?workbook=16_15.xlsx&amp;sheet=A0&amp;row=1753&amp;col=16&amp;number=&amp;sourceID=55","")</f>
        <v/>
      </c>
      <c r="Q1753" s="4" t="str">
        <f>HYPERLINK("http://141.218.60.56/~jnz1568/getInfo.php?workbook=16_15.xlsx&amp;sheet=A0&amp;row=1753&amp;col=17&amp;number=&amp;sourceID=56","")</f>
        <v/>
      </c>
      <c r="R1753" s="4" t="str">
        <f>HYPERLINK("http://141.218.60.56/~jnz1568/getInfo.php?workbook=16_15.xlsx&amp;sheet=A0&amp;row=1753&amp;col=18&amp;number=&amp;sourceID=56","")</f>
        <v/>
      </c>
      <c r="S1753" s="4" t="str">
        <f>HYPERLINK("http://141.218.60.56/~jnz1568/getInfo.php?workbook=16_15.xlsx&amp;sheet=A0&amp;row=1753&amp;col=19&amp;number=&amp;sourceID=57","")</f>
        <v/>
      </c>
      <c r="T1753" s="4" t="str">
        <f>HYPERLINK("http://141.218.60.56/~jnz1568/getInfo.php?workbook=16_15.xlsx&amp;sheet=A0&amp;row=1753&amp;col=20&amp;number==&amp;sourceID=57","=")</f>
        <v>=</v>
      </c>
      <c r="U1753" s="4" t="str">
        <f>HYPERLINK("http://141.218.60.56/~jnz1568/getInfo.php?workbook=16_15.xlsx&amp;sheet=A0&amp;row=1753&amp;col=21&amp;number==&amp;sourceID=47","=")</f>
        <v>=</v>
      </c>
      <c r="V1753" s="4" t="str">
        <f>HYPERLINK("http://141.218.60.56/~jnz1568/getInfo.php?workbook=16_15.xlsx&amp;sheet=A0&amp;row=1753&amp;col=22&amp;number=&amp;sourceID=47","")</f>
        <v/>
      </c>
    </row>
    <row r="1754" spans="1:22">
      <c r="A1754" s="3">
        <v>16</v>
      </c>
      <c r="B1754" s="3">
        <v>15</v>
      </c>
      <c r="C1754" s="3">
        <v>67</v>
      </c>
      <c r="D1754" s="3">
        <v>15</v>
      </c>
      <c r="E1754" s="3">
        <f>((1/(INDEX(E0!J$4:J$73,C1754,1)-INDEX(E0!J$4:J$73,D1754,1))))*100000000</f>
        <v>0</v>
      </c>
      <c r="F1754" s="4" t="str">
        <f>HYPERLINK("http://141.218.60.56/~jnz1568/getInfo.php?workbook=16_15.xlsx&amp;sheet=A0&amp;row=1754&amp;col=6&amp;number=&amp;sourceID=54","")</f>
        <v/>
      </c>
      <c r="G1754" s="4" t="str">
        <f>HYPERLINK("http://141.218.60.56/~jnz1568/getInfo.php?workbook=16_15.xlsx&amp;sheet=A0&amp;row=1754&amp;col=7&amp;number=0.010643&amp;sourceID=54","0.010643")</f>
        <v>0.010643</v>
      </c>
      <c r="H1754" s="4" t="str">
        <f>HYPERLINK("http://141.218.60.56/~jnz1568/getInfo.php?workbook=16_15.xlsx&amp;sheet=A0&amp;row=1754&amp;col=8&amp;number=0.067924&amp;sourceID=54","0.067924")</f>
        <v>0.067924</v>
      </c>
      <c r="I1754" s="4" t="str">
        <f>HYPERLINK("http://141.218.60.56/~jnz1568/getInfo.php?workbook=16_15.xlsx&amp;sheet=A0&amp;row=1754&amp;col=9&amp;number=&amp;sourceID=54","")</f>
        <v/>
      </c>
      <c r="J1754" s="4" t="str">
        <f>HYPERLINK("http://141.218.60.56/~jnz1568/getInfo.php?workbook=16_15.xlsx&amp;sheet=A0&amp;row=1754&amp;col=10&amp;number=0.00046715&amp;sourceID=54","0.00046715")</f>
        <v>0.00046715</v>
      </c>
      <c r="K1754" s="4" t="str">
        <f>HYPERLINK("http://141.218.60.56/~jnz1568/getInfo.php?workbook=16_15.xlsx&amp;sheet=A0&amp;row=1754&amp;col=11&amp;number=0.053143&amp;sourceID=54","0.053143")</f>
        <v>0.053143</v>
      </c>
      <c r="L1754" s="4" t="str">
        <f>HYPERLINK("http://141.218.60.56/~jnz1568/getInfo.php?workbook=16_15.xlsx&amp;sheet=A0&amp;row=1754&amp;col=12&amp;number=&amp;sourceID=53","")</f>
        <v/>
      </c>
      <c r="M1754" s="4" t="str">
        <f>HYPERLINK("http://141.218.60.56/~jnz1568/getInfo.php?workbook=16_15.xlsx&amp;sheet=A0&amp;row=1754&amp;col=13&amp;number=&amp;sourceID=53","")</f>
        <v/>
      </c>
      <c r="N1754" s="4" t="str">
        <f>HYPERLINK("http://141.218.60.56/~jnz1568/getInfo.php?workbook=16_15.xlsx&amp;sheet=A0&amp;row=1754&amp;col=14&amp;number=&amp;sourceID=53","")</f>
        <v/>
      </c>
      <c r="O1754" s="4" t="str">
        <f>HYPERLINK("http://141.218.60.56/~jnz1568/getInfo.php?workbook=16_15.xlsx&amp;sheet=A0&amp;row=1754&amp;col=15&amp;number=&amp;sourceID=55","")</f>
        <v/>
      </c>
      <c r="P1754" s="4" t="str">
        <f>HYPERLINK("http://141.218.60.56/~jnz1568/getInfo.php?workbook=16_15.xlsx&amp;sheet=A0&amp;row=1754&amp;col=16&amp;number=&amp;sourceID=55","")</f>
        <v/>
      </c>
      <c r="Q1754" s="4" t="str">
        <f>HYPERLINK("http://141.218.60.56/~jnz1568/getInfo.php?workbook=16_15.xlsx&amp;sheet=A0&amp;row=1754&amp;col=17&amp;number=&amp;sourceID=56","")</f>
        <v/>
      </c>
      <c r="R1754" s="4" t="str">
        <f>HYPERLINK("http://141.218.60.56/~jnz1568/getInfo.php?workbook=16_15.xlsx&amp;sheet=A0&amp;row=1754&amp;col=18&amp;number=&amp;sourceID=56","")</f>
        <v/>
      </c>
      <c r="S1754" s="4" t="str">
        <f>HYPERLINK("http://141.218.60.56/~jnz1568/getInfo.php?workbook=16_15.xlsx&amp;sheet=A0&amp;row=1754&amp;col=19&amp;number=&amp;sourceID=57","")</f>
        <v/>
      </c>
      <c r="T1754" s="4" t="str">
        <f>HYPERLINK("http://141.218.60.56/~jnz1568/getInfo.php?workbook=16_15.xlsx&amp;sheet=A0&amp;row=1754&amp;col=20&amp;number==&amp;sourceID=57","=")</f>
        <v>=</v>
      </c>
      <c r="U1754" s="4" t="str">
        <f>HYPERLINK("http://141.218.60.56/~jnz1568/getInfo.php?workbook=16_15.xlsx&amp;sheet=A0&amp;row=1754&amp;col=21&amp;number==&amp;sourceID=47","=")</f>
        <v>=</v>
      </c>
      <c r="V1754" s="4" t="str">
        <f>HYPERLINK("http://141.218.60.56/~jnz1568/getInfo.php?workbook=16_15.xlsx&amp;sheet=A0&amp;row=1754&amp;col=22&amp;number=&amp;sourceID=47","")</f>
        <v/>
      </c>
    </row>
    <row r="1755" spans="1:22">
      <c r="A1755" s="3">
        <v>16</v>
      </c>
      <c r="B1755" s="3">
        <v>15</v>
      </c>
      <c r="C1755" s="3">
        <v>67</v>
      </c>
      <c r="D1755" s="3">
        <v>16</v>
      </c>
      <c r="E1755" s="3">
        <f>((1/(INDEX(E0!J$4:J$73,C1755,1)-INDEX(E0!J$4:J$73,D1755,1))))*100000000</f>
        <v>0</v>
      </c>
      <c r="F1755" s="4" t="str">
        <f>HYPERLINK("http://141.218.60.56/~jnz1568/getInfo.php?workbook=16_15.xlsx&amp;sheet=A0&amp;row=1755&amp;col=6&amp;number=&amp;sourceID=54","")</f>
        <v/>
      </c>
      <c r="G1755" s="4" t="str">
        <f>HYPERLINK("http://141.218.60.56/~jnz1568/getInfo.php?workbook=16_15.xlsx&amp;sheet=A0&amp;row=1755&amp;col=7&amp;number=0.094097&amp;sourceID=54","0.094097")</f>
        <v>0.094097</v>
      </c>
      <c r="H1755" s="4" t="str">
        <f>HYPERLINK("http://141.218.60.56/~jnz1568/getInfo.php?workbook=16_15.xlsx&amp;sheet=A0&amp;row=1755&amp;col=8&amp;number=0.00049747&amp;sourceID=54","0.00049747")</f>
        <v>0.00049747</v>
      </c>
      <c r="I1755" s="4" t="str">
        <f>HYPERLINK("http://141.218.60.56/~jnz1568/getInfo.php?workbook=16_15.xlsx&amp;sheet=A0&amp;row=1755&amp;col=9&amp;number=&amp;sourceID=54","")</f>
        <v/>
      </c>
      <c r="J1755" s="4" t="str">
        <f>HYPERLINK("http://141.218.60.56/~jnz1568/getInfo.php?workbook=16_15.xlsx&amp;sheet=A0&amp;row=1755&amp;col=10&amp;number=0.014097&amp;sourceID=54","0.014097")</f>
        <v>0.014097</v>
      </c>
      <c r="K1755" s="4" t="str">
        <f>HYPERLINK("http://141.218.60.56/~jnz1568/getInfo.php?workbook=16_15.xlsx&amp;sheet=A0&amp;row=1755&amp;col=11&amp;number=0.0002969&amp;sourceID=54","0.0002969")</f>
        <v>0.0002969</v>
      </c>
      <c r="L1755" s="4" t="str">
        <f>HYPERLINK("http://141.218.60.56/~jnz1568/getInfo.php?workbook=16_15.xlsx&amp;sheet=A0&amp;row=1755&amp;col=12&amp;number=&amp;sourceID=53","")</f>
        <v/>
      </c>
      <c r="M1755" s="4" t="str">
        <f>HYPERLINK("http://141.218.60.56/~jnz1568/getInfo.php?workbook=16_15.xlsx&amp;sheet=A0&amp;row=1755&amp;col=13&amp;number=&amp;sourceID=53","")</f>
        <v/>
      </c>
      <c r="N1755" s="4" t="str">
        <f>HYPERLINK("http://141.218.60.56/~jnz1568/getInfo.php?workbook=16_15.xlsx&amp;sheet=A0&amp;row=1755&amp;col=14&amp;number=&amp;sourceID=53","")</f>
        <v/>
      </c>
      <c r="O1755" s="4" t="str">
        <f>HYPERLINK("http://141.218.60.56/~jnz1568/getInfo.php?workbook=16_15.xlsx&amp;sheet=A0&amp;row=1755&amp;col=15&amp;number=&amp;sourceID=55","")</f>
        <v/>
      </c>
      <c r="P1755" s="4" t="str">
        <f>HYPERLINK("http://141.218.60.56/~jnz1568/getInfo.php?workbook=16_15.xlsx&amp;sheet=A0&amp;row=1755&amp;col=16&amp;number=&amp;sourceID=55","")</f>
        <v/>
      </c>
      <c r="Q1755" s="4" t="str">
        <f>HYPERLINK("http://141.218.60.56/~jnz1568/getInfo.php?workbook=16_15.xlsx&amp;sheet=A0&amp;row=1755&amp;col=17&amp;number=&amp;sourceID=56","")</f>
        <v/>
      </c>
      <c r="R1755" s="4" t="str">
        <f>HYPERLINK("http://141.218.60.56/~jnz1568/getInfo.php?workbook=16_15.xlsx&amp;sheet=A0&amp;row=1755&amp;col=18&amp;number=&amp;sourceID=56","")</f>
        <v/>
      </c>
      <c r="S1755" s="4" t="str">
        <f>HYPERLINK("http://141.218.60.56/~jnz1568/getInfo.php?workbook=16_15.xlsx&amp;sheet=A0&amp;row=1755&amp;col=19&amp;number=&amp;sourceID=57","")</f>
        <v/>
      </c>
      <c r="T1755" s="4" t="str">
        <f>HYPERLINK("http://141.218.60.56/~jnz1568/getInfo.php?workbook=16_15.xlsx&amp;sheet=A0&amp;row=1755&amp;col=20&amp;number==&amp;sourceID=57","=")</f>
        <v>=</v>
      </c>
      <c r="U1755" s="4" t="str">
        <f>HYPERLINK("http://141.218.60.56/~jnz1568/getInfo.php?workbook=16_15.xlsx&amp;sheet=A0&amp;row=1755&amp;col=21&amp;number==&amp;sourceID=47","=")</f>
        <v>=</v>
      </c>
      <c r="V1755" s="4" t="str">
        <f>HYPERLINK("http://141.218.60.56/~jnz1568/getInfo.php?workbook=16_15.xlsx&amp;sheet=A0&amp;row=1755&amp;col=22&amp;number=&amp;sourceID=47","")</f>
        <v/>
      </c>
    </row>
    <row r="1756" spans="1:22">
      <c r="A1756" s="3">
        <v>16</v>
      </c>
      <c r="B1756" s="3">
        <v>15</v>
      </c>
      <c r="C1756" s="3">
        <v>67</v>
      </c>
      <c r="D1756" s="3">
        <v>17</v>
      </c>
      <c r="E1756" s="3">
        <f>((1/(INDEX(E0!J$4:J$73,C1756,1)-INDEX(E0!J$4:J$73,D1756,1))))*100000000</f>
        <v>0</v>
      </c>
      <c r="F1756" s="4" t="str">
        <f>HYPERLINK("http://141.218.60.56/~jnz1568/getInfo.php?workbook=16_15.xlsx&amp;sheet=A0&amp;row=1756&amp;col=6&amp;number=&amp;sourceID=54","")</f>
        <v/>
      </c>
      <c r="G1756" s="4" t="str">
        <f>HYPERLINK("http://141.218.60.56/~jnz1568/getInfo.php?workbook=16_15.xlsx&amp;sheet=A0&amp;row=1756&amp;col=7&amp;number=0.00076164&amp;sourceID=54","0.00076164")</f>
        <v>0.00076164</v>
      </c>
      <c r="H1756" s="4" t="str">
        <f>HYPERLINK("http://141.218.60.56/~jnz1568/getInfo.php?workbook=16_15.xlsx&amp;sheet=A0&amp;row=1756&amp;col=8&amp;number=0.12556&amp;sourceID=54","0.12556")</f>
        <v>0.12556</v>
      </c>
      <c r="I1756" s="4" t="str">
        <f>HYPERLINK("http://141.218.60.56/~jnz1568/getInfo.php?workbook=16_15.xlsx&amp;sheet=A0&amp;row=1756&amp;col=9&amp;number=&amp;sourceID=54","")</f>
        <v/>
      </c>
      <c r="J1756" s="4" t="str">
        <f>HYPERLINK("http://141.218.60.56/~jnz1568/getInfo.php?workbook=16_15.xlsx&amp;sheet=A0&amp;row=1756&amp;col=10&amp;number=0.00019227&amp;sourceID=54","0.00019227")</f>
        <v>0.00019227</v>
      </c>
      <c r="K1756" s="4" t="str">
        <f>HYPERLINK("http://141.218.60.56/~jnz1568/getInfo.php?workbook=16_15.xlsx&amp;sheet=A0&amp;row=1756&amp;col=11&amp;number=0.12434&amp;sourceID=54","0.12434")</f>
        <v>0.12434</v>
      </c>
      <c r="L1756" s="4" t="str">
        <f>HYPERLINK("http://141.218.60.56/~jnz1568/getInfo.php?workbook=16_15.xlsx&amp;sheet=A0&amp;row=1756&amp;col=12&amp;number=&amp;sourceID=53","")</f>
        <v/>
      </c>
      <c r="M1756" s="4" t="str">
        <f>HYPERLINK("http://141.218.60.56/~jnz1568/getInfo.php?workbook=16_15.xlsx&amp;sheet=A0&amp;row=1756&amp;col=13&amp;number=&amp;sourceID=53","")</f>
        <v/>
      </c>
      <c r="N1756" s="4" t="str">
        <f>HYPERLINK("http://141.218.60.56/~jnz1568/getInfo.php?workbook=16_15.xlsx&amp;sheet=A0&amp;row=1756&amp;col=14&amp;number=&amp;sourceID=53","")</f>
        <v/>
      </c>
      <c r="O1756" s="4" t="str">
        <f>HYPERLINK("http://141.218.60.56/~jnz1568/getInfo.php?workbook=16_15.xlsx&amp;sheet=A0&amp;row=1756&amp;col=15&amp;number=&amp;sourceID=55","")</f>
        <v/>
      </c>
      <c r="P1756" s="4" t="str">
        <f>HYPERLINK("http://141.218.60.56/~jnz1568/getInfo.php?workbook=16_15.xlsx&amp;sheet=A0&amp;row=1756&amp;col=16&amp;number=&amp;sourceID=55","")</f>
        <v/>
      </c>
      <c r="Q1756" s="4" t="str">
        <f>HYPERLINK("http://141.218.60.56/~jnz1568/getInfo.php?workbook=16_15.xlsx&amp;sheet=A0&amp;row=1756&amp;col=17&amp;number=&amp;sourceID=56","")</f>
        <v/>
      </c>
      <c r="R1756" s="4" t="str">
        <f>HYPERLINK("http://141.218.60.56/~jnz1568/getInfo.php?workbook=16_15.xlsx&amp;sheet=A0&amp;row=1756&amp;col=18&amp;number=&amp;sourceID=56","")</f>
        <v/>
      </c>
      <c r="S1756" s="4" t="str">
        <f>HYPERLINK("http://141.218.60.56/~jnz1568/getInfo.php?workbook=16_15.xlsx&amp;sheet=A0&amp;row=1756&amp;col=19&amp;number=&amp;sourceID=57","")</f>
        <v/>
      </c>
      <c r="T1756" s="4" t="str">
        <f>HYPERLINK("http://141.218.60.56/~jnz1568/getInfo.php?workbook=16_15.xlsx&amp;sheet=A0&amp;row=1756&amp;col=20&amp;number==&amp;sourceID=57","=")</f>
        <v>=</v>
      </c>
      <c r="U1756" s="4" t="str">
        <f>HYPERLINK("http://141.218.60.56/~jnz1568/getInfo.php?workbook=16_15.xlsx&amp;sheet=A0&amp;row=1756&amp;col=21&amp;number==&amp;sourceID=47","=")</f>
        <v>=</v>
      </c>
      <c r="V1756" s="4" t="str">
        <f>HYPERLINK("http://141.218.60.56/~jnz1568/getInfo.php?workbook=16_15.xlsx&amp;sheet=A0&amp;row=1756&amp;col=22&amp;number=&amp;sourceID=47","")</f>
        <v/>
      </c>
    </row>
    <row r="1757" spans="1:22">
      <c r="A1757" s="3">
        <v>16</v>
      </c>
      <c r="B1757" s="3">
        <v>15</v>
      </c>
      <c r="C1757" s="3">
        <v>67</v>
      </c>
      <c r="D1757" s="3">
        <v>18</v>
      </c>
      <c r="E1757" s="3">
        <f>((1/(INDEX(E0!J$4:J$73,C1757,1)-INDEX(E0!J$4:J$73,D1757,1))))*100000000</f>
        <v>0</v>
      </c>
      <c r="F1757" s="4" t="str">
        <f>HYPERLINK("http://141.218.60.56/~jnz1568/getInfo.php?workbook=16_15.xlsx&amp;sheet=A0&amp;row=1757&amp;col=6&amp;number=&amp;sourceID=54","")</f>
        <v/>
      </c>
      <c r="G1757" s="4" t="str">
        <f>HYPERLINK("http://141.218.60.56/~jnz1568/getInfo.php?workbook=16_15.xlsx&amp;sheet=A0&amp;row=1757&amp;col=7&amp;number=0.0063082&amp;sourceID=54","0.0063082")</f>
        <v>0.0063082</v>
      </c>
      <c r="H1757" s="4" t="str">
        <f>HYPERLINK("http://141.218.60.56/~jnz1568/getInfo.php?workbook=16_15.xlsx&amp;sheet=A0&amp;row=1757&amp;col=8&amp;number=&amp;sourceID=54","")</f>
        <v/>
      </c>
      <c r="I1757" s="4" t="str">
        <f>HYPERLINK("http://141.218.60.56/~jnz1568/getInfo.php?workbook=16_15.xlsx&amp;sheet=A0&amp;row=1757&amp;col=9&amp;number=&amp;sourceID=54","")</f>
        <v/>
      </c>
      <c r="J1757" s="4" t="str">
        <f>HYPERLINK("http://141.218.60.56/~jnz1568/getInfo.php?workbook=16_15.xlsx&amp;sheet=A0&amp;row=1757&amp;col=10&amp;number=0.00045643&amp;sourceID=54","0.00045643")</f>
        <v>0.00045643</v>
      </c>
      <c r="K1757" s="4" t="str">
        <f>HYPERLINK("http://141.218.60.56/~jnz1568/getInfo.php?workbook=16_15.xlsx&amp;sheet=A0&amp;row=1757&amp;col=11&amp;number=&amp;sourceID=54","")</f>
        <v/>
      </c>
      <c r="L1757" s="4" t="str">
        <f>HYPERLINK("http://141.218.60.56/~jnz1568/getInfo.php?workbook=16_15.xlsx&amp;sheet=A0&amp;row=1757&amp;col=12&amp;number=&amp;sourceID=53","")</f>
        <v/>
      </c>
      <c r="M1757" s="4" t="str">
        <f>HYPERLINK("http://141.218.60.56/~jnz1568/getInfo.php?workbook=16_15.xlsx&amp;sheet=A0&amp;row=1757&amp;col=13&amp;number=&amp;sourceID=53","")</f>
        <v/>
      </c>
      <c r="N1757" s="4" t="str">
        <f>HYPERLINK("http://141.218.60.56/~jnz1568/getInfo.php?workbook=16_15.xlsx&amp;sheet=A0&amp;row=1757&amp;col=14&amp;number=&amp;sourceID=53","")</f>
        <v/>
      </c>
      <c r="O1757" s="4" t="str">
        <f>HYPERLINK("http://141.218.60.56/~jnz1568/getInfo.php?workbook=16_15.xlsx&amp;sheet=A0&amp;row=1757&amp;col=15&amp;number=&amp;sourceID=55","")</f>
        <v/>
      </c>
      <c r="P1757" s="4" t="str">
        <f>HYPERLINK("http://141.218.60.56/~jnz1568/getInfo.php?workbook=16_15.xlsx&amp;sheet=A0&amp;row=1757&amp;col=16&amp;number=&amp;sourceID=55","")</f>
        <v/>
      </c>
      <c r="Q1757" s="4" t="str">
        <f>HYPERLINK("http://141.218.60.56/~jnz1568/getInfo.php?workbook=16_15.xlsx&amp;sheet=A0&amp;row=1757&amp;col=17&amp;number=&amp;sourceID=56","")</f>
        <v/>
      </c>
      <c r="R1757" s="4" t="str">
        <f>HYPERLINK("http://141.218.60.56/~jnz1568/getInfo.php?workbook=16_15.xlsx&amp;sheet=A0&amp;row=1757&amp;col=18&amp;number=&amp;sourceID=56","")</f>
        <v/>
      </c>
      <c r="S1757" s="4" t="str">
        <f>HYPERLINK("http://141.218.60.56/~jnz1568/getInfo.php?workbook=16_15.xlsx&amp;sheet=A0&amp;row=1757&amp;col=19&amp;number=&amp;sourceID=57","")</f>
        <v/>
      </c>
      <c r="T1757" s="4" t="str">
        <f>HYPERLINK("http://141.218.60.56/~jnz1568/getInfo.php?workbook=16_15.xlsx&amp;sheet=A0&amp;row=1757&amp;col=20&amp;number==&amp;sourceID=57","=")</f>
        <v>=</v>
      </c>
      <c r="U1757" s="4" t="str">
        <f>HYPERLINK("http://141.218.60.56/~jnz1568/getInfo.php?workbook=16_15.xlsx&amp;sheet=A0&amp;row=1757&amp;col=21&amp;number==&amp;sourceID=47","=")</f>
        <v>=</v>
      </c>
      <c r="V1757" s="4" t="str">
        <f>HYPERLINK("http://141.218.60.56/~jnz1568/getInfo.php?workbook=16_15.xlsx&amp;sheet=A0&amp;row=1757&amp;col=22&amp;number=&amp;sourceID=47","")</f>
        <v/>
      </c>
    </row>
    <row r="1758" spans="1:22">
      <c r="A1758" s="3">
        <v>16</v>
      </c>
      <c r="B1758" s="3">
        <v>15</v>
      </c>
      <c r="C1758" s="3">
        <v>67</v>
      </c>
      <c r="D1758" s="3">
        <v>20</v>
      </c>
      <c r="E1758" s="3">
        <f>((1/(INDEX(E0!J$4:J$73,C1758,1)-INDEX(E0!J$4:J$73,D1758,1))))*100000000</f>
        <v>0</v>
      </c>
      <c r="F1758" s="4" t="str">
        <f>HYPERLINK("http://141.218.60.56/~jnz1568/getInfo.php?workbook=16_15.xlsx&amp;sheet=A0&amp;row=1758&amp;col=6&amp;number=&amp;sourceID=54","")</f>
        <v/>
      </c>
      <c r="G1758" s="4" t="str">
        <f>HYPERLINK("http://141.218.60.56/~jnz1568/getInfo.php?workbook=16_15.xlsx&amp;sheet=A0&amp;row=1758&amp;col=7&amp;number=103.14&amp;sourceID=54","103.14")</f>
        <v>103.14</v>
      </c>
      <c r="H1758" s="4" t="str">
        <f>HYPERLINK("http://141.218.60.56/~jnz1568/getInfo.php?workbook=16_15.xlsx&amp;sheet=A0&amp;row=1758&amp;col=8&amp;number=1.1668e-05&amp;sourceID=54","1.1668e-05")</f>
        <v>1.1668e-05</v>
      </c>
      <c r="I1758" s="4" t="str">
        <f>HYPERLINK("http://141.218.60.56/~jnz1568/getInfo.php?workbook=16_15.xlsx&amp;sheet=A0&amp;row=1758&amp;col=9&amp;number=&amp;sourceID=54","")</f>
        <v/>
      </c>
      <c r="J1758" s="4" t="str">
        <f>HYPERLINK("http://141.218.60.56/~jnz1568/getInfo.php?workbook=16_15.xlsx&amp;sheet=A0&amp;row=1758&amp;col=10&amp;number=85.882&amp;sourceID=54","85.882")</f>
        <v>85.882</v>
      </c>
      <c r="K1758" s="4" t="str">
        <f>HYPERLINK("http://141.218.60.56/~jnz1568/getInfo.php?workbook=16_15.xlsx&amp;sheet=A0&amp;row=1758&amp;col=11&amp;number=5.6058e-06&amp;sourceID=54","5.6058e-06")</f>
        <v>5.6058e-06</v>
      </c>
      <c r="L1758" s="4" t="str">
        <f>HYPERLINK("http://141.218.60.56/~jnz1568/getInfo.php?workbook=16_15.xlsx&amp;sheet=A0&amp;row=1758&amp;col=12&amp;number=&amp;sourceID=53","")</f>
        <v/>
      </c>
      <c r="M1758" s="4" t="str">
        <f>HYPERLINK("http://141.218.60.56/~jnz1568/getInfo.php?workbook=16_15.xlsx&amp;sheet=A0&amp;row=1758&amp;col=13&amp;number=&amp;sourceID=53","")</f>
        <v/>
      </c>
      <c r="N1758" s="4" t="str">
        <f>HYPERLINK("http://141.218.60.56/~jnz1568/getInfo.php?workbook=16_15.xlsx&amp;sheet=A0&amp;row=1758&amp;col=14&amp;number=&amp;sourceID=53","")</f>
        <v/>
      </c>
      <c r="O1758" s="4" t="str">
        <f>HYPERLINK("http://141.218.60.56/~jnz1568/getInfo.php?workbook=16_15.xlsx&amp;sheet=A0&amp;row=1758&amp;col=15&amp;number=&amp;sourceID=55","")</f>
        <v/>
      </c>
      <c r="P1758" s="4" t="str">
        <f>HYPERLINK("http://141.218.60.56/~jnz1568/getInfo.php?workbook=16_15.xlsx&amp;sheet=A0&amp;row=1758&amp;col=16&amp;number=&amp;sourceID=55","")</f>
        <v/>
      </c>
      <c r="Q1758" s="4" t="str">
        <f>HYPERLINK("http://141.218.60.56/~jnz1568/getInfo.php?workbook=16_15.xlsx&amp;sheet=A0&amp;row=1758&amp;col=17&amp;number=&amp;sourceID=56","")</f>
        <v/>
      </c>
      <c r="R1758" s="4" t="str">
        <f>HYPERLINK("http://141.218.60.56/~jnz1568/getInfo.php?workbook=16_15.xlsx&amp;sheet=A0&amp;row=1758&amp;col=18&amp;number=&amp;sourceID=56","")</f>
        <v/>
      </c>
      <c r="S1758" s="4" t="str">
        <f>HYPERLINK("http://141.218.60.56/~jnz1568/getInfo.php?workbook=16_15.xlsx&amp;sheet=A0&amp;row=1758&amp;col=19&amp;number=&amp;sourceID=57","")</f>
        <v/>
      </c>
      <c r="T1758" s="4" t="str">
        <f>HYPERLINK("http://141.218.60.56/~jnz1568/getInfo.php?workbook=16_15.xlsx&amp;sheet=A0&amp;row=1758&amp;col=20&amp;number==&amp;sourceID=57","=")</f>
        <v>=</v>
      </c>
      <c r="U1758" s="4" t="str">
        <f>HYPERLINK("http://141.218.60.56/~jnz1568/getInfo.php?workbook=16_15.xlsx&amp;sheet=A0&amp;row=1758&amp;col=21&amp;number==&amp;sourceID=47","=")</f>
        <v>=</v>
      </c>
      <c r="V1758" s="4" t="str">
        <f>HYPERLINK("http://141.218.60.56/~jnz1568/getInfo.php?workbook=16_15.xlsx&amp;sheet=A0&amp;row=1758&amp;col=22&amp;number=&amp;sourceID=47","")</f>
        <v/>
      </c>
    </row>
    <row r="1759" spans="1:22">
      <c r="A1759" s="3">
        <v>16</v>
      </c>
      <c r="B1759" s="3">
        <v>15</v>
      </c>
      <c r="C1759" s="3">
        <v>67</v>
      </c>
      <c r="D1759" s="3">
        <v>21</v>
      </c>
      <c r="E1759" s="3">
        <f>((1/(INDEX(E0!J$4:J$73,C1759,1)-INDEX(E0!J$4:J$73,D1759,1))))*100000000</f>
        <v>0</v>
      </c>
      <c r="F1759" s="4" t="str">
        <f>HYPERLINK("http://141.218.60.56/~jnz1568/getInfo.php?workbook=16_15.xlsx&amp;sheet=A0&amp;row=1759&amp;col=6&amp;number=&amp;sourceID=54","")</f>
        <v/>
      </c>
      <c r="G1759" s="4" t="str">
        <f>HYPERLINK("http://141.218.60.56/~jnz1568/getInfo.php?workbook=16_15.xlsx&amp;sheet=A0&amp;row=1759&amp;col=7&amp;number=55.219&amp;sourceID=54","55.219")</f>
        <v>55.219</v>
      </c>
      <c r="H1759" s="4" t="str">
        <f>HYPERLINK("http://141.218.60.56/~jnz1568/getInfo.php?workbook=16_15.xlsx&amp;sheet=A0&amp;row=1759&amp;col=8&amp;number=0.00019665&amp;sourceID=54","0.00019665")</f>
        <v>0.00019665</v>
      </c>
      <c r="I1759" s="4" t="str">
        <f>HYPERLINK("http://141.218.60.56/~jnz1568/getInfo.php?workbook=16_15.xlsx&amp;sheet=A0&amp;row=1759&amp;col=9&amp;number=&amp;sourceID=54","")</f>
        <v/>
      </c>
      <c r="J1759" s="4" t="str">
        <f>HYPERLINK("http://141.218.60.56/~jnz1568/getInfo.php?workbook=16_15.xlsx&amp;sheet=A0&amp;row=1759&amp;col=10&amp;number=38.264&amp;sourceID=54","38.264")</f>
        <v>38.264</v>
      </c>
      <c r="K1759" s="4" t="str">
        <f>HYPERLINK("http://141.218.60.56/~jnz1568/getInfo.php?workbook=16_15.xlsx&amp;sheet=A0&amp;row=1759&amp;col=11&amp;number=0.00015723&amp;sourceID=54","0.00015723")</f>
        <v>0.00015723</v>
      </c>
      <c r="L1759" s="4" t="str">
        <f>HYPERLINK("http://141.218.60.56/~jnz1568/getInfo.php?workbook=16_15.xlsx&amp;sheet=A0&amp;row=1759&amp;col=12&amp;number=&amp;sourceID=53","")</f>
        <v/>
      </c>
      <c r="M1759" s="4" t="str">
        <f>HYPERLINK("http://141.218.60.56/~jnz1568/getInfo.php?workbook=16_15.xlsx&amp;sheet=A0&amp;row=1759&amp;col=13&amp;number=&amp;sourceID=53","")</f>
        <v/>
      </c>
      <c r="N1759" s="4" t="str">
        <f>HYPERLINK("http://141.218.60.56/~jnz1568/getInfo.php?workbook=16_15.xlsx&amp;sheet=A0&amp;row=1759&amp;col=14&amp;number=&amp;sourceID=53","")</f>
        <v/>
      </c>
      <c r="O1759" s="4" t="str">
        <f>HYPERLINK("http://141.218.60.56/~jnz1568/getInfo.php?workbook=16_15.xlsx&amp;sheet=A0&amp;row=1759&amp;col=15&amp;number=&amp;sourceID=55","")</f>
        <v/>
      </c>
      <c r="P1759" s="4" t="str">
        <f>HYPERLINK("http://141.218.60.56/~jnz1568/getInfo.php?workbook=16_15.xlsx&amp;sheet=A0&amp;row=1759&amp;col=16&amp;number=&amp;sourceID=55","")</f>
        <v/>
      </c>
      <c r="Q1759" s="4" t="str">
        <f>HYPERLINK("http://141.218.60.56/~jnz1568/getInfo.php?workbook=16_15.xlsx&amp;sheet=A0&amp;row=1759&amp;col=17&amp;number=&amp;sourceID=56","")</f>
        <v/>
      </c>
      <c r="R1759" s="4" t="str">
        <f>HYPERLINK("http://141.218.60.56/~jnz1568/getInfo.php?workbook=16_15.xlsx&amp;sheet=A0&amp;row=1759&amp;col=18&amp;number=&amp;sourceID=56","")</f>
        <v/>
      </c>
      <c r="S1759" s="4" t="str">
        <f>HYPERLINK("http://141.218.60.56/~jnz1568/getInfo.php?workbook=16_15.xlsx&amp;sheet=A0&amp;row=1759&amp;col=19&amp;number=&amp;sourceID=57","")</f>
        <v/>
      </c>
      <c r="T1759" s="4" t="str">
        <f>HYPERLINK("http://141.218.60.56/~jnz1568/getInfo.php?workbook=16_15.xlsx&amp;sheet=A0&amp;row=1759&amp;col=20&amp;number==&amp;sourceID=57","=")</f>
        <v>=</v>
      </c>
      <c r="U1759" s="4" t="str">
        <f>HYPERLINK("http://141.218.60.56/~jnz1568/getInfo.php?workbook=16_15.xlsx&amp;sheet=A0&amp;row=1759&amp;col=21&amp;number==&amp;sourceID=47","=")</f>
        <v>=</v>
      </c>
      <c r="V1759" s="4" t="str">
        <f>HYPERLINK("http://141.218.60.56/~jnz1568/getInfo.php?workbook=16_15.xlsx&amp;sheet=A0&amp;row=1759&amp;col=22&amp;number=&amp;sourceID=47","")</f>
        <v/>
      </c>
    </row>
    <row r="1760" spans="1:22">
      <c r="A1760" s="3">
        <v>16</v>
      </c>
      <c r="B1760" s="3">
        <v>15</v>
      </c>
      <c r="C1760" s="3">
        <v>67</v>
      </c>
      <c r="D1760" s="3">
        <v>22</v>
      </c>
      <c r="E1760" s="3">
        <f>((1/(INDEX(E0!J$4:J$73,C1760,1)-INDEX(E0!J$4:J$73,D1760,1))))*100000000</f>
        <v>0</v>
      </c>
      <c r="F1760" s="4" t="str">
        <f>HYPERLINK("http://141.218.60.56/~jnz1568/getInfo.php?workbook=16_15.xlsx&amp;sheet=A0&amp;row=1760&amp;col=6&amp;number=&amp;sourceID=54","")</f>
        <v/>
      </c>
      <c r="G1760" s="4" t="str">
        <f>HYPERLINK("http://141.218.60.56/~jnz1568/getInfo.php?workbook=16_15.xlsx&amp;sheet=A0&amp;row=1760&amp;col=7&amp;number=0.013912&amp;sourceID=54","0.013912")</f>
        <v>0.013912</v>
      </c>
      <c r="H1760" s="4" t="str">
        <f>HYPERLINK("http://141.218.60.56/~jnz1568/getInfo.php?workbook=16_15.xlsx&amp;sheet=A0&amp;row=1760&amp;col=8&amp;number=0.03179&amp;sourceID=54","0.03179")</f>
        <v>0.03179</v>
      </c>
      <c r="I1760" s="4" t="str">
        <f>HYPERLINK("http://141.218.60.56/~jnz1568/getInfo.php?workbook=16_15.xlsx&amp;sheet=A0&amp;row=1760&amp;col=9&amp;number=&amp;sourceID=54","")</f>
        <v/>
      </c>
      <c r="J1760" s="4" t="str">
        <f>HYPERLINK("http://141.218.60.56/~jnz1568/getInfo.php?workbook=16_15.xlsx&amp;sheet=A0&amp;row=1760&amp;col=10&amp;number=0.0048524&amp;sourceID=54","0.0048524")</f>
        <v>0.0048524</v>
      </c>
      <c r="K1760" s="4" t="str">
        <f>HYPERLINK("http://141.218.60.56/~jnz1568/getInfo.php?workbook=16_15.xlsx&amp;sheet=A0&amp;row=1760&amp;col=11&amp;number=0.029797&amp;sourceID=54","0.029797")</f>
        <v>0.029797</v>
      </c>
      <c r="L1760" s="4" t="str">
        <f>HYPERLINK("http://141.218.60.56/~jnz1568/getInfo.php?workbook=16_15.xlsx&amp;sheet=A0&amp;row=1760&amp;col=12&amp;number=&amp;sourceID=53","")</f>
        <v/>
      </c>
      <c r="M1760" s="4" t="str">
        <f>HYPERLINK("http://141.218.60.56/~jnz1568/getInfo.php?workbook=16_15.xlsx&amp;sheet=A0&amp;row=1760&amp;col=13&amp;number=&amp;sourceID=53","")</f>
        <v/>
      </c>
      <c r="N1760" s="4" t="str">
        <f>HYPERLINK("http://141.218.60.56/~jnz1568/getInfo.php?workbook=16_15.xlsx&amp;sheet=A0&amp;row=1760&amp;col=14&amp;number=&amp;sourceID=53","")</f>
        <v/>
      </c>
      <c r="O1760" s="4" t="str">
        <f>HYPERLINK("http://141.218.60.56/~jnz1568/getInfo.php?workbook=16_15.xlsx&amp;sheet=A0&amp;row=1760&amp;col=15&amp;number=&amp;sourceID=55","")</f>
        <v/>
      </c>
      <c r="P1760" s="4" t="str">
        <f>HYPERLINK("http://141.218.60.56/~jnz1568/getInfo.php?workbook=16_15.xlsx&amp;sheet=A0&amp;row=1760&amp;col=16&amp;number=&amp;sourceID=55","")</f>
        <v/>
      </c>
      <c r="Q1760" s="4" t="str">
        <f>HYPERLINK("http://141.218.60.56/~jnz1568/getInfo.php?workbook=16_15.xlsx&amp;sheet=A0&amp;row=1760&amp;col=17&amp;number=&amp;sourceID=56","")</f>
        <v/>
      </c>
      <c r="R1760" s="4" t="str">
        <f>HYPERLINK("http://141.218.60.56/~jnz1568/getInfo.php?workbook=16_15.xlsx&amp;sheet=A0&amp;row=1760&amp;col=18&amp;number=&amp;sourceID=56","")</f>
        <v/>
      </c>
      <c r="S1760" s="4" t="str">
        <f>HYPERLINK("http://141.218.60.56/~jnz1568/getInfo.php?workbook=16_15.xlsx&amp;sheet=A0&amp;row=1760&amp;col=19&amp;number=&amp;sourceID=57","")</f>
        <v/>
      </c>
      <c r="T1760" s="4" t="str">
        <f>HYPERLINK("http://141.218.60.56/~jnz1568/getInfo.php?workbook=16_15.xlsx&amp;sheet=A0&amp;row=1760&amp;col=20&amp;number==&amp;sourceID=57","=")</f>
        <v>=</v>
      </c>
      <c r="U1760" s="4" t="str">
        <f>HYPERLINK("http://141.218.60.56/~jnz1568/getInfo.php?workbook=16_15.xlsx&amp;sheet=A0&amp;row=1760&amp;col=21&amp;number==&amp;sourceID=47","=")</f>
        <v>=</v>
      </c>
      <c r="V1760" s="4" t="str">
        <f>HYPERLINK("http://141.218.60.56/~jnz1568/getInfo.php?workbook=16_15.xlsx&amp;sheet=A0&amp;row=1760&amp;col=22&amp;number=&amp;sourceID=47","")</f>
        <v/>
      </c>
    </row>
    <row r="1761" spans="1:22">
      <c r="A1761" s="3">
        <v>16</v>
      </c>
      <c r="B1761" s="3">
        <v>15</v>
      </c>
      <c r="C1761" s="3">
        <v>67</v>
      </c>
      <c r="D1761" s="3">
        <v>23</v>
      </c>
      <c r="E1761" s="3">
        <f>((1/(INDEX(E0!J$4:J$73,C1761,1)-INDEX(E0!J$4:J$73,D1761,1))))*100000000</f>
        <v>0</v>
      </c>
      <c r="F1761" s="4" t="str">
        <f>HYPERLINK("http://141.218.60.56/~jnz1568/getInfo.php?workbook=16_15.xlsx&amp;sheet=A0&amp;row=1761&amp;col=6&amp;number=&amp;sourceID=54","")</f>
        <v/>
      </c>
      <c r="G1761" s="4" t="str">
        <f>HYPERLINK("http://141.218.60.56/~jnz1568/getInfo.php?workbook=16_15.xlsx&amp;sheet=A0&amp;row=1761&amp;col=7&amp;number=0.001966&amp;sourceID=54","0.001966")</f>
        <v>0.001966</v>
      </c>
      <c r="H1761" s="4" t="str">
        <f>HYPERLINK("http://141.218.60.56/~jnz1568/getInfo.php?workbook=16_15.xlsx&amp;sheet=A0&amp;row=1761&amp;col=8&amp;number=0.015817&amp;sourceID=54","0.015817")</f>
        <v>0.015817</v>
      </c>
      <c r="I1761" s="4" t="str">
        <f>HYPERLINK("http://141.218.60.56/~jnz1568/getInfo.php?workbook=16_15.xlsx&amp;sheet=A0&amp;row=1761&amp;col=9&amp;number=&amp;sourceID=54","")</f>
        <v/>
      </c>
      <c r="J1761" s="4" t="str">
        <f>HYPERLINK("http://141.218.60.56/~jnz1568/getInfo.php?workbook=16_15.xlsx&amp;sheet=A0&amp;row=1761&amp;col=10&amp;number=0.0037609&amp;sourceID=54","0.0037609")</f>
        <v>0.0037609</v>
      </c>
      <c r="K1761" s="4" t="str">
        <f>HYPERLINK("http://141.218.60.56/~jnz1568/getInfo.php?workbook=16_15.xlsx&amp;sheet=A0&amp;row=1761&amp;col=11&amp;number=0.01733&amp;sourceID=54","0.01733")</f>
        <v>0.01733</v>
      </c>
      <c r="L1761" s="4" t="str">
        <f>HYPERLINK("http://141.218.60.56/~jnz1568/getInfo.php?workbook=16_15.xlsx&amp;sheet=A0&amp;row=1761&amp;col=12&amp;number=&amp;sourceID=53","")</f>
        <v/>
      </c>
      <c r="M1761" s="4" t="str">
        <f>HYPERLINK("http://141.218.60.56/~jnz1568/getInfo.php?workbook=16_15.xlsx&amp;sheet=A0&amp;row=1761&amp;col=13&amp;number=&amp;sourceID=53","")</f>
        <v/>
      </c>
      <c r="N1761" s="4" t="str">
        <f>HYPERLINK("http://141.218.60.56/~jnz1568/getInfo.php?workbook=16_15.xlsx&amp;sheet=A0&amp;row=1761&amp;col=14&amp;number=&amp;sourceID=53","")</f>
        <v/>
      </c>
      <c r="O1761" s="4" t="str">
        <f>HYPERLINK("http://141.218.60.56/~jnz1568/getInfo.php?workbook=16_15.xlsx&amp;sheet=A0&amp;row=1761&amp;col=15&amp;number=&amp;sourceID=55","")</f>
        <v/>
      </c>
      <c r="P1761" s="4" t="str">
        <f>HYPERLINK("http://141.218.60.56/~jnz1568/getInfo.php?workbook=16_15.xlsx&amp;sheet=A0&amp;row=1761&amp;col=16&amp;number=&amp;sourceID=55","")</f>
        <v/>
      </c>
      <c r="Q1761" s="4" t="str">
        <f>HYPERLINK("http://141.218.60.56/~jnz1568/getInfo.php?workbook=16_15.xlsx&amp;sheet=A0&amp;row=1761&amp;col=17&amp;number=&amp;sourceID=56","")</f>
        <v/>
      </c>
      <c r="R1761" s="4" t="str">
        <f>HYPERLINK("http://141.218.60.56/~jnz1568/getInfo.php?workbook=16_15.xlsx&amp;sheet=A0&amp;row=1761&amp;col=18&amp;number=&amp;sourceID=56","")</f>
        <v/>
      </c>
      <c r="S1761" s="4" t="str">
        <f>HYPERLINK("http://141.218.60.56/~jnz1568/getInfo.php?workbook=16_15.xlsx&amp;sheet=A0&amp;row=1761&amp;col=19&amp;number=&amp;sourceID=57","")</f>
        <v/>
      </c>
      <c r="T1761" s="4" t="str">
        <f>HYPERLINK("http://141.218.60.56/~jnz1568/getInfo.php?workbook=16_15.xlsx&amp;sheet=A0&amp;row=1761&amp;col=20&amp;number==&amp;sourceID=57","=")</f>
        <v>=</v>
      </c>
      <c r="U1761" s="4" t="str">
        <f>HYPERLINK("http://141.218.60.56/~jnz1568/getInfo.php?workbook=16_15.xlsx&amp;sheet=A0&amp;row=1761&amp;col=21&amp;number==&amp;sourceID=47","=")</f>
        <v>=</v>
      </c>
      <c r="V1761" s="4" t="str">
        <f>HYPERLINK("http://141.218.60.56/~jnz1568/getInfo.php?workbook=16_15.xlsx&amp;sheet=A0&amp;row=1761&amp;col=22&amp;number=&amp;sourceID=47","")</f>
        <v/>
      </c>
    </row>
    <row r="1762" spans="1:22">
      <c r="A1762" s="3">
        <v>16</v>
      </c>
      <c r="B1762" s="3">
        <v>15</v>
      </c>
      <c r="C1762" s="3">
        <v>67</v>
      </c>
      <c r="D1762" s="3">
        <v>24</v>
      </c>
      <c r="E1762" s="3">
        <f>((1/(INDEX(E0!J$4:J$73,C1762,1)-INDEX(E0!J$4:J$73,D1762,1))))*100000000</f>
        <v>0</v>
      </c>
      <c r="F1762" s="4" t="str">
        <f>HYPERLINK("http://141.218.60.56/~jnz1568/getInfo.php?workbook=16_15.xlsx&amp;sheet=A0&amp;row=1762&amp;col=6&amp;number=&amp;sourceID=54","")</f>
        <v/>
      </c>
      <c r="G1762" s="4" t="str">
        <f>HYPERLINK("http://141.218.60.56/~jnz1568/getInfo.php?workbook=16_15.xlsx&amp;sheet=A0&amp;row=1762&amp;col=7&amp;number=0.1318&amp;sourceID=54","0.1318")</f>
        <v>0.1318</v>
      </c>
      <c r="H1762" s="4" t="str">
        <f>HYPERLINK("http://141.218.60.56/~jnz1568/getInfo.php?workbook=16_15.xlsx&amp;sheet=A0&amp;row=1762&amp;col=8&amp;number=0.00076445&amp;sourceID=54","0.00076445")</f>
        <v>0.00076445</v>
      </c>
      <c r="I1762" s="4" t="str">
        <f>HYPERLINK("http://141.218.60.56/~jnz1568/getInfo.php?workbook=16_15.xlsx&amp;sheet=A0&amp;row=1762&amp;col=9&amp;number=&amp;sourceID=54","")</f>
        <v/>
      </c>
      <c r="J1762" s="4" t="str">
        <f>HYPERLINK("http://141.218.60.56/~jnz1568/getInfo.php?workbook=16_15.xlsx&amp;sheet=A0&amp;row=1762&amp;col=10&amp;number=0.2038&amp;sourceID=54","0.2038")</f>
        <v>0.2038</v>
      </c>
      <c r="K1762" s="4" t="str">
        <f>HYPERLINK("http://141.218.60.56/~jnz1568/getInfo.php?workbook=16_15.xlsx&amp;sheet=A0&amp;row=1762&amp;col=11&amp;number=0.00054228&amp;sourceID=54","0.00054228")</f>
        <v>0.00054228</v>
      </c>
      <c r="L1762" s="4" t="str">
        <f>HYPERLINK("http://141.218.60.56/~jnz1568/getInfo.php?workbook=16_15.xlsx&amp;sheet=A0&amp;row=1762&amp;col=12&amp;number=&amp;sourceID=53","")</f>
        <v/>
      </c>
      <c r="M1762" s="4" t="str">
        <f>HYPERLINK("http://141.218.60.56/~jnz1568/getInfo.php?workbook=16_15.xlsx&amp;sheet=A0&amp;row=1762&amp;col=13&amp;number=&amp;sourceID=53","")</f>
        <v/>
      </c>
      <c r="N1762" s="4" t="str">
        <f>HYPERLINK("http://141.218.60.56/~jnz1568/getInfo.php?workbook=16_15.xlsx&amp;sheet=A0&amp;row=1762&amp;col=14&amp;number=&amp;sourceID=53","")</f>
        <v/>
      </c>
      <c r="O1762" s="4" t="str">
        <f>HYPERLINK("http://141.218.60.56/~jnz1568/getInfo.php?workbook=16_15.xlsx&amp;sheet=A0&amp;row=1762&amp;col=15&amp;number=&amp;sourceID=55","")</f>
        <v/>
      </c>
      <c r="P1762" s="4" t="str">
        <f>HYPERLINK("http://141.218.60.56/~jnz1568/getInfo.php?workbook=16_15.xlsx&amp;sheet=A0&amp;row=1762&amp;col=16&amp;number=&amp;sourceID=55","")</f>
        <v/>
      </c>
      <c r="Q1762" s="4" t="str">
        <f>HYPERLINK("http://141.218.60.56/~jnz1568/getInfo.php?workbook=16_15.xlsx&amp;sheet=A0&amp;row=1762&amp;col=17&amp;number=&amp;sourceID=56","")</f>
        <v/>
      </c>
      <c r="R1762" s="4" t="str">
        <f>HYPERLINK("http://141.218.60.56/~jnz1568/getInfo.php?workbook=16_15.xlsx&amp;sheet=A0&amp;row=1762&amp;col=18&amp;number=&amp;sourceID=56","")</f>
        <v/>
      </c>
      <c r="S1762" s="4" t="str">
        <f>HYPERLINK("http://141.218.60.56/~jnz1568/getInfo.php?workbook=16_15.xlsx&amp;sheet=A0&amp;row=1762&amp;col=19&amp;number=&amp;sourceID=57","")</f>
        <v/>
      </c>
      <c r="T1762" s="4" t="str">
        <f>HYPERLINK("http://141.218.60.56/~jnz1568/getInfo.php?workbook=16_15.xlsx&amp;sheet=A0&amp;row=1762&amp;col=20&amp;number==&amp;sourceID=57","=")</f>
        <v>=</v>
      </c>
      <c r="U1762" s="4" t="str">
        <f>HYPERLINK("http://141.218.60.56/~jnz1568/getInfo.php?workbook=16_15.xlsx&amp;sheet=A0&amp;row=1762&amp;col=21&amp;number==&amp;sourceID=47","=")</f>
        <v>=</v>
      </c>
      <c r="V1762" s="4" t="str">
        <f>HYPERLINK("http://141.218.60.56/~jnz1568/getInfo.php?workbook=16_15.xlsx&amp;sheet=A0&amp;row=1762&amp;col=22&amp;number=&amp;sourceID=47","")</f>
        <v/>
      </c>
    </row>
    <row r="1763" spans="1:22">
      <c r="A1763" s="3">
        <v>16</v>
      </c>
      <c r="B1763" s="3">
        <v>15</v>
      </c>
      <c r="C1763" s="3">
        <v>67</v>
      </c>
      <c r="D1763" s="3">
        <v>25</v>
      </c>
      <c r="E1763" s="3">
        <f>((1/(INDEX(E0!J$4:J$73,C1763,1)-INDEX(E0!J$4:J$73,D1763,1))))*100000000</f>
        <v>0</v>
      </c>
      <c r="F1763" s="4" t="str">
        <f>HYPERLINK("http://141.218.60.56/~jnz1568/getInfo.php?workbook=16_15.xlsx&amp;sheet=A0&amp;row=1763&amp;col=6&amp;number=&amp;sourceID=54","")</f>
        <v/>
      </c>
      <c r="G1763" s="4" t="str">
        <f>HYPERLINK("http://141.218.60.56/~jnz1568/getInfo.php?workbook=16_15.xlsx&amp;sheet=A0&amp;row=1763&amp;col=7&amp;number=0.047029&amp;sourceID=54","0.047029")</f>
        <v>0.047029</v>
      </c>
      <c r="H1763" s="4" t="str">
        <f>HYPERLINK("http://141.218.60.56/~jnz1568/getInfo.php?workbook=16_15.xlsx&amp;sheet=A0&amp;row=1763&amp;col=8&amp;number=&amp;sourceID=54","")</f>
        <v/>
      </c>
      <c r="I1763" s="4" t="str">
        <f>HYPERLINK("http://141.218.60.56/~jnz1568/getInfo.php?workbook=16_15.xlsx&amp;sheet=A0&amp;row=1763&amp;col=9&amp;number=&amp;sourceID=54","")</f>
        <v/>
      </c>
      <c r="J1763" s="4" t="str">
        <f>HYPERLINK("http://141.218.60.56/~jnz1568/getInfo.php?workbook=16_15.xlsx&amp;sheet=A0&amp;row=1763&amp;col=10&amp;number=0.059333&amp;sourceID=54","0.059333")</f>
        <v>0.059333</v>
      </c>
      <c r="K1763" s="4" t="str">
        <f>HYPERLINK("http://141.218.60.56/~jnz1568/getInfo.php?workbook=16_15.xlsx&amp;sheet=A0&amp;row=1763&amp;col=11&amp;number=&amp;sourceID=54","")</f>
        <v/>
      </c>
      <c r="L1763" s="4" t="str">
        <f>HYPERLINK("http://141.218.60.56/~jnz1568/getInfo.php?workbook=16_15.xlsx&amp;sheet=A0&amp;row=1763&amp;col=12&amp;number=&amp;sourceID=53","")</f>
        <v/>
      </c>
      <c r="M1763" s="4" t="str">
        <f>HYPERLINK("http://141.218.60.56/~jnz1568/getInfo.php?workbook=16_15.xlsx&amp;sheet=A0&amp;row=1763&amp;col=13&amp;number=&amp;sourceID=53","")</f>
        <v/>
      </c>
      <c r="N1763" s="4" t="str">
        <f>HYPERLINK("http://141.218.60.56/~jnz1568/getInfo.php?workbook=16_15.xlsx&amp;sheet=A0&amp;row=1763&amp;col=14&amp;number=&amp;sourceID=53","")</f>
        <v/>
      </c>
      <c r="O1763" s="4" t="str">
        <f>HYPERLINK("http://141.218.60.56/~jnz1568/getInfo.php?workbook=16_15.xlsx&amp;sheet=A0&amp;row=1763&amp;col=15&amp;number=&amp;sourceID=55","")</f>
        <v/>
      </c>
      <c r="P1763" s="4" t="str">
        <f>HYPERLINK("http://141.218.60.56/~jnz1568/getInfo.php?workbook=16_15.xlsx&amp;sheet=A0&amp;row=1763&amp;col=16&amp;number=&amp;sourceID=55","")</f>
        <v/>
      </c>
      <c r="Q1763" s="4" t="str">
        <f>HYPERLINK("http://141.218.60.56/~jnz1568/getInfo.php?workbook=16_15.xlsx&amp;sheet=A0&amp;row=1763&amp;col=17&amp;number=&amp;sourceID=56","")</f>
        <v/>
      </c>
      <c r="R1763" s="4" t="str">
        <f>HYPERLINK("http://141.218.60.56/~jnz1568/getInfo.php?workbook=16_15.xlsx&amp;sheet=A0&amp;row=1763&amp;col=18&amp;number=&amp;sourceID=56","")</f>
        <v/>
      </c>
      <c r="S1763" s="4" t="str">
        <f>HYPERLINK("http://141.218.60.56/~jnz1568/getInfo.php?workbook=16_15.xlsx&amp;sheet=A0&amp;row=1763&amp;col=19&amp;number=&amp;sourceID=57","")</f>
        <v/>
      </c>
      <c r="T1763" s="4" t="str">
        <f>HYPERLINK("http://141.218.60.56/~jnz1568/getInfo.php?workbook=16_15.xlsx&amp;sheet=A0&amp;row=1763&amp;col=20&amp;number==&amp;sourceID=57","=")</f>
        <v>=</v>
      </c>
      <c r="U1763" s="4" t="str">
        <f>HYPERLINK("http://141.218.60.56/~jnz1568/getInfo.php?workbook=16_15.xlsx&amp;sheet=A0&amp;row=1763&amp;col=21&amp;number==&amp;sourceID=47","=")</f>
        <v>=</v>
      </c>
      <c r="V1763" s="4" t="str">
        <f>HYPERLINK("http://141.218.60.56/~jnz1568/getInfo.php?workbook=16_15.xlsx&amp;sheet=A0&amp;row=1763&amp;col=22&amp;number=&amp;sourceID=47","")</f>
        <v/>
      </c>
    </row>
    <row r="1764" spans="1:22">
      <c r="A1764" s="3">
        <v>16</v>
      </c>
      <c r="B1764" s="3">
        <v>15</v>
      </c>
      <c r="C1764" s="3">
        <v>67</v>
      </c>
      <c r="D1764" s="3">
        <v>26</v>
      </c>
      <c r="E1764" s="3">
        <f>((1/(INDEX(E0!J$4:J$73,C1764,1)-INDEX(E0!J$4:J$73,D1764,1))))*100000000</f>
        <v>0</v>
      </c>
      <c r="F1764" s="4" t="str">
        <f>HYPERLINK("http://141.218.60.56/~jnz1568/getInfo.php?workbook=16_15.xlsx&amp;sheet=A0&amp;row=1764&amp;col=6&amp;number=&amp;sourceID=54","")</f>
        <v/>
      </c>
      <c r="G1764" s="4" t="str">
        <f>HYPERLINK("http://141.218.60.56/~jnz1568/getInfo.php?workbook=16_15.xlsx&amp;sheet=A0&amp;row=1764&amp;col=7&amp;number=5.8316&amp;sourceID=54","5.8316")</f>
        <v>5.8316</v>
      </c>
      <c r="H1764" s="4" t="str">
        <f>HYPERLINK("http://141.218.60.56/~jnz1568/getInfo.php?workbook=16_15.xlsx&amp;sheet=A0&amp;row=1764&amp;col=8&amp;number=0.020252&amp;sourceID=54","0.020252")</f>
        <v>0.020252</v>
      </c>
      <c r="I1764" s="4" t="str">
        <f>HYPERLINK("http://141.218.60.56/~jnz1568/getInfo.php?workbook=16_15.xlsx&amp;sheet=A0&amp;row=1764&amp;col=9&amp;number=&amp;sourceID=54","")</f>
        <v/>
      </c>
      <c r="J1764" s="4" t="str">
        <f>HYPERLINK("http://141.218.60.56/~jnz1568/getInfo.php?workbook=16_15.xlsx&amp;sheet=A0&amp;row=1764&amp;col=10&amp;number=5.2297&amp;sourceID=54","5.2297")</f>
        <v>5.2297</v>
      </c>
      <c r="K1764" s="4" t="str">
        <f>HYPERLINK("http://141.218.60.56/~jnz1568/getInfo.php?workbook=16_15.xlsx&amp;sheet=A0&amp;row=1764&amp;col=11&amp;number=0.018119&amp;sourceID=54","0.018119")</f>
        <v>0.018119</v>
      </c>
      <c r="L1764" s="4" t="str">
        <f>HYPERLINK("http://141.218.60.56/~jnz1568/getInfo.php?workbook=16_15.xlsx&amp;sheet=A0&amp;row=1764&amp;col=12&amp;number=&amp;sourceID=53","")</f>
        <v/>
      </c>
      <c r="M1764" s="4" t="str">
        <f>HYPERLINK("http://141.218.60.56/~jnz1568/getInfo.php?workbook=16_15.xlsx&amp;sheet=A0&amp;row=1764&amp;col=13&amp;number=&amp;sourceID=53","")</f>
        <v/>
      </c>
      <c r="N1764" s="4" t="str">
        <f>HYPERLINK("http://141.218.60.56/~jnz1568/getInfo.php?workbook=16_15.xlsx&amp;sheet=A0&amp;row=1764&amp;col=14&amp;number=&amp;sourceID=53","")</f>
        <v/>
      </c>
      <c r="O1764" s="4" t="str">
        <f>HYPERLINK("http://141.218.60.56/~jnz1568/getInfo.php?workbook=16_15.xlsx&amp;sheet=A0&amp;row=1764&amp;col=15&amp;number=&amp;sourceID=55","")</f>
        <v/>
      </c>
      <c r="P1764" s="4" t="str">
        <f>HYPERLINK("http://141.218.60.56/~jnz1568/getInfo.php?workbook=16_15.xlsx&amp;sheet=A0&amp;row=1764&amp;col=16&amp;number=&amp;sourceID=55","")</f>
        <v/>
      </c>
      <c r="Q1764" s="4" t="str">
        <f>HYPERLINK("http://141.218.60.56/~jnz1568/getInfo.php?workbook=16_15.xlsx&amp;sheet=A0&amp;row=1764&amp;col=17&amp;number=&amp;sourceID=56","")</f>
        <v/>
      </c>
      <c r="R1764" s="4" t="str">
        <f>HYPERLINK("http://141.218.60.56/~jnz1568/getInfo.php?workbook=16_15.xlsx&amp;sheet=A0&amp;row=1764&amp;col=18&amp;number=&amp;sourceID=56","")</f>
        <v/>
      </c>
      <c r="S1764" s="4" t="str">
        <f>HYPERLINK("http://141.218.60.56/~jnz1568/getInfo.php?workbook=16_15.xlsx&amp;sheet=A0&amp;row=1764&amp;col=19&amp;number=&amp;sourceID=57","")</f>
        <v/>
      </c>
      <c r="T1764" s="4" t="str">
        <f>HYPERLINK("http://141.218.60.56/~jnz1568/getInfo.php?workbook=16_15.xlsx&amp;sheet=A0&amp;row=1764&amp;col=20&amp;number==&amp;sourceID=57","=")</f>
        <v>=</v>
      </c>
      <c r="U1764" s="4" t="str">
        <f>HYPERLINK("http://141.218.60.56/~jnz1568/getInfo.php?workbook=16_15.xlsx&amp;sheet=A0&amp;row=1764&amp;col=21&amp;number==&amp;sourceID=47","=")</f>
        <v>=</v>
      </c>
      <c r="V1764" s="4" t="str">
        <f>HYPERLINK("http://141.218.60.56/~jnz1568/getInfo.php?workbook=16_15.xlsx&amp;sheet=A0&amp;row=1764&amp;col=22&amp;number=&amp;sourceID=47","")</f>
        <v/>
      </c>
    </row>
    <row r="1765" spans="1:22">
      <c r="A1765" s="3">
        <v>16</v>
      </c>
      <c r="B1765" s="3">
        <v>15</v>
      </c>
      <c r="C1765" s="3">
        <v>67</v>
      </c>
      <c r="D1765" s="3">
        <v>27</v>
      </c>
      <c r="E1765" s="3">
        <f>((1/(INDEX(E0!J$4:J$73,C1765,1)-INDEX(E0!J$4:J$73,D1765,1))))*100000000</f>
        <v>0</v>
      </c>
      <c r="F1765" s="4" t="str">
        <f>HYPERLINK("http://141.218.60.56/~jnz1568/getInfo.php?workbook=16_15.xlsx&amp;sheet=A0&amp;row=1765&amp;col=6&amp;number=&amp;sourceID=54","")</f>
        <v/>
      </c>
      <c r="G1765" s="4" t="str">
        <f>HYPERLINK("http://141.218.60.56/~jnz1568/getInfo.php?workbook=16_15.xlsx&amp;sheet=A0&amp;row=1765&amp;col=7&amp;number=1.0001&amp;sourceID=54","1.0001")</f>
        <v>1.0001</v>
      </c>
      <c r="H1765" s="4" t="str">
        <f>HYPERLINK("http://141.218.60.56/~jnz1568/getInfo.php?workbook=16_15.xlsx&amp;sheet=A0&amp;row=1765&amp;col=8&amp;number=&amp;sourceID=54","")</f>
        <v/>
      </c>
      <c r="I1765" s="4" t="str">
        <f>HYPERLINK("http://141.218.60.56/~jnz1568/getInfo.php?workbook=16_15.xlsx&amp;sheet=A0&amp;row=1765&amp;col=9&amp;number=&amp;sourceID=54","")</f>
        <v/>
      </c>
      <c r="J1765" s="4" t="str">
        <f>HYPERLINK("http://141.218.60.56/~jnz1568/getInfo.php?workbook=16_15.xlsx&amp;sheet=A0&amp;row=1765&amp;col=10&amp;number=0.8552&amp;sourceID=54","0.8552")</f>
        <v>0.8552</v>
      </c>
      <c r="K1765" s="4" t="str">
        <f>HYPERLINK("http://141.218.60.56/~jnz1568/getInfo.php?workbook=16_15.xlsx&amp;sheet=A0&amp;row=1765&amp;col=11&amp;number=&amp;sourceID=54","")</f>
        <v/>
      </c>
      <c r="L1765" s="4" t="str">
        <f>HYPERLINK("http://141.218.60.56/~jnz1568/getInfo.php?workbook=16_15.xlsx&amp;sheet=A0&amp;row=1765&amp;col=12&amp;number=&amp;sourceID=53","")</f>
        <v/>
      </c>
      <c r="M1765" s="4" t="str">
        <f>HYPERLINK("http://141.218.60.56/~jnz1568/getInfo.php?workbook=16_15.xlsx&amp;sheet=A0&amp;row=1765&amp;col=13&amp;number=&amp;sourceID=53","")</f>
        <v/>
      </c>
      <c r="N1765" s="4" t="str">
        <f>HYPERLINK("http://141.218.60.56/~jnz1568/getInfo.php?workbook=16_15.xlsx&amp;sheet=A0&amp;row=1765&amp;col=14&amp;number=&amp;sourceID=53","")</f>
        <v/>
      </c>
      <c r="O1765" s="4" t="str">
        <f>HYPERLINK("http://141.218.60.56/~jnz1568/getInfo.php?workbook=16_15.xlsx&amp;sheet=A0&amp;row=1765&amp;col=15&amp;number=&amp;sourceID=55","")</f>
        <v/>
      </c>
      <c r="P1765" s="4" t="str">
        <f>HYPERLINK("http://141.218.60.56/~jnz1568/getInfo.php?workbook=16_15.xlsx&amp;sheet=A0&amp;row=1765&amp;col=16&amp;number=&amp;sourceID=55","")</f>
        <v/>
      </c>
      <c r="Q1765" s="4" t="str">
        <f>HYPERLINK("http://141.218.60.56/~jnz1568/getInfo.php?workbook=16_15.xlsx&amp;sheet=A0&amp;row=1765&amp;col=17&amp;number=&amp;sourceID=56","")</f>
        <v/>
      </c>
      <c r="R1765" s="4" t="str">
        <f>HYPERLINK("http://141.218.60.56/~jnz1568/getInfo.php?workbook=16_15.xlsx&amp;sheet=A0&amp;row=1765&amp;col=18&amp;number=&amp;sourceID=56","")</f>
        <v/>
      </c>
      <c r="S1765" s="4" t="str">
        <f>HYPERLINK("http://141.218.60.56/~jnz1568/getInfo.php?workbook=16_15.xlsx&amp;sheet=A0&amp;row=1765&amp;col=19&amp;number=&amp;sourceID=57","")</f>
        <v/>
      </c>
      <c r="T1765" s="4" t="str">
        <f>HYPERLINK("http://141.218.60.56/~jnz1568/getInfo.php?workbook=16_15.xlsx&amp;sheet=A0&amp;row=1765&amp;col=20&amp;number==&amp;sourceID=57","=")</f>
        <v>=</v>
      </c>
      <c r="U1765" s="4" t="str">
        <f>HYPERLINK("http://141.218.60.56/~jnz1568/getInfo.php?workbook=16_15.xlsx&amp;sheet=A0&amp;row=1765&amp;col=21&amp;number==&amp;sourceID=47","=")</f>
        <v>=</v>
      </c>
      <c r="V1765" s="4" t="str">
        <f>HYPERLINK("http://141.218.60.56/~jnz1568/getInfo.php?workbook=16_15.xlsx&amp;sheet=A0&amp;row=1765&amp;col=22&amp;number=&amp;sourceID=47","")</f>
        <v/>
      </c>
    </row>
    <row r="1766" spans="1:22">
      <c r="A1766" s="3">
        <v>16</v>
      </c>
      <c r="B1766" s="3">
        <v>15</v>
      </c>
      <c r="C1766" s="3">
        <v>67</v>
      </c>
      <c r="D1766" s="3">
        <v>28</v>
      </c>
      <c r="E1766" s="3">
        <f>((1/(INDEX(E0!J$4:J$73,C1766,1)-INDEX(E0!J$4:J$73,D1766,1))))*100000000</f>
        <v>0</v>
      </c>
      <c r="F1766" s="4" t="str">
        <f>HYPERLINK("http://141.218.60.56/~jnz1568/getInfo.php?workbook=16_15.xlsx&amp;sheet=A0&amp;row=1766&amp;col=6&amp;number=&amp;sourceID=54","")</f>
        <v/>
      </c>
      <c r="G1766" s="4" t="str">
        <f>HYPERLINK("http://141.218.60.56/~jnz1568/getInfo.php?workbook=16_15.xlsx&amp;sheet=A0&amp;row=1766&amp;col=7&amp;number=0.32268&amp;sourceID=54","0.32268")</f>
        <v>0.32268</v>
      </c>
      <c r="H1766" s="4" t="str">
        <f>HYPERLINK("http://141.218.60.56/~jnz1568/getInfo.php?workbook=16_15.xlsx&amp;sheet=A0&amp;row=1766&amp;col=8&amp;number=5.4639e-05&amp;sourceID=54","5.4639e-05")</f>
        <v>5.4639e-05</v>
      </c>
      <c r="I1766" s="4" t="str">
        <f>HYPERLINK("http://141.218.60.56/~jnz1568/getInfo.php?workbook=16_15.xlsx&amp;sheet=A0&amp;row=1766&amp;col=9&amp;number=&amp;sourceID=54","")</f>
        <v/>
      </c>
      <c r="J1766" s="4" t="str">
        <f>HYPERLINK("http://141.218.60.56/~jnz1568/getInfo.php?workbook=16_15.xlsx&amp;sheet=A0&amp;row=1766&amp;col=10&amp;number=0.23981&amp;sourceID=54","0.23981")</f>
        <v>0.23981</v>
      </c>
      <c r="K1766" s="4" t="str">
        <f>HYPERLINK("http://141.218.60.56/~jnz1568/getInfo.php?workbook=16_15.xlsx&amp;sheet=A0&amp;row=1766&amp;col=11&amp;number=5.4228e-05&amp;sourceID=54","5.4228e-05")</f>
        <v>5.4228e-05</v>
      </c>
      <c r="L1766" s="4" t="str">
        <f>HYPERLINK("http://141.218.60.56/~jnz1568/getInfo.php?workbook=16_15.xlsx&amp;sheet=A0&amp;row=1766&amp;col=12&amp;number=&amp;sourceID=53","")</f>
        <v/>
      </c>
      <c r="M1766" s="4" t="str">
        <f>HYPERLINK("http://141.218.60.56/~jnz1568/getInfo.php?workbook=16_15.xlsx&amp;sheet=A0&amp;row=1766&amp;col=13&amp;number=&amp;sourceID=53","")</f>
        <v/>
      </c>
      <c r="N1766" s="4" t="str">
        <f>HYPERLINK("http://141.218.60.56/~jnz1568/getInfo.php?workbook=16_15.xlsx&amp;sheet=A0&amp;row=1766&amp;col=14&amp;number=&amp;sourceID=53","")</f>
        <v/>
      </c>
      <c r="O1766" s="4" t="str">
        <f>HYPERLINK("http://141.218.60.56/~jnz1568/getInfo.php?workbook=16_15.xlsx&amp;sheet=A0&amp;row=1766&amp;col=15&amp;number=&amp;sourceID=55","")</f>
        <v/>
      </c>
      <c r="P1766" s="4" t="str">
        <f>HYPERLINK("http://141.218.60.56/~jnz1568/getInfo.php?workbook=16_15.xlsx&amp;sheet=A0&amp;row=1766&amp;col=16&amp;number=&amp;sourceID=55","")</f>
        <v/>
      </c>
      <c r="Q1766" s="4" t="str">
        <f>HYPERLINK("http://141.218.60.56/~jnz1568/getInfo.php?workbook=16_15.xlsx&amp;sheet=A0&amp;row=1766&amp;col=17&amp;number=&amp;sourceID=56","")</f>
        <v/>
      </c>
      <c r="R1766" s="4" t="str">
        <f>HYPERLINK("http://141.218.60.56/~jnz1568/getInfo.php?workbook=16_15.xlsx&amp;sheet=A0&amp;row=1766&amp;col=18&amp;number=&amp;sourceID=56","")</f>
        <v/>
      </c>
      <c r="S1766" s="4" t="str">
        <f>HYPERLINK("http://141.218.60.56/~jnz1568/getInfo.php?workbook=16_15.xlsx&amp;sheet=A0&amp;row=1766&amp;col=19&amp;number=&amp;sourceID=57","")</f>
        <v/>
      </c>
      <c r="T1766" s="4" t="str">
        <f>HYPERLINK("http://141.218.60.56/~jnz1568/getInfo.php?workbook=16_15.xlsx&amp;sheet=A0&amp;row=1766&amp;col=20&amp;number==&amp;sourceID=57","=")</f>
        <v>=</v>
      </c>
      <c r="U1766" s="4" t="str">
        <f>HYPERLINK("http://141.218.60.56/~jnz1568/getInfo.php?workbook=16_15.xlsx&amp;sheet=A0&amp;row=1766&amp;col=21&amp;number==&amp;sourceID=47","=")</f>
        <v>=</v>
      </c>
      <c r="V1766" s="4" t="str">
        <f>HYPERLINK("http://141.218.60.56/~jnz1568/getInfo.php?workbook=16_15.xlsx&amp;sheet=A0&amp;row=1766&amp;col=22&amp;number=&amp;sourceID=47","")</f>
        <v/>
      </c>
    </row>
    <row r="1767" spans="1:22">
      <c r="A1767" s="3">
        <v>16</v>
      </c>
      <c r="B1767" s="3">
        <v>15</v>
      </c>
      <c r="C1767" s="3">
        <v>67</v>
      </c>
      <c r="D1767" s="3">
        <v>29</v>
      </c>
      <c r="E1767" s="3">
        <f>((1/(INDEX(E0!J$4:J$73,C1767,1)-INDEX(E0!J$4:J$73,D1767,1))))*100000000</f>
        <v>0</v>
      </c>
      <c r="F1767" s="4" t="str">
        <f>HYPERLINK("http://141.218.60.56/~jnz1568/getInfo.php?workbook=16_15.xlsx&amp;sheet=A0&amp;row=1767&amp;col=6&amp;number=&amp;sourceID=54","")</f>
        <v/>
      </c>
      <c r="G1767" s="4" t="str">
        <f>HYPERLINK("http://141.218.60.56/~jnz1568/getInfo.php?workbook=16_15.xlsx&amp;sheet=A0&amp;row=1767&amp;col=7&amp;number=27.539&amp;sourceID=54","27.539")</f>
        <v>27.539</v>
      </c>
      <c r="H1767" s="4" t="str">
        <f>HYPERLINK("http://141.218.60.56/~jnz1568/getInfo.php?workbook=16_15.xlsx&amp;sheet=A0&amp;row=1767&amp;col=8&amp;number=2.321e-05&amp;sourceID=54","2.321e-05")</f>
        <v>2.321e-05</v>
      </c>
      <c r="I1767" s="4" t="str">
        <f>HYPERLINK("http://141.218.60.56/~jnz1568/getInfo.php?workbook=16_15.xlsx&amp;sheet=A0&amp;row=1767&amp;col=9&amp;number=&amp;sourceID=54","")</f>
        <v/>
      </c>
      <c r="J1767" s="4" t="str">
        <f>HYPERLINK("http://141.218.60.56/~jnz1568/getInfo.php?workbook=16_15.xlsx&amp;sheet=A0&amp;row=1767&amp;col=10&amp;number=22.591&amp;sourceID=54","22.591")</f>
        <v>22.591</v>
      </c>
      <c r="K1767" s="4" t="str">
        <f>HYPERLINK("http://141.218.60.56/~jnz1568/getInfo.php?workbook=16_15.xlsx&amp;sheet=A0&amp;row=1767&amp;col=11&amp;number=2.8044e-05&amp;sourceID=54","2.8044e-05")</f>
        <v>2.8044e-05</v>
      </c>
      <c r="L1767" s="4" t="str">
        <f>HYPERLINK("http://141.218.60.56/~jnz1568/getInfo.php?workbook=16_15.xlsx&amp;sheet=A0&amp;row=1767&amp;col=12&amp;number=&amp;sourceID=53","")</f>
        <v/>
      </c>
      <c r="M1767" s="4" t="str">
        <f>HYPERLINK("http://141.218.60.56/~jnz1568/getInfo.php?workbook=16_15.xlsx&amp;sheet=A0&amp;row=1767&amp;col=13&amp;number=&amp;sourceID=53","")</f>
        <v/>
      </c>
      <c r="N1767" s="4" t="str">
        <f>HYPERLINK("http://141.218.60.56/~jnz1568/getInfo.php?workbook=16_15.xlsx&amp;sheet=A0&amp;row=1767&amp;col=14&amp;number=&amp;sourceID=53","")</f>
        <v/>
      </c>
      <c r="O1767" s="4" t="str">
        <f>HYPERLINK("http://141.218.60.56/~jnz1568/getInfo.php?workbook=16_15.xlsx&amp;sheet=A0&amp;row=1767&amp;col=15&amp;number=&amp;sourceID=55","")</f>
        <v/>
      </c>
      <c r="P1767" s="4" t="str">
        <f>HYPERLINK("http://141.218.60.56/~jnz1568/getInfo.php?workbook=16_15.xlsx&amp;sheet=A0&amp;row=1767&amp;col=16&amp;number=&amp;sourceID=55","")</f>
        <v/>
      </c>
      <c r="Q1767" s="4" t="str">
        <f>HYPERLINK("http://141.218.60.56/~jnz1568/getInfo.php?workbook=16_15.xlsx&amp;sheet=A0&amp;row=1767&amp;col=17&amp;number=&amp;sourceID=56","")</f>
        <v/>
      </c>
      <c r="R1767" s="4" t="str">
        <f>HYPERLINK("http://141.218.60.56/~jnz1568/getInfo.php?workbook=16_15.xlsx&amp;sheet=A0&amp;row=1767&amp;col=18&amp;number=&amp;sourceID=56","")</f>
        <v/>
      </c>
      <c r="S1767" s="4" t="str">
        <f>HYPERLINK("http://141.218.60.56/~jnz1568/getInfo.php?workbook=16_15.xlsx&amp;sheet=A0&amp;row=1767&amp;col=19&amp;number=&amp;sourceID=57","")</f>
        <v/>
      </c>
      <c r="T1767" s="4" t="str">
        <f>HYPERLINK("http://141.218.60.56/~jnz1568/getInfo.php?workbook=16_15.xlsx&amp;sheet=A0&amp;row=1767&amp;col=20&amp;number==&amp;sourceID=57","=")</f>
        <v>=</v>
      </c>
      <c r="U1767" s="4" t="str">
        <f>HYPERLINK("http://141.218.60.56/~jnz1568/getInfo.php?workbook=16_15.xlsx&amp;sheet=A0&amp;row=1767&amp;col=21&amp;number==&amp;sourceID=47","=")</f>
        <v>=</v>
      </c>
      <c r="V1767" s="4" t="str">
        <f>HYPERLINK("http://141.218.60.56/~jnz1568/getInfo.php?workbook=16_15.xlsx&amp;sheet=A0&amp;row=1767&amp;col=22&amp;number=&amp;sourceID=47","")</f>
        <v/>
      </c>
    </row>
    <row r="1768" spans="1:22">
      <c r="A1768" s="3">
        <v>16</v>
      </c>
      <c r="B1768" s="3">
        <v>15</v>
      </c>
      <c r="C1768" s="3">
        <v>67</v>
      </c>
      <c r="D1768" s="3">
        <v>30</v>
      </c>
      <c r="E1768" s="3">
        <f>((1/(INDEX(E0!J$4:J$73,C1768,1)-INDEX(E0!J$4:J$73,D1768,1))))*100000000</f>
        <v>0</v>
      </c>
      <c r="F1768" s="4" t="str">
        <f>HYPERLINK("http://141.218.60.56/~jnz1568/getInfo.php?workbook=16_15.xlsx&amp;sheet=A0&amp;row=1768&amp;col=6&amp;number=&amp;sourceID=54","")</f>
        <v/>
      </c>
      <c r="G1768" s="4" t="str">
        <f>HYPERLINK("http://141.218.60.56/~jnz1568/getInfo.php?workbook=16_15.xlsx&amp;sheet=A0&amp;row=1768&amp;col=7&amp;number=14.553&amp;sourceID=54","14.553")</f>
        <v>14.553</v>
      </c>
      <c r="H1768" s="4" t="str">
        <f>HYPERLINK("http://141.218.60.56/~jnz1568/getInfo.php?workbook=16_15.xlsx&amp;sheet=A0&amp;row=1768&amp;col=8&amp;number=7.2479e-05&amp;sourceID=54","7.2479e-05")</f>
        <v>7.2479e-05</v>
      </c>
      <c r="I1768" s="4" t="str">
        <f>HYPERLINK("http://141.218.60.56/~jnz1568/getInfo.php?workbook=16_15.xlsx&amp;sheet=A0&amp;row=1768&amp;col=9&amp;number=&amp;sourceID=54","")</f>
        <v/>
      </c>
      <c r="J1768" s="4" t="str">
        <f>HYPERLINK("http://141.218.60.56/~jnz1568/getInfo.php?workbook=16_15.xlsx&amp;sheet=A0&amp;row=1768&amp;col=10&amp;number=11.376&amp;sourceID=54","11.376")</f>
        <v>11.376</v>
      </c>
      <c r="K1768" s="4" t="str">
        <f>HYPERLINK("http://141.218.60.56/~jnz1568/getInfo.php?workbook=16_15.xlsx&amp;sheet=A0&amp;row=1768&amp;col=11&amp;number=5.4812e-05&amp;sourceID=54","5.4812e-05")</f>
        <v>5.4812e-05</v>
      </c>
      <c r="L1768" s="4" t="str">
        <f>HYPERLINK("http://141.218.60.56/~jnz1568/getInfo.php?workbook=16_15.xlsx&amp;sheet=A0&amp;row=1768&amp;col=12&amp;number=&amp;sourceID=53","")</f>
        <v/>
      </c>
      <c r="M1768" s="4" t="str">
        <f>HYPERLINK("http://141.218.60.56/~jnz1568/getInfo.php?workbook=16_15.xlsx&amp;sheet=A0&amp;row=1768&amp;col=13&amp;number=&amp;sourceID=53","")</f>
        <v/>
      </c>
      <c r="N1768" s="4" t="str">
        <f>HYPERLINK("http://141.218.60.56/~jnz1568/getInfo.php?workbook=16_15.xlsx&amp;sheet=A0&amp;row=1768&amp;col=14&amp;number=&amp;sourceID=53","")</f>
        <v/>
      </c>
      <c r="O1768" s="4" t="str">
        <f>HYPERLINK("http://141.218.60.56/~jnz1568/getInfo.php?workbook=16_15.xlsx&amp;sheet=A0&amp;row=1768&amp;col=15&amp;number=&amp;sourceID=55","")</f>
        <v/>
      </c>
      <c r="P1768" s="4" t="str">
        <f>HYPERLINK("http://141.218.60.56/~jnz1568/getInfo.php?workbook=16_15.xlsx&amp;sheet=A0&amp;row=1768&amp;col=16&amp;number=&amp;sourceID=55","")</f>
        <v/>
      </c>
      <c r="Q1768" s="4" t="str">
        <f>HYPERLINK("http://141.218.60.56/~jnz1568/getInfo.php?workbook=16_15.xlsx&amp;sheet=A0&amp;row=1768&amp;col=17&amp;number=&amp;sourceID=56","")</f>
        <v/>
      </c>
      <c r="R1768" s="4" t="str">
        <f>HYPERLINK("http://141.218.60.56/~jnz1568/getInfo.php?workbook=16_15.xlsx&amp;sheet=A0&amp;row=1768&amp;col=18&amp;number=&amp;sourceID=56","")</f>
        <v/>
      </c>
      <c r="S1768" s="4" t="str">
        <f>HYPERLINK("http://141.218.60.56/~jnz1568/getInfo.php?workbook=16_15.xlsx&amp;sheet=A0&amp;row=1768&amp;col=19&amp;number=&amp;sourceID=57","")</f>
        <v/>
      </c>
      <c r="T1768" s="4" t="str">
        <f>HYPERLINK("http://141.218.60.56/~jnz1568/getInfo.php?workbook=16_15.xlsx&amp;sheet=A0&amp;row=1768&amp;col=20&amp;number==&amp;sourceID=57","=")</f>
        <v>=</v>
      </c>
      <c r="U1768" s="4" t="str">
        <f>HYPERLINK("http://141.218.60.56/~jnz1568/getInfo.php?workbook=16_15.xlsx&amp;sheet=A0&amp;row=1768&amp;col=21&amp;number==&amp;sourceID=47","=")</f>
        <v>=</v>
      </c>
      <c r="V1768" s="4" t="str">
        <f>HYPERLINK("http://141.218.60.56/~jnz1568/getInfo.php?workbook=16_15.xlsx&amp;sheet=A0&amp;row=1768&amp;col=22&amp;number=&amp;sourceID=47","")</f>
        <v/>
      </c>
    </row>
    <row r="1769" spans="1:22">
      <c r="A1769" s="3">
        <v>16</v>
      </c>
      <c r="B1769" s="3">
        <v>15</v>
      </c>
      <c r="C1769" s="3">
        <v>67</v>
      </c>
      <c r="D1769" s="3">
        <v>31</v>
      </c>
      <c r="E1769" s="3">
        <f>((1/(INDEX(E0!J$4:J$73,C1769,1)-INDEX(E0!J$4:J$73,D1769,1))))*100000000</f>
        <v>0</v>
      </c>
      <c r="F1769" s="4" t="str">
        <f>HYPERLINK("http://141.218.60.56/~jnz1568/getInfo.php?workbook=16_15.xlsx&amp;sheet=A0&amp;row=1769&amp;col=6&amp;number=666890&amp;sourceID=54","666890")</f>
        <v>666890</v>
      </c>
      <c r="G1769" s="4" t="str">
        <f>HYPERLINK("http://141.218.60.56/~jnz1568/getInfo.php?workbook=16_15.xlsx&amp;sheet=A0&amp;row=1769&amp;col=7&amp;number=&amp;sourceID=54","")</f>
        <v/>
      </c>
      <c r="H1769" s="4" t="str">
        <f>HYPERLINK("http://141.218.60.56/~jnz1568/getInfo.php?workbook=16_15.xlsx&amp;sheet=A0&amp;row=1769&amp;col=8&amp;number=&amp;sourceID=54","")</f>
        <v/>
      </c>
      <c r="I1769" s="4" t="str">
        <f>HYPERLINK("http://141.218.60.56/~jnz1568/getInfo.php?workbook=16_15.xlsx&amp;sheet=A0&amp;row=1769&amp;col=9&amp;number=834660&amp;sourceID=54","834660")</f>
        <v>834660</v>
      </c>
      <c r="J1769" s="4" t="str">
        <f>HYPERLINK("http://141.218.60.56/~jnz1568/getInfo.php?workbook=16_15.xlsx&amp;sheet=A0&amp;row=1769&amp;col=10&amp;number=&amp;sourceID=54","")</f>
        <v/>
      </c>
      <c r="K1769" s="4" t="str">
        <f>HYPERLINK("http://141.218.60.56/~jnz1568/getInfo.php?workbook=16_15.xlsx&amp;sheet=A0&amp;row=1769&amp;col=11&amp;number=&amp;sourceID=54","")</f>
        <v/>
      </c>
      <c r="L1769" s="4" t="str">
        <f>HYPERLINK("http://141.218.60.56/~jnz1568/getInfo.php?workbook=16_15.xlsx&amp;sheet=A0&amp;row=1769&amp;col=12&amp;number=180787.513543&amp;sourceID=53","180787.513543")</f>
        <v>180787.513543</v>
      </c>
      <c r="M1769" s="4" t="str">
        <f>HYPERLINK("http://141.218.60.56/~jnz1568/getInfo.php?workbook=16_15.xlsx&amp;sheet=A0&amp;row=1769&amp;col=13&amp;number=&amp;sourceID=53","")</f>
        <v/>
      </c>
      <c r="N1769" s="4" t="str">
        <f>HYPERLINK("http://141.218.60.56/~jnz1568/getInfo.php?workbook=16_15.xlsx&amp;sheet=A0&amp;row=1769&amp;col=14&amp;number=&amp;sourceID=53","")</f>
        <v/>
      </c>
      <c r="O1769" s="4" t="str">
        <f>HYPERLINK("http://141.218.60.56/~jnz1568/getInfo.php?workbook=16_15.xlsx&amp;sheet=A0&amp;row=1769&amp;col=15&amp;number=&amp;sourceID=55","")</f>
        <v/>
      </c>
      <c r="P1769" s="4" t="str">
        <f>HYPERLINK("http://141.218.60.56/~jnz1568/getInfo.php?workbook=16_15.xlsx&amp;sheet=A0&amp;row=1769&amp;col=16&amp;number=&amp;sourceID=55","")</f>
        <v/>
      </c>
      <c r="Q1769" s="4" t="str">
        <f>HYPERLINK("http://141.218.60.56/~jnz1568/getInfo.php?workbook=16_15.xlsx&amp;sheet=A0&amp;row=1769&amp;col=17&amp;number=&amp;sourceID=56","")</f>
        <v/>
      </c>
      <c r="R1769" s="4" t="str">
        <f>HYPERLINK("http://141.218.60.56/~jnz1568/getInfo.php?workbook=16_15.xlsx&amp;sheet=A0&amp;row=1769&amp;col=18&amp;number=&amp;sourceID=56","")</f>
        <v/>
      </c>
      <c r="S1769" s="4" t="str">
        <f>HYPERLINK("http://141.218.60.56/~jnz1568/getInfo.php?workbook=16_15.xlsx&amp;sheet=A0&amp;row=1769&amp;col=19&amp;number=&amp;sourceID=57","")</f>
        <v/>
      </c>
      <c r="T1769" s="4" t="str">
        <f>HYPERLINK("http://141.218.60.56/~jnz1568/getInfo.php?workbook=16_15.xlsx&amp;sheet=A0&amp;row=1769&amp;col=20&amp;number==&amp;sourceID=57","=")</f>
        <v>=</v>
      </c>
      <c r="U1769" s="4" t="str">
        <f>HYPERLINK("http://141.218.60.56/~jnz1568/getInfo.php?workbook=16_15.xlsx&amp;sheet=A0&amp;row=1769&amp;col=21&amp;number==&amp;sourceID=47","=")</f>
        <v>=</v>
      </c>
      <c r="V1769" s="4" t="str">
        <f>HYPERLINK("http://141.218.60.56/~jnz1568/getInfo.php?workbook=16_15.xlsx&amp;sheet=A0&amp;row=1769&amp;col=22&amp;number=&amp;sourceID=47","")</f>
        <v/>
      </c>
    </row>
    <row r="1770" spans="1:22">
      <c r="A1770" s="3">
        <v>16</v>
      </c>
      <c r="B1770" s="3">
        <v>15</v>
      </c>
      <c r="C1770" s="3">
        <v>67</v>
      </c>
      <c r="D1770" s="3">
        <v>32</v>
      </c>
      <c r="E1770" s="3">
        <f>((1/(INDEX(E0!J$4:J$73,C1770,1)-INDEX(E0!J$4:J$73,D1770,1))))*100000000</f>
        <v>0</v>
      </c>
      <c r="F1770" s="4" t="str">
        <f>HYPERLINK("http://141.218.60.56/~jnz1568/getInfo.php?workbook=16_15.xlsx&amp;sheet=A0&amp;row=1770&amp;col=6&amp;number=&amp;sourceID=54","")</f>
        <v/>
      </c>
      <c r="G1770" s="4" t="str">
        <f>HYPERLINK("http://141.218.60.56/~jnz1568/getInfo.php?workbook=16_15.xlsx&amp;sheet=A0&amp;row=1770&amp;col=7&amp;number=0.087917&amp;sourceID=54","0.087917")</f>
        <v>0.087917</v>
      </c>
      <c r="H1770" s="4" t="str">
        <f>HYPERLINK("http://141.218.60.56/~jnz1568/getInfo.php?workbook=16_15.xlsx&amp;sheet=A0&amp;row=1770&amp;col=8&amp;number=&amp;sourceID=54","")</f>
        <v/>
      </c>
      <c r="I1770" s="4" t="str">
        <f>HYPERLINK("http://141.218.60.56/~jnz1568/getInfo.php?workbook=16_15.xlsx&amp;sheet=A0&amp;row=1770&amp;col=9&amp;number=&amp;sourceID=54","")</f>
        <v/>
      </c>
      <c r="J1770" s="4" t="str">
        <f>HYPERLINK("http://141.218.60.56/~jnz1568/getInfo.php?workbook=16_15.xlsx&amp;sheet=A0&amp;row=1770&amp;col=10&amp;number=0.053283&amp;sourceID=54","0.053283")</f>
        <v>0.053283</v>
      </c>
      <c r="K1770" s="4" t="str">
        <f>HYPERLINK("http://141.218.60.56/~jnz1568/getInfo.php?workbook=16_15.xlsx&amp;sheet=A0&amp;row=1770&amp;col=11&amp;number=&amp;sourceID=54","")</f>
        <v/>
      </c>
      <c r="L1770" s="4" t="str">
        <f>HYPERLINK("http://141.218.60.56/~jnz1568/getInfo.php?workbook=16_15.xlsx&amp;sheet=A0&amp;row=1770&amp;col=12&amp;number=&amp;sourceID=53","")</f>
        <v/>
      </c>
      <c r="M1770" s="4" t="str">
        <f>HYPERLINK("http://141.218.60.56/~jnz1568/getInfo.php?workbook=16_15.xlsx&amp;sheet=A0&amp;row=1770&amp;col=13&amp;number=&amp;sourceID=53","")</f>
        <v/>
      </c>
      <c r="N1770" s="4" t="str">
        <f>HYPERLINK("http://141.218.60.56/~jnz1568/getInfo.php?workbook=16_15.xlsx&amp;sheet=A0&amp;row=1770&amp;col=14&amp;number=&amp;sourceID=53","")</f>
        <v/>
      </c>
      <c r="O1770" s="4" t="str">
        <f>HYPERLINK("http://141.218.60.56/~jnz1568/getInfo.php?workbook=16_15.xlsx&amp;sheet=A0&amp;row=1770&amp;col=15&amp;number=&amp;sourceID=55","")</f>
        <v/>
      </c>
      <c r="P1770" s="4" t="str">
        <f>HYPERLINK("http://141.218.60.56/~jnz1568/getInfo.php?workbook=16_15.xlsx&amp;sheet=A0&amp;row=1770&amp;col=16&amp;number=&amp;sourceID=55","")</f>
        <v/>
      </c>
      <c r="Q1770" s="4" t="str">
        <f>HYPERLINK("http://141.218.60.56/~jnz1568/getInfo.php?workbook=16_15.xlsx&amp;sheet=A0&amp;row=1770&amp;col=17&amp;number=&amp;sourceID=56","")</f>
        <v/>
      </c>
      <c r="R1770" s="4" t="str">
        <f>HYPERLINK("http://141.218.60.56/~jnz1568/getInfo.php?workbook=16_15.xlsx&amp;sheet=A0&amp;row=1770&amp;col=18&amp;number=&amp;sourceID=56","")</f>
        <v/>
      </c>
      <c r="S1770" s="4" t="str">
        <f>HYPERLINK("http://141.218.60.56/~jnz1568/getInfo.php?workbook=16_15.xlsx&amp;sheet=A0&amp;row=1770&amp;col=19&amp;number=&amp;sourceID=57","")</f>
        <v/>
      </c>
      <c r="T1770" s="4" t="str">
        <f>HYPERLINK("http://141.218.60.56/~jnz1568/getInfo.php?workbook=16_15.xlsx&amp;sheet=A0&amp;row=1770&amp;col=20&amp;number==&amp;sourceID=57","=")</f>
        <v>=</v>
      </c>
      <c r="U1770" s="4" t="str">
        <f>HYPERLINK("http://141.218.60.56/~jnz1568/getInfo.php?workbook=16_15.xlsx&amp;sheet=A0&amp;row=1770&amp;col=21&amp;number==&amp;sourceID=47","=")</f>
        <v>=</v>
      </c>
      <c r="V1770" s="4" t="str">
        <f>HYPERLINK("http://141.218.60.56/~jnz1568/getInfo.php?workbook=16_15.xlsx&amp;sheet=A0&amp;row=1770&amp;col=22&amp;number=&amp;sourceID=47","")</f>
        <v/>
      </c>
    </row>
    <row r="1771" spans="1:22">
      <c r="A1771" s="3">
        <v>16</v>
      </c>
      <c r="B1771" s="3">
        <v>15</v>
      </c>
      <c r="C1771" s="3">
        <v>67</v>
      </c>
      <c r="D1771" s="3">
        <v>34</v>
      </c>
      <c r="E1771" s="3">
        <f>((1/(INDEX(E0!J$4:J$73,C1771,1)-INDEX(E0!J$4:J$73,D1771,1))))*100000000</f>
        <v>0</v>
      </c>
      <c r="F1771" s="4" t="str">
        <f>HYPERLINK("http://141.218.60.56/~jnz1568/getInfo.php?workbook=16_15.xlsx&amp;sheet=A0&amp;row=1771&amp;col=6&amp;number=15610&amp;sourceID=54","15610")</f>
        <v>15610</v>
      </c>
      <c r="G1771" s="4" t="str">
        <f>HYPERLINK("http://141.218.60.56/~jnz1568/getInfo.php?workbook=16_15.xlsx&amp;sheet=A0&amp;row=1771&amp;col=7&amp;number=&amp;sourceID=54","")</f>
        <v/>
      </c>
      <c r="H1771" s="4" t="str">
        <f>HYPERLINK("http://141.218.60.56/~jnz1568/getInfo.php?workbook=16_15.xlsx&amp;sheet=A0&amp;row=1771&amp;col=8&amp;number=&amp;sourceID=54","")</f>
        <v/>
      </c>
      <c r="I1771" s="4" t="str">
        <f>HYPERLINK("http://141.218.60.56/~jnz1568/getInfo.php?workbook=16_15.xlsx&amp;sheet=A0&amp;row=1771&amp;col=9&amp;number=677.95&amp;sourceID=54","677.95")</f>
        <v>677.95</v>
      </c>
      <c r="J1771" s="4" t="str">
        <f>HYPERLINK("http://141.218.60.56/~jnz1568/getInfo.php?workbook=16_15.xlsx&amp;sheet=A0&amp;row=1771&amp;col=10&amp;number=&amp;sourceID=54","")</f>
        <v/>
      </c>
      <c r="K1771" s="4" t="str">
        <f>HYPERLINK("http://141.218.60.56/~jnz1568/getInfo.php?workbook=16_15.xlsx&amp;sheet=A0&amp;row=1771&amp;col=11&amp;number=&amp;sourceID=54","")</f>
        <v/>
      </c>
      <c r="L1771" s="4" t="str">
        <f>HYPERLINK("http://141.218.60.56/~jnz1568/getInfo.php?workbook=16_15.xlsx&amp;sheet=A0&amp;row=1771&amp;col=12&amp;number=957.882151917&amp;sourceID=53","957.882151917")</f>
        <v>957.882151917</v>
      </c>
      <c r="M1771" s="4" t="str">
        <f>HYPERLINK("http://141.218.60.56/~jnz1568/getInfo.php?workbook=16_15.xlsx&amp;sheet=A0&amp;row=1771&amp;col=13&amp;number=&amp;sourceID=53","")</f>
        <v/>
      </c>
      <c r="N1771" s="4" t="str">
        <f>HYPERLINK("http://141.218.60.56/~jnz1568/getInfo.php?workbook=16_15.xlsx&amp;sheet=A0&amp;row=1771&amp;col=14&amp;number=&amp;sourceID=53","")</f>
        <v/>
      </c>
      <c r="O1771" s="4" t="str">
        <f>HYPERLINK("http://141.218.60.56/~jnz1568/getInfo.php?workbook=16_15.xlsx&amp;sheet=A0&amp;row=1771&amp;col=15&amp;number=&amp;sourceID=55","")</f>
        <v/>
      </c>
      <c r="P1771" s="4" t="str">
        <f>HYPERLINK("http://141.218.60.56/~jnz1568/getInfo.php?workbook=16_15.xlsx&amp;sheet=A0&amp;row=1771&amp;col=16&amp;number=&amp;sourceID=55","")</f>
        <v/>
      </c>
      <c r="Q1771" s="4" t="str">
        <f>HYPERLINK("http://141.218.60.56/~jnz1568/getInfo.php?workbook=16_15.xlsx&amp;sheet=A0&amp;row=1771&amp;col=17&amp;number=&amp;sourceID=56","")</f>
        <v/>
      </c>
      <c r="R1771" s="4" t="str">
        <f>HYPERLINK("http://141.218.60.56/~jnz1568/getInfo.php?workbook=16_15.xlsx&amp;sheet=A0&amp;row=1771&amp;col=18&amp;number=&amp;sourceID=56","")</f>
        <v/>
      </c>
      <c r="S1771" s="4" t="str">
        <f>HYPERLINK("http://141.218.60.56/~jnz1568/getInfo.php?workbook=16_15.xlsx&amp;sheet=A0&amp;row=1771&amp;col=19&amp;number=&amp;sourceID=57","")</f>
        <v/>
      </c>
      <c r="T1771" s="4" t="str">
        <f>HYPERLINK("http://141.218.60.56/~jnz1568/getInfo.php?workbook=16_15.xlsx&amp;sheet=A0&amp;row=1771&amp;col=20&amp;number==&amp;sourceID=57","=")</f>
        <v>=</v>
      </c>
      <c r="U1771" s="4" t="str">
        <f>HYPERLINK("http://141.218.60.56/~jnz1568/getInfo.php?workbook=16_15.xlsx&amp;sheet=A0&amp;row=1771&amp;col=21&amp;number==&amp;sourceID=47","=")</f>
        <v>=</v>
      </c>
      <c r="V1771" s="4" t="str">
        <f>HYPERLINK("http://141.218.60.56/~jnz1568/getInfo.php?workbook=16_15.xlsx&amp;sheet=A0&amp;row=1771&amp;col=22&amp;number=&amp;sourceID=47","")</f>
        <v/>
      </c>
    </row>
    <row r="1772" spans="1:22">
      <c r="A1772" s="3">
        <v>16</v>
      </c>
      <c r="B1772" s="3">
        <v>15</v>
      </c>
      <c r="C1772" s="3">
        <v>67</v>
      </c>
      <c r="D1772" s="3">
        <v>35</v>
      </c>
      <c r="E1772" s="3">
        <f>((1/(INDEX(E0!J$4:J$73,C1772,1)-INDEX(E0!J$4:J$73,D1772,1))))*100000000</f>
        <v>0</v>
      </c>
      <c r="F1772" s="4" t="str">
        <f>HYPERLINK("http://141.218.60.56/~jnz1568/getInfo.php?workbook=16_15.xlsx&amp;sheet=A0&amp;row=1772&amp;col=6&amp;number=40.49&amp;sourceID=54","40.49")</f>
        <v>40.49</v>
      </c>
      <c r="G1772" s="4" t="str">
        <f>HYPERLINK("http://141.218.60.56/~jnz1568/getInfo.php?workbook=16_15.xlsx&amp;sheet=A0&amp;row=1772&amp;col=7&amp;number=&amp;sourceID=54","")</f>
        <v/>
      </c>
      <c r="H1772" s="4" t="str">
        <f>HYPERLINK("http://141.218.60.56/~jnz1568/getInfo.php?workbook=16_15.xlsx&amp;sheet=A0&amp;row=1772&amp;col=8&amp;number=&amp;sourceID=54","")</f>
        <v/>
      </c>
      <c r="I1772" s="4" t="str">
        <f>HYPERLINK("http://141.218.60.56/~jnz1568/getInfo.php?workbook=16_15.xlsx&amp;sheet=A0&amp;row=1772&amp;col=9&amp;number=436.9&amp;sourceID=54","436.9")</f>
        <v>436.9</v>
      </c>
      <c r="J1772" s="4" t="str">
        <f>HYPERLINK("http://141.218.60.56/~jnz1568/getInfo.php?workbook=16_15.xlsx&amp;sheet=A0&amp;row=1772&amp;col=10&amp;number=&amp;sourceID=54","")</f>
        <v/>
      </c>
      <c r="K1772" s="4" t="str">
        <f>HYPERLINK("http://141.218.60.56/~jnz1568/getInfo.php?workbook=16_15.xlsx&amp;sheet=A0&amp;row=1772&amp;col=11&amp;number=&amp;sourceID=54","")</f>
        <v/>
      </c>
      <c r="L1772" s="4" t="str">
        <f>HYPERLINK("http://141.218.60.56/~jnz1568/getInfo.php?workbook=16_15.xlsx&amp;sheet=A0&amp;row=1772&amp;col=12&amp;number=428.793554386&amp;sourceID=53","428.793554386")</f>
        <v>428.793554386</v>
      </c>
      <c r="M1772" s="4" t="str">
        <f>HYPERLINK("http://141.218.60.56/~jnz1568/getInfo.php?workbook=16_15.xlsx&amp;sheet=A0&amp;row=1772&amp;col=13&amp;number=&amp;sourceID=53","")</f>
        <v/>
      </c>
      <c r="N1772" s="4" t="str">
        <f>HYPERLINK("http://141.218.60.56/~jnz1568/getInfo.php?workbook=16_15.xlsx&amp;sheet=A0&amp;row=1772&amp;col=14&amp;number=&amp;sourceID=53","")</f>
        <v/>
      </c>
      <c r="O1772" s="4" t="str">
        <f>HYPERLINK("http://141.218.60.56/~jnz1568/getInfo.php?workbook=16_15.xlsx&amp;sheet=A0&amp;row=1772&amp;col=15&amp;number=&amp;sourceID=55","")</f>
        <v/>
      </c>
      <c r="P1772" s="4" t="str">
        <f>HYPERLINK("http://141.218.60.56/~jnz1568/getInfo.php?workbook=16_15.xlsx&amp;sheet=A0&amp;row=1772&amp;col=16&amp;number=&amp;sourceID=55","")</f>
        <v/>
      </c>
      <c r="Q1772" s="4" t="str">
        <f>HYPERLINK("http://141.218.60.56/~jnz1568/getInfo.php?workbook=16_15.xlsx&amp;sheet=A0&amp;row=1772&amp;col=17&amp;number=&amp;sourceID=56","")</f>
        <v/>
      </c>
      <c r="R1772" s="4" t="str">
        <f>HYPERLINK("http://141.218.60.56/~jnz1568/getInfo.php?workbook=16_15.xlsx&amp;sheet=A0&amp;row=1772&amp;col=18&amp;number=&amp;sourceID=56","")</f>
        <v/>
      </c>
      <c r="S1772" s="4" t="str">
        <f>HYPERLINK("http://141.218.60.56/~jnz1568/getInfo.php?workbook=16_15.xlsx&amp;sheet=A0&amp;row=1772&amp;col=19&amp;number=&amp;sourceID=57","")</f>
        <v/>
      </c>
      <c r="T1772" s="4" t="str">
        <f>HYPERLINK("http://141.218.60.56/~jnz1568/getInfo.php?workbook=16_15.xlsx&amp;sheet=A0&amp;row=1772&amp;col=20&amp;number==&amp;sourceID=57","=")</f>
        <v>=</v>
      </c>
      <c r="U1772" s="4" t="str">
        <f>HYPERLINK("http://141.218.60.56/~jnz1568/getInfo.php?workbook=16_15.xlsx&amp;sheet=A0&amp;row=1772&amp;col=21&amp;number==&amp;sourceID=47","=")</f>
        <v>=</v>
      </c>
      <c r="V1772" s="4" t="str">
        <f>HYPERLINK("http://141.218.60.56/~jnz1568/getInfo.php?workbook=16_15.xlsx&amp;sheet=A0&amp;row=1772&amp;col=22&amp;number=&amp;sourceID=47","")</f>
        <v/>
      </c>
    </row>
    <row r="1773" spans="1:22">
      <c r="A1773" s="3">
        <v>16</v>
      </c>
      <c r="B1773" s="3">
        <v>15</v>
      </c>
      <c r="C1773" s="3">
        <v>67</v>
      </c>
      <c r="D1773" s="3">
        <v>36</v>
      </c>
      <c r="E1773" s="3">
        <f>((1/(INDEX(E0!J$4:J$73,C1773,1)-INDEX(E0!J$4:J$73,D1773,1))))*100000000</f>
        <v>0</v>
      </c>
      <c r="F1773" s="4" t="str">
        <f>HYPERLINK("http://141.218.60.56/~jnz1568/getInfo.php?workbook=16_15.xlsx&amp;sheet=A0&amp;row=1773&amp;col=6&amp;number=1030.8&amp;sourceID=54","1030.8")</f>
        <v>1030.8</v>
      </c>
      <c r="G1773" s="4" t="str">
        <f>HYPERLINK("http://141.218.60.56/~jnz1568/getInfo.php?workbook=16_15.xlsx&amp;sheet=A0&amp;row=1773&amp;col=7&amp;number=&amp;sourceID=54","")</f>
        <v/>
      </c>
      <c r="H1773" s="4" t="str">
        <f>HYPERLINK("http://141.218.60.56/~jnz1568/getInfo.php?workbook=16_15.xlsx&amp;sheet=A0&amp;row=1773&amp;col=8&amp;number=&amp;sourceID=54","")</f>
        <v/>
      </c>
      <c r="I1773" s="4" t="str">
        <f>HYPERLINK("http://141.218.60.56/~jnz1568/getInfo.php?workbook=16_15.xlsx&amp;sheet=A0&amp;row=1773&amp;col=9&amp;number=9.5458&amp;sourceID=54","9.5458")</f>
        <v>9.5458</v>
      </c>
      <c r="J1773" s="4" t="str">
        <f>HYPERLINK("http://141.218.60.56/~jnz1568/getInfo.php?workbook=16_15.xlsx&amp;sheet=A0&amp;row=1773&amp;col=10&amp;number=&amp;sourceID=54","")</f>
        <v/>
      </c>
      <c r="K1773" s="4" t="str">
        <f>HYPERLINK("http://141.218.60.56/~jnz1568/getInfo.php?workbook=16_15.xlsx&amp;sheet=A0&amp;row=1773&amp;col=11&amp;number=&amp;sourceID=54","")</f>
        <v/>
      </c>
      <c r="L1773" s="4" t="str">
        <f>HYPERLINK("http://141.218.60.56/~jnz1568/getInfo.php?workbook=16_15.xlsx&amp;sheet=A0&amp;row=1773&amp;col=12&amp;number=121.633340017&amp;sourceID=53","121.633340017")</f>
        <v>121.633340017</v>
      </c>
      <c r="M1773" s="4" t="str">
        <f>HYPERLINK("http://141.218.60.56/~jnz1568/getInfo.php?workbook=16_15.xlsx&amp;sheet=A0&amp;row=1773&amp;col=13&amp;number=&amp;sourceID=53","")</f>
        <v/>
      </c>
      <c r="N1773" s="4" t="str">
        <f>HYPERLINK("http://141.218.60.56/~jnz1568/getInfo.php?workbook=16_15.xlsx&amp;sheet=A0&amp;row=1773&amp;col=14&amp;number=&amp;sourceID=53","")</f>
        <v/>
      </c>
      <c r="O1773" s="4" t="str">
        <f>HYPERLINK("http://141.218.60.56/~jnz1568/getInfo.php?workbook=16_15.xlsx&amp;sheet=A0&amp;row=1773&amp;col=15&amp;number=&amp;sourceID=55","")</f>
        <v/>
      </c>
      <c r="P1773" s="4" t="str">
        <f>HYPERLINK("http://141.218.60.56/~jnz1568/getInfo.php?workbook=16_15.xlsx&amp;sheet=A0&amp;row=1773&amp;col=16&amp;number=&amp;sourceID=55","")</f>
        <v/>
      </c>
      <c r="Q1773" s="4" t="str">
        <f>HYPERLINK("http://141.218.60.56/~jnz1568/getInfo.php?workbook=16_15.xlsx&amp;sheet=A0&amp;row=1773&amp;col=17&amp;number=&amp;sourceID=56","")</f>
        <v/>
      </c>
      <c r="R1773" s="4" t="str">
        <f>HYPERLINK("http://141.218.60.56/~jnz1568/getInfo.php?workbook=16_15.xlsx&amp;sheet=A0&amp;row=1773&amp;col=18&amp;number=&amp;sourceID=56","")</f>
        <v/>
      </c>
      <c r="S1773" s="4" t="str">
        <f>HYPERLINK("http://141.218.60.56/~jnz1568/getInfo.php?workbook=16_15.xlsx&amp;sheet=A0&amp;row=1773&amp;col=19&amp;number=&amp;sourceID=57","")</f>
        <v/>
      </c>
      <c r="T1773" s="4" t="str">
        <f>HYPERLINK("http://141.218.60.56/~jnz1568/getInfo.php?workbook=16_15.xlsx&amp;sheet=A0&amp;row=1773&amp;col=20&amp;number==&amp;sourceID=57","=")</f>
        <v>=</v>
      </c>
      <c r="U1773" s="4" t="str">
        <f>HYPERLINK("http://141.218.60.56/~jnz1568/getInfo.php?workbook=16_15.xlsx&amp;sheet=A0&amp;row=1773&amp;col=21&amp;number==&amp;sourceID=47","=")</f>
        <v>=</v>
      </c>
      <c r="V1773" s="4" t="str">
        <f>HYPERLINK("http://141.218.60.56/~jnz1568/getInfo.php?workbook=16_15.xlsx&amp;sheet=A0&amp;row=1773&amp;col=22&amp;number=&amp;sourceID=47","")</f>
        <v/>
      </c>
    </row>
    <row r="1774" spans="1:22">
      <c r="A1774" s="3">
        <v>16</v>
      </c>
      <c r="B1774" s="3">
        <v>15</v>
      </c>
      <c r="C1774" s="3">
        <v>67</v>
      </c>
      <c r="D1774" s="3">
        <v>38</v>
      </c>
      <c r="E1774" s="3">
        <f>((1/(INDEX(E0!J$4:J$73,C1774,1)-INDEX(E0!J$4:J$73,D1774,1))))*100000000</f>
        <v>0</v>
      </c>
      <c r="F1774" s="4" t="str">
        <f>HYPERLINK("http://141.218.60.56/~jnz1568/getInfo.php?workbook=16_15.xlsx&amp;sheet=A0&amp;row=1774&amp;col=6&amp;number=504.09&amp;sourceID=54","504.09")</f>
        <v>504.09</v>
      </c>
      <c r="G1774" s="4" t="str">
        <f>HYPERLINK("http://141.218.60.56/~jnz1568/getInfo.php?workbook=16_15.xlsx&amp;sheet=A0&amp;row=1774&amp;col=7&amp;number=&amp;sourceID=54","")</f>
        <v/>
      </c>
      <c r="H1774" s="4" t="str">
        <f>HYPERLINK("http://141.218.60.56/~jnz1568/getInfo.php?workbook=16_15.xlsx&amp;sheet=A0&amp;row=1774&amp;col=8&amp;number=&amp;sourceID=54","")</f>
        <v/>
      </c>
      <c r="I1774" s="4" t="str">
        <f>HYPERLINK("http://141.218.60.56/~jnz1568/getInfo.php?workbook=16_15.xlsx&amp;sheet=A0&amp;row=1774&amp;col=9&amp;number=3896.6&amp;sourceID=54","3896.6")</f>
        <v>3896.6</v>
      </c>
      <c r="J1774" s="4" t="str">
        <f>HYPERLINK("http://141.218.60.56/~jnz1568/getInfo.php?workbook=16_15.xlsx&amp;sheet=A0&amp;row=1774&amp;col=10&amp;number=&amp;sourceID=54","")</f>
        <v/>
      </c>
      <c r="K1774" s="4" t="str">
        <f>HYPERLINK("http://141.218.60.56/~jnz1568/getInfo.php?workbook=16_15.xlsx&amp;sheet=A0&amp;row=1774&amp;col=11&amp;number=&amp;sourceID=54","")</f>
        <v/>
      </c>
      <c r="L1774" s="4" t="str">
        <f>HYPERLINK("http://141.218.60.56/~jnz1568/getInfo.php?workbook=16_15.xlsx&amp;sheet=A0&amp;row=1774&amp;col=12&amp;number=2832.89971079&amp;sourceID=53","2832.89971079")</f>
        <v>2832.89971079</v>
      </c>
      <c r="M1774" s="4" t="str">
        <f>HYPERLINK("http://141.218.60.56/~jnz1568/getInfo.php?workbook=16_15.xlsx&amp;sheet=A0&amp;row=1774&amp;col=13&amp;number=&amp;sourceID=53","")</f>
        <v/>
      </c>
      <c r="N1774" s="4" t="str">
        <f>HYPERLINK("http://141.218.60.56/~jnz1568/getInfo.php?workbook=16_15.xlsx&amp;sheet=A0&amp;row=1774&amp;col=14&amp;number=&amp;sourceID=53","")</f>
        <v/>
      </c>
      <c r="O1774" s="4" t="str">
        <f>HYPERLINK("http://141.218.60.56/~jnz1568/getInfo.php?workbook=16_15.xlsx&amp;sheet=A0&amp;row=1774&amp;col=15&amp;number=&amp;sourceID=55","")</f>
        <v/>
      </c>
      <c r="P1774" s="4" t="str">
        <f>HYPERLINK("http://141.218.60.56/~jnz1568/getInfo.php?workbook=16_15.xlsx&amp;sheet=A0&amp;row=1774&amp;col=16&amp;number=&amp;sourceID=55","")</f>
        <v/>
      </c>
      <c r="Q1774" s="4" t="str">
        <f>HYPERLINK("http://141.218.60.56/~jnz1568/getInfo.php?workbook=16_15.xlsx&amp;sheet=A0&amp;row=1774&amp;col=17&amp;number=&amp;sourceID=56","")</f>
        <v/>
      </c>
      <c r="R1774" s="4" t="str">
        <f>HYPERLINK("http://141.218.60.56/~jnz1568/getInfo.php?workbook=16_15.xlsx&amp;sheet=A0&amp;row=1774&amp;col=18&amp;number=&amp;sourceID=56","")</f>
        <v/>
      </c>
      <c r="S1774" s="4" t="str">
        <f>HYPERLINK("http://141.218.60.56/~jnz1568/getInfo.php?workbook=16_15.xlsx&amp;sheet=A0&amp;row=1774&amp;col=19&amp;number=&amp;sourceID=57","")</f>
        <v/>
      </c>
      <c r="T1774" s="4" t="str">
        <f>HYPERLINK("http://141.218.60.56/~jnz1568/getInfo.php?workbook=16_15.xlsx&amp;sheet=A0&amp;row=1774&amp;col=20&amp;number==&amp;sourceID=57","=")</f>
        <v>=</v>
      </c>
      <c r="U1774" s="4" t="str">
        <f>HYPERLINK("http://141.218.60.56/~jnz1568/getInfo.php?workbook=16_15.xlsx&amp;sheet=A0&amp;row=1774&amp;col=21&amp;number==&amp;sourceID=47","=")</f>
        <v>=</v>
      </c>
      <c r="V1774" s="4" t="str">
        <f>HYPERLINK("http://141.218.60.56/~jnz1568/getInfo.php?workbook=16_15.xlsx&amp;sheet=A0&amp;row=1774&amp;col=22&amp;number=&amp;sourceID=47","")</f>
        <v/>
      </c>
    </row>
    <row r="1775" spans="1:22">
      <c r="A1775" s="3">
        <v>16</v>
      </c>
      <c r="B1775" s="3">
        <v>15</v>
      </c>
      <c r="C1775" s="3">
        <v>67</v>
      </c>
      <c r="D1775" s="3">
        <v>39</v>
      </c>
      <c r="E1775" s="3">
        <f>((1/(INDEX(E0!J$4:J$73,C1775,1)-INDEX(E0!J$4:J$73,D1775,1))))*100000000</f>
        <v>0</v>
      </c>
      <c r="F1775" s="4" t="str">
        <f>HYPERLINK("http://141.218.60.56/~jnz1568/getInfo.php?workbook=16_15.xlsx&amp;sheet=A0&amp;row=1775&amp;col=6&amp;number=156560&amp;sourceID=54","156560")</f>
        <v>156560</v>
      </c>
      <c r="G1775" s="4" t="str">
        <f>HYPERLINK("http://141.218.60.56/~jnz1568/getInfo.php?workbook=16_15.xlsx&amp;sheet=A0&amp;row=1775&amp;col=7&amp;number=&amp;sourceID=54","")</f>
        <v/>
      </c>
      <c r="H1775" s="4" t="str">
        <f>HYPERLINK("http://141.218.60.56/~jnz1568/getInfo.php?workbook=16_15.xlsx&amp;sheet=A0&amp;row=1775&amp;col=8&amp;number=&amp;sourceID=54","")</f>
        <v/>
      </c>
      <c r="I1775" s="4" t="str">
        <f>HYPERLINK("http://141.218.60.56/~jnz1568/getInfo.php?workbook=16_15.xlsx&amp;sheet=A0&amp;row=1775&amp;col=9&amp;number=90434&amp;sourceID=54","90434")</f>
        <v>90434</v>
      </c>
      <c r="J1775" s="4" t="str">
        <f>HYPERLINK("http://141.218.60.56/~jnz1568/getInfo.php?workbook=16_15.xlsx&amp;sheet=A0&amp;row=1775&amp;col=10&amp;number=&amp;sourceID=54","")</f>
        <v/>
      </c>
      <c r="K1775" s="4" t="str">
        <f>HYPERLINK("http://141.218.60.56/~jnz1568/getInfo.php?workbook=16_15.xlsx&amp;sheet=A0&amp;row=1775&amp;col=11&amp;number=&amp;sourceID=54","")</f>
        <v/>
      </c>
      <c r="L1775" s="4" t="str">
        <f>HYPERLINK("http://141.218.60.56/~jnz1568/getInfo.php?workbook=16_15.xlsx&amp;sheet=A0&amp;row=1775&amp;col=12&amp;number=104234.273681&amp;sourceID=53","104234.273681")</f>
        <v>104234.273681</v>
      </c>
      <c r="M1775" s="4" t="str">
        <f>HYPERLINK("http://141.218.60.56/~jnz1568/getInfo.php?workbook=16_15.xlsx&amp;sheet=A0&amp;row=1775&amp;col=13&amp;number=&amp;sourceID=53","")</f>
        <v/>
      </c>
      <c r="N1775" s="4" t="str">
        <f>HYPERLINK("http://141.218.60.56/~jnz1568/getInfo.php?workbook=16_15.xlsx&amp;sheet=A0&amp;row=1775&amp;col=14&amp;number=&amp;sourceID=53","")</f>
        <v/>
      </c>
      <c r="O1775" s="4" t="str">
        <f>HYPERLINK("http://141.218.60.56/~jnz1568/getInfo.php?workbook=16_15.xlsx&amp;sheet=A0&amp;row=1775&amp;col=15&amp;number=&amp;sourceID=55","")</f>
        <v/>
      </c>
      <c r="P1775" s="4" t="str">
        <f>HYPERLINK("http://141.218.60.56/~jnz1568/getInfo.php?workbook=16_15.xlsx&amp;sheet=A0&amp;row=1775&amp;col=16&amp;number=&amp;sourceID=55","")</f>
        <v/>
      </c>
      <c r="Q1775" s="4" t="str">
        <f>HYPERLINK("http://141.218.60.56/~jnz1568/getInfo.php?workbook=16_15.xlsx&amp;sheet=A0&amp;row=1775&amp;col=17&amp;number=&amp;sourceID=56","")</f>
        <v/>
      </c>
      <c r="R1775" s="4" t="str">
        <f>HYPERLINK("http://141.218.60.56/~jnz1568/getInfo.php?workbook=16_15.xlsx&amp;sheet=A0&amp;row=1775&amp;col=18&amp;number=&amp;sourceID=56","")</f>
        <v/>
      </c>
      <c r="S1775" s="4" t="str">
        <f>HYPERLINK("http://141.218.60.56/~jnz1568/getInfo.php?workbook=16_15.xlsx&amp;sheet=A0&amp;row=1775&amp;col=19&amp;number=&amp;sourceID=57","")</f>
        <v/>
      </c>
      <c r="T1775" s="4" t="str">
        <f>HYPERLINK("http://141.218.60.56/~jnz1568/getInfo.php?workbook=16_15.xlsx&amp;sheet=A0&amp;row=1775&amp;col=20&amp;number==&amp;sourceID=57","=")</f>
        <v>=</v>
      </c>
      <c r="U1775" s="4" t="str">
        <f>HYPERLINK("http://141.218.60.56/~jnz1568/getInfo.php?workbook=16_15.xlsx&amp;sheet=A0&amp;row=1775&amp;col=21&amp;number==&amp;sourceID=47","=")</f>
        <v>=</v>
      </c>
      <c r="V1775" s="4" t="str">
        <f>HYPERLINK("http://141.218.60.56/~jnz1568/getInfo.php?workbook=16_15.xlsx&amp;sheet=A0&amp;row=1775&amp;col=22&amp;number=&amp;sourceID=47","")</f>
        <v/>
      </c>
    </row>
    <row r="1776" spans="1:22">
      <c r="A1776" s="3">
        <v>16</v>
      </c>
      <c r="B1776" s="3">
        <v>15</v>
      </c>
      <c r="C1776" s="3">
        <v>67</v>
      </c>
      <c r="D1776" s="3">
        <v>40</v>
      </c>
      <c r="E1776" s="3">
        <f>((1/(INDEX(E0!J$4:J$73,C1776,1)-INDEX(E0!J$4:J$73,D1776,1))))*100000000</f>
        <v>0</v>
      </c>
      <c r="F1776" s="4" t="str">
        <f>HYPERLINK("http://141.218.60.56/~jnz1568/getInfo.php?workbook=16_15.xlsx&amp;sheet=A0&amp;row=1776&amp;col=6&amp;number=50616&amp;sourceID=54","50616")</f>
        <v>50616</v>
      </c>
      <c r="G1776" s="4" t="str">
        <f>HYPERLINK("http://141.218.60.56/~jnz1568/getInfo.php?workbook=16_15.xlsx&amp;sheet=A0&amp;row=1776&amp;col=7&amp;number=&amp;sourceID=54","")</f>
        <v/>
      </c>
      <c r="H1776" s="4" t="str">
        <f>HYPERLINK("http://141.218.60.56/~jnz1568/getInfo.php?workbook=16_15.xlsx&amp;sheet=A0&amp;row=1776&amp;col=8&amp;number=&amp;sourceID=54","")</f>
        <v/>
      </c>
      <c r="I1776" s="4" t="str">
        <f>HYPERLINK("http://141.218.60.56/~jnz1568/getInfo.php?workbook=16_15.xlsx&amp;sheet=A0&amp;row=1776&amp;col=9&amp;number=33481&amp;sourceID=54","33481")</f>
        <v>33481</v>
      </c>
      <c r="J1776" s="4" t="str">
        <f>HYPERLINK("http://141.218.60.56/~jnz1568/getInfo.php?workbook=16_15.xlsx&amp;sheet=A0&amp;row=1776&amp;col=10&amp;number=&amp;sourceID=54","")</f>
        <v/>
      </c>
      <c r="K1776" s="4" t="str">
        <f>HYPERLINK("http://141.218.60.56/~jnz1568/getInfo.php?workbook=16_15.xlsx&amp;sheet=A0&amp;row=1776&amp;col=11&amp;number=&amp;sourceID=54","")</f>
        <v/>
      </c>
      <c r="L1776" s="4" t="str">
        <f>HYPERLINK("http://141.218.60.56/~jnz1568/getInfo.php?workbook=16_15.xlsx&amp;sheet=A0&amp;row=1776&amp;col=12&amp;number=52562.1969788&amp;sourceID=53","52562.1969788")</f>
        <v>52562.1969788</v>
      </c>
      <c r="M1776" s="4" t="str">
        <f>HYPERLINK("http://141.218.60.56/~jnz1568/getInfo.php?workbook=16_15.xlsx&amp;sheet=A0&amp;row=1776&amp;col=13&amp;number=&amp;sourceID=53","")</f>
        <v/>
      </c>
      <c r="N1776" s="4" t="str">
        <f>HYPERLINK("http://141.218.60.56/~jnz1568/getInfo.php?workbook=16_15.xlsx&amp;sheet=A0&amp;row=1776&amp;col=14&amp;number=&amp;sourceID=53","")</f>
        <v/>
      </c>
      <c r="O1776" s="4" t="str">
        <f>HYPERLINK("http://141.218.60.56/~jnz1568/getInfo.php?workbook=16_15.xlsx&amp;sheet=A0&amp;row=1776&amp;col=15&amp;number=&amp;sourceID=55","")</f>
        <v/>
      </c>
      <c r="P1776" s="4" t="str">
        <f>HYPERLINK("http://141.218.60.56/~jnz1568/getInfo.php?workbook=16_15.xlsx&amp;sheet=A0&amp;row=1776&amp;col=16&amp;number=&amp;sourceID=55","")</f>
        <v/>
      </c>
      <c r="Q1776" s="4" t="str">
        <f>HYPERLINK("http://141.218.60.56/~jnz1568/getInfo.php?workbook=16_15.xlsx&amp;sheet=A0&amp;row=1776&amp;col=17&amp;number=&amp;sourceID=56","")</f>
        <v/>
      </c>
      <c r="R1776" s="4" t="str">
        <f>HYPERLINK("http://141.218.60.56/~jnz1568/getInfo.php?workbook=16_15.xlsx&amp;sheet=A0&amp;row=1776&amp;col=18&amp;number=&amp;sourceID=56","")</f>
        <v/>
      </c>
      <c r="S1776" s="4" t="str">
        <f>HYPERLINK("http://141.218.60.56/~jnz1568/getInfo.php?workbook=16_15.xlsx&amp;sheet=A0&amp;row=1776&amp;col=19&amp;number=&amp;sourceID=57","")</f>
        <v/>
      </c>
      <c r="T1776" s="4" t="str">
        <f>HYPERLINK("http://141.218.60.56/~jnz1568/getInfo.php?workbook=16_15.xlsx&amp;sheet=A0&amp;row=1776&amp;col=20&amp;number==&amp;sourceID=57","=")</f>
        <v>=</v>
      </c>
      <c r="U1776" s="4" t="str">
        <f>HYPERLINK("http://141.218.60.56/~jnz1568/getInfo.php?workbook=16_15.xlsx&amp;sheet=A0&amp;row=1776&amp;col=21&amp;number==&amp;sourceID=47","=")</f>
        <v>=</v>
      </c>
      <c r="V1776" s="4" t="str">
        <f>HYPERLINK("http://141.218.60.56/~jnz1568/getInfo.php?workbook=16_15.xlsx&amp;sheet=A0&amp;row=1776&amp;col=22&amp;number=&amp;sourceID=47","")</f>
        <v/>
      </c>
    </row>
    <row r="1777" spans="1:22">
      <c r="A1777" s="3">
        <v>16</v>
      </c>
      <c r="B1777" s="3">
        <v>15</v>
      </c>
      <c r="C1777" s="3">
        <v>67</v>
      </c>
      <c r="D1777" s="3">
        <v>41</v>
      </c>
      <c r="E1777" s="3">
        <f>((1/(INDEX(E0!J$4:J$73,C1777,1)-INDEX(E0!J$4:J$73,D1777,1))))*100000000</f>
        <v>0</v>
      </c>
      <c r="F1777" s="4" t="str">
        <f>HYPERLINK("http://141.218.60.56/~jnz1568/getInfo.php?workbook=16_15.xlsx&amp;sheet=A0&amp;row=1777&amp;col=6&amp;number=&amp;sourceID=54","")</f>
        <v/>
      </c>
      <c r="G1777" s="4" t="str">
        <f>HYPERLINK("http://141.218.60.56/~jnz1568/getInfo.php?workbook=16_15.xlsx&amp;sheet=A0&amp;row=1777&amp;col=7&amp;number=0.00051568&amp;sourceID=54","0.00051568")</f>
        <v>0.00051568</v>
      </c>
      <c r="H1777" s="4" t="str">
        <f>HYPERLINK("http://141.218.60.56/~jnz1568/getInfo.php?workbook=16_15.xlsx&amp;sheet=A0&amp;row=1777&amp;col=8&amp;number=0.010938&amp;sourceID=54","0.010938")</f>
        <v>0.010938</v>
      </c>
      <c r="I1777" s="4" t="str">
        <f>HYPERLINK("http://141.218.60.56/~jnz1568/getInfo.php?workbook=16_15.xlsx&amp;sheet=A0&amp;row=1777&amp;col=9&amp;number=&amp;sourceID=54","")</f>
        <v/>
      </c>
      <c r="J1777" s="4" t="str">
        <f>HYPERLINK("http://141.218.60.56/~jnz1568/getInfo.php?workbook=16_15.xlsx&amp;sheet=A0&amp;row=1777&amp;col=10&amp;number=2.2039e-05&amp;sourceID=54","2.2039e-05")</f>
        <v>2.2039e-05</v>
      </c>
      <c r="K1777" s="4" t="str">
        <f>HYPERLINK("http://141.218.60.56/~jnz1568/getInfo.php?workbook=16_15.xlsx&amp;sheet=A0&amp;row=1777&amp;col=11&amp;number=0.0082851&amp;sourceID=54","0.0082851")</f>
        <v>0.0082851</v>
      </c>
      <c r="L1777" s="4" t="str">
        <f>HYPERLINK("http://141.218.60.56/~jnz1568/getInfo.php?workbook=16_15.xlsx&amp;sheet=A0&amp;row=1777&amp;col=12&amp;number=&amp;sourceID=53","")</f>
        <v/>
      </c>
      <c r="M1777" s="4" t="str">
        <f>HYPERLINK("http://141.218.60.56/~jnz1568/getInfo.php?workbook=16_15.xlsx&amp;sheet=A0&amp;row=1777&amp;col=13&amp;number=&amp;sourceID=53","")</f>
        <v/>
      </c>
      <c r="N1777" s="4" t="str">
        <f>HYPERLINK("http://141.218.60.56/~jnz1568/getInfo.php?workbook=16_15.xlsx&amp;sheet=A0&amp;row=1777&amp;col=14&amp;number=&amp;sourceID=53","")</f>
        <v/>
      </c>
      <c r="O1777" s="4" t="str">
        <f>HYPERLINK("http://141.218.60.56/~jnz1568/getInfo.php?workbook=16_15.xlsx&amp;sheet=A0&amp;row=1777&amp;col=15&amp;number=&amp;sourceID=55","")</f>
        <v/>
      </c>
      <c r="P1777" s="4" t="str">
        <f>HYPERLINK("http://141.218.60.56/~jnz1568/getInfo.php?workbook=16_15.xlsx&amp;sheet=A0&amp;row=1777&amp;col=16&amp;number=&amp;sourceID=55","")</f>
        <v/>
      </c>
      <c r="Q1777" s="4" t="str">
        <f>HYPERLINK("http://141.218.60.56/~jnz1568/getInfo.php?workbook=16_15.xlsx&amp;sheet=A0&amp;row=1777&amp;col=17&amp;number=&amp;sourceID=56","")</f>
        <v/>
      </c>
      <c r="R1777" s="4" t="str">
        <f>HYPERLINK("http://141.218.60.56/~jnz1568/getInfo.php?workbook=16_15.xlsx&amp;sheet=A0&amp;row=1777&amp;col=18&amp;number=&amp;sourceID=56","")</f>
        <v/>
      </c>
      <c r="S1777" s="4" t="str">
        <f>HYPERLINK("http://141.218.60.56/~jnz1568/getInfo.php?workbook=16_15.xlsx&amp;sheet=A0&amp;row=1777&amp;col=19&amp;number=&amp;sourceID=57","")</f>
        <v/>
      </c>
      <c r="T1777" s="4" t="str">
        <f>HYPERLINK("http://141.218.60.56/~jnz1568/getInfo.php?workbook=16_15.xlsx&amp;sheet=A0&amp;row=1777&amp;col=20&amp;number==&amp;sourceID=57","=")</f>
        <v>=</v>
      </c>
      <c r="U1777" s="4" t="str">
        <f>HYPERLINK("http://141.218.60.56/~jnz1568/getInfo.php?workbook=16_15.xlsx&amp;sheet=A0&amp;row=1777&amp;col=21&amp;number==&amp;sourceID=47","=")</f>
        <v>=</v>
      </c>
      <c r="V1777" s="4" t="str">
        <f>HYPERLINK("http://141.218.60.56/~jnz1568/getInfo.php?workbook=16_15.xlsx&amp;sheet=A0&amp;row=1777&amp;col=22&amp;number=&amp;sourceID=47","")</f>
        <v/>
      </c>
    </row>
    <row r="1778" spans="1:22">
      <c r="A1778" s="3">
        <v>16</v>
      </c>
      <c r="B1778" s="3">
        <v>15</v>
      </c>
      <c r="C1778" s="3">
        <v>67</v>
      </c>
      <c r="D1778" s="3">
        <v>42</v>
      </c>
      <c r="E1778" s="3">
        <f>((1/(INDEX(E0!J$4:J$73,C1778,1)-INDEX(E0!J$4:J$73,D1778,1))))*100000000</f>
        <v>0</v>
      </c>
      <c r="F1778" s="4" t="str">
        <f>HYPERLINK("http://141.218.60.56/~jnz1568/getInfo.php?workbook=16_15.xlsx&amp;sheet=A0&amp;row=1778&amp;col=6&amp;number=9342800&amp;sourceID=54","9342800")</f>
        <v>9342800</v>
      </c>
      <c r="G1778" s="4" t="str">
        <f>HYPERLINK("http://141.218.60.56/~jnz1568/getInfo.php?workbook=16_15.xlsx&amp;sheet=A0&amp;row=1778&amp;col=7&amp;number=&amp;sourceID=54","")</f>
        <v/>
      </c>
      <c r="H1778" s="4" t="str">
        <f>HYPERLINK("http://141.218.60.56/~jnz1568/getInfo.php?workbook=16_15.xlsx&amp;sheet=A0&amp;row=1778&amp;col=8&amp;number=&amp;sourceID=54","")</f>
        <v/>
      </c>
      <c r="I1778" s="4" t="str">
        <f>HYPERLINK("http://141.218.60.56/~jnz1568/getInfo.php?workbook=16_15.xlsx&amp;sheet=A0&amp;row=1778&amp;col=9&amp;number=7340000&amp;sourceID=54","7340000")</f>
        <v>7340000</v>
      </c>
      <c r="J1778" s="4" t="str">
        <f>HYPERLINK("http://141.218.60.56/~jnz1568/getInfo.php?workbook=16_15.xlsx&amp;sheet=A0&amp;row=1778&amp;col=10&amp;number=&amp;sourceID=54","")</f>
        <v/>
      </c>
      <c r="K1778" s="4" t="str">
        <f>HYPERLINK("http://141.218.60.56/~jnz1568/getInfo.php?workbook=16_15.xlsx&amp;sheet=A0&amp;row=1778&amp;col=11&amp;number=&amp;sourceID=54","")</f>
        <v/>
      </c>
      <c r="L1778" s="4" t="str">
        <f>HYPERLINK("http://141.218.60.56/~jnz1568/getInfo.php?workbook=16_15.xlsx&amp;sheet=A0&amp;row=1778&amp;col=12&amp;number=11163574.3948&amp;sourceID=53","11163574.3948")</f>
        <v>11163574.3948</v>
      </c>
      <c r="M1778" s="4" t="str">
        <f>HYPERLINK("http://141.218.60.56/~jnz1568/getInfo.php?workbook=16_15.xlsx&amp;sheet=A0&amp;row=1778&amp;col=13&amp;number=&amp;sourceID=53","")</f>
        <v/>
      </c>
      <c r="N1778" s="4" t="str">
        <f>HYPERLINK("http://141.218.60.56/~jnz1568/getInfo.php?workbook=16_15.xlsx&amp;sheet=A0&amp;row=1778&amp;col=14&amp;number=&amp;sourceID=53","")</f>
        <v/>
      </c>
      <c r="O1778" s="4" t="str">
        <f>HYPERLINK("http://141.218.60.56/~jnz1568/getInfo.php?workbook=16_15.xlsx&amp;sheet=A0&amp;row=1778&amp;col=15&amp;number=&amp;sourceID=55","")</f>
        <v/>
      </c>
      <c r="P1778" s="4" t="str">
        <f>HYPERLINK("http://141.218.60.56/~jnz1568/getInfo.php?workbook=16_15.xlsx&amp;sheet=A0&amp;row=1778&amp;col=16&amp;number=&amp;sourceID=55","")</f>
        <v/>
      </c>
      <c r="Q1778" s="4" t="str">
        <f>HYPERLINK("http://141.218.60.56/~jnz1568/getInfo.php?workbook=16_15.xlsx&amp;sheet=A0&amp;row=1778&amp;col=17&amp;number=&amp;sourceID=56","")</f>
        <v/>
      </c>
      <c r="R1778" s="4" t="str">
        <f>HYPERLINK("http://141.218.60.56/~jnz1568/getInfo.php?workbook=16_15.xlsx&amp;sheet=A0&amp;row=1778&amp;col=18&amp;number=&amp;sourceID=56","")</f>
        <v/>
      </c>
      <c r="S1778" s="4" t="str">
        <f>HYPERLINK("http://141.218.60.56/~jnz1568/getInfo.php?workbook=16_15.xlsx&amp;sheet=A0&amp;row=1778&amp;col=19&amp;number=&amp;sourceID=57","")</f>
        <v/>
      </c>
      <c r="T1778" s="4" t="str">
        <f>HYPERLINK("http://141.218.60.56/~jnz1568/getInfo.php?workbook=16_15.xlsx&amp;sheet=A0&amp;row=1778&amp;col=20&amp;number==N1778-C1772&amp;sourceID=57","=N1778-C1772")</f>
        <v>=N1778-C1772</v>
      </c>
      <c r="U1778" s="4" t="str">
        <f>HYPERLINK("http://141.218.60.56/~jnz1568/getInfo.php?workbook=16_15.xlsx&amp;sheet=A0&amp;row=1778&amp;col=21&amp;number==O1778-D1772&amp;sourceID=47","=O1778-D1772")</f>
        <v>=O1778-D1772</v>
      </c>
      <c r="V1778" s="4" t="str">
        <f>HYPERLINK("http://141.218.60.56/~jnz1568/getInfo.php?workbook=16_15.xlsx&amp;sheet=A0&amp;row=1778&amp;col=22&amp;number=&amp;sourceID=47","")</f>
        <v/>
      </c>
    </row>
    <row r="1779" spans="1:22">
      <c r="A1779" s="3">
        <v>16</v>
      </c>
      <c r="B1779" s="3">
        <v>15</v>
      </c>
      <c r="C1779" s="3">
        <v>67</v>
      </c>
      <c r="D1779" s="3">
        <v>43</v>
      </c>
      <c r="E1779" s="3">
        <f>((1/(INDEX(E0!J$4:J$73,C1779,1)-INDEX(E0!J$4:J$73,D1779,1))))*100000000</f>
        <v>0</v>
      </c>
      <c r="F1779" s="4" t="str">
        <f>HYPERLINK("http://141.218.60.56/~jnz1568/getInfo.php?workbook=16_15.xlsx&amp;sheet=A0&amp;row=1779&amp;col=6&amp;number=&amp;sourceID=54","")</f>
        <v/>
      </c>
      <c r="G1779" s="4" t="str">
        <f>HYPERLINK("http://141.218.60.56/~jnz1568/getInfo.php?workbook=16_15.xlsx&amp;sheet=A0&amp;row=1779&amp;col=7&amp;number=0.001894&amp;sourceID=54","0.001894")</f>
        <v>0.001894</v>
      </c>
      <c r="H1779" s="4" t="str">
        <f>HYPERLINK("http://141.218.60.56/~jnz1568/getInfo.php?workbook=16_15.xlsx&amp;sheet=A0&amp;row=1779&amp;col=8&amp;number=0.033915&amp;sourceID=54","0.033915")</f>
        <v>0.033915</v>
      </c>
      <c r="I1779" s="4" t="str">
        <f>HYPERLINK("http://141.218.60.56/~jnz1568/getInfo.php?workbook=16_15.xlsx&amp;sheet=A0&amp;row=1779&amp;col=9&amp;number=&amp;sourceID=54","")</f>
        <v/>
      </c>
      <c r="J1779" s="4" t="str">
        <f>HYPERLINK("http://141.218.60.56/~jnz1568/getInfo.php?workbook=16_15.xlsx&amp;sheet=A0&amp;row=1779&amp;col=10&amp;number=0.0001498&amp;sourceID=54","0.0001498")</f>
        <v>0.0001498</v>
      </c>
      <c r="K1779" s="4" t="str">
        <f>HYPERLINK("http://141.218.60.56/~jnz1568/getInfo.php?workbook=16_15.xlsx&amp;sheet=A0&amp;row=1779&amp;col=11&amp;number=0.033943&amp;sourceID=54","0.033943")</f>
        <v>0.033943</v>
      </c>
      <c r="L1779" s="4" t="str">
        <f>HYPERLINK("http://141.218.60.56/~jnz1568/getInfo.php?workbook=16_15.xlsx&amp;sheet=A0&amp;row=1779&amp;col=12&amp;number=&amp;sourceID=53","")</f>
        <v/>
      </c>
      <c r="M1779" s="4" t="str">
        <f>HYPERLINK("http://141.218.60.56/~jnz1568/getInfo.php?workbook=16_15.xlsx&amp;sheet=A0&amp;row=1779&amp;col=13&amp;number=&amp;sourceID=53","")</f>
        <v/>
      </c>
      <c r="N1779" s="4" t="str">
        <f>HYPERLINK("http://141.218.60.56/~jnz1568/getInfo.php?workbook=16_15.xlsx&amp;sheet=A0&amp;row=1779&amp;col=14&amp;number=&amp;sourceID=53","")</f>
        <v/>
      </c>
      <c r="O1779" s="4" t="str">
        <f>HYPERLINK("http://141.218.60.56/~jnz1568/getInfo.php?workbook=16_15.xlsx&amp;sheet=A0&amp;row=1779&amp;col=15&amp;number=&amp;sourceID=55","")</f>
        <v/>
      </c>
      <c r="P1779" s="4" t="str">
        <f>HYPERLINK("http://141.218.60.56/~jnz1568/getInfo.php?workbook=16_15.xlsx&amp;sheet=A0&amp;row=1779&amp;col=16&amp;number=&amp;sourceID=55","")</f>
        <v/>
      </c>
      <c r="Q1779" s="4" t="str">
        <f>HYPERLINK("http://141.218.60.56/~jnz1568/getInfo.php?workbook=16_15.xlsx&amp;sheet=A0&amp;row=1779&amp;col=17&amp;number=&amp;sourceID=56","")</f>
        <v/>
      </c>
      <c r="R1779" s="4" t="str">
        <f>HYPERLINK("http://141.218.60.56/~jnz1568/getInfo.php?workbook=16_15.xlsx&amp;sheet=A0&amp;row=1779&amp;col=18&amp;number=&amp;sourceID=56","")</f>
        <v/>
      </c>
      <c r="S1779" s="4" t="str">
        <f>HYPERLINK("http://141.218.60.56/~jnz1568/getInfo.php?workbook=16_15.xlsx&amp;sheet=A0&amp;row=1779&amp;col=19&amp;number=&amp;sourceID=57","")</f>
        <v/>
      </c>
      <c r="T1779" s="4" t="str">
        <f>HYPERLINK("http://141.218.60.56/~jnz1568/getInfo.php?workbook=16_15.xlsx&amp;sheet=A0&amp;row=1779&amp;col=20&amp;number==&amp;sourceID=57","=")</f>
        <v>=</v>
      </c>
      <c r="U1779" s="4" t="str">
        <f>HYPERLINK("http://141.218.60.56/~jnz1568/getInfo.php?workbook=16_15.xlsx&amp;sheet=A0&amp;row=1779&amp;col=21&amp;number==&amp;sourceID=47","=")</f>
        <v>=</v>
      </c>
      <c r="V1779" s="4" t="str">
        <f>HYPERLINK("http://141.218.60.56/~jnz1568/getInfo.php?workbook=16_15.xlsx&amp;sheet=A0&amp;row=1779&amp;col=22&amp;number=&amp;sourceID=47","")</f>
        <v/>
      </c>
    </row>
    <row r="1780" spans="1:22">
      <c r="A1780" s="3">
        <v>16</v>
      </c>
      <c r="B1780" s="3">
        <v>15</v>
      </c>
      <c r="C1780" s="3">
        <v>67</v>
      </c>
      <c r="D1780" s="3">
        <v>44</v>
      </c>
      <c r="E1780" s="3">
        <f>((1/(INDEX(E0!J$4:J$73,C1780,1)-INDEX(E0!J$4:J$73,D1780,1))))*100000000</f>
        <v>0</v>
      </c>
      <c r="F1780" s="4" t="str">
        <f>HYPERLINK("http://141.218.60.56/~jnz1568/getInfo.php?workbook=16_15.xlsx&amp;sheet=A0&amp;row=1780&amp;col=6&amp;number=&amp;sourceID=54","")</f>
        <v/>
      </c>
      <c r="G1780" s="4" t="str">
        <f>HYPERLINK("http://141.218.60.56/~jnz1568/getInfo.php?workbook=16_15.xlsx&amp;sheet=A0&amp;row=1780&amp;col=7&amp;number=0.0010263&amp;sourceID=54","0.0010263")</f>
        <v>0.0010263</v>
      </c>
      <c r="H1780" s="4" t="str">
        <f>HYPERLINK("http://141.218.60.56/~jnz1568/getInfo.php?workbook=16_15.xlsx&amp;sheet=A0&amp;row=1780&amp;col=8&amp;number=0.0083237&amp;sourceID=54","0.0083237")</f>
        <v>0.0083237</v>
      </c>
      <c r="I1780" s="4" t="str">
        <f>HYPERLINK("http://141.218.60.56/~jnz1568/getInfo.php?workbook=16_15.xlsx&amp;sheet=A0&amp;row=1780&amp;col=9&amp;number=&amp;sourceID=54","")</f>
        <v/>
      </c>
      <c r="J1780" s="4" t="str">
        <f>HYPERLINK("http://141.218.60.56/~jnz1568/getInfo.php?workbook=16_15.xlsx&amp;sheet=A0&amp;row=1780&amp;col=10&amp;number=0.00010026&amp;sourceID=54","0.00010026")</f>
        <v>0.00010026</v>
      </c>
      <c r="K1780" s="4" t="str">
        <f>HYPERLINK("http://141.218.60.56/~jnz1568/getInfo.php?workbook=16_15.xlsx&amp;sheet=A0&amp;row=1780&amp;col=11&amp;number=0.0076108&amp;sourceID=54","0.0076108")</f>
        <v>0.0076108</v>
      </c>
      <c r="L1780" s="4" t="str">
        <f>HYPERLINK("http://141.218.60.56/~jnz1568/getInfo.php?workbook=16_15.xlsx&amp;sheet=A0&amp;row=1780&amp;col=12&amp;number=&amp;sourceID=53","")</f>
        <v/>
      </c>
      <c r="M1780" s="4" t="str">
        <f>HYPERLINK("http://141.218.60.56/~jnz1568/getInfo.php?workbook=16_15.xlsx&amp;sheet=A0&amp;row=1780&amp;col=13&amp;number=&amp;sourceID=53","")</f>
        <v/>
      </c>
      <c r="N1780" s="4" t="str">
        <f>HYPERLINK("http://141.218.60.56/~jnz1568/getInfo.php?workbook=16_15.xlsx&amp;sheet=A0&amp;row=1780&amp;col=14&amp;number=&amp;sourceID=53","")</f>
        <v/>
      </c>
      <c r="O1780" s="4" t="str">
        <f>HYPERLINK("http://141.218.60.56/~jnz1568/getInfo.php?workbook=16_15.xlsx&amp;sheet=A0&amp;row=1780&amp;col=15&amp;number=&amp;sourceID=55","")</f>
        <v/>
      </c>
      <c r="P1780" s="4" t="str">
        <f>HYPERLINK("http://141.218.60.56/~jnz1568/getInfo.php?workbook=16_15.xlsx&amp;sheet=A0&amp;row=1780&amp;col=16&amp;number=&amp;sourceID=55","")</f>
        <v/>
      </c>
      <c r="Q1780" s="4" t="str">
        <f>HYPERLINK("http://141.218.60.56/~jnz1568/getInfo.php?workbook=16_15.xlsx&amp;sheet=A0&amp;row=1780&amp;col=17&amp;number=&amp;sourceID=56","")</f>
        <v/>
      </c>
      <c r="R1780" s="4" t="str">
        <f>HYPERLINK("http://141.218.60.56/~jnz1568/getInfo.php?workbook=16_15.xlsx&amp;sheet=A0&amp;row=1780&amp;col=18&amp;number=&amp;sourceID=56","")</f>
        <v/>
      </c>
      <c r="S1780" s="4" t="str">
        <f>HYPERLINK("http://141.218.60.56/~jnz1568/getInfo.php?workbook=16_15.xlsx&amp;sheet=A0&amp;row=1780&amp;col=19&amp;number=&amp;sourceID=57","")</f>
        <v/>
      </c>
      <c r="T1780" s="4" t="str">
        <f>HYPERLINK("http://141.218.60.56/~jnz1568/getInfo.php?workbook=16_15.xlsx&amp;sheet=A0&amp;row=1780&amp;col=20&amp;number==&amp;sourceID=57","=")</f>
        <v>=</v>
      </c>
      <c r="U1780" s="4" t="str">
        <f>HYPERLINK("http://141.218.60.56/~jnz1568/getInfo.php?workbook=16_15.xlsx&amp;sheet=A0&amp;row=1780&amp;col=21&amp;number==&amp;sourceID=47","=")</f>
        <v>=</v>
      </c>
      <c r="V1780" s="4" t="str">
        <f>HYPERLINK("http://141.218.60.56/~jnz1568/getInfo.php?workbook=16_15.xlsx&amp;sheet=A0&amp;row=1780&amp;col=22&amp;number=&amp;sourceID=47","")</f>
        <v/>
      </c>
    </row>
    <row r="1781" spans="1:22">
      <c r="A1781" s="3">
        <v>16</v>
      </c>
      <c r="B1781" s="3">
        <v>15</v>
      </c>
      <c r="C1781" s="3">
        <v>67</v>
      </c>
      <c r="D1781" s="3">
        <v>45</v>
      </c>
      <c r="E1781" s="3">
        <f>((1/(INDEX(E0!J$4:J$73,C1781,1)-INDEX(E0!J$4:J$73,D1781,1))))*100000000</f>
        <v>0</v>
      </c>
      <c r="F1781" s="4" t="str">
        <f>HYPERLINK("http://141.218.60.56/~jnz1568/getInfo.php?workbook=16_15.xlsx&amp;sheet=A0&amp;row=1781&amp;col=6&amp;number=39267&amp;sourceID=54","39267")</f>
        <v>39267</v>
      </c>
      <c r="G1781" s="4" t="str">
        <f>HYPERLINK("http://141.218.60.56/~jnz1568/getInfo.php?workbook=16_15.xlsx&amp;sheet=A0&amp;row=1781&amp;col=7&amp;number=&amp;sourceID=54","")</f>
        <v/>
      </c>
      <c r="H1781" s="4" t="str">
        <f>HYPERLINK("http://141.218.60.56/~jnz1568/getInfo.php?workbook=16_15.xlsx&amp;sheet=A0&amp;row=1781&amp;col=8&amp;number=&amp;sourceID=54","")</f>
        <v/>
      </c>
      <c r="I1781" s="4" t="str">
        <f>HYPERLINK("http://141.218.60.56/~jnz1568/getInfo.php?workbook=16_15.xlsx&amp;sheet=A0&amp;row=1781&amp;col=9&amp;number=6399&amp;sourceID=54","6399")</f>
        <v>6399</v>
      </c>
      <c r="J1781" s="4" t="str">
        <f>HYPERLINK("http://141.218.60.56/~jnz1568/getInfo.php?workbook=16_15.xlsx&amp;sheet=A0&amp;row=1781&amp;col=10&amp;number=&amp;sourceID=54","")</f>
        <v/>
      </c>
      <c r="K1781" s="4" t="str">
        <f>HYPERLINK("http://141.218.60.56/~jnz1568/getInfo.php?workbook=16_15.xlsx&amp;sheet=A0&amp;row=1781&amp;col=11&amp;number=&amp;sourceID=54","")</f>
        <v/>
      </c>
      <c r="L1781" s="4" t="str">
        <f>HYPERLINK("http://141.218.60.56/~jnz1568/getInfo.php?workbook=16_15.xlsx&amp;sheet=A0&amp;row=1781&amp;col=12&amp;number=3932.50606345&amp;sourceID=53","3932.50606345")</f>
        <v>3932.50606345</v>
      </c>
      <c r="M1781" s="4" t="str">
        <f>HYPERLINK("http://141.218.60.56/~jnz1568/getInfo.php?workbook=16_15.xlsx&amp;sheet=A0&amp;row=1781&amp;col=13&amp;number=&amp;sourceID=53","")</f>
        <v/>
      </c>
      <c r="N1781" s="4" t="str">
        <f>HYPERLINK("http://141.218.60.56/~jnz1568/getInfo.php?workbook=16_15.xlsx&amp;sheet=A0&amp;row=1781&amp;col=14&amp;number=&amp;sourceID=53","")</f>
        <v/>
      </c>
      <c r="O1781" s="4" t="str">
        <f>HYPERLINK("http://141.218.60.56/~jnz1568/getInfo.php?workbook=16_15.xlsx&amp;sheet=A0&amp;row=1781&amp;col=15&amp;number=&amp;sourceID=55","")</f>
        <v/>
      </c>
      <c r="P1781" s="4" t="str">
        <f>HYPERLINK("http://141.218.60.56/~jnz1568/getInfo.php?workbook=16_15.xlsx&amp;sheet=A0&amp;row=1781&amp;col=16&amp;number=&amp;sourceID=55","")</f>
        <v/>
      </c>
      <c r="Q1781" s="4" t="str">
        <f>HYPERLINK("http://141.218.60.56/~jnz1568/getInfo.php?workbook=16_15.xlsx&amp;sheet=A0&amp;row=1781&amp;col=17&amp;number=&amp;sourceID=56","")</f>
        <v/>
      </c>
      <c r="R1781" s="4" t="str">
        <f>HYPERLINK("http://141.218.60.56/~jnz1568/getInfo.php?workbook=16_15.xlsx&amp;sheet=A0&amp;row=1781&amp;col=18&amp;number=&amp;sourceID=56","")</f>
        <v/>
      </c>
      <c r="S1781" s="4" t="str">
        <f>HYPERLINK("http://141.218.60.56/~jnz1568/getInfo.php?workbook=16_15.xlsx&amp;sheet=A0&amp;row=1781&amp;col=19&amp;number=&amp;sourceID=57","")</f>
        <v/>
      </c>
      <c r="T1781" s="4" t="str">
        <f>HYPERLINK("http://141.218.60.56/~jnz1568/getInfo.php?workbook=16_15.xlsx&amp;sheet=A0&amp;row=1781&amp;col=20&amp;number==&amp;sourceID=57","=")</f>
        <v>=</v>
      </c>
      <c r="U1781" s="4" t="str">
        <f>HYPERLINK("http://141.218.60.56/~jnz1568/getInfo.php?workbook=16_15.xlsx&amp;sheet=A0&amp;row=1781&amp;col=21&amp;number==&amp;sourceID=47","=")</f>
        <v>=</v>
      </c>
      <c r="V1781" s="4" t="str">
        <f>HYPERLINK("http://141.218.60.56/~jnz1568/getInfo.php?workbook=16_15.xlsx&amp;sheet=A0&amp;row=1781&amp;col=22&amp;number=&amp;sourceID=47","")</f>
        <v/>
      </c>
    </row>
    <row r="1782" spans="1:22">
      <c r="A1782" s="3">
        <v>16</v>
      </c>
      <c r="B1782" s="3">
        <v>15</v>
      </c>
      <c r="C1782" s="3">
        <v>67</v>
      </c>
      <c r="D1782" s="3">
        <v>46</v>
      </c>
      <c r="E1782" s="3">
        <f>((1/(INDEX(E0!J$4:J$73,C1782,1)-INDEX(E0!J$4:J$73,D1782,1))))*100000000</f>
        <v>0</v>
      </c>
      <c r="F1782" s="4" t="str">
        <f>HYPERLINK("http://141.218.60.56/~jnz1568/getInfo.php?workbook=16_15.xlsx&amp;sheet=A0&amp;row=1782&amp;col=6&amp;number=1006600&amp;sourceID=54","1006600")</f>
        <v>1006600</v>
      </c>
      <c r="G1782" s="4" t="str">
        <f>HYPERLINK("http://141.218.60.56/~jnz1568/getInfo.php?workbook=16_15.xlsx&amp;sheet=A0&amp;row=1782&amp;col=7&amp;number=&amp;sourceID=54","")</f>
        <v/>
      </c>
      <c r="H1782" s="4" t="str">
        <f>HYPERLINK("http://141.218.60.56/~jnz1568/getInfo.php?workbook=16_15.xlsx&amp;sheet=A0&amp;row=1782&amp;col=8&amp;number=&amp;sourceID=54","")</f>
        <v/>
      </c>
      <c r="I1782" s="4" t="str">
        <f>HYPERLINK("http://141.218.60.56/~jnz1568/getInfo.php?workbook=16_15.xlsx&amp;sheet=A0&amp;row=1782&amp;col=9&amp;number=739570&amp;sourceID=54","739570")</f>
        <v>739570</v>
      </c>
      <c r="J1782" s="4" t="str">
        <f>HYPERLINK("http://141.218.60.56/~jnz1568/getInfo.php?workbook=16_15.xlsx&amp;sheet=A0&amp;row=1782&amp;col=10&amp;number=&amp;sourceID=54","")</f>
        <v/>
      </c>
      <c r="K1782" s="4" t="str">
        <f>HYPERLINK("http://141.218.60.56/~jnz1568/getInfo.php?workbook=16_15.xlsx&amp;sheet=A0&amp;row=1782&amp;col=11&amp;number=&amp;sourceID=54","")</f>
        <v/>
      </c>
      <c r="L1782" s="4" t="str">
        <f>HYPERLINK("http://141.218.60.56/~jnz1568/getInfo.php?workbook=16_15.xlsx&amp;sheet=A0&amp;row=1782&amp;col=12&amp;number=1337302.28722&amp;sourceID=53","1337302.28722")</f>
        <v>1337302.28722</v>
      </c>
      <c r="M1782" s="4" t="str">
        <f>HYPERLINK("http://141.218.60.56/~jnz1568/getInfo.php?workbook=16_15.xlsx&amp;sheet=A0&amp;row=1782&amp;col=13&amp;number=&amp;sourceID=53","")</f>
        <v/>
      </c>
      <c r="N1782" s="4" t="str">
        <f>HYPERLINK("http://141.218.60.56/~jnz1568/getInfo.php?workbook=16_15.xlsx&amp;sheet=A0&amp;row=1782&amp;col=14&amp;number=&amp;sourceID=53","")</f>
        <v/>
      </c>
      <c r="O1782" s="4" t="str">
        <f>HYPERLINK("http://141.218.60.56/~jnz1568/getInfo.php?workbook=16_15.xlsx&amp;sheet=A0&amp;row=1782&amp;col=15&amp;number=&amp;sourceID=55","")</f>
        <v/>
      </c>
      <c r="P1782" s="4" t="str">
        <f>HYPERLINK("http://141.218.60.56/~jnz1568/getInfo.php?workbook=16_15.xlsx&amp;sheet=A0&amp;row=1782&amp;col=16&amp;number=&amp;sourceID=55","")</f>
        <v/>
      </c>
      <c r="Q1782" s="4" t="str">
        <f>HYPERLINK("http://141.218.60.56/~jnz1568/getInfo.php?workbook=16_15.xlsx&amp;sheet=A0&amp;row=1782&amp;col=17&amp;number=&amp;sourceID=56","")</f>
        <v/>
      </c>
      <c r="R1782" s="4" t="str">
        <f>HYPERLINK("http://141.218.60.56/~jnz1568/getInfo.php?workbook=16_15.xlsx&amp;sheet=A0&amp;row=1782&amp;col=18&amp;number=&amp;sourceID=56","")</f>
        <v/>
      </c>
      <c r="S1782" s="4" t="str">
        <f>HYPERLINK("http://141.218.60.56/~jnz1568/getInfo.php?workbook=16_15.xlsx&amp;sheet=A0&amp;row=1782&amp;col=19&amp;number=&amp;sourceID=57","")</f>
        <v/>
      </c>
      <c r="T1782" s="4" t="str">
        <f>HYPERLINK("http://141.218.60.56/~jnz1568/getInfo.php?workbook=16_15.xlsx&amp;sheet=A0&amp;row=1782&amp;col=20&amp;number==&amp;sourceID=57","=")</f>
        <v>=</v>
      </c>
      <c r="U1782" s="4" t="str">
        <f>HYPERLINK("http://141.218.60.56/~jnz1568/getInfo.php?workbook=16_15.xlsx&amp;sheet=A0&amp;row=1782&amp;col=21&amp;number==&amp;sourceID=47","=")</f>
        <v>=</v>
      </c>
      <c r="V1782" s="4" t="str">
        <f>HYPERLINK("http://141.218.60.56/~jnz1568/getInfo.php?workbook=16_15.xlsx&amp;sheet=A0&amp;row=1782&amp;col=22&amp;number=&amp;sourceID=47","")</f>
        <v/>
      </c>
    </row>
    <row r="1783" spans="1:22">
      <c r="A1783" s="3">
        <v>16</v>
      </c>
      <c r="B1783" s="3">
        <v>15</v>
      </c>
      <c r="C1783" s="3">
        <v>67</v>
      </c>
      <c r="D1783" s="3">
        <v>47</v>
      </c>
      <c r="E1783" s="3">
        <f>((1/(INDEX(E0!J$4:J$73,C1783,1)-INDEX(E0!J$4:J$73,D1783,1))))*100000000</f>
        <v>0</v>
      </c>
      <c r="F1783" s="4" t="str">
        <f>HYPERLINK("http://141.218.60.56/~jnz1568/getInfo.php?workbook=16_15.xlsx&amp;sheet=A0&amp;row=1783&amp;col=6&amp;number=5309100&amp;sourceID=54","5309100")</f>
        <v>5309100</v>
      </c>
      <c r="G1783" s="4" t="str">
        <f>HYPERLINK("http://141.218.60.56/~jnz1568/getInfo.php?workbook=16_15.xlsx&amp;sheet=A0&amp;row=1783&amp;col=7&amp;number=&amp;sourceID=54","")</f>
        <v/>
      </c>
      <c r="H1783" s="4" t="str">
        <f>HYPERLINK("http://141.218.60.56/~jnz1568/getInfo.php?workbook=16_15.xlsx&amp;sheet=A0&amp;row=1783&amp;col=8&amp;number=&amp;sourceID=54","")</f>
        <v/>
      </c>
      <c r="I1783" s="4" t="str">
        <f>HYPERLINK("http://141.218.60.56/~jnz1568/getInfo.php?workbook=16_15.xlsx&amp;sheet=A0&amp;row=1783&amp;col=9&amp;number=4015700&amp;sourceID=54","4015700")</f>
        <v>4015700</v>
      </c>
      <c r="J1783" s="4" t="str">
        <f>HYPERLINK("http://141.218.60.56/~jnz1568/getInfo.php?workbook=16_15.xlsx&amp;sheet=A0&amp;row=1783&amp;col=10&amp;number=&amp;sourceID=54","")</f>
        <v/>
      </c>
      <c r="K1783" s="4" t="str">
        <f>HYPERLINK("http://141.218.60.56/~jnz1568/getInfo.php?workbook=16_15.xlsx&amp;sheet=A0&amp;row=1783&amp;col=11&amp;number=&amp;sourceID=54","")</f>
        <v/>
      </c>
      <c r="L1783" s="4" t="str">
        <f>HYPERLINK("http://141.218.60.56/~jnz1568/getInfo.php?workbook=16_15.xlsx&amp;sheet=A0&amp;row=1783&amp;col=12&amp;number=5630700.7778&amp;sourceID=53","5630700.7778")</f>
        <v>5630700.7778</v>
      </c>
      <c r="M1783" s="4" t="str">
        <f>HYPERLINK("http://141.218.60.56/~jnz1568/getInfo.php?workbook=16_15.xlsx&amp;sheet=A0&amp;row=1783&amp;col=13&amp;number=&amp;sourceID=53","")</f>
        <v/>
      </c>
      <c r="N1783" s="4" t="str">
        <f>HYPERLINK("http://141.218.60.56/~jnz1568/getInfo.php?workbook=16_15.xlsx&amp;sheet=A0&amp;row=1783&amp;col=14&amp;number=&amp;sourceID=53","")</f>
        <v/>
      </c>
      <c r="O1783" s="4" t="str">
        <f>HYPERLINK("http://141.218.60.56/~jnz1568/getInfo.php?workbook=16_15.xlsx&amp;sheet=A0&amp;row=1783&amp;col=15&amp;number=&amp;sourceID=55","")</f>
        <v/>
      </c>
      <c r="P1783" s="4" t="str">
        <f>HYPERLINK("http://141.218.60.56/~jnz1568/getInfo.php?workbook=16_15.xlsx&amp;sheet=A0&amp;row=1783&amp;col=16&amp;number=&amp;sourceID=55","")</f>
        <v/>
      </c>
      <c r="Q1783" s="4" t="str">
        <f>HYPERLINK("http://141.218.60.56/~jnz1568/getInfo.php?workbook=16_15.xlsx&amp;sheet=A0&amp;row=1783&amp;col=17&amp;number=&amp;sourceID=56","")</f>
        <v/>
      </c>
      <c r="R1783" s="4" t="str">
        <f>HYPERLINK("http://141.218.60.56/~jnz1568/getInfo.php?workbook=16_15.xlsx&amp;sheet=A0&amp;row=1783&amp;col=18&amp;number=&amp;sourceID=56","")</f>
        <v/>
      </c>
      <c r="S1783" s="4" t="str">
        <f>HYPERLINK("http://141.218.60.56/~jnz1568/getInfo.php?workbook=16_15.xlsx&amp;sheet=A0&amp;row=1783&amp;col=19&amp;number=&amp;sourceID=57","")</f>
        <v/>
      </c>
      <c r="T1783" s="4" t="str">
        <f>HYPERLINK("http://141.218.60.56/~jnz1568/getInfo.php?workbook=16_15.xlsx&amp;sheet=A0&amp;row=1783&amp;col=20&amp;number==&amp;sourceID=57","=")</f>
        <v>=</v>
      </c>
      <c r="U1783" s="4" t="str">
        <f>HYPERLINK("http://141.218.60.56/~jnz1568/getInfo.php?workbook=16_15.xlsx&amp;sheet=A0&amp;row=1783&amp;col=21&amp;number==&amp;sourceID=47","=")</f>
        <v>=</v>
      </c>
      <c r="V1783" s="4" t="str">
        <f>HYPERLINK("http://141.218.60.56/~jnz1568/getInfo.php?workbook=16_15.xlsx&amp;sheet=A0&amp;row=1783&amp;col=22&amp;number=&amp;sourceID=47","")</f>
        <v/>
      </c>
    </row>
    <row r="1784" spans="1:22">
      <c r="A1784" s="3">
        <v>16</v>
      </c>
      <c r="B1784" s="3">
        <v>15</v>
      </c>
      <c r="C1784" s="3">
        <v>67</v>
      </c>
      <c r="D1784" s="3">
        <v>48</v>
      </c>
      <c r="E1784" s="3">
        <f>((1/(INDEX(E0!J$4:J$73,C1784,1)-INDEX(E0!J$4:J$73,D1784,1))))*100000000</f>
        <v>0</v>
      </c>
      <c r="F1784" s="4" t="str">
        <f>HYPERLINK("http://141.218.60.56/~jnz1568/getInfo.php?workbook=16_15.xlsx&amp;sheet=A0&amp;row=1784&amp;col=6&amp;number=&amp;sourceID=54","")</f>
        <v/>
      </c>
      <c r="G1784" s="4" t="str">
        <f>HYPERLINK("http://141.218.60.56/~jnz1568/getInfo.php?workbook=16_15.xlsx&amp;sheet=A0&amp;row=1784&amp;col=7&amp;number=0.30549&amp;sourceID=54","0.30549")</f>
        <v>0.30549</v>
      </c>
      <c r="H1784" s="4" t="str">
        <f>HYPERLINK("http://141.218.60.56/~jnz1568/getInfo.php?workbook=16_15.xlsx&amp;sheet=A0&amp;row=1784&amp;col=8&amp;number=0.00013542&amp;sourceID=54","0.00013542")</f>
        <v>0.00013542</v>
      </c>
      <c r="I1784" s="4" t="str">
        <f>HYPERLINK("http://141.218.60.56/~jnz1568/getInfo.php?workbook=16_15.xlsx&amp;sheet=A0&amp;row=1784&amp;col=9&amp;number=&amp;sourceID=54","")</f>
        <v/>
      </c>
      <c r="J1784" s="4" t="str">
        <f>HYPERLINK("http://141.218.60.56/~jnz1568/getInfo.php?workbook=16_15.xlsx&amp;sheet=A0&amp;row=1784&amp;col=10&amp;number=0.26672&amp;sourceID=54","0.26672")</f>
        <v>0.26672</v>
      </c>
      <c r="K1784" s="4" t="str">
        <f>HYPERLINK("http://141.218.60.56/~jnz1568/getInfo.php?workbook=16_15.xlsx&amp;sheet=A0&amp;row=1784&amp;col=11&amp;number=0.00012696&amp;sourceID=54","0.00012696")</f>
        <v>0.00012696</v>
      </c>
      <c r="L1784" s="4" t="str">
        <f>HYPERLINK("http://141.218.60.56/~jnz1568/getInfo.php?workbook=16_15.xlsx&amp;sheet=A0&amp;row=1784&amp;col=12&amp;number=&amp;sourceID=53","")</f>
        <v/>
      </c>
      <c r="M1784" s="4" t="str">
        <f>HYPERLINK("http://141.218.60.56/~jnz1568/getInfo.php?workbook=16_15.xlsx&amp;sheet=A0&amp;row=1784&amp;col=13&amp;number=&amp;sourceID=53","")</f>
        <v/>
      </c>
      <c r="N1784" s="4" t="str">
        <f>HYPERLINK("http://141.218.60.56/~jnz1568/getInfo.php?workbook=16_15.xlsx&amp;sheet=A0&amp;row=1784&amp;col=14&amp;number=&amp;sourceID=53","")</f>
        <v/>
      </c>
      <c r="O1784" s="4" t="str">
        <f>HYPERLINK("http://141.218.60.56/~jnz1568/getInfo.php?workbook=16_15.xlsx&amp;sheet=A0&amp;row=1784&amp;col=15&amp;number=&amp;sourceID=55","")</f>
        <v/>
      </c>
      <c r="P1784" s="4" t="str">
        <f>HYPERLINK("http://141.218.60.56/~jnz1568/getInfo.php?workbook=16_15.xlsx&amp;sheet=A0&amp;row=1784&amp;col=16&amp;number=&amp;sourceID=55","")</f>
        <v/>
      </c>
      <c r="Q1784" s="4" t="str">
        <f>HYPERLINK("http://141.218.60.56/~jnz1568/getInfo.php?workbook=16_15.xlsx&amp;sheet=A0&amp;row=1784&amp;col=17&amp;number=&amp;sourceID=56","")</f>
        <v/>
      </c>
      <c r="R1784" s="4" t="str">
        <f>HYPERLINK("http://141.218.60.56/~jnz1568/getInfo.php?workbook=16_15.xlsx&amp;sheet=A0&amp;row=1784&amp;col=18&amp;number=&amp;sourceID=56","")</f>
        <v/>
      </c>
      <c r="S1784" s="4" t="str">
        <f>HYPERLINK("http://141.218.60.56/~jnz1568/getInfo.php?workbook=16_15.xlsx&amp;sheet=A0&amp;row=1784&amp;col=19&amp;number=&amp;sourceID=57","")</f>
        <v/>
      </c>
      <c r="T1784" s="4" t="str">
        <f>HYPERLINK("http://141.218.60.56/~jnz1568/getInfo.php?workbook=16_15.xlsx&amp;sheet=A0&amp;row=1784&amp;col=20&amp;number==&amp;sourceID=57","=")</f>
        <v>=</v>
      </c>
      <c r="U1784" s="4" t="str">
        <f>HYPERLINK("http://141.218.60.56/~jnz1568/getInfo.php?workbook=16_15.xlsx&amp;sheet=A0&amp;row=1784&amp;col=21&amp;number==&amp;sourceID=47","=")</f>
        <v>=</v>
      </c>
      <c r="V1784" s="4" t="str">
        <f>HYPERLINK("http://141.218.60.56/~jnz1568/getInfo.php?workbook=16_15.xlsx&amp;sheet=A0&amp;row=1784&amp;col=22&amp;number=&amp;sourceID=47","")</f>
        <v/>
      </c>
    </row>
    <row r="1785" spans="1:22">
      <c r="A1785" s="3">
        <v>16</v>
      </c>
      <c r="B1785" s="3">
        <v>15</v>
      </c>
      <c r="C1785" s="3">
        <v>67</v>
      </c>
      <c r="D1785" s="3">
        <v>49</v>
      </c>
      <c r="E1785" s="3">
        <f>((1/(INDEX(E0!J$4:J$73,C1785,1)-INDEX(E0!J$4:J$73,D1785,1))))*100000000</f>
        <v>0</v>
      </c>
      <c r="F1785" s="4" t="str">
        <f>HYPERLINK("http://141.218.60.56/~jnz1568/getInfo.php?workbook=16_15.xlsx&amp;sheet=A0&amp;row=1785&amp;col=6&amp;number=373270&amp;sourceID=54","373270")</f>
        <v>373270</v>
      </c>
      <c r="G1785" s="4" t="str">
        <f>HYPERLINK("http://141.218.60.56/~jnz1568/getInfo.php?workbook=16_15.xlsx&amp;sheet=A0&amp;row=1785&amp;col=7&amp;number=&amp;sourceID=54","")</f>
        <v/>
      </c>
      <c r="H1785" s="4" t="str">
        <f>HYPERLINK("http://141.218.60.56/~jnz1568/getInfo.php?workbook=16_15.xlsx&amp;sheet=A0&amp;row=1785&amp;col=8&amp;number=&amp;sourceID=54","")</f>
        <v/>
      </c>
      <c r="I1785" s="4" t="str">
        <f>HYPERLINK("http://141.218.60.56/~jnz1568/getInfo.php?workbook=16_15.xlsx&amp;sheet=A0&amp;row=1785&amp;col=9&amp;number=189170&amp;sourceID=54","189170")</f>
        <v>189170</v>
      </c>
      <c r="J1785" s="4" t="str">
        <f>HYPERLINK("http://141.218.60.56/~jnz1568/getInfo.php?workbook=16_15.xlsx&amp;sheet=A0&amp;row=1785&amp;col=10&amp;number=&amp;sourceID=54","")</f>
        <v/>
      </c>
      <c r="K1785" s="4" t="str">
        <f>HYPERLINK("http://141.218.60.56/~jnz1568/getInfo.php?workbook=16_15.xlsx&amp;sheet=A0&amp;row=1785&amp;col=11&amp;number=&amp;sourceID=54","")</f>
        <v/>
      </c>
      <c r="L1785" s="4" t="str">
        <f>HYPERLINK("http://141.218.60.56/~jnz1568/getInfo.php?workbook=16_15.xlsx&amp;sheet=A0&amp;row=1785&amp;col=12&amp;number=650878.388978&amp;sourceID=53","650878.388978")</f>
        <v>650878.388978</v>
      </c>
      <c r="M1785" s="4" t="str">
        <f>HYPERLINK("http://141.218.60.56/~jnz1568/getInfo.php?workbook=16_15.xlsx&amp;sheet=A0&amp;row=1785&amp;col=13&amp;number=&amp;sourceID=53","")</f>
        <v/>
      </c>
      <c r="N1785" s="4" t="str">
        <f>HYPERLINK("http://141.218.60.56/~jnz1568/getInfo.php?workbook=16_15.xlsx&amp;sheet=A0&amp;row=1785&amp;col=14&amp;number=&amp;sourceID=53","")</f>
        <v/>
      </c>
      <c r="O1785" s="4" t="str">
        <f>HYPERLINK("http://141.218.60.56/~jnz1568/getInfo.php?workbook=16_15.xlsx&amp;sheet=A0&amp;row=1785&amp;col=15&amp;number=&amp;sourceID=55","")</f>
        <v/>
      </c>
      <c r="P1785" s="4" t="str">
        <f>HYPERLINK("http://141.218.60.56/~jnz1568/getInfo.php?workbook=16_15.xlsx&amp;sheet=A0&amp;row=1785&amp;col=16&amp;number=&amp;sourceID=55","")</f>
        <v/>
      </c>
      <c r="Q1785" s="4" t="str">
        <f>HYPERLINK("http://141.218.60.56/~jnz1568/getInfo.php?workbook=16_15.xlsx&amp;sheet=A0&amp;row=1785&amp;col=17&amp;number=&amp;sourceID=56","")</f>
        <v/>
      </c>
      <c r="R1785" s="4" t="str">
        <f>HYPERLINK("http://141.218.60.56/~jnz1568/getInfo.php?workbook=16_15.xlsx&amp;sheet=A0&amp;row=1785&amp;col=18&amp;number=&amp;sourceID=56","")</f>
        <v/>
      </c>
      <c r="S1785" s="4" t="str">
        <f>HYPERLINK("http://141.218.60.56/~jnz1568/getInfo.php?workbook=16_15.xlsx&amp;sheet=A0&amp;row=1785&amp;col=19&amp;number=&amp;sourceID=57","")</f>
        <v/>
      </c>
      <c r="T1785" s="4" t="str">
        <f>HYPERLINK("http://141.218.60.56/~jnz1568/getInfo.php?workbook=16_15.xlsx&amp;sheet=A0&amp;row=1785&amp;col=20&amp;number==&amp;sourceID=57","=")</f>
        <v>=</v>
      </c>
      <c r="U1785" s="4" t="str">
        <f>HYPERLINK("http://141.218.60.56/~jnz1568/getInfo.php?workbook=16_15.xlsx&amp;sheet=A0&amp;row=1785&amp;col=21&amp;number==&amp;sourceID=47","=")</f>
        <v>=</v>
      </c>
      <c r="V1785" s="4" t="str">
        <f>HYPERLINK("http://141.218.60.56/~jnz1568/getInfo.php?workbook=16_15.xlsx&amp;sheet=A0&amp;row=1785&amp;col=22&amp;number=&amp;sourceID=47","")</f>
        <v/>
      </c>
    </row>
    <row r="1786" spans="1:22">
      <c r="A1786" s="3">
        <v>16</v>
      </c>
      <c r="B1786" s="3">
        <v>15</v>
      </c>
      <c r="C1786" s="3">
        <v>67</v>
      </c>
      <c r="D1786" s="3">
        <v>50</v>
      </c>
      <c r="E1786" s="3">
        <f>((1/(INDEX(E0!J$4:J$73,C1786,1)-INDEX(E0!J$4:J$73,D1786,1))))*100000000</f>
        <v>0</v>
      </c>
      <c r="F1786" s="4" t="str">
        <f>HYPERLINK("http://141.218.60.56/~jnz1568/getInfo.php?workbook=16_15.xlsx&amp;sheet=A0&amp;row=1786&amp;col=6&amp;number=&amp;sourceID=54","")</f>
        <v/>
      </c>
      <c r="G1786" s="4" t="str">
        <f>HYPERLINK("http://141.218.60.56/~jnz1568/getInfo.php?workbook=16_15.xlsx&amp;sheet=A0&amp;row=1786&amp;col=7&amp;number=0.0044785&amp;sourceID=54","0.0044785")</f>
        <v>0.0044785</v>
      </c>
      <c r="H1786" s="4" t="str">
        <f>HYPERLINK("http://141.218.60.56/~jnz1568/getInfo.php?workbook=16_15.xlsx&amp;sheet=A0&amp;row=1786&amp;col=8&amp;number=0.0040361&amp;sourceID=54","0.0040361")</f>
        <v>0.0040361</v>
      </c>
      <c r="I1786" s="4" t="str">
        <f>HYPERLINK("http://141.218.60.56/~jnz1568/getInfo.php?workbook=16_15.xlsx&amp;sheet=A0&amp;row=1786&amp;col=9&amp;number=&amp;sourceID=54","")</f>
        <v/>
      </c>
      <c r="J1786" s="4" t="str">
        <f>HYPERLINK("http://141.218.60.56/~jnz1568/getInfo.php?workbook=16_15.xlsx&amp;sheet=A0&amp;row=1786&amp;col=10&amp;number=0.00047285&amp;sourceID=54","0.00047285")</f>
        <v>0.00047285</v>
      </c>
      <c r="K1786" s="4" t="str">
        <f>HYPERLINK("http://141.218.60.56/~jnz1568/getInfo.php?workbook=16_15.xlsx&amp;sheet=A0&amp;row=1786&amp;col=11&amp;number=0.0031733&amp;sourceID=54","0.0031733")</f>
        <v>0.0031733</v>
      </c>
      <c r="L1786" s="4" t="str">
        <f>HYPERLINK("http://141.218.60.56/~jnz1568/getInfo.php?workbook=16_15.xlsx&amp;sheet=A0&amp;row=1786&amp;col=12&amp;number=&amp;sourceID=53","")</f>
        <v/>
      </c>
      <c r="M1786" s="4" t="str">
        <f>HYPERLINK("http://141.218.60.56/~jnz1568/getInfo.php?workbook=16_15.xlsx&amp;sheet=A0&amp;row=1786&amp;col=13&amp;number=&amp;sourceID=53","")</f>
        <v/>
      </c>
      <c r="N1786" s="4" t="str">
        <f>HYPERLINK("http://141.218.60.56/~jnz1568/getInfo.php?workbook=16_15.xlsx&amp;sheet=A0&amp;row=1786&amp;col=14&amp;number=&amp;sourceID=53","")</f>
        <v/>
      </c>
      <c r="O1786" s="4" t="str">
        <f>HYPERLINK("http://141.218.60.56/~jnz1568/getInfo.php?workbook=16_15.xlsx&amp;sheet=A0&amp;row=1786&amp;col=15&amp;number=&amp;sourceID=55","")</f>
        <v/>
      </c>
      <c r="P1786" s="4" t="str">
        <f>HYPERLINK("http://141.218.60.56/~jnz1568/getInfo.php?workbook=16_15.xlsx&amp;sheet=A0&amp;row=1786&amp;col=16&amp;number=&amp;sourceID=55","")</f>
        <v/>
      </c>
      <c r="Q1786" s="4" t="str">
        <f>HYPERLINK("http://141.218.60.56/~jnz1568/getInfo.php?workbook=16_15.xlsx&amp;sheet=A0&amp;row=1786&amp;col=17&amp;number=&amp;sourceID=56","")</f>
        <v/>
      </c>
      <c r="R1786" s="4" t="str">
        <f>HYPERLINK("http://141.218.60.56/~jnz1568/getInfo.php?workbook=16_15.xlsx&amp;sheet=A0&amp;row=1786&amp;col=18&amp;number=&amp;sourceID=56","")</f>
        <v/>
      </c>
      <c r="S1786" s="4" t="str">
        <f>HYPERLINK("http://141.218.60.56/~jnz1568/getInfo.php?workbook=16_15.xlsx&amp;sheet=A0&amp;row=1786&amp;col=19&amp;number=&amp;sourceID=57","")</f>
        <v/>
      </c>
      <c r="T1786" s="4" t="str">
        <f>HYPERLINK("http://141.218.60.56/~jnz1568/getInfo.php?workbook=16_15.xlsx&amp;sheet=A0&amp;row=1786&amp;col=20&amp;number==&amp;sourceID=57","=")</f>
        <v>=</v>
      </c>
      <c r="U1786" s="4" t="str">
        <f>HYPERLINK("http://141.218.60.56/~jnz1568/getInfo.php?workbook=16_15.xlsx&amp;sheet=A0&amp;row=1786&amp;col=21&amp;number==&amp;sourceID=47","=")</f>
        <v>=</v>
      </c>
      <c r="V1786" s="4" t="str">
        <f>HYPERLINK("http://141.218.60.56/~jnz1568/getInfo.php?workbook=16_15.xlsx&amp;sheet=A0&amp;row=1786&amp;col=22&amp;number=&amp;sourceID=47","")</f>
        <v/>
      </c>
    </row>
    <row r="1787" spans="1:22">
      <c r="A1787" s="3">
        <v>16</v>
      </c>
      <c r="B1787" s="3">
        <v>15</v>
      </c>
      <c r="C1787" s="3">
        <v>67</v>
      </c>
      <c r="D1787" s="3">
        <v>51</v>
      </c>
      <c r="E1787" s="3">
        <f>((1/(INDEX(E0!J$4:J$73,C1787,1)-INDEX(E0!J$4:J$73,D1787,1))))*100000000</f>
        <v>0</v>
      </c>
      <c r="F1787" s="4" t="str">
        <f>HYPERLINK("http://141.218.60.56/~jnz1568/getInfo.php?workbook=16_15.xlsx&amp;sheet=A0&amp;row=1787&amp;col=6&amp;number=&amp;sourceID=54","")</f>
        <v/>
      </c>
      <c r="G1787" s="4" t="str">
        <f>HYPERLINK("http://141.218.60.56/~jnz1568/getInfo.php?workbook=16_15.xlsx&amp;sheet=A0&amp;row=1787&amp;col=7&amp;number=2.8494&amp;sourceID=54","2.8494")</f>
        <v>2.8494</v>
      </c>
      <c r="H1787" s="4" t="str">
        <f>HYPERLINK("http://141.218.60.56/~jnz1568/getInfo.php?workbook=16_15.xlsx&amp;sheet=A0&amp;row=1787&amp;col=8&amp;number=3.6778e-06&amp;sourceID=54","3.6778e-06")</f>
        <v>3.6778e-06</v>
      </c>
      <c r="I1787" s="4" t="str">
        <f>HYPERLINK("http://141.218.60.56/~jnz1568/getInfo.php?workbook=16_15.xlsx&amp;sheet=A0&amp;row=1787&amp;col=9&amp;number=&amp;sourceID=54","")</f>
        <v/>
      </c>
      <c r="J1787" s="4" t="str">
        <f>HYPERLINK("http://141.218.60.56/~jnz1568/getInfo.php?workbook=16_15.xlsx&amp;sheet=A0&amp;row=1787&amp;col=10&amp;number=1.2934&amp;sourceID=54","1.2934")</f>
        <v>1.2934</v>
      </c>
      <c r="K1787" s="4" t="str">
        <f>HYPERLINK("http://141.218.60.56/~jnz1568/getInfo.php?workbook=16_15.xlsx&amp;sheet=A0&amp;row=1787&amp;col=11&amp;number=3.4084e-06&amp;sourceID=54","3.4084e-06")</f>
        <v>3.4084e-06</v>
      </c>
      <c r="L1787" s="4" t="str">
        <f>HYPERLINK("http://141.218.60.56/~jnz1568/getInfo.php?workbook=16_15.xlsx&amp;sheet=A0&amp;row=1787&amp;col=12&amp;number=&amp;sourceID=53","")</f>
        <v/>
      </c>
      <c r="M1787" s="4" t="str">
        <f>HYPERLINK("http://141.218.60.56/~jnz1568/getInfo.php?workbook=16_15.xlsx&amp;sheet=A0&amp;row=1787&amp;col=13&amp;number=&amp;sourceID=53","")</f>
        <v/>
      </c>
      <c r="N1787" s="4" t="str">
        <f>HYPERLINK("http://141.218.60.56/~jnz1568/getInfo.php?workbook=16_15.xlsx&amp;sheet=A0&amp;row=1787&amp;col=14&amp;number=&amp;sourceID=53","")</f>
        <v/>
      </c>
      <c r="O1787" s="4" t="str">
        <f>HYPERLINK("http://141.218.60.56/~jnz1568/getInfo.php?workbook=16_15.xlsx&amp;sheet=A0&amp;row=1787&amp;col=15&amp;number=&amp;sourceID=55","")</f>
        <v/>
      </c>
      <c r="P1787" s="4" t="str">
        <f>HYPERLINK("http://141.218.60.56/~jnz1568/getInfo.php?workbook=16_15.xlsx&amp;sheet=A0&amp;row=1787&amp;col=16&amp;number=&amp;sourceID=55","")</f>
        <v/>
      </c>
      <c r="Q1787" s="4" t="str">
        <f>HYPERLINK("http://141.218.60.56/~jnz1568/getInfo.php?workbook=16_15.xlsx&amp;sheet=A0&amp;row=1787&amp;col=17&amp;number=&amp;sourceID=56","")</f>
        <v/>
      </c>
      <c r="R1787" s="4" t="str">
        <f>HYPERLINK("http://141.218.60.56/~jnz1568/getInfo.php?workbook=16_15.xlsx&amp;sheet=A0&amp;row=1787&amp;col=18&amp;number=&amp;sourceID=56","")</f>
        <v/>
      </c>
      <c r="S1787" s="4" t="str">
        <f>HYPERLINK("http://141.218.60.56/~jnz1568/getInfo.php?workbook=16_15.xlsx&amp;sheet=A0&amp;row=1787&amp;col=19&amp;number=&amp;sourceID=57","")</f>
        <v/>
      </c>
      <c r="T1787" s="4" t="str">
        <f>HYPERLINK("http://141.218.60.56/~jnz1568/getInfo.php?workbook=16_15.xlsx&amp;sheet=A0&amp;row=1787&amp;col=20&amp;number==&amp;sourceID=57","=")</f>
        <v>=</v>
      </c>
      <c r="U1787" s="4" t="str">
        <f>HYPERLINK("http://141.218.60.56/~jnz1568/getInfo.php?workbook=16_15.xlsx&amp;sheet=A0&amp;row=1787&amp;col=21&amp;number==&amp;sourceID=47","=")</f>
        <v>=</v>
      </c>
      <c r="V1787" s="4" t="str">
        <f>HYPERLINK("http://141.218.60.56/~jnz1568/getInfo.php?workbook=16_15.xlsx&amp;sheet=A0&amp;row=1787&amp;col=22&amp;number=&amp;sourceID=47","")</f>
        <v/>
      </c>
    </row>
    <row r="1788" spans="1:22">
      <c r="A1788" s="3">
        <v>16</v>
      </c>
      <c r="B1788" s="3">
        <v>15</v>
      </c>
      <c r="C1788" s="3">
        <v>67</v>
      </c>
      <c r="D1788" s="3">
        <v>52</v>
      </c>
      <c r="E1788" s="3">
        <f>((1/(INDEX(E0!J$4:J$73,C1788,1)-INDEX(E0!J$4:J$73,D1788,1))))*100000000</f>
        <v>0</v>
      </c>
      <c r="F1788" s="4" t="str">
        <f>HYPERLINK("http://141.218.60.56/~jnz1568/getInfo.php?workbook=16_15.xlsx&amp;sheet=A0&amp;row=1788&amp;col=6&amp;number=&amp;sourceID=54","")</f>
        <v/>
      </c>
      <c r="G1788" s="4" t="str">
        <f>HYPERLINK("http://141.218.60.56/~jnz1568/getInfo.php?workbook=16_15.xlsx&amp;sheet=A0&amp;row=1788&amp;col=7&amp;number=0.13343&amp;sourceID=54","0.13343")</f>
        <v>0.13343</v>
      </c>
      <c r="H1788" s="4" t="str">
        <f>HYPERLINK("http://141.218.60.56/~jnz1568/getInfo.php?workbook=16_15.xlsx&amp;sheet=A0&amp;row=1788&amp;col=8&amp;number=0.016765&amp;sourceID=54","0.016765")</f>
        <v>0.016765</v>
      </c>
      <c r="I1788" s="4" t="str">
        <f>HYPERLINK("http://141.218.60.56/~jnz1568/getInfo.php?workbook=16_15.xlsx&amp;sheet=A0&amp;row=1788&amp;col=9&amp;number=&amp;sourceID=54","")</f>
        <v/>
      </c>
      <c r="J1788" s="4" t="str">
        <f>HYPERLINK("http://141.218.60.56/~jnz1568/getInfo.php?workbook=16_15.xlsx&amp;sheet=A0&amp;row=1788&amp;col=10&amp;number=0.11457&amp;sourceID=54","0.11457")</f>
        <v>0.11457</v>
      </c>
      <c r="K1788" s="4" t="str">
        <f>HYPERLINK("http://141.218.60.56/~jnz1568/getInfo.php?workbook=16_15.xlsx&amp;sheet=A0&amp;row=1788&amp;col=11&amp;number=0.013166&amp;sourceID=54","0.013166")</f>
        <v>0.013166</v>
      </c>
      <c r="L1788" s="4" t="str">
        <f>HYPERLINK("http://141.218.60.56/~jnz1568/getInfo.php?workbook=16_15.xlsx&amp;sheet=A0&amp;row=1788&amp;col=12&amp;number=&amp;sourceID=53","")</f>
        <v/>
      </c>
      <c r="M1788" s="4" t="str">
        <f>HYPERLINK("http://141.218.60.56/~jnz1568/getInfo.php?workbook=16_15.xlsx&amp;sheet=A0&amp;row=1788&amp;col=13&amp;number=&amp;sourceID=53","")</f>
        <v/>
      </c>
      <c r="N1788" s="4" t="str">
        <f>HYPERLINK("http://141.218.60.56/~jnz1568/getInfo.php?workbook=16_15.xlsx&amp;sheet=A0&amp;row=1788&amp;col=14&amp;number=&amp;sourceID=53","")</f>
        <v/>
      </c>
      <c r="O1788" s="4" t="str">
        <f>HYPERLINK("http://141.218.60.56/~jnz1568/getInfo.php?workbook=16_15.xlsx&amp;sheet=A0&amp;row=1788&amp;col=15&amp;number=&amp;sourceID=55","")</f>
        <v/>
      </c>
      <c r="P1788" s="4" t="str">
        <f>HYPERLINK("http://141.218.60.56/~jnz1568/getInfo.php?workbook=16_15.xlsx&amp;sheet=A0&amp;row=1788&amp;col=16&amp;number=&amp;sourceID=55","")</f>
        <v/>
      </c>
      <c r="Q1788" s="4" t="str">
        <f>HYPERLINK("http://141.218.60.56/~jnz1568/getInfo.php?workbook=16_15.xlsx&amp;sheet=A0&amp;row=1788&amp;col=17&amp;number=&amp;sourceID=56","")</f>
        <v/>
      </c>
      <c r="R1788" s="4" t="str">
        <f>HYPERLINK("http://141.218.60.56/~jnz1568/getInfo.php?workbook=16_15.xlsx&amp;sheet=A0&amp;row=1788&amp;col=18&amp;number=&amp;sourceID=56","")</f>
        <v/>
      </c>
      <c r="S1788" s="4" t="str">
        <f>HYPERLINK("http://141.218.60.56/~jnz1568/getInfo.php?workbook=16_15.xlsx&amp;sheet=A0&amp;row=1788&amp;col=19&amp;number=&amp;sourceID=57","")</f>
        <v/>
      </c>
      <c r="T1788" s="4" t="str">
        <f>HYPERLINK("http://141.218.60.56/~jnz1568/getInfo.php?workbook=16_15.xlsx&amp;sheet=A0&amp;row=1788&amp;col=20&amp;number==&amp;sourceID=57","=")</f>
        <v>=</v>
      </c>
      <c r="U1788" s="4" t="str">
        <f>HYPERLINK("http://141.218.60.56/~jnz1568/getInfo.php?workbook=16_15.xlsx&amp;sheet=A0&amp;row=1788&amp;col=21&amp;number==&amp;sourceID=47","=")</f>
        <v>=</v>
      </c>
      <c r="V1788" s="4" t="str">
        <f>HYPERLINK("http://141.218.60.56/~jnz1568/getInfo.php?workbook=16_15.xlsx&amp;sheet=A0&amp;row=1788&amp;col=22&amp;number=&amp;sourceID=47","")</f>
        <v/>
      </c>
    </row>
    <row r="1789" spans="1:22">
      <c r="A1789" s="3">
        <v>16</v>
      </c>
      <c r="B1789" s="3">
        <v>15</v>
      </c>
      <c r="C1789" s="3">
        <v>67</v>
      </c>
      <c r="D1789" s="3">
        <v>53</v>
      </c>
      <c r="E1789" s="3">
        <f>((1/(INDEX(E0!J$4:J$73,C1789,1)-INDEX(E0!J$4:J$73,D1789,1))))*100000000</f>
        <v>0</v>
      </c>
      <c r="F1789" s="4" t="str">
        <f>HYPERLINK("http://141.218.60.56/~jnz1568/getInfo.php?workbook=16_15.xlsx&amp;sheet=A0&amp;row=1789&amp;col=6&amp;number=&amp;sourceID=54","")</f>
        <v/>
      </c>
      <c r="G1789" s="4" t="str">
        <f>HYPERLINK("http://141.218.60.56/~jnz1568/getInfo.php?workbook=16_15.xlsx&amp;sheet=A0&amp;row=1789&amp;col=7&amp;number=0.020859&amp;sourceID=54","0.020859")</f>
        <v>0.020859</v>
      </c>
      <c r="H1789" s="4" t="str">
        <f>HYPERLINK("http://141.218.60.56/~jnz1568/getInfo.php?workbook=16_15.xlsx&amp;sheet=A0&amp;row=1789&amp;col=8&amp;number=&amp;sourceID=54","")</f>
        <v/>
      </c>
      <c r="I1789" s="4" t="str">
        <f>HYPERLINK("http://141.218.60.56/~jnz1568/getInfo.php?workbook=16_15.xlsx&amp;sheet=A0&amp;row=1789&amp;col=9&amp;number=&amp;sourceID=54","")</f>
        <v/>
      </c>
      <c r="J1789" s="4" t="str">
        <f>HYPERLINK("http://141.218.60.56/~jnz1568/getInfo.php?workbook=16_15.xlsx&amp;sheet=A0&amp;row=1789&amp;col=10&amp;number=0.017184&amp;sourceID=54","0.017184")</f>
        <v>0.017184</v>
      </c>
      <c r="K1789" s="4" t="str">
        <f>HYPERLINK("http://141.218.60.56/~jnz1568/getInfo.php?workbook=16_15.xlsx&amp;sheet=A0&amp;row=1789&amp;col=11&amp;number=&amp;sourceID=54","")</f>
        <v/>
      </c>
      <c r="L1789" s="4" t="str">
        <f>HYPERLINK("http://141.218.60.56/~jnz1568/getInfo.php?workbook=16_15.xlsx&amp;sheet=A0&amp;row=1789&amp;col=12&amp;number=&amp;sourceID=53","")</f>
        <v/>
      </c>
      <c r="M1789" s="4" t="str">
        <f>HYPERLINK("http://141.218.60.56/~jnz1568/getInfo.php?workbook=16_15.xlsx&amp;sheet=A0&amp;row=1789&amp;col=13&amp;number=&amp;sourceID=53","")</f>
        <v/>
      </c>
      <c r="N1789" s="4" t="str">
        <f>HYPERLINK("http://141.218.60.56/~jnz1568/getInfo.php?workbook=16_15.xlsx&amp;sheet=A0&amp;row=1789&amp;col=14&amp;number=&amp;sourceID=53","")</f>
        <v/>
      </c>
      <c r="O1789" s="4" t="str">
        <f>HYPERLINK("http://141.218.60.56/~jnz1568/getInfo.php?workbook=16_15.xlsx&amp;sheet=A0&amp;row=1789&amp;col=15&amp;number=&amp;sourceID=55","")</f>
        <v/>
      </c>
      <c r="P1789" s="4" t="str">
        <f>HYPERLINK("http://141.218.60.56/~jnz1568/getInfo.php?workbook=16_15.xlsx&amp;sheet=A0&amp;row=1789&amp;col=16&amp;number=&amp;sourceID=55","")</f>
        <v/>
      </c>
      <c r="Q1789" s="4" t="str">
        <f>HYPERLINK("http://141.218.60.56/~jnz1568/getInfo.php?workbook=16_15.xlsx&amp;sheet=A0&amp;row=1789&amp;col=17&amp;number=&amp;sourceID=56","")</f>
        <v/>
      </c>
      <c r="R1789" s="4" t="str">
        <f>HYPERLINK("http://141.218.60.56/~jnz1568/getInfo.php?workbook=16_15.xlsx&amp;sheet=A0&amp;row=1789&amp;col=18&amp;number=&amp;sourceID=56","")</f>
        <v/>
      </c>
      <c r="S1789" s="4" t="str">
        <f>HYPERLINK("http://141.218.60.56/~jnz1568/getInfo.php?workbook=16_15.xlsx&amp;sheet=A0&amp;row=1789&amp;col=19&amp;number=&amp;sourceID=57","")</f>
        <v/>
      </c>
      <c r="T1789" s="4" t="str">
        <f>HYPERLINK("http://141.218.60.56/~jnz1568/getInfo.php?workbook=16_15.xlsx&amp;sheet=A0&amp;row=1789&amp;col=20&amp;number==&amp;sourceID=57","=")</f>
        <v>=</v>
      </c>
      <c r="U1789" s="4" t="str">
        <f>HYPERLINK("http://141.218.60.56/~jnz1568/getInfo.php?workbook=16_15.xlsx&amp;sheet=A0&amp;row=1789&amp;col=21&amp;number==&amp;sourceID=47","=")</f>
        <v>=</v>
      </c>
      <c r="V1789" s="4" t="str">
        <f>HYPERLINK("http://141.218.60.56/~jnz1568/getInfo.php?workbook=16_15.xlsx&amp;sheet=A0&amp;row=1789&amp;col=22&amp;number=&amp;sourceID=47","")</f>
        <v/>
      </c>
    </row>
    <row r="1790" spans="1:22">
      <c r="A1790" s="3">
        <v>16</v>
      </c>
      <c r="B1790" s="3">
        <v>15</v>
      </c>
      <c r="C1790" s="3">
        <v>67</v>
      </c>
      <c r="D1790" s="3">
        <v>54</v>
      </c>
      <c r="E1790" s="3">
        <f>((1/(INDEX(E0!J$4:J$73,C1790,1)-INDEX(E0!J$4:J$73,D1790,1))))*100000000</f>
        <v>0</v>
      </c>
      <c r="F1790" s="4" t="str">
        <f>HYPERLINK("http://141.218.60.56/~jnz1568/getInfo.php?workbook=16_15.xlsx&amp;sheet=A0&amp;row=1790&amp;col=6&amp;number=&amp;sourceID=54","")</f>
        <v/>
      </c>
      <c r="G1790" s="4" t="str">
        <f>HYPERLINK("http://141.218.60.56/~jnz1568/getInfo.php?workbook=16_15.xlsx&amp;sheet=A0&amp;row=1790&amp;col=7&amp;number=0.069426&amp;sourceID=54","0.069426")</f>
        <v>0.069426</v>
      </c>
      <c r="H1790" s="4" t="str">
        <f>HYPERLINK("http://141.218.60.56/~jnz1568/getInfo.php?workbook=16_15.xlsx&amp;sheet=A0&amp;row=1790&amp;col=8&amp;number=4.2581e-05&amp;sourceID=54","4.2581e-05")</f>
        <v>4.2581e-05</v>
      </c>
      <c r="I1790" s="4" t="str">
        <f>HYPERLINK("http://141.218.60.56/~jnz1568/getInfo.php?workbook=16_15.xlsx&amp;sheet=A0&amp;row=1790&amp;col=9&amp;number=&amp;sourceID=54","")</f>
        <v/>
      </c>
      <c r="J1790" s="4" t="str">
        <f>HYPERLINK("http://141.218.60.56/~jnz1568/getInfo.php?workbook=16_15.xlsx&amp;sheet=A0&amp;row=1790&amp;col=10&amp;number=0.042266&amp;sourceID=54","0.042266")</f>
        <v>0.042266</v>
      </c>
      <c r="K1790" s="4" t="str">
        <f>HYPERLINK("http://141.218.60.56/~jnz1568/getInfo.php?workbook=16_15.xlsx&amp;sheet=A0&amp;row=1790&amp;col=11&amp;number=2.3813e-05&amp;sourceID=54","2.3813e-05")</f>
        <v>2.3813e-05</v>
      </c>
      <c r="L1790" s="4" t="str">
        <f>HYPERLINK("http://141.218.60.56/~jnz1568/getInfo.php?workbook=16_15.xlsx&amp;sheet=A0&amp;row=1790&amp;col=12&amp;number=&amp;sourceID=53","")</f>
        <v/>
      </c>
      <c r="M1790" s="4" t="str">
        <f>HYPERLINK("http://141.218.60.56/~jnz1568/getInfo.php?workbook=16_15.xlsx&amp;sheet=A0&amp;row=1790&amp;col=13&amp;number=&amp;sourceID=53","")</f>
        <v/>
      </c>
      <c r="N1790" s="4" t="str">
        <f>HYPERLINK("http://141.218.60.56/~jnz1568/getInfo.php?workbook=16_15.xlsx&amp;sheet=A0&amp;row=1790&amp;col=14&amp;number=&amp;sourceID=53","")</f>
        <v/>
      </c>
      <c r="O1790" s="4" t="str">
        <f>HYPERLINK("http://141.218.60.56/~jnz1568/getInfo.php?workbook=16_15.xlsx&amp;sheet=A0&amp;row=1790&amp;col=15&amp;number=&amp;sourceID=55","")</f>
        <v/>
      </c>
      <c r="P1790" s="4" t="str">
        <f>HYPERLINK("http://141.218.60.56/~jnz1568/getInfo.php?workbook=16_15.xlsx&amp;sheet=A0&amp;row=1790&amp;col=16&amp;number=&amp;sourceID=55","")</f>
        <v/>
      </c>
      <c r="Q1790" s="4" t="str">
        <f>HYPERLINK("http://141.218.60.56/~jnz1568/getInfo.php?workbook=16_15.xlsx&amp;sheet=A0&amp;row=1790&amp;col=17&amp;number=&amp;sourceID=56","")</f>
        <v/>
      </c>
      <c r="R1790" s="4" t="str">
        <f>HYPERLINK("http://141.218.60.56/~jnz1568/getInfo.php?workbook=16_15.xlsx&amp;sheet=A0&amp;row=1790&amp;col=18&amp;number=&amp;sourceID=56","")</f>
        <v/>
      </c>
      <c r="S1790" s="4" t="str">
        <f>HYPERLINK("http://141.218.60.56/~jnz1568/getInfo.php?workbook=16_15.xlsx&amp;sheet=A0&amp;row=1790&amp;col=19&amp;number=&amp;sourceID=57","")</f>
        <v/>
      </c>
      <c r="T1790" s="4" t="str">
        <f>HYPERLINK("http://141.218.60.56/~jnz1568/getInfo.php?workbook=16_15.xlsx&amp;sheet=A0&amp;row=1790&amp;col=20&amp;number==&amp;sourceID=57","=")</f>
        <v>=</v>
      </c>
      <c r="U1790" s="4" t="str">
        <f>HYPERLINK("http://141.218.60.56/~jnz1568/getInfo.php?workbook=16_15.xlsx&amp;sheet=A0&amp;row=1790&amp;col=21&amp;number==&amp;sourceID=47","=")</f>
        <v>=</v>
      </c>
      <c r="V1790" s="4" t="str">
        <f>HYPERLINK("http://141.218.60.56/~jnz1568/getInfo.php?workbook=16_15.xlsx&amp;sheet=A0&amp;row=1790&amp;col=22&amp;number=&amp;sourceID=47","")</f>
        <v/>
      </c>
    </row>
    <row r="1791" spans="1:22">
      <c r="A1791" s="3">
        <v>16</v>
      </c>
      <c r="B1791" s="3">
        <v>15</v>
      </c>
      <c r="C1791" s="3">
        <v>67</v>
      </c>
      <c r="D1791" s="3">
        <v>55</v>
      </c>
      <c r="E1791" s="3">
        <f>((1/(INDEX(E0!J$4:J$73,C1791,1)-INDEX(E0!J$4:J$73,D1791,1))))*100000000</f>
        <v>0</v>
      </c>
      <c r="F1791" s="4" t="str">
        <f>HYPERLINK("http://141.218.60.56/~jnz1568/getInfo.php?workbook=16_15.xlsx&amp;sheet=A0&amp;row=1791&amp;col=6&amp;number=&amp;sourceID=54","")</f>
        <v/>
      </c>
      <c r="G1791" s="4" t="str">
        <f>HYPERLINK("http://141.218.60.56/~jnz1568/getInfo.php?workbook=16_15.xlsx&amp;sheet=A0&amp;row=1791&amp;col=7&amp;number=0.069891&amp;sourceID=54","0.069891")</f>
        <v>0.069891</v>
      </c>
      <c r="H1791" s="4" t="str">
        <f>HYPERLINK("http://141.218.60.56/~jnz1568/getInfo.php?workbook=16_15.xlsx&amp;sheet=A0&amp;row=1791&amp;col=8&amp;number=1.6e-06&amp;sourceID=54","1.6e-06")</f>
        <v>1.6e-06</v>
      </c>
      <c r="I1791" s="4" t="str">
        <f>HYPERLINK("http://141.218.60.56/~jnz1568/getInfo.php?workbook=16_15.xlsx&amp;sheet=A0&amp;row=1791&amp;col=9&amp;number=&amp;sourceID=54","")</f>
        <v/>
      </c>
      <c r="J1791" s="4" t="str">
        <f>HYPERLINK("http://141.218.60.56/~jnz1568/getInfo.php?workbook=16_15.xlsx&amp;sheet=A0&amp;row=1791&amp;col=10&amp;number=0.045793&amp;sourceID=54","0.045793")</f>
        <v>0.045793</v>
      </c>
      <c r="K1791" s="4" t="str">
        <f>HYPERLINK("http://141.218.60.56/~jnz1568/getInfo.php?workbook=16_15.xlsx&amp;sheet=A0&amp;row=1791&amp;col=11&amp;number=3.3282e-06&amp;sourceID=54","3.3282e-06")</f>
        <v>3.3282e-06</v>
      </c>
      <c r="L1791" s="4" t="str">
        <f>HYPERLINK("http://141.218.60.56/~jnz1568/getInfo.php?workbook=16_15.xlsx&amp;sheet=A0&amp;row=1791&amp;col=12&amp;number=&amp;sourceID=53","")</f>
        <v/>
      </c>
      <c r="M1791" s="4" t="str">
        <f>HYPERLINK("http://141.218.60.56/~jnz1568/getInfo.php?workbook=16_15.xlsx&amp;sheet=A0&amp;row=1791&amp;col=13&amp;number=&amp;sourceID=53","")</f>
        <v/>
      </c>
      <c r="N1791" s="4" t="str">
        <f>HYPERLINK("http://141.218.60.56/~jnz1568/getInfo.php?workbook=16_15.xlsx&amp;sheet=A0&amp;row=1791&amp;col=14&amp;number=&amp;sourceID=53","")</f>
        <v/>
      </c>
      <c r="O1791" s="4" t="str">
        <f>HYPERLINK("http://141.218.60.56/~jnz1568/getInfo.php?workbook=16_15.xlsx&amp;sheet=A0&amp;row=1791&amp;col=15&amp;number=&amp;sourceID=55","")</f>
        <v/>
      </c>
      <c r="P1791" s="4" t="str">
        <f>HYPERLINK("http://141.218.60.56/~jnz1568/getInfo.php?workbook=16_15.xlsx&amp;sheet=A0&amp;row=1791&amp;col=16&amp;number=&amp;sourceID=55","")</f>
        <v/>
      </c>
      <c r="Q1791" s="4" t="str">
        <f>HYPERLINK("http://141.218.60.56/~jnz1568/getInfo.php?workbook=16_15.xlsx&amp;sheet=A0&amp;row=1791&amp;col=17&amp;number=&amp;sourceID=56","")</f>
        <v/>
      </c>
      <c r="R1791" s="4" t="str">
        <f>HYPERLINK("http://141.218.60.56/~jnz1568/getInfo.php?workbook=16_15.xlsx&amp;sheet=A0&amp;row=1791&amp;col=18&amp;number=&amp;sourceID=56","")</f>
        <v/>
      </c>
      <c r="S1791" s="4" t="str">
        <f>HYPERLINK("http://141.218.60.56/~jnz1568/getInfo.php?workbook=16_15.xlsx&amp;sheet=A0&amp;row=1791&amp;col=19&amp;number=&amp;sourceID=57","")</f>
        <v/>
      </c>
      <c r="T1791" s="4" t="str">
        <f>HYPERLINK("http://141.218.60.56/~jnz1568/getInfo.php?workbook=16_15.xlsx&amp;sheet=A0&amp;row=1791&amp;col=20&amp;number==&amp;sourceID=57","=")</f>
        <v>=</v>
      </c>
      <c r="U1791" s="4" t="str">
        <f>HYPERLINK("http://141.218.60.56/~jnz1568/getInfo.php?workbook=16_15.xlsx&amp;sheet=A0&amp;row=1791&amp;col=21&amp;number==&amp;sourceID=47","=")</f>
        <v>=</v>
      </c>
      <c r="V1791" s="4" t="str">
        <f>HYPERLINK("http://141.218.60.56/~jnz1568/getInfo.php?workbook=16_15.xlsx&amp;sheet=A0&amp;row=1791&amp;col=22&amp;number=&amp;sourceID=47","")</f>
        <v/>
      </c>
    </row>
    <row r="1792" spans="1:22">
      <c r="A1792" s="3">
        <v>16</v>
      </c>
      <c r="B1792" s="3">
        <v>15</v>
      </c>
      <c r="C1792" s="3">
        <v>67</v>
      </c>
      <c r="D1792" s="3">
        <v>56</v>
      </c>
      <c r="E1792" s="3">
        <f>((1/(INDEX(E0!J$4:J$73,C1792,1)-INDEX(E0!J$4:J$73,D1792,1))))*100000000</f>
        <v>0</v>
      </c>
      <c r="F1792" s="4" t="str">
        <f>HYPERLINK("http://141.218.60.56/~jnz1568/getInfo.php?workbook=16_15.xlsx&amp;sheet=A0&amp;row=1792&amp;col=6&amp;number=227800&amp;sourceID=54","227800")</f>
        <v>227800</v>
      </c>
      <c r="G1792" s="4" t="str">
        <f>HYPERLINK("http://141.218.60.56/~jnz1568/getInfo.php?workbook=16_15.xlsx&amp;sheet=A0&amp;row=1792&amp;col=7&amp;number=&amp;sourceID=54","")</f>
        <v/>
      </c>
      <c r="H1792" s="4" t="str">
        <f>HYPERLINK("http://141.218.60.56/~jnz1568/getInfo.php?workbook=16_15.xlsx&amp;sheet=A0&amp;row=1792&amp;col=8&amp;number=&amp;sourceID=54","")</f>
        <v/>
      </c>
      <c r="I1792" s="4" t="str">
        <f>HYPERLINK("http://141.218.60.56/~jnz1568/getInfo.php?workbook=16_15.xlsx&amp;sheet=A0&amp;row=1792&amp;col=9&amp;number=170580&amp;sourceID=54","170580")</f>
        <v>170580</v>
      </c>
      <c r="J1792" s="4" t="str">
        <f>HYPERLINK("http://141.218.60.56/~jnz1568/getInfo.php?workbook=16_15.xlsx&amp;sheet=A0&amp;row=1792&amp;col=10&amp;number=&amp;sourceID=54","")</f>
        <v/>
      </c>
      <c r="K1792" s="4" t="str">
        <f>HYPERLINK("http://141.218.60.56/~jnz1568/getInfo.php?workbook=16_15.xlsx&amp;sheet=A0&amp;row=1792&amp;col=11&amp;number=&amp;sourceID=54","")</f>
        <v/>
      </c>
      <c r="L1792" s="4" t="str">
        <f>HYPERLINK("http://141.218.60.56/~jnz1568/getInfo.php?workbook=16_15.xlsx&amp;sheet=A0&amp;row=1792&amp;col=12&amp;number=292893.194277&amp;sourceID=53","292893.194277")</f>
        <v>292893.194277</v>
      </c>
      <c r="M1792" s="4" t="str">
        <f>HYPERLINK("http://141.218.60.56/~jnz1568/getInfo.php?workbook=16_15.xlsx&amp;sheet=A0&amp;row=1792&amp;col=13&amp;number=&amp;sourceID=53","")</f>
        <v/>
      </c>
      <c r="N1792" s="4" t="str">
        <f>HYPERLINK("http://141.218.60.56/~jnz1568/getInfo.php?workbook=16_15.xlsx&amp;sheet=A0&amp;row=1792&amp;col=14&amp;number=&amp;sourceID=53","")</f>
        <v/>
      </c>
      <c r="O1792" s="4" t="str">
        <f>HYPERLINK("http://141.218.60.56/~jnz1568/getInfo.php?workbook=16_15.xlsx&amp;sheet=A0&amp;row=1792&amp;col=15&amp;number=&amp;sourceID=55","")</f>
        <v/>
      </c>
      <c r="P1792" s="4" t="str">
        <f>HYPERLINK("http://141.218.60.56/~jnz1568/getInfo.php?workbook=16_15.xlsx&amp;sheet=A0&amp;row=1792&amp;col=16&amp;number=&amp;sourceID=55","")</f>
        <v/>
      </c>
      <c r="Q1792" s="4" t="str">
        <f>HYPERLINK("http://141.218.60.56/~jnz1568/getInfo.php?workbook=16_15.xlsx&amp;sheet=A0&amp;row=1792&amp;col=17&amp;number=&amp;sourceID=56","")</f>
        <v/>
      </c>
      <c r="R1792" s="4" t="str">
        <f>HYPERLINK("http://141.218.60.56/~jnz1568/getInfo.php?workbook=16_15.xlsx&amp;sheet=A0&amp;row=1792&amp;col=18&amp;number=&amp;sourceID=56","")</f>
        <v/>
      </c>
      <c r="S1792" s="4" t="str">
        <f>HYPERLINK("http://141.218.60.56/~jnz1568/getInfo.php?workbook=16_15.xlsx&amp;sheet=A0&amp;row=1792&amp;col=19&amp;number=&amp;sourceID=57","")</f>
        <v/>
      </c>
      <c r="T1792" s="4" t="str">
        <f>HYPERLINK("http://141.218.60.56/~jnz1568/getInfo.php?workbook=16_15.xlsx&amp;sheet=A0&amp;row=1792&amp;col=20&amp;number==&amp;sourceID=57","=")</f>
        <v>=</v>
      </c>
      <c r="U1792" s="4" t="str">
        <f>HYPERLINK("http://141.218.60.56/~jnz1568/getInfo.php?workbook=16_15.xlsx&amp;sheet=A0&amp;row=1792&amp;col=21&amp;number==&amp;sourceID=47","=")</f>
        <v>=</v>
      </c>
      <c r="V1792" s="4" t="str">
        <f>HYPERLINK("http://141.218.60.56/~jnz1568/getInfo.php?workbook=16_15.xlsx&amp;sheet=A0&amp;row=1792&amp;col=22&amp;number=&amp;sourceID=47","")</f>
        <v/>
      </c>
    </row>
    <row r="1793" spans="1:22">
      <c r="A1793" s="3">
        <v>16</v>
      </c>
      <c r="B1793" s="3">
        <v>15</v>
      </c>
      <c r="C1793" s="3">
        <v>67</v>
      </c>
      <c r="D1793" s="3">
        <v>58</v>
      </c>
      <c r="E1793" s="3">
        <f>((1/(INDEX(E0!J$4:J$73,C1793,1)-INDEX(E0!J$4:J$73,D1793,1))))*100000000</f>
        <v>0</v>
      </c>
      <c r="F1793" s="4" t="str">
        <f>HYPERLINK("http://141.218.60.56/~jnz1568/getInfo.php?workbook=16_15.xlsx&amp;sheet=A0&amp;row=1793&amp;col=6&amp;number=90578&amp;sourceID=54","90578")</f>
        <v>90578</v>
      </c>
      <c r="G1793" s="4" t="str">
        <f>HYPERLINK("http://141.218.60.56/~jnz1568/getInfo.php?workbook=16_15.xlsx&amp;sheet=A0&amp;row=1793&amp;col=7&amp;number=&amp;sourceID=54","")</f>
        <v/>
      </c>
      <c r="H1793" s="4" t="str">
        <f>HYPERLINK("http://141.218.60.56/~jnz1568/getInfo.php?workbook=16_15.xlsx&amp;sheet=A0&amp;row=1793&amp;col=8&amp;number=&amp;sourceID=54","")</f>
        <v/>
      </c>
      <c r="I1793" s="4" t="str">
        <f>HYPERLINK("http://141.218.60.56/~jnz1568/getInfo.php?workbook=16_15.xlsx&amp;sheet=A0&amp;row=1793&amp;col=9&amp;number=60443&amp;sourceID=54","60443")</f>
        <v>60443</v>
      </c>
      <c r="J1793" s="4" t="str">
        <f>HYPERLINK("http://141.218.60.56/~jnz1568/getInfo.php?workbook=16_15.xlsx&amp;sheet=A0&amp;row=1793&amp;col=10&amp;number=&amp;sourceID=54","")</f>
        <v/>
      </c>
      <c r="K1793" s="4" t="str">
        <f>HYPERLINK("http://141.218.60.56/~jnz1568/getInfo.php?workbook=16_15.xlsx&amp;sheet=A0&amp;row=1793&amp;col=11&amp;number=&amp;sourceID=54","")</f>
        <v/>
      </c>
      <c r="L1793" s="4" t="str">
        <f>HYPERLINK("http://141.218.60.56/~jnz1568/getInfo.php?workbook=16_15.xlsx&amp;sheet=A0&amp;row=1793&amp;col=12&amp;number=46504.6236515&amp;sourceID=53","46504.6236515")</f>
        <v>46504.6236515</v>
      </c>
      <c r="M1793" s="4" t="str">
        <f>HYPERLINK("http://141.218.60.56/~jnz1568/getInfo.php?workbook=16_15.xlsx&amp;sheet=A0&amp;row=1793&amp;col=13&amp;number=&amp;sourceID=53","")</f>
        <v/>
      </c>
      <c r="N1793" s="4" t="str">
        <f>HYPERLINK("http://141.218.60.56/~jnz1568/getInfo.php?workbook=16_15.xlsx&amp;sheet=A0&amp;row=1793&amp;col=14&amp;number=&amp;sourceID=53","")</f>
        <v/>
      </c>
      <c r="O1793" s="4" t="str">
        <f>HYPERLINK("http://141.218.60.56/~jnz1568/getInfo.php?workbook=16_15.xlsx&amp;sheet=A0&amp;row=1793&amp;col=15&amp;number=&amp;sourceID=55","")</f>
        <v/>
      </c>
      <c r="P1793" s="4" t="str">
        <f>HYPERLINK("http://141.218.60.56/~jnz1568/getInfo.php?workbook=16_15.xlsx&amp;sheet=A0&amp;row=1793&amp;col=16&amp;number=&amp;sourceID=55","")</f>
        <v/>
      </c>
      <c r="Q1793" s="4" t="str">
        <f>HYPERLINK("http://141.218.60.56/~jnz1568/getInfo.php?workbook=16_15.xlsx&amp;sheet=A0&amp;row=1793&amp;col=17&amp;number=&amp;sourceID=56","")</f>
        <v/>
      </c>
      <c r="R1793" s="4" t="str">
        <f>HYPERLINK("http://141.218.60.56/~jnz1568/getInfo.php?workbook=16_15.xlsx&amp;sheet=A0&amp;row=1793&amp;col=18&amp;number=&amp;sourceID=56","")</f>
        <v/>
      </c>
      <c r="S1793" s="4" t="str">
        <f>HYPERLINK("http://141.218.60.56/~jnz1568/getInfo.php?workbook=16_15.xlsx&amp;sheet=A0&amp;row=1793&amp;col=19&amp;number=&amp;sourceID=57","")</f>
        <v/>
      </c>
      <c r="T1793" s="4" t="str">
        <f>HYPERLINK("http://141.218.60.56/~jnz1568/getInfo.php?workbook=16_15.xlsx&amp;sheet=A0&amp;row=1793&amp;col=20&amp;number==&amp;sourceID=57","=")</f>
        <v>=</v>
      </c>
      <c r="U1793" s="4" t="str">
        <f>HYPERLINK("http://141.218.60.56/~jnz1568/getInfo.php?workbook=16_15.xlsx&amp;sheet=A0&amp;row=1793&amp;col=21&amp;number==&amp;sourceID=47","=")</f>
        <v>=</v>
      </c>
      <c r="V1793" s="4" t="str">
        <f>HYPERLINK("http://141.218.60.56/~jnz1568/getInfo.php?workbook=16_15.xlsx&amp;sheet=A0&amp;row=1793&amp;col=22&amp;number=&amp;sourceID=47","")</f>
        <v/>
      </c>
    </row>
    <row r="1794" spans="1:22">
      <c r="A1794" s="3">
        <v>16</v>
      </c>
      <c r="B1794" s="3">
        <v>15</v>
      </c>
      <c r="C1794" s="3">
        <v>67</v>
      </c>
      <c r="D1794" s="3">
        <v>59</v>
      </c>
      <c r="E1794" s="3">
        <f>((1/(INDEX(E0!J$4:J$73,C1794,1)-INDEX(E0!J$4:J$73,D1794,1))))*100000000</f>
        <v>0</v>
      </c>
      <c r="F1794" s="4" t="str">
        <f>HYPERLINK("http://141.218.60.56/~jnz1568/getInfo.php?workbook=16_15.xlsx&amp;sheet=A0&amp;row=1794&amp;col=6&amp;number=429420&amp;sourceID=54","429420")</f>
        <v>429420</v>
      </c>
      <c r="G1794" s="4" t="str">
        <f>HYPERLINK("http://141.218.60.56/~jnz1568/getInfo.php?workbook=16_15.xlsx&amp;sheet=A0&amp;row=1794&amp;col=7&amp;number=&amp;sourceID=54","")</f>
        <v/>
      </c>
      <c r="H1794" s="4" t="str">
        <f>HYPERLINK("http://141.218.60.56/~jnz1568/getInfo.php?workbook=16_15.xlsx&amp;sheet=A0&amp;row=1794&amp;col=8&amp;number=&amp;sourceID=54","")</f>
        <v/>
      </c>
      <c r="I1794" s="4" t="str">
        <f>HYPERLINK("http://141.218.60.56/~jnz1568/getInfo.php?workbook=16_15.xlsx&amp;sheet=A0&amp;row=1794&amp;col=9&amp;number=316700&amp;sourceID=54","316700")</f>
        <v>316700</v>
      </c>
      <c r="J1794" s="4" t="str">
        <f>HYPERLINK("http://141.218.60.56/~jnz1568/getInfo.php?workbook=16_15.xlsx&amp;sheet=A0&amp;row=1794&amp;col=10&amp;number=&amp;sourceID=54","")</f>
        <v/>
      </c>
      <c r="K1794" s="4" t="str">
        <f>HYPERLINK("http://141.218.60.56/~jnz1568/getInfo.php?workbook=16_15.xlsx&amp;sheet=A0&amp;row=1794&amp;col=11&amp;number=&amp;sourceID=54","")</f>
        <v/>
      </c>
      <c r="L1794" s="4" t="str">
        <f>HYPERLINK("http://141.218.60.56/~jnz1568/getInfo.php?workbook=16_15.xlsx&amp;sheet=A0&amp;row=1794&amp;col=12&amp;number=217217.98352&amp;sourceID=53","217217.98352")</f>
        <v>217217.98352</v>
      </c>
      <c r="M1794" s="4" t="str">
        <f>HYPERLINK("http://141.218.60.56/~jnz1568/getInfo.php?workbook=16_15.xlsx&amp;sheet=A0&amp;row=1794&amp;col=13&amp;number=&amp;sourceID=53","")</f>
        <v/>
      </c>
      <c r="N1794" s="4" t="str">
        <f>HYPERLINK("http://141.218.60.56/~jnz1568/getInfo.php?workbook=16_15.xlsx&amp;sheet=A0&amp;row=1794&amp;col=14&amp;number=&amp;sourceID=53","")</f>
        <v/>
      </c>
      <c r="O1794" s="4" t="str">
        <f>HYPERLINK("http://141.218.60.56/~jnz1568/getInfo.php?workbook=16_15.xlsx&amp;sheet=A0&amp;row=1794&amp;col=15&amp;number=&amp;sourceID=55","")</f>
        <v/>
      </c>
      <c r="P1794" s="4" t="str">
        <f>HYPERLINK("http://141.218.60.56/~jnz1568/getInfo.php?workbook=16_15.xlsx&amp;sheet=A0&amp;row=1794&amp;col=16&amp;number=&amp;sourceID=55","")</f>
        <v/>
      </c>
      <c r="Q1794" s="4" t="str">
        <f>HYPERLINK("http://141.218.60.56/~jnz1568/getInfo.php?workbook=16_15.xlsx&amp;sheet=A0&amp;row=1794&amp;col=17&amp;number=&amp;sourceID=56","")</f>
        <v/>
      </c>
      <c r="R1794" s="4" t="str">
        <f>HYPERLINK("http://141.218.60.56/~jnz1568/getInfo.php?workbook=16_15.xlsx&amp;sheet=A0&amp;row=1794&amp;col=18&amp;number=&amp;sourceID=56","")</f>
        <v/>
      </c>
      <c r="S1794" s="4" t="str">
        <f>HYPERLINK("http://141.218.60.56/~jnz1568/getInfo.php?workbook=16_15.xlsx&amp;sheet=A0&amp;row=1794&amp;col=19&amp;number=&amp;sourceID=57","")</f>
        <v/>
      </c>
      <c r="T1794" s="4" t="str">
        <f>HYPERLINK("http://141.218.60.56/~jnz1568/getInfo.php?workbook=16_15.xlsx&amp;sheet=A0&amp;row=1794&amp;col=20&amp;number==&amp;sourceID=57","=")</f>
        <v>=</v>
      </c>
      <c r="U1794" s="4" t="str">
        <f>HYPERLINK("http://141.218.60.56/~jnz1568/getInfo.php?workbook=16_15.xlsx&amp;sheet=A0&amp;row=1794&amp;col=21&amp;number==&amp;sourceID=47","=")</f>
        <v>=</v>
      </c>
      <c r="V1794" s="4" t="str">
        <f>HYPERLINK("http://141.218.60.56/~jnz1568/getInfo.php?workbook=16_15.xlsx&amp;sheet=A0&amp;row=1794&amp;col=22&amp;number=&amp;sourceID=47","")</f>
        <v/>
      </c>
    </row>
    <row r="1795" spans="1:22">
      <c r="A1795" s="3">
        <v>16</v>
      </c>
      <c r="B1795" s="3">
        <v>15</v>
      </c>
      <c r="C1795" s="3">
        <v>67</v>
      </c>
      <c r="D1795" s="3">
        <v>60</v>
      </c>
      <c r="E1795" s="3">
        <f>((1/(INDEX(E0!J$4:J$73,C1795,1)-INDEX(E0!J$4:J$73,D1795,1))))*100000000</f>
        <v>0</v>
      </c>
      <c r="F1795" s="4" t="str">
        <f>HYPERLINK("http://141.218.60.56/~jnz1568/getInfo.php?workbook=16_15.xlsx&amp;sheet=A0&amp;row=1795&amp;col=6&amp;number=642670&amp;sourceID=54","642670")</f>
        <v>642670</v>
      </c>
      <c r="G1795" s="4" t="str">
        <f>HYPERLINK("http://141.218.60.56/~jnz1568/getInfo.php?workbook=16_15.xlsx&amp;sheet=A0&amp;row=1795&amp;col=7&amp;number=&amp;sourceID=54","")</f>
        <v/>
      </c>
      <c r="H1795" s="4" t="str">
        <f>HYPERLINK("http://141.218.60.56/~jnz1568/getInfo.php?workbook=16_15.xlsx&amp;sheet=A0&amp;row=1795&amp;col=8&amp;number=&amp;sourceID=54","")</f>
        <v/>
      </c>
      <c r="I1795" s="4" t="str">
        <f>HYPERLINK("http://141.218.60.56/~jnz1568/getInfo.php?workbook=16_15.xlsx&amp;sheet=A0&amp;row=1795&amp;col=9&amp;number=346900&amp;sourceID=54","346900")</f>
        <v>346900</v>
      </c>
      <c r="J1795" s="4" t="str">
        <f>HYPERLINK("http://141.218.60.56/~jnz1568/getInfo.php?workbook=16_15.xlsx&amp;sheet=A0&amp;row=1795&amp;col=10&amp;number=&amp;sourceID=54","")</f>
        <v/>
      </c>
      <c r="K1795" s="4" t="str">
        <f>HYPERLINK("http://141.218.60.56/~jnz1568/getInfo.php?workbook=16_15.xlsx&amp;sheet=A0&amp;row=1795&amp;col=11&amp;number=&amp;sourceID=54","")</f>
        <v/>
      </c>
      <c r="L1795" s="4" t="str">
        <f>HYPERLINK("http://141.218.60.56/~jnz1568/getInfo.php?workbook=16_15.xlsx&amp;sheet=A0&amp;row=1795&amp;col=12&amp;number=505837.397977&amp;sourceID=53","505837.397977")</f>
        <v>505837.397977</v>
      </c>
      <c r="M1795" s="4" t="str">
        <f>HYPERLINK("http://141.218.60.56/~jnz1568/getInfo.php?workbook=16_15.xlsx&amp;sheet=A0&amp;row=1795&amp;col=13&amp;number=&amp;sourceID=53","")</f>
        <v/>
      </c>
      <c r="N1795" s="4" t="str">
        <f>HYPERLINK("http://141.218.60.56/~jnz1568/getInfo.php?workbook=16_15.xlsx&amp;sheet=A0&amp;row=1795&amp;col=14&amp;number=&amp;sourceID=53","")</f>
        <v/>
      </c>
      <c r="O1795" s="4" t="str">
        <f>HYPERLINK("http://141.218.60.56/~jnz1568/getInfo.php?workbook=16_15.xlsx&amp;sheet=A0&amp;row=1795&amp;col=15&amp;number=&amp;sourceID=55","")</f>
        <v/>
      </c>
      <c r="P1795" s="4" t="str">
        <f>HYPERLINK("http://141.218.60.56/~jnz1568/getInfo.php?workbook=16_15.xlsx&amp;sheet=A0&amp;row=1795&amp;col=16&amp;number=&amp;sourceID=55","")</f>
        <v/>
      </c>
      <c r="Q1795" s="4" t="str">
        <f>HYPERLINK("http://141.218.60.56/~jnz1568/getInfo.php?workbook=16_15.xlsx&amp;sheet=A0&amp;row=1795&amp;col=17&amp;number=&amp;sourceID=56","")</f>
        <v/>
      </c>
      <c r="R1795" s="4" t="str">
        <f>HYPERLINK("http://141.218.60.56/~jnz1568/getInfo.php?workbook=16_15.xlsx&amp;sheet=A0&amp;row=1795&amp;col=18&amp;number=&amp;sourceID=56","")</f>
        <v/>
      </c>
      <c r="S1795" s="4" t="str">
        <f>HYPERLINK("http://141.218.60.56/~jnz1568/getInfo.php?workbook=16_15.xlsx&amp;sheet=A0&amp;row=1795&amp;col=19&amp;number=&amp;sourceID=57","")</f>
        <v/>
      </c>
      <c r="T1795" s="4" t="str">
        <f>HYPERLINK("http://141.218.60.56/~jnz1568/getInfo.php?workbook=16_15.xlsx&amp;sheet=A0&amp;row=1795&amp;col=20&amp;number==&amp;sourceID=57","=")</f>
        <v>=</v>
      </c>
      <c r="U1795" s="4" t="str">
        <f>HYPERLINK("http://141.218.60.56/~jnz1568/getInfo.php?workbook=16_15.xlsx&amp;sheet=A0&amp;row=1795&amp;col=21&amp;number==&amp;sourceID=47","=")</f>
        <v>=</v>
      </c>
      <c r="V1795" s="4" t="str">
        <f>HYPERLINK("http://141.218.60.56/~jnz1568/getInfo.php?workbook=16_15.xlsx&amp;sheet=A0&amp;row=1795&amp;col=22&amp;number=&amp;sourceID=47","")</f>
        <v/>
      </c>
    </row>
    <row r="1796" spans="1:22">
      <c r="A1796" s="3">
        <v>16</v>
      </c>
      <c r="B1796" s="3">
        <v>15</v>
      </c>
      <c r="C1796" s="3">
        <v>67</v>
      </c>
      <c r="D1796" s="3">
        <v>61</v>
      </c>
      <c r="E1796" s="3">
        <f>((1/(INDEX(E0!J$4:J$73,C1796,1)-INDEX(E0!J$4:J$73,D1796,1))))*100000000</f>
        <v>0</v>
      </c>
      <c r="F1796" s="4" t="str">
        <f>HYPERLINK("http://141.218.60.56/~jnz1568/getInfo.php?workbook=16_15.xlsx&amp;sheet=A0&amp;row=1796&amp;col=6&amp;number=110810&amp;sourceID=54","110810")</f>
        <v>110810</v>
      </c>
      <c r="G1796" s="4" t="str">
        <f>HYPERLINK("http://141.218.60.56/~jnz1568/getInfo.php?workbook=16_15.xlsx&amp;sheet=A0&amp;row=1796&amp;col=7&amp;number=&amp;sourceID=54","")</f>
        <v/>
      </c>
      <c r="H1796" s="4" t="str">
        <f>HYPERLINK("http://141.218.60.56/~jnz1568/getInfo.php?workbook=16_15.xlsx&amp;sheet=A0&amp;row=1796&amp;col=8&amp;number=&amp;sourceID=54","")</f>
        <v/>
      </c>
      <c r="I1796" s="4" t="str">
        <f>HYPERLINK("http://141.218.60.56/~jnz1568/getInfo.php?workbook=16_15.xlsx&amp;sheet=A0&amp;row=1796&amp;col=9&amp;number=50439&amp;sourceID=54","50439")</f>
        <v>50439</v>
      </c>
      <c r="J1796" s="4" t="str">
        <f>HYPERLINK("http://141.218.60.56/~jnz1568/getInfo.php?workbook=16_15.xlsx&amp;sheet=A0&amp;row=1796&amp;col=10&amp;number=&amp;sourceID=54","")</f>
        <v/>
      </c>
      <c r="K1796" s="4" t="str">
        <f>HYPERLINK("http://141.218.60.56/~jnz1568/getInfo.php?workbook=16_15.xlsx&amp;sheet=A0&amp;row=1796&amp;col=11&amp;number=&amp;sourceID=54","")</f>
        <v/>
      </c>
      <c r="L1796" s="4" t="str">
        <f>HYPERLINK("http://141.218.60.56/~jnz1568/getInfo.php?workbook=16_15.xlsx&amp;sheet=A0&amp;row=1796&amp;col=12&amp;number=79659.6003121&amp;sourceID=53","79659.6003121")</f>
        <v>79659.6003121</v>
      </c>
      <c r="M1796" s="4" t="str">
        <f>HYPERLINK("http://141.218.60.56/~jnz1568/getInfo.php?workbook=16_15.xlsx&amp;sheet=A0&amp;row=1796&amp;col=13&amp;number=&amp;sourceID=53","")</f>
        <v/>
      </c>
      <c r="N1796" s="4" t="str">
        <f>HYPERLINK("http://141.218.60.56/~jnz1568/getInfo.php?workbook=16_15.xlsx&amp;sheet=A0&amp;row=1796&amp;col=14&amp;number=&amp;sourceID=53","")</f>
        <v/>
      </c>
      <c r="O1796" s="4" t="str">
        <f>HYPERLINK("http://141.218.60.56/~jnz1568/getInfo.php?workbook=16_15.xlsx&amp;sheet=A0&amp;row=1796&amp;col=15&amp;number=&amp;sourceID=55","")</f>
        <v/>
      </c>
      <c r="P1796" s="4" t="str">
        <f>HYPERLINK("http://141.218.60.56/~jnz1568/getInfo.php?workbook=16_15.xlsx&amp;sheet=A0&amp;row=1796&amp;col=16&amp;number=&amp;sourceID=55","")</f>
        <v/>
      </c>
      <c r="Q1796" s="4" t="str">
        <f>HYPERLINK("http://141.218.60.56/~jnz1568/getInfo.php?workbook=16_15.xlsx&amp;sheet=A0&amp;row=1796&amp;col=17&amp;number=&amp;sourceID=56","")</f>
        <v/>
      </c>
      <c r="R1796" s="4" t="str">
        <f>HYPERLINK("http://141.218.60.56/~jnz1568/getInfo.php?workbook=16_15.xlsx&amp;sheet=A0&amp;row=1796&amp;col=18&amp;number=&amp;sourceID=56","")</f>
        <v/>
      </c>
      <c r="S1796" s="4" t="str">
        <f>HYPERLINK("http://141.218.60.56/~jnz1568/getInfo.php?workbook=16_15.xlsx&amp;sheet=A0&amp;row=1796&amp;col=19&amp;number=&amp;sourceID=57","")</f>
        <v/>
      </c>
      <c r="T1796" s="4" t="str">
        <f>HYPERLINK("http://141.218.60.56/~jnz1568/getInfo.php?workbook=16_15.xlsx&amp;sheet=A0&amp;row=1796&amp;col=20&amp;number==&amp;sourceID=57","=")</f>
        <v>=</v>
      </c>
      <c r="U1796" s="4" t="str">
        <f>HYPERLINK("http://141.218.60.56/~jnz1568/getInfo.php?workbook=16_15.xlsx&amp;sheet=A0&amp;row=1796&amp;col=21&amp;number==&amp;sourceID=47","=")</f>
        <v>=</v>
      </c>
      <c r="V1796" s="4" t="str">
        <f>HYPERLINK("http://141.218.60.56/~jnz1568/getInfo.php?workbook=16_15.xlsx&amp;sheet=A0&amp;row=1796&amp;col=22&amp;number=&amp;sourceID=47","")</f>
        <v/>
      </c>
    </row>
    <row r="1797" spans="1:22">
      <c r="A1797" s="3">
        <v>16</v>
      </c>
      <c r="B1797" s="3">
        <v>15</v>
      </c>
      <c r="C1797" s="3">
        <v>67</v>
      </c>
      <c r="D1797" s="3">
        <v>62</v>
      </c>
      <c r="E1797" s="3">
        <f>((1/(INDEX(E0!J$4:J$73,C1797,1)-INDEX(E0!J$4:J$73,D1797,1))))*100000000</f>
        <v>0</v>
      </c>
      <c r="F1797" s="4" t="str">
        <f>HYPERLINK("http://141.218.60.56/~jnz1568/getInfo.php?workbook=16_15.xlsx&amp;sheet=A0&amp;row=1797&amp;col=6&amp;number=&amp;sourceID=54","")</f>
        <v/>
      </c>
      <c r="G1797" s="4" t="str">
        <f>HYPERLINK("http://141.218.60.56/~jnz1568/getInfo.php?workbook=16_15.xlsx&amp;sheet=A0&amp;row=1797&amp;col=7&amp;number=0.0039933&amp;sourceID=54","0.0039933")</f>
        <v>0.0039933</v>
      </c>
      <c r="H1797" s="4" t="str">
        <f>HYPERLINK("http://141.218.60.56/~jnz1568/getInfo.php?workbook=16_15.xlsx&amp;sheet=A0&amp;row=1797&amp;col=8&amp;number=0.001814&amp;sourceID=54","0.001814")</f>
        <v>0.001814</v>
      </c>
      <c r="I1797" s="4" t="str">
        <f>HYPERLINK("http://141.218.60.56/~jnz1568/getInfo.php?workbook=16_15.xlsx&amp;sheet=A0&amp;row=1797&amp;col=9&amp;number=&amp;sourceID=54","")</f>
        <v/>
      </c>
      <c r="J1797" s="4" t="str">
        <f>HYPERLINK("http://141.218.60.56/~jnz1568/getInfo.php?workbook=16_15.xlsx&amp;sheet=A0&amp;row=1797&amp;col=10&amp;number=0.0019837&amp;sourceID=54","0.0019837")</f>
        <v>0.0019837</v>
      </c>
      <c r="K1797" s="4" t="str">
        <f>HYPERLINK("http://141.218.60.56/~jnz1568/getInfo.php?workbook=16_15.xlsx&amp;sheet=A0&amp;row=1797&amp;col=11&amp;number=0.0012488&amp;sourceID=54","0.0012488")</f>
        <v>0.0012488</v>
      </c>
      <c r="L1797" s="4" t="str">
        <f>HYPERLINK("http://141.218.60.56/~jnz1568/getInfo.php?workbook=16_15.xlsx&amp;sheet=A0&amp;row=1797&amp;col=12&amp;number=&amp;sourceID=53","")</f>
        <v/>
      </c>
      <c r="M1797" s="4" t="str">
        <f>HYPERLINK("http://141.218.60.56/~jnz1568/getInfo.php?workbook=16_15.xlsx&amp;sheet=A0&amp;row=1797&amp;col=13&amp;number=&amp;sourceID=53","")</f>
        <v/>
      </c>
      <c r="N1797" s="4" t="str">
        <f>HYPERLINK("http://141.218.60.56/~jnz1568/getInfo.php?workbook=16_15.xlsx&amp;sheet=A0&amp;row=1797&amp;col=14&amp;number=&amp;sourceID=53","")</f>
        <v/>
      </c>
      <c r="O1797" s="4" t="str">
        <f>HYPERLINK("http://141.218.60.56/~jnz1568/getInfo.php?workbook=16_15.xlsx&amp;sheet=A0&amp;row=1797&amp;col=15&amp;number=&amp;sourceID=55","")</f>
        <v/>
      </c>
      <c r="P1797" s="4" t="str">
        <f>HYPERLINK("http://141.218.60.56/~jnz1568/getInfo.php?workbook=16_15.xlsx&amp;sheet=A0&amp;row=1797&amp;col=16&amp;number=&amp;sourceID=55","")</f>
        <v/>
      </c>
      <c r="Q1797" s="4" t="str">
        <f>HYPERLINK("http://141.218.60.56/~jnz1568/getInfo.php?workbook=16_15.xlsx&amp;sheet=A0&amp;row=1797&amp;col=17&amp;number=&amp;sourceID=56","")</f>
        <v/>
      </c>
      <c r="R1797" s="4" t="str">
        <f>HYPERLINK("http://141.218.60.56/~jnz1568/getInfo.php?workbook=16_15.xlsx&amp;sheet=A0&amp;row=1797&amp;col=18&amp;number=&amp;sourceID=56","")</f>
        <v/>
      </c>
      <c r="S1797" s="4" t="str">
        <f>HYPERLINK("http://141.218.60.56/~jnz1568/getInfo.php?workbook=16_15.xlsx&amp;sheet=A0&amp;row=1797&amp;col=19&amp;number=&amp;sourceID=57","")</f>
        <v/>
      </c>
      <c r="T1797" s="4" t="str">
        <f>HYPERLINK("http://141.218.60.56/~jnz1568/getInfo.php?workbook=16_15.xlsx&amp;sheet=A0&amp;row=1797&amp;col=20&amp;number==&amp;sourceID=57","=")</f>
        <v>=</v>
      </c>
      <c r="U1797" s="4" t="str">
        <f>HYPERLINK("http://141.218.60.56/~jnz1568/getInfo.php?workbook=16_15.xlsx&amp;sheet=A0&amp;row=1797&amp;col=21&amp;number==&amp;sourceID=47","=")</f>
        <v>=</v>
      </c>
      <c r="V1797" s="4" t="str">
        <f>HYPERLINK("http://141.218.60.56/~jnz1568/getInfo.php?workbook=16_15.xlsx&amp;sheet=A0&amp;row=1797&amp;col=22&amp;number=&amp;sourceID=47","")</f>
        <v/>
      </c>
    </row>
    <row r="1798" spans="1:22">
      <c r="A1798" s="3">
        <v>16</v>
      </c>
      <c r="B1798" s="3">
        <v>15</v>
      </c>
      <c r="C1798" s="3">
        <v>67</v>
      </c>
      <c r="D1798" s="3">
        <v>63</v>
      </c>
      <c r="E1798" s="3">
        <f>((1/(INDEX(E0!J$4:J$73,C1798,1)-INDEX(E0!J$4:J$73,D1798,1))))*100000000</f>
        <v>0</v>
      </c>
      <c r="F1798" s="4" t="str">
        <f>HYPERLINK("http://141.218.60.56/~jnz1568/getInfo.php?workbook=16_15.xlsx&amp;sheet=A0&amp;row=1798&amp;col=6&amp;number=&amp;sourceID=54","")</f>
        <v/>
      </c>
      <c r="G1798" s="4" t="str">
        <f>HYPERLINK("http://141.218.60.56/~jnz1568/getInfo.php?workbook=16_15.xlsx&amp;sheet=A0&amp;row=1798&amp;col=7&amp;number=0.0097823&amp;sourceID=54","0.0097823")</f>
        <v>0.0097823</v>
      </c>
      <c r="H1798" s="4" t="str">
        <f>HYPERLINK("http://141.218.60.56/~jnz1568/getInfo.php?workbook=16_15.xlsx&amp;sheet=A0&amp;row=1798&amp;col=8&amp;number=6.2142e-05&amp;sourceID=54","6.2142e-05")</f>
        <v>6.2142e-05</v>
      </c>
      <c r="I1798" s="4" t="str">
        <f>HYPERLINK("http://141.218.60.56/~jnz1568/getInfo.php?workbook=16_15.xlsx&amp;sheet=A0&amp;row=1798&amp;col=9&amp;number=&amp;sourceID=54","")</f>
        <v/>
      </c>
      <c r="J1798" s="4" t="str">
        <f>HYPERLINK("http://141.218.60.56/~jnz1568/getInfo.php?workbook=16_15.xlsx&amp;sheet=A0&amp;row=1798&amp;col=10&amp;number=0.0049083&amp;sourceID=54","0.0049083")</f>
        <v>0.0049083</v>
      </c>
      <c r="K1798" s="4" t="str">
        <f>HYPERLINK("http://141.218.60.56/~jnz1568/getInfo.php?workbook=16_15.xlsx&amp;sheet=A0&amp;row=1798&amp;col=11&amp;number=5.9955e-05&amp;sourceID=54","5.9955e-05")</f>
        <v>5.9955e-05</v>
      </c>
      <c r="L1798" s="4" t="str">
        <f>HYPERLINK("http://141.218.60.56/~jnz1568/getInfo.php?workbook=16_15.xlsx&amp;sheet=A0&amp;row=1798&amp;col=12&amp;number=&amp;sourceID=53","")</f>
        <v/>
      </c>
      <c r="M1798" s="4" t="str">
        <f>HYPERLINK("http://141.218.60.56/~jnz1568/getInfo.php?workbook=16_15.xlsx&amp;sheet=A0&amp;row=1798&amp;col=13&amp;number=&amp;sourceID=53","")</f>
        <v/>
      </c>
      <c r="N1798" s="4" t="str">
        <f>HYPERLINK("http://141.218.60.56/~jnz1568/getInfo.php?workbook=16_15.xlsx&amp;sheet=A0&amp;row=1798&amp;col=14&amp;number=&amp;sourceID=53","")</f>
        <v/>
      </c>
      <c r="O1798" s="4" t="str">
        <f>HYPERLINK("http://141.218.60.56/~jnz1568/getInfo.php?workbook=16_15.xlsx&amp;sheet=A0&amp;row=1798&amp;col=15&amp;number=&amp;sourceID=55","")</f>
        <v/>
      </c>
      <c r="P1798" s="4" t="str">
        <f>HYPERLINK("http://141.218.60.56/~jnz1568/getInfo.php?workbook=16_15.xlsx&amp;sheet=A0&amp;row=1798&amp;col=16&amp;number=&amp;sourceID=55","")</f>
        <v/>
      </c>
      <c r="Q1798" s="4" t="str">
        <f>HYPERLINK("http://141.218.60.56/~jnz1568/getInfo.php?workbook=16_15.xlsx&amp;sheet=A0&amp;row=1798&amp;col=17&amp;number=&amp;sourceID=56","")</f>
        <v/>
      </c>
      <c r="R1798" s="4" t="str">
        <f>HYPERLINK("http://141.218.60.56/~jnz1568/getInfo.php?workbook=16_15.xlsx&amp;sheet=A0&amp;row=1798&amp;col=18&amp;number=&amp;sourceID=56","")</f>
        <v/>
      </c>
      <c r="S1798" s="4" t="str">
        <f>HYPERLINK("http://141.218.60.56/~jnz1568/getInfo.php?workbook=16_15.xlsx&amp;sheet=A0&amp;row=1798&amp;col=19&amp;number=&amp;sourceID=57","")</f>
        <v/>
      </c>
      <c r="T1798" s="4" t="str">
        <f>HYPERLINK("http://141.218.60.56/~jnz1568/getInfo.php?workbook=16_15.xlsx&amp;sheet=A0&amp;row=1798&amp;col=20&amp;number==&amp;sourceID=57","=")</f>
        <v>=</v>
      </c>
      <c r="U1798" s="4" t="str">
        <f>HYPERLINK("http://141.218.60.56/~jnz1568/getInfo.php?workbook=16_15.xlsx&amp;sheet=A0&amp;row=1798&amp;col=21&amp;number==&amp;sourceID=47","=")</f>
        <v>=</v>
      </c>
      <c r="V1798" s="4" t="str">
        <f>HYPERLINK("http://141.218.60.56/~jnz1568/getInfo.php?workbook=16_15.xlsx&amp;sheet=A0&amp;row=1798&amp;col=22&amp;number=&amp;sourceID=47","")</f>
        <v/>
      </c>
    </row>
    <row r="1799" spans="1:22">
      <c r="A1799" s="3">
        <v>16</v>
      </c>
      <c r="B1799" s="3">
        <v>15</v>
      </c>
      <c r="C1799" s="3">
        <v>67</v>
      </c>
      <c r="D1799" s="3">
        <v>64</v>
      </c>
      <c r="E1799" s="3">
        <f>((1/(INDEX(E0!J$4:J$73,C1799,1)-INDEX(E0!J$4:J$73,D1799,1))))*100000000</f>
        <v>0</v>
      </c>
      <c r="F1799" s="4" t="str">
        <f>HYPERLINK("http://141.218.60.56/~jnz1568/getInfo.php?workbook=16_15.xlsx&amp;sheet=A0&amp;row=1799&amp;col=6&amp;number=&amp;sourceID=54","")</f>
        <v/>
      </c>
      <c r="G1799" s="4" t="str">
        <f>HYPERLINK("http://141.218.60.56/~jnz1568/getInfo.php?workbook=16_15.xlsx&amp;sheet=A0&amp;row=1799&amp;col=7&amp;number=0.004577&amp;sourceID=54","0.004577")</f>
        <v>0.004577</v>
      </c>
      <c r="H1799" s="4" t="str">
        <f>HYPERLINK("http://141.218.60.56/~jnz1568/getInfo.php?workbook=16_15.xlsx&amp;sheet=A0&amp;row=1799&amp;col=8&amp;number=0.0008643&amp;sourceID=54","0.0008643")</f>
        <v>0.0008643</v>
      </c>
      <c r="I1799" s="4" t="str">
        <f>HYPERLINK("http://141.218.60.56/~jnz1568/getInfo.php?workbook=16_15.xlsx&amp;sheet=A0&amp;row=1799&amp;col=9&amp;number=&amp;sourceID=54","")</f>
        <v/>
      </c>
      <c r="J1799" s="4" t="str">
        <f>HYPERLINK("http://141.218.60.56/~jnz1568/getInfo.php?workbook=16_15.xlsx&amp;sheet=A0&amp;row=1799&amp;col=10&amp;number=0.00065587&amp;sourceID=54","0.00065587")</f>
        <v>0.00065587</v>
      </c>
      <c r="K1799" s="4" t="str">
        <f>HYPERLINK("http://141.218.60.56/~jnz1568/getInfo.php?workbook=16_15.xlsx&amp;sheet=A0&amp;row=1799&amp;col=11&amp;number=0.041955&amp;sourceID=54","0.041955")</f>
        <v>0.041955</v>
      </c>
      <c r="L1799" s="4" t="str">
        <f>HYPERLINK("http://141.218.60.56/~jnz1568/getInfo.php?workbook=16_15.xlsx&amp;sheet=A0&amp;row=1799&amp;col=12&amp;number=&amp;sourceID=53","")</f>
        <v/>
      </c>
      <c r="M1799" s="4" t="str">
        <f>HYPERLINK("http://141.218.60.56/~jnz1568/getInfo.php?workbook=16_15.xlsx&amp;sheet=A0&amp;row=1799&amp;col=13&amp;number=&amp;sourceID=53","")</f>
        <v/>
      </c>
      <c r="N1799" s="4" t="str">
        <f>HYPERLINK("http://141.218.60.56/~jnz1568/getInfo.php?workbook=16_15.xlsx&amp;sheet=A0&amp;row=1799&amp;col=14&amp;number=&amp;sourceID=53","")</f>
        <v/>
      </c>
      <c r="O1799" s="4" t="str">
        <f>HYPERLINK("http://141.218.60.56/~jnz1568/getInfo.php?workbook=16_15.xlsx&amp;sheet=A0&amp;row=1799&amp;col=15&amp;number=&amp;sourceID=55","")</f>
        <v/>
      </c>
      <c r="P1799" s="4" t="str">
        <f>HYPERLINK("http://141.218.60.56/~jnz1568/getInfo.php?workbook=16_15.xlsx&amp;sheet=A0&amp;row=1799&amp;col=16&amp;number=&amp;sourceID=55","")</f>
        <v/>
      </c>
      <c r="Q1799" s="4" t="str">
        <f>HYPERLINK("http://141.218.60.56/~jnz1568/getInfo.php?workbook=16_15.xlsx&amp;sheet=A0&amp;row=1799&amp;col=17&amp;number=&amp;sourceID=56","")</f>
        <v/>
      </c>
      <c r="R1799" s="4" t="str">
        <f>HYPERLINK("http://141.218.60.56/~jnz1568/getInfo.php?workbook=16_15.xlsx&amp;sheet=A0&amp;row=1799&amp;col=18&amp;number=&amp;sourceID=56","")</f>
        <v/>
      </c>
      <c r="S1799" s="4" t="str">
        <f>HYPERLINK("http://141.218.60.56/~jnz1568/getInfo.php?workbook=16_15.xlsx&amp;sheet=A0&amp;row=1799&amp;col=19&amp;number=&amp;sourceID=57","")</f>
        <v/>
      </c>
      <c r="T1799" s="4" t="str">
        <f>HYPERLINK("http://141.218.60.56/~jnz1568/getInfo.php?workbook=16_15.xlsx&amp;sheet=A0&amp;row=1799&amp;col=20&amp;number==&amp;sourceID=57","=")</f>
        <v>=</v>
      </c>
      <c r="U1799" s="4" t="str">
        <f>HYPERLINK("http://141.218.60.56/~jnz1568/getInfo.php?workbook=16_15.xlsx&amp;sheet=A0&amp;row=1799&amp;col=21&amp;number==&amp;sourceID=47","=")</f>
        <v>=</v>
      </c>
      <c r="V1799" s="4" t="str">
        <f>HYPERLINK("http://141.218.60.56/~jnz1568/getInfo.php?workbook=16_15.xlsx&amp;sheet=A0&amp;row=1799&amp;col=22&amp;number=&amp;sourceID=47","")</f>
        <v/>
      </c>
    </row>
    <row r="1800" spans="1:22">
      <c r="A1800" s="3">
        <v>16</v>
      </c>
      <c r="B1800" s="3">
        <v>15</v>
      </c>
      <c r="C1800" s="3">
        <v>67</v>
      </c>
      <c r="D1800" s="3">
        <v>65</v>
      </c>
      <c r="E1800" s="3">
        <f>((1/(INDEX(E0!J$4:J$73,C1800,1)-INDEX(E0!J$4:J$73,D1800,1))))*100000000</f>
        <v>0</v>
      </c>
      <c r="F1800" s="4" t="str">
        <f>HYPERLINK("http://141.218.60.56/~jnz1568/getInfo.php?workbook=16_15.xlsx&amp;sheet=A0&amp;row=1800&amp;col=6&amp;number=&amp;sourceID=54","")</f>
        <v/>
      </c>
      <c r="G1800" s="4" t="str">
        <f>HYPERLINK("http://141.218.60.56/~jnz1568/getInfo.php?workbook=16_15.xlsx&amp;sheet=A0&amp;row=1800&amp;col=7&amp;number=0.00077927&amp;sourceID=54","0.00077927")</f>
        <v>0.00077927</v>
      </c>
      <c r="H1800" s="4" t="str">
        <f>HYPERLINK("http://141.218.60.56/~jnz1568/getInfo.php?workbook=16_15.xlsx&amp;sheet=A0&amp;row=1800&amp;col=8&amp;number=0.0042534&amp;sourceID=54","0.0042534")</f>
        <v>0.0042534</v>
      </c>
      <c r="I1800" s="4" t="str">
        <f>HYPERLINK("http://141.218.60.56/~jnz1568/getInfo.php?workbook=16_15.xlsx&amp;sheet=A0&amp;row=1800&amp;col=9&amp;number=&amp;sourceID=54","")</f>
        <v/>
      </c>
      <c r="J1800" s="4" t="str">
        <f>HYPERLINK("http://141.218.60.56/~jnz1568/getInfo.php?workbook=16_15.xlsx&amp;sheet=A0&amp;row=1800&amp;col=10&amp;number=0.00015824&amp;sourceID=54","0.00015824")</f>
        <v>0.00015824</v>
      </c>
      <c r="K1800" s="4" t="str">
        <f>HYPERLINK("http://141.218.60.56/~jnz1568/getInfo.php?workbook=16_15.xlsx&amp;sheet=A0&amp;row=1800&amp;col=11&amp;number=0.0025545&amp;sourceID=54","0.0025545")</f>
        <v>0.0025545</v>
      </c>
      <c r="L1800" s="4" t="str">
        <f>HYPERLINK("http://141.218.60.56/~jnz1568/getInfo.php?workbook=16_15.xlsx&amp;sheet=A0&amp;row=1800&amp;col=12&amp;number=&amp;sourceID=53","")</f>
        <v/>
      </c>
      <c r="M1800" s="4" t="str">
        <f>HYPERLINK("http://141.218.60.56/~jnz1568/getInfo.php?workbook=16_15.xlsx&amp;sheet=A0&amp;row=1800&amp;col=13&amp;number=&amp;sourceID=53","")</f>
        <v/>
      </c>
      <c r="N1800" s="4" t="str">
        <f>HYPERLINK("http://141.218.60.56/~jnz1568/getInfo.php?workbook=16_15.xlsx&amp;sheet=A0&amp;row=1800&amp;col=14&amp;number=&amp;sourceID=53","")</f>
        <v/>
      </c>
      <c r="O1800" s="4" t="str">
        <f>HYPERLINK("http://141.218.60.56/~jnz1568/getInfo.php?workbook=16_15.xlsx&amp;sheet=A0&amp;row=1800&amp;col=15&amp;number=&amp;sourceID=55","")</f>
        <v/>
      </c>
      <c r="P1800" s="4" t="str">
        <f>HYPERLINK("http://141.218.60.56/~jnz1568/getInfo.php?workbook=16_15.xlsx&amp;sheet=A0&amp;row=1800&amp;col=16&amp;number=&amp;sourceID=55","")</f>
        <v/>
      </c>
      <c r="Q1800" s="4" t="str">
        <f>HYPERLINK("http://141.218.60.56/~jnz1568/getInfo.php?workbook=16_15.xlsx&amp;sheet=A0&amp;row=1800&amp;col=17&amp;number=&amp;sourceID=56","")</f>
        <v/>
      </c>
      <c r="R1800" s="4" t="str">
        <f>HYPERLINK("http://141.218.60.56/~jnz1568/getInfo.php?workbook=16_15.xlsx&amp;sheet=A0&amp;row=1800&amp;col=18&amp;number=&amp;sourceID=56","")</f>
        <v/>
      </c>
      <c r="S1800" s="4" t="str">
        <f>HYPERLINK("http://141.218.60.56/~jnz1568/getInfo.php?workbook=16_15.xlsx&amp;sheet=A0&amp;row=1800&amp;col=19&amp;number=&amp;sourceID=57","")</f>
        <v/>
      </c>
      <c r="T1800" s="4" t="str">
        <f>HYPERLINK("http://141.218.60.56/~jnz1568/getInfo.php?workbook=16_15.xlsx&amp;sheet=A0&amp;row=1800&amp;col=20&amp;number==&amp;sourceID=57","=")</f>
        <v>=</v>
      </c>
      <c r="U1800" s="4" t="str">
        <f>HYPERLINK("http://141.218.60.56/~jnz1568/getInfo.php?workbook=16_15.xlsx&amp;sheet=A0&amp;row=1800&amp;col=21&amp;number==&amp;sourceID=47","=")</f>
        <v>=</v>
      </c>
      <c r="V1800" s="4" t="str">
        <f>HYPERLINK("http://141.218.60.56/~jnz1568/getInfo.php?workbook=16_15.xlsx&amp;sheet=A0&amp;row=1800&amp;col=22&amp;number=&amp;sourceID=47","")</f>
        <v/>
      </c>
    </row>
    <row r="1801" spans="1:22">
      <c r="A1801" s="3">
        <v>16</v>
      </c>
      <c r="B1801" s="3">
        <v>15</v>
      </c>
      <c r="C1801" s="3">
        <v>67</v>
      </c>
      <c r="D1801" s="3">
        <v>66</v>
      </c>
      <c r="E1801" s="3">
        <f>((1/(INDEX(E0!J$4:J$73,C1801,1)-INDEX(E0!J$4:J$73,D1801,1))))*100000000</f>
        <v>0</v>
      </c>
      <c r="F1801" s="4" t="str">
        <f>HYPERLINK("http://141.218.60.56/~jnz1568/getInfo.php?workbook=16_15.xlsx&amp;sheet=A0&amp;row=1801&amp;col=6&amp;number=&amp;sourceID=54","")</f>
        <v/>
      </c>
      <c r="G1801" s="4" t="str">
        <f>HYPERLINK("http://141.218.60.56/~jnz1568/getInfo.php?workbook=16_15.xlsx&amp;sheet=A0&amp;row=1801&amp;col=7&amp;number=6.0997e-11&amp;sourceID=54","6.0997e-11")</f>
        <v>6.0997e-11</v>
      </c>
      <c r="H1801" s="4" t="str">
        <f>HYPERLINK("http://141.218.60.56/~jnz1568/getInfo.php?workbook=16_15.xlsx&amp;sheet=A0&amp;row=1801&amp;col=8&amp;number=7.0735e-05&amp;sourceID=54","7.0735e-05")</f>
        <v>7.0735e-05</v>
      </c>
      <c r="I1801" s="4" t="str">
        <f>HYPERLINK("http://141.218.60.56/~jnz1568/getInfo.php?workbook=16_15.xlsx&amp;sheet=A0&amp;row=1801&amp;col=9&amp;number=&amp;sourceID=54","")</f>
        <v/>
      </c>
      <c r="J1801" s="4" t="str">
        <f>HYPERLINK("http://141.218.60.56/~jnz1568/getInfo.php?workbook=16_15.xlsx&amp;sheet=A0&amp;row=1801&amp;col=10&amp;number=6.41e-13&amp;sourceID=54","6.41e-13")</f>
        <v>6.41e-13</v>
      </c>
      <c r="K1801" s="4" t="str">
        <f>HYPERLINK("http://141.218.60.56/~jnz1568/getInfo.php?workbook=16_15.xlsx&amp;sheet=A0&amp;row=1801&amp;col=11&amp;number=5.1075e-06&amp;sourceID=54","5.1075e-06")</f>
        <v>5.1075e-06</v>
      </c>
      <c r="L1801" s="4" t="str">
        <f>HYPERLINK("http://141.218.60.56/~jnz1568/getInfo.php?workbook=16_15.xlsx&amp;sheet=A0&amp;row=1801&amp;col=12&amp;number=&amp;sourceID=53","")</f>
        <v/>
      </c>
      <c r="M1801" s="4" t="str">
        <f>HYPERLINK("http://141.218.60.56/~jnz1568/getInfo.php?workbook=16_15.xlsx&amp;sheet=A0&amp;row=1801&amp;col=13&amp;number=&amp;sourceID=53","")</f>
        <v/>
      </c>
      <c r="N1801" s="4" t="str">
        <f>HYPERLINK("http://141.218.60.56/~jnz1568/getInfo.php?workbook=16_15.xlsx&amp;sheet=A0&amp;row=1801&amp;col=14&amp;number=&amp;sourceID=53","")</f>
        <v/>
      </c>
      <c r="O1801" s="4" t="str">
        <f>HYPERLINK("http://141.218.60.56/~jnz1568/getInfo.php?workbook=16_15.xlsx&amp;sheet=A0&amp;row=1801&amp;col=15&amp;number=&amp;sourceID=55","")</f>
        <v/>
      </c>
      <c r="P1801" s="4" t="str">
        <f>HYPERLINK("http://141.218.60.56/~jnz1568/getInfo.php?workbook=16_15.xlsx&amp;sheet=A0&amp;row=1801&amp;col=16&amp;number=&amp;sourceID=55","")</f>
        <v/>
      </c>
      <c r="Q1801" s="4" t="str">
        <f>HYPERLINK("http://141.218.60.56/~jnz1568/getInfo.php?workbook=16_15.xlsx&amp;sheet=A0&amp;row=1801&amp;col=17&amp;number=&amp;sourceID=56","")</f>
        <v/>
      </c>
      <c r="R1801" s="4" t="str">
        <f>HYPERLINK("http://141.218.60.56/~jnz1568/getInfo.php?workbook=16_15.xlsx&amp;sheet=A0&amp;row=1801&amp;col=18&amp;number=&amp;sourceID=56","")</f>
        <v/>
      </c>
      <c r="S1801" s="4" t="str">
        <f>HYPERLINK("http://141.218.60.56/~jnz1568/getInfo.php?workbook=16_15.xlsx&amp;sheet=A0&amp;row=1801&amp;col=19&amp;number=&amp;sourceID=57","")</f>
        <v/>
      </c>
      <c r="T1801" s="4" t="str">
        <f>HYPERLINK("http://141.218.60.56/~jnz1568/getInfo.php?workbook=16_15.xlsx&amp;sheet=A0&amp;row=1801&amp;col=20&amp;number==&amp;sourceID=57","=")</f>
        <v>=</v>
      </c>
      <c r="U1801" s="4" t="str">
        <f>HYPERLINK("http://141.218.60.56/~jnz1568/getInfo.php?workbook=16_15.xlsx&amp;sheet=A0&amp;row=1801&amp;col=21&amp;number==&amp;sourceID=47","=")</f>
        <v>=</v>
      </c>
      <c r="V1801" s="4" t="str">
        <f>HYPERLINK("http://141.218.60.56/~jnz1568/getInfo.php?workbook=16_15.xlsx&amp;sheet=A0&amp;row=1801&amp;col=22&amp;number=&amp;sourceID=47","")</f>
        <v/>
      </c>
    </row>
    <row r="1802" spans="1:22">
      <c r="A1802" s="3">
        <v>16</v>
      </c>
      <c r="B1802" s="3">
        <v>15</v>
      </c>
      <c r="C1802" s="3">
        <v>68</v>
      </c>
      <c r="D1802" s="3">
        <v>1</v>
      </c>
      <c r="E1802" s="3">
        <f>((1/(INDEX(E0!J$4:J$73,C1802,1)-INDEX(E0!J$4:J$73,D1802,1))))*100000000</f>
        <v>0</v>
      </c>
      <c r="F1802" s="4" t="str">
        <f>HYPERLINK("http://141.218.60.56/~jnz1568/getInfo.php?workbook=16_15.xlsx&amp;sheet=A0&amp;row=1802&amp;col=6&amp;number=&amp;sourceID=54","")</f>
        <v/>
      </c>
      <c r="G1802" s="4" t="str">
        <f>HYPERLINK("http://141.218.60.56/~jnz1568/getInfo.php?workbook=16_15.xlsx&amp;sheet=A0&amp;row=1802&amp;col=7&amp;number=&amp;sourceID=54","")</f>
        <v/>
      </c>
      <c r="H1802" s="4" t="str">
        <f>HYPERLINK("http://141.218.60.56/~jnz1568/getInfo.php?workbook=16_15.xlsx&amp;sheet=A0&amp;row=1802&amp;col=8&amp;number=&amp;sourceID=54","")</f>
        <v/>
      </c>
      <c r="I1802" s="4" t="str">
        <f>HYPERLINK("http://141.218.60.56/~jnz1568/getInfo.php?workbook=16_15.xlsx&amp;sheet=A0&amp;row=1802&amp;col=9&amp;number=&amp;sourceID=54","")</f>
        <v/>
      </c>
      <c r="J1802" s="4" t="str">
        <f>HYPERLINK("http://141.218.60.56/~jnz1568/getInfo.php?workbook=16_15.xlsx&amp;sheet=A0&amp;row=1802&amp;col=10&amp;number=&amp;sourceID=54","")</f>
        <v/>
      </c>
      <c r="K1802" s="4" t="str">
        <f>HYPERLINK("http://141.218.60.56/~jnz1568/getInfo.php?workbook=16_15.xlsx&amp;sheet=A0&amp;row=1802&amp;col=11&amp;number=&amp;sourceID=54","")</f>
        <v/>
      </c>
      <c r="L1802" s="4" t="str">
        <f>HYPERLINK("http://141.218.60.56/~jnz1568/getInfo.php?workbook=16_15.xlsx&amp;sheet=A0&amp;row=1802&amp;col=12&amp;number=1533445.6837&amp;sourceID=53","1533445.6837")</f>
        <v>1533445.6837</v>
      </c>
      <c r="M1802" s="4" t="str">
        <f>HYPERLINK("http://141.218.60.56/~jnz1568/getInfo.php?workbook=16_15.xlsx&amp;sheet=A0&amp;row=1802&amp;col=13&amp;number=&amp;sourceID=53","")</f>
        <v/>
      </c>
      <c r="N1802" s="4" t="str">
        <f>HYPERLINK("http://141.218.60.56/~jnz1568/getInfo.php?workbook=16_15.xlsx&amp;sheet=A0&amp;row=1802&amp;col=14&amp;number=&amp;sourceID=53","")</f>
        <v/>
      </c>
      <c r="O1802" s="4" t="str">
        <f>HYPERLINK("http://141.218.60.56/~jnz1568/getInfo.php?workbook=16_15.xlsx&amp;sheet=A0&amp;row=1802&amp;col=15&amp;number=&amp;sourceID=55","")</f>
        <v/>
      </c>
      <c r="P1802" s="4" t="str">
        <f>HYPERLINK("http://141.218.60.56/~jnz1568/getInfo.php?workbook=16_15.xlsx&amp;sheet=A0&amp;row=1802&amp;col=16&amp;number=&amp;sourceID=55","")</f>
        <v/>
      </c>
      <c r="Q1802" s="4" t="str">
        <f>HYPERLINK("http://141.218.60.56/~jnz1568/getInfo.php?workbook=16_15.xlsx&amp;sheet=A0&amp;row=1802&amp;col=17&amp;number=&amp;sourceID=56","")</f>
        <v/>
      </c>
      <c r="R1802" s="4" t="str">
        <f>HYPERLINK("http://141.218.60.56/~jnz1568/getInfo.php?workbook=16_15.xlsx&amp;sheet=A0&amp;row=1802&amp;col=18&amp;number=&amp;sourceID=56","")</f>
        <v/>
      </c>
      <c r="S1802" s="4" t="str">
        <f>HYPERLINK("http://141.218.60.56/~jnz1568/getInfo.php?workbook=16_15.xlsx&amp;sheet=A0&amp;row=1802&amp;col=19&amp;number=&amp;sourceID=57","")</f>
        <v/>
      </c>
      <c r="T1802" s="4" t="str">
        <f>HYPERLINK("http://141.218.60.56/~jnz1568/getInfo.php?workbook=16_15.xlsx&amp;sheet=A0&amp;row=1802&amp;col=20&amp;number==&amp;sourceID=57","=")</f>
        <v>=</v>
      </c>
      <c r="U1802" s="4" t="str">
        <f>HYPERLINK("http://141.218.60.56/~jnz1568/getInfo.php?workbook=16_15.xlsx&amp;sheet=A0&amp;row=1802&amp;col=21&amp;number==&amp;sourceID=47","=")</f>
        <v>=</v>
      </c>
      <c r="V1802" s="4" t="str">
        <f>HYPERLINK("http://141.218.60.56/~jnz1568/getInfo.php?workbook=16_15.xlsx&amp;sheet=A0&amp;row=1802&amp;col=22&amp;number=&amp;sourceID=47","")</f>
        <v/>
      </c>
    </row>
    <row r="1803" spans="1:22">
      <c r="A1803" s="3">
        <v>16</v>
      </c>
      <c r="B1803" s="3">
        <v>15</v>
      </c>
      <c r="C1803" s="3">
        <v>68</v>
      </c>
      <c r="D1803" s="3">
        <v>2</v>
      </c>
      <c r="E1803" s="3">
        <f>((1/(INDEX(E0!J$4:J$73,C1803,1)-INDEX(E0!J$4:J$73,D1803,1))))*100000000</f>
        <v>0</v>
      </c>
      <c r="F1803" s="4" t="str">
        <f>HYPERLINK("http://141.218.60.56/~jnz1568/getInfo.php?workbook=16_15.xlsx&amp;sheet=A0&amp;row=1803&amp;col=6&amp;number=&amp;sourceID=54","")</f>
        <v/>
      </c>
      <c r="G1803" s="4" t="str">
        <f>HYPERLINK("http://141.218.60.56/~jnz1568/getInfo.php?workbook=16_15.xlsx&amp;sheet=A0&amp;row=1803&amp;col=7&amp;number=&amp;sourceID=54","")</f>
        <v/>
      </c>
      <c r="H1803" s="4" t="str">
        <f>HYPERLINK("http://141.218.60.56/~jnz1568/getInfo.php?workbook=16_15.xlsx&amp;sheet=A0&amp;row=1803&amp;col=8&amp;number=&amp;sourceID=54","")</f>
        <v/>
      </c>
      <c r="I1803" s="4" t="str">
        <f>HYPERLINK("http://141.218.60.56/~jnz1568/getInfo.php?workbook=16_15.xlsx&amp;sheet=A0&amp;row=1803&amp;col=9&amp;number=&amp;sourceID=54","")</f>
        <v/>
      </c>
      <c r="J1803" s="4" t="str">
        <f>HYPERLINK("http://141.218.60.56/~jnz1568/getInfo.php?workbook=16_15.xlsx&amp;sheet=A0&amp;row=1803&amp;col=10&amp;number=&amp;sourceID=54","")</f>
        <v/>
      </c>
      <c r="K1803" s="4" t="str">
        <f>HYPERLINK("http://141.218.60.56/~jnz1568/getInfo.php?workbook=16_15.xlsx&amp;sheet=A0&amp;row=1803&amp;col=11&amp;number=&amp;sourceID=54","")</f>
        <v/>
      </c>
      <c r="L1803" s="4" t="str">
        <f>HYPERLINK("http://141.218.60.56/~jnz1568/getInfo.php?workbook=16_15.xlsx&amp;sheet=A0&amp;row=1803&amp;col=12&amp;number=13304565.1583&amp;sourceID=53","13304565.1583")</f>
        <v>13304565.1583</v>
      </c>
      <c r="M1803" s="4" t="str">
        <f>HYPERLINK("http://141.218.60.56/~jnz1568/getInfo.php?workbook=16_15.xlsx&amp;sheet=A0&amp;row=1803&amp;col=13&amp;number=&amp;sourceID=53","")</f>
        <v/>
      </c>
      <c r="N1803" s="4" t="str">
        <f>HYPERLINK("http://141.218.60.56/~jnz1568/getInfo.php?workbook=16_15.xlsx&amp;sheet=A0&amp;row=1803&amp;col=14&amp;number=&amp;sourceID=53","")</f>
        <v/>
      </c>
      <c r="O1803" s="4" t="str">
        <f>HYPERLINK("http://141.218.60.56/~jnz1568/getInfo.php?workbook=16_15.xlsx&amp;sheet=A0&amp;row=1803&amp;col=15&amp;number=&amp;sourceID=55","")</f>
        <v/>
      </c>
      <c r="P1803" s="4" t="str">
        <f>HYPERLINK("http://141.218.60.56/~jnz1568/getInfo.php?workbook=16_15.xlsx&amp;sheet=A0&amp;row=1803&amp;col=16&amp;number=&amp;sourceID=55","")</f>
        <v/>
      </c>
      <c r="Q1803" s="4" t="str">
        <f>HYPERLINK("http://141.218.60.56/~jnz1568/getInfo.php?workbook=16_15.xlsx&amp;sheet=A0&amp;row=1803&amp;col=17&amp;number=&amp;sourceID=56","")</f>
        <v/>
      </c>
      <c r="R1803" s="4" t="str">
        <f>HYPERLINK("http://141.218.60.56/~jnz1568/getInfo.php?workbook=16_15.xlsx&amp;sheet=A0&amp;row=1803&amp;col=18&amp;number=&amp;sourceID=56","")</f>
        <v/>
      </c>
      <c r="S1803" s="4" t="str">
        <f>HYPERLINK("http://141.218.60.56/~jnz1568/getInfo.php?workbook=16_15.xlsx&amp;sheet=A0&amp;row=1803&amp;col=19&amp;number=&amp;sourceID=57","")</f>
        <v/>
      </c>
      <c r="T1803" s="4" t="str">
        <f>HYPERLINK("http://141.218.60.56/~jnz1568/getInfo.php?workbook=16_15.xlsx&amp;sheet=A0&amp;row=1803&amp;col=20&amp;number==&amp;sourceID=57","=")</f>
        <v>=</v>
      </c>
      <c r="U1803" s="4" t="str">
        <f>HYPERLINK("http://141.218.60.56/~jnz1568/getInfo.php?workbook=16_15.xlsx&amp;sheet=A0&amp;row=1803&amp;col=21&amp;number==&amp;sourceID=47","=")</f>
        <v>=</v>
      </c>
      <c r="V1803" s="4" t="str">
        <f>HYPERLINK("http://141.218.60.56/~jnz1568/getInfo.php?workbook=16_15.xlsx&amp;sheet=A0&amp;row=1803&amp;col=22&amp;number=&amp;sourceID=47","")</f>
        <v/>
      </c>
    </row>
    <row r="1804" spans="1:22">
      <c r="A1804" s="3">
        <v>16</v>
      </c>
      <c r="B1804" s="3">
        <v>15</v>
      </c>
      <c r="C1804" s="3">
        <v>68</v>
      </c>
      <c r="D1804" s="3">
        <v>4</v>
      </c>
      <c r="E1804" s="3">
        <f>((1/(INDEX(E0!J$4:J$73,C1804,1)-INDEX(E0!J$4:J$73,D1804,1))))*100000000</f>
        <v>0</v>
      </c>
      <c r="F1804" s="4" t="str">
        <f>HYPERLINK("http://141.218.60.56/~jnz1568/getInfo.php?workbook=16_15.xlsx&amp;sheet=A0&amp;row=1804&amp;col=6&amp;number=&amp;sourceID=54","")</f>
        <v/>
      </c>
      <c r="G1804" s="4" t="str">
        <f>HYPERLINK("http://141.218.60.56/~jnz1568/getInfo.php?workbook=16_15.xlsx&amp;sheet=A0&amp;row=1804&amp;col=7&amp;number=&amp;sourceID=54","")</f>
        <v/>
      </c>
      <c r="H1804" s="4" t="str">
        <f>HYPERLINK("http://141.218.60.56/~jnz1568/getInfo.php?workbook=16_15.xlsx&amp;sheet=A0&amp;row=1804&amp;col=8&amp;number=&amp;sourceID=54","")</f>
        <v/>
      </c>
      <c r="I1804" s="4" t="str">
        <f>HYPERLINK("http://141.218.60.56/~jnz1568/getInfo.php?workbook=16_15.xlsx&amp;sheet=A0&amp;row=1804&amp;col=9&amp;number=&amp;sourceID=54","")</f>
        <v/>
      </c>
      <c r="J1804" s="4" t="str">
        <f>HYPERLINK("http://141.218.60.56/~jnz1568/getInfo.php?workbook=16_15.xlsx&amp;sheet=A0&amp;row=1804&amp;col=10&amp;number=&amp;sourceID=54","")</f>
        <v/>
      </c>
      <c r="K1804" s="4" t="str">
        <f>HYPERLINK("http://141.218.60.56/~jnz1568/getInfo.php?workbook=16_15.xlsx&amp;sheet=A0&amp;row=1804&amp;col=11&amp;number=&amp;sourceID=54","")</f>
        <v/>
      </c>
      <c r="L1804" s="4" t="str">
        <f>HYPERLINK("http://141.218.60.56/~jnz1568/getInfo.php?workbook=16_15.xlsx&amp;sheet=A0&amp;row=1804&amp;col=12&amp;number=1140589773.25&amp;sourceID=53","1140589773.25")</f>
        <v>1140589773.25</v>
      </c>
      <c r="M1804" s="4" t="str">
        <f>HYPERLINK("http://141.218.60.56/~jnz1568/getInfo.php?workbook=16_15.xlsx&amp;sheet=A0&amp;row=1804&amp;col=13&amp;number=&amp;sourceID=53","")</f>
        <v/>
      </c>
      <c r="N1804" s="4" t="str">
        <f>HYPERLINK("http://141.218.60.56/~jnz1568/getInfo.php?workbook=16_15.xlsx&amp;sheet=A0&amp;row=1804&amp;col=14&amp;number=&amp;sourceID=53","")</f>
        <v/>
      </c>
      <c r="O1804" s="4" t="str">
        <f>HYPERLINK("http://141.218.60.56/~jnz1568/getInfo.php?workbook=16_15.xlsx&amp;sheet=A0&amp;row=1804&amp;col=15&amp;number=&amp;sourceID=55","")</f>
        <v/>
      </c>
      <c r="P1804" s="4" t="str">
        <f>HYPERLINK("http://141.218.60.56/~jnz1568/getInfo.php?workbook=16_15.xlsx&amp;sheet=A0&amp;row=1804&amp;col=16&amp;number=&amp;sourceID=55","")</f>
        <v/>
      </c>
      <c r="Q1804" s="4" t="str">
        <f>HYPERLINK("http://141.218.60.56/~jnz1568/getInfo.php?workbook=16_15.xlsx&amp;sheet=A0&amp;row=1804&amp;col=17&amp;number=&amp;sourceID=56","")</f>
        <v/>
      </c>
      <c r="R1804" s="4" t="str">
        <f>HYPERLINK("http://141.218.60.56/~jnz1568/getInfo.php?workbook=16_15.xlsx&amp;sheet=A0&amp;row=1804&amp;col=18&amp;number=&amp;sourceID=56","")</f>
        <v/>
      </c>
      <c r="S1804" s="4" t="str">
        <f>HYPERLINK("http://141.218.60.56/~jnz1568/getInfo.php?workbook=16_15.xlsx&amp;sheet=A0&amp;row=1804&amp;col=19&amp;number=&amp;sourceID=57","")</f>
        <v/>
      </c>
      <c r="T1804" s="4" t="str">
        <f>HYPERLINK("http://141.218.60.56/~jnz1568/getInfo.php?workbook=16_15.xlsx&amp;sheet=A0&amp;row=1804&amp;col=20&amp;number==&amp;sourceID=57","=")</f>
        <v>=</v>
      </c>
      <c r="U1804" s="4" t="str">
        <f>HYPERLINK("http://141.218.60.56/~jnz1568/getInfo.php?workbook=16_15.xlsx&amp;sheet=A0&amp;row=1804&amp;col=21&amp;number==&amp;sourceID=47","=")</f>
        <v>=</v>
      </c>
      <c r="V1804" s="4" t="str">
        <f>HYPERLINK("http://141.218.60.56/~jnz1568/getInfo.php?workbook=16_15.xlsx&amp;sheet=A0&amp;row=1804&amp;col=22&amp;number=&amp;sourceID=47","")</f>
        <v/>
      </c>
    </row>
    <row r="1805" spans="1:22">
      <c r="A1805" s="3">
        <v>16</v>
      </c>
      <c r="B1805" s="3">
        <v>15</v>
      </c>
      <c r="C1805" s="3">
        <v>68</v>
      </c>
      <c r="D1805" s="3">
        <v>5</v>
      </c>
      <c r="E1805" s="3">
        <f>((1/(INDEX(E0!J$4:J$73,C1805,1)-INDEX(E0!J$4:J$73,D1805,1))))*100000000</f>
        <v>0</v>
      </c>
      <c r="F1805" s="4" t="str">
        <f>HYPERLINK("http://141.218.60.56/~jnz1568/getInfo.php?workbook=16_15.xlsx&amp;sheet=A0&amp;row=1805&amp;col=6&amp;number=&amp;sourceID=54","")</f>
        <v/>
      </c>
      <c r="G1805" s="4" t="str">
        <f>HYPERLINK("http://141.218.60.56/~jnz1568/getInfo.php?workbook=16_15.xlsx&amp;sheet=A0&amp;row=1805&amp;col=7&amp;number=&amp;sourceID=54","")</f>
        <v/>
      </c>
      <c r="H1805" s="4" t="str">
        <f>HYPERLINK("http://141.218.60.56/~jnz1568/getInfo.php?workbook=16_15.xlsx&amp;sheet=A0&amp;row=1805&amp;col=8&amp;number=&amp;sourceID=54","")</f>
        <v/>
      </c>
      <c r="I1805" s="4" t="str">
        <f>HYPERLINK("http://141.218.60.56/~jnz1568/getInfo.php?workbook=16_15.xlsx&amp;sheet=A0&amp;row=1805&amp;col=9&amp;number=&amp;sourceID=54","")</f>
        <v/>
      </c>
      <c r="J1805" s="4" t="str">
        <f>HYPERLINK("http://141.218.60.56/~jnz1568/getInfo.php?workbook=16_15.xlsx&amp;sheet=A0&amp;row=1805&amp;col=10&amp;number=&amp;sourceID=54","")</f>
        <v/>
      </c>
      <c r="K1805" s="4" t="str">
        <f>HYPERLINK("http://141.218.60.56/~jnz1568/getInfo.php?workbook=16_15.xlsx&amp;sheet=A0&amp;row=1805&amp;col=11&amp;number=&amp;sourceID=54","")</f>
        <v/>
      </c>
      <c r="L1805" s="4" t="str">
        <f>HYPERLINK("http://141.218.60.56/~jnz1568/getInfo.php?workbook=16_15.xlsx&amp;sheet=A0&amp;row=1805&amp;col=12&amp;number=3077030677.86&amp;sourceID=53","3077030677.86")</f>
        <v>3077030677.86</v>
      </c>
      <c r="M1805" s="4" t="str">
        <f>HYPERLINK("http://141.218.60.56/~jnz1568/getInfo.php?workbook=16_15.xlsx&amp;sheet=A0&amp;row=1805&amp;col=13&amp;number=&amp;sourceID=53","")</f>
        <v/>
      </c>
      <c r="N1805" s="4" t="str">
        <f>HYPERLINK("http://141.218.60.56/~jnz1568/getInfo.php?workbook=16_15.xlsx&amp;sheet=A0&amp;row=1805&amp;col=14&amp;number=&amp;sourceID=53","")</f>
        <v/>
      </c>
      <c r="O1805" s="4" t="str">
        <f>HYPERLINK("http://141.218.60.56/~jnz1568/getInfo.php?workbook=16_15.xlsx&amp;sheet=A0&amp;row=1805&amp;col=15&amp;number=&amp;sourceID=55","")</f>
        <v/>
      </c>
      <c r="P1805" s="4" t="str">
        <f>HYPERLINK("http://141.218.60.56/~jnz1568/getInfo.php?workbook=16_15.xlsx&amp;sheet=A0&amp;row=1805&amp;col=16&amp;number=&amp;sourceID=55","")</f>
        <v/>
      </c>
      <c r="Q1805" s="4" t="str">
        <f>HYPERLINK("http://141.218.60.56/~jnz1568/getInfo.php?workbook=16_15.xlsx&amp;sheet=A0&amp;row=1805&amp;col=17&amp;number=&amp;sourceID=56","")</f>
        <v/>
      </c>
      <c r="R1805" s="4" t="str">
        <f>HYPERLINK("http://141.218.60.56/~jnz1568/getInfo.php?workbook=16_15.xlsx&amp;sheet=A0&amp;row=1805&amp;col=18&amp;number=&amp;sourceID=56","")</f>
        <v/>
      </c>
      <c r="S1805" s="4" t="str">
        <f>HYPERLINK("http://141.218.60.56/~jnz1568/getInfo.php?workbook=16_15.xlsx&amp;sheet=A0&amp;row=1805&amp;col=19&amp;number=&amp;sourceID=57","")</f>
        <v/>
      </c>
      <c r="T1805" s="4" t="str">
        <f>HYPERLINK("http://141.218.60.56/~jnz1568/getInfo.php?workbook=16_15.xlsx&amp;sheet=A0&amp;row=1805&amp;col=20&amp;number==&amp;sourceID=57","=")</f>
        <v>=</v>
      </c>
      <c r="U1805" s="4" t="str">
        <f>HYPERLINK("http://141.218.60.56/~jnz1568/getInfo.php?workbook=16_15.xlsx&amp;sheet=A0&amp;row=1805&amp;col=21&amp;number==&amp;sourceID=47","=")</f>
        <v>=</v>
      </c>
      <c r="V1805" s="4" t="str">
        <f>HYPERLINK("http://141.218.60.56/~jnz1568/getInfo.php?workbook=16_15.xlsx&amp;sheet=A0&amp;row=1805&amp;col=22&amp;number=&amp;sourceID=47","")</f>
        <v/>
      </c>
    </row>
    <row r="1806" spans="1:22">
      <c r="A1806" s="3">
        <v>16</v>
      </c>
      <c r="B1806" s="3">
        <v>15</v>
      </c>
      <c r="C1806" s="3">
        <v>68</v>
      </c>
      <c r="D1806" s="3">
        <v>31</v>
      </c>
      <c r="E1806" s="3">
        <f>((1/(INDEX(E0!J$4:J$73,C1806,1)-INDEX(E0!J$4:J$73,D1806,1))))*100000000</f>
        <v>0</v>
      </c>
      <c r="F1806" s="4" t="str">
        <f>HYPERLINK("http://141.218.60.56/~jnz1568/getInfo.php?workbook=16_15.xlsx&amp;sheet=A0&amp;row=1806&amp;col=6&amp;number=&amp;sourceID=54","")</f>
        <v/>
      </c>
      <c r="G1806" s="4" t="str">
        <f>HYPERLINK("http://141.218.60.56/~jnz1568/getInfo.php?workbook=16_15.xlsx&amp;sheet=A0&amp;row=1806&amp;col=7&amp;number=&amp;sourceID=54","")</f>
        <v/>
      </c>
      <c r="H1806" s="4" t="str">
        <f>HYPERLINK("http://141.218.60.56/~jnz1568/getInfo.php?workbook=16_15.xlsx&amp;sheet=A0&amp;row=1806&amp;col=8&amp;number=&amp;sourceID=54","")</f>
        <v/>
      </c>
      <c r="I1806" s="4" t="str">
        <f>HYPERLINK("http://141.218.60.56/~jnz1568/getInfo.php?workbook=16_15.xlsx&amp;sheet=A0&amp;row=1806&amp;col=9&amp;number=&amp;sourceID=54","")</f>
        <v/>
      </c>
      <c r="J1806" s="4" t="str">
        <f>HYPERLINK("http://141.218.60.56/~jnz1568/getInfo.php?workbook=16_15.xlsx&amp;sheet=A0&amp;row=1806&amp;col=10&amp;number=&amp;sourceID=54","")</f>
        <v/>
      </c>
      <c r="K1806" s="4" t="str">
        <f>HYPERLINK("http://141.218.60.56/~jnz1568/getInfo.php?workbook=16_15.xlsx&amp;sheet=A0&amp;row=1806&amp;col=11&amp;number=&amp;sourceID=54","")</f>
        <v/>
      </c>
      <c r="L1806" s="4" t="str">
        <f>HYPERLINK("http://141.218.60.56/~jnz1568/getInfo.php?workbook=16_15.xlsx&amp;sheet=A0&amp;row=1806&amp;col=12&amp;number=1960170.3891&amp;sourceID=53","1960170.3891")</f>
        <v>1960170.3891</v>
      </c>
      <c r="M1806" s="4" t="str">
        <f>HYPERLINK("http://141.218.60.56/~jnz1568/getInfo.php?workbook=16_15.xlsx&amp;sheet=A0&amp;row=1806&amp;col=13&amp;number=&amp;sourceID=53","")</f>
        <v/>
      </c>
      <c r="N1806" s="4" t="str">
        <f>HYPERLINK("http://141.218.60.56/~jnz1568/getInfo.php?workbook=16_15.xlsx&amp;sheet=A0&amp;row=1806&amp;col=14&amp;number=&amp;sourceID=53","")</f>
        <v/>
      </c>
      <c r="O1806" s="4" t="str">
        <f>HYPERLINK("http://141.218.60.56/~jnz1568/getInfo.php?workbook=16_15.xlsx&amp;sheet=A0&amp;row=1806&amp;col=15&amp;number=&amp;sourceID=55","")</f>
        <v/>
      </c>
      <c r="P1806" s="4" t="str">
        <f>HYPERLINK("http://141.218.60.56/~jnz1568/getInfo.php?workbook=16_15.xlsx&amp;sheet=A0&amp;row=1806&amp;col=16&amp;number=&amp;sourceID=55","")</f>
        <v/>
      </c>
      <c r="Q1806" s="4" t="str">
        <f>HYPERLINK("http://141.218.60.56/~jnz1568/getInfo.php?workbook=16_15.xlsx&amp;sheet=A0&amp;row=1806&amp;col=17&amp;number=&amp;sourceID=56","")</f>
        <v/>
      </c>
      <c r="R1806" s="4" t="str">
        <f>HYPERLINK("http://141.218.60.56/~jnz1568/getInfo.php?workbook=16_15.xlsx&amp;sheet=A0&amp;row=1806&amp;col=18&amp;number=&amp;sourceID=56","")</f>
        <v/>
      </c>
      <c r="S1806" s="4" t="str">
        <f>HYPERLINK("http://141.218.60.56/~jnz1568/getInfo.php?workbook=16_15.xlsx&amp;sheet=A0&amp;row=1806&amp;col=19&amp;number=&amp;sourceID=57","")</f>
        <v/>
      </c>
      <c r="T1806" s="4" t="str">
        <f>HYPERLINK("http://141.218.60.56/~jnz1568/getInfo.php?workbook=16_15.xlsx&amp;sheet=A0&amp;row=1806&amp;col=20&amp;number==&amp;sourceID=57","=")</f>
        <v>=</v>
      </c>
      <c r="U1806" s="4" t="str">
        <f>HYPERLINK("http://141.218.60.56/~jnz1568/getInfo.php?workbook=16_15.xlsx&amp;sheet=A0&amp;row=1806&amp;col=21&amp;number==&amp;sourceID=47","=")</f>
        <v>=</v>
      </c>
      <c r="V1806" s="4" t="str">
        <f>HYPERLINK("http://141.218.60.56/~jnz1568/getInfo.php?workbook=16_15.xlsx&amp;sheet=A0&amp;row=1806&amp;col=22&amp;number=&amp;sourceID=47","")</f>
        <v/>
      </c>
    </row>
    <row r="1807" spans="1:22">
      <c r="A1807" s="3">
        <v>16</v>
      </c>
      <c r="B1807" s="3">
        <v>15</v>
      </c>
      <c r="C1807" s="3">
        <v>68</v>
      </c>
      <c r="D1807" s="3">
        <v>34</v>
      </c>
      <c r="E1807" s="3">
        <f>((1/(INDEX(E0!J$4:J$73,C1807,1)-INDEX(E0!J$4:J$73,D1807,1))))*100000000</f>
        <v>0</v>
      </c>
      <c r="F1807" s="4" t="str">
        <f>HYPERLINK("http://141.218.60.56/~jnz1568/getInfo.php?workbook=16_15.xlsx&amp;sheet=A0&amp;row=1807&amp;col=6&amp;number=&amp;sourceID=54","")</f>
        <v/>
      </c>
      <c r="G1807" s="4" t="str">
        <f>HYPERLINK("http://141.218.60.56/~jnz1568/getInfo.php?workbook=16_15.xlsx&amp;sheet=A0&amp;row=1807&amp;col=7&amp;number=&amp;sourceID=54","")</f>
        <v/>
      </c>
      <c r="H1807" s="4" t="str">
        <f>HYPERLINK("http://141.218.60.56/~jnz1568/getInfo.php?workbook=16_15.xlsx&amp;sheet=A0&amp;row=1807&amp;col=8&amp;number=&amp;sourceID=54","")</f>
        <v/>
      </c>
      <c r="I1807" s="4" t="str">
        <f>HYPERLINK("http://141.218.60.56/~jnz1568/getInfo.php?workbook=16_15.xlsx&amp;sheet=A0&amp;row=1807&amp;col=9&amp;number=&amp;sourceID=54","")</f>
        <v/>
      </c>
      <c r="J1807" s="4" t="str">
        <f>HYPERLINK("http://141.218.60.56/~jnz1568/getInfo.php?workbook=16_15.xlsx&amp;sheet=A0&amp;row=1807&amp;col=10&amp;number=&amp;sourceID=54","")</f>
        <v/>
      </c>
      <c r="K1807" s="4" t="str">
        <f>HYPERLINK("http://141.218.60.56/~jnz1568/getInfo.php?workbook=16_15.xlsx&amp;sheet=A0&amp;row=1807&amp;col=11&amp;number=&amp;sourceID=54","")</f>
        <v/>
      </c>
      <c r="L1807" s="4" t="str">
        <f>HYPERLINK("http://141.218.60.56/~jnz1568/getInfo.php?workbook=16_15.xlsx&amp;sheet=A0&amp;row=1807&amp;col=12&amp;number=107981.976746&amp;sourceID=53","107981.976746")</f>
        <v>107981.976746</v>
      </c>
      <c r="M1807" s="4" t="str">
        <f>HYPERLINK("http://141.218.60.56/~jnz1568/getInfo.php?workbook=16_15.xlsx&amp;sheet=A0&amp;row=1807&amp;col=13&amp;number=&amp;sourceID=53","")</f>
        <v/>
      </c>
      <c r="N1807" s="4" t="str">
        <f>HYPERLINK("http://141.218.60.56/~jnz1568/getInfo.php?workbook=16_15.xlsx&amp;sheet=A0&amp;row=1807&amp;col=14&amp;number=&amp;sourceID=53","")</f>
        <v/>
      </c>
      <c r="O1807" s="4" t="str">
        <f>HYPERLINK("http://141.218.60.56/~jnz1568/getInfo.php?workbook=16_15.xlsx&amp;sheet=A0&amp;row=1807&amp;col=15&amp;number=&amp;sourceID=55","")</f>
        <v/>
      </c>
      <c r="P1807" s="4" t="str">
        <f>HYPERLINK("http://141.218.60.56/~jnz1568/getInfo.php?workbook=16_15.xlsx&amp;sheet=A0&amp;row=1807&amp;col=16&amp;number=&amp;sourceID=55","")</f>
        <v/>
      </c>
      <c r="Q1807" s="4" t="str">
        <f>HYPERLINK("http://141.218.60.56/~jnz1568/getInfo.php?workbook=16_15.xlsx&amp;sheet=A0&amp;row=1807&amp;col=17&amp;number=&amp;sourceID=56","")</f>
        <v/>
      </c>
      <c r="R1807" s="4" t="str">
        <f>HYPERLINK("http://141.218.60.56/~jnz1568/getInfo.php?workbook=16_15.xlsx&amp;sheet=A0&amp;row=1807&amp;col=18&amp;number=&amp;sourceID=56","")</f>
        <v/>
      </c>
      <c r="S1807" s="4" t="str">
        <f>HYPERLINK("http://141.218.60.56/~jnz1568/getInfo.php?workbook=16_15.xlsx&amp;sheet=A0&amp;row=1807&amp;col=19&amp;number=&amp;sourceID=57","")</f>
        <v/>
      </c>
      <c r="T1807" s="4" t="str">
        <f>HYPERLINK("http://141.218.60.56/~jnz1568/getInfo.php?workbook=16_15.xlsx&amp;sheet=A0&amp;row=1807&amp;col=20&amp;number==&amp;sourceID=57","=")</f>
        <v>=</v>
      </c>
      <c r="U1807" s="4" t="str">
        <f>HYPERLINK("http://141.218.60.56/~jnz1568/getInfo.php?workbook=16_15.xlsx&amp;sheet=A0&amp;row=1807&amp;col=21&amp;number==&amp;sourceID=47","=")</f>
        <v>=</v>
      </c>
      <c r="V1807" s="4" t="str">
        <f>HYPERLINK("http://141.218.60.56/~jnz1568/getInfo.php?workbook=16_15.xlsx&amp;sheet=A0&amp;row=1807&amp;col=22&amp;number=&amp;sourceID=47","")</f>
        <v/>
      </c>
    </row>
    <row r="1808" spans="1:22">
      <c r="A1808" s="3">
        <v>16</v>
      </c>
      <c r="B1808" s="3">
        <v>15</v>
      </c>
      <c r="C1808" s="3">
        <v>68</v>
      </c>
      <c r="D1808" s="3">
        <v>35</v>
      </c>
      <c r="E1808" s="3">
        <f>((1/(INDEX(E0!J$4:J$73,C1808,1)-INDEX(E0!J$4:J$73,D1808,1))))*100000000</f>
        <v>0</v>
      </c>
      <c r="F1808" s="4" t="str">
        <f>HYPERLINK("http://141.218.60.56/~jnz1568/getInfo.php?workbook=16_15.xlsx&amp;sheet=A0&amp;row=1808&amp;col=6&amp;number=&amp;sourceID=54","")</f>
        <v/>
      </c>
      <c r="G1808" s="4" t="str">
        <f>HYPERLINK("http://141.218.60.56/~jnz1568/getInfo.php?workbook=16_15.xlsx&amp;sheet=A0&amp;row=1808&amp;col=7&amp;number=&amp;sourceID=54","")</f>
        <v/>
      </c>
      <c r="H1808" s="4" t="str">
        <f>HYPERLINK("http://141.218.60.56/~jnz1568/getInfo.php?workbook=16_15.xlsx&amp;sheet=A0&amp;row=1808&amp;col=8&amp;number=&amp;sourceID=54","")</f>
        <v/>
      </c>
      <c r="I1808" s="4" t="str">
        <f>HYPERLINK("http://141.218.60.56/~jnz1568/getInfo.php?workbook=16_15.xlsx&amp;sheet=A0&amp;row=1808&amp;col=9&amp;number=&amp;sourceID=54","")</f>
        <v/>
      </c>
      <c r="J1808" s="4" t="str">
        <f>HYPERLINK("http://141.218.60.56/~jnz1568/getInfo.php?workbook=16_15.xlsx&amp;sheet=A0&amp;row=1808&amp;col=10&amp;number=&amp;sourceID=54","")</f>
        <v/>
      </c>
      <c r="K1808" s="4" t="str">
        <f>HYPERLINK("http://141.218.60.56/~jnz1568/getInfo.php?workbook=16_15.xlsx&amp;sheet=A0&amp;row=1808&amp;col=11&amp;number=&amp;sourceID=54","")</f>
        <v/>
      </c>
      <c r="L1808" s="4" t="str">
        <f>HYPERLINK("http://141.218.60.56/~jnz1568/getInfo.php?workbook=16_15.xlsx&amp;sheet=A0&amp;row=1808&amp;col=12&amp;number=65875.451061&amp;sourceID=53","65875.451061")</f>
        <v>65875.451061</v>
      </c>
      <c r="M1808" s="4" t="str">
        <f>HYPERLINK("http://141.218.60.56/~jnz1568/getInfo.php?workbook=16_15.xlsx&amp;sheet=A0&amp;row=1808&amp;col=13&amp;number=&amp;sourceID=53","")</f>
        <v/>
      </c>
      <c r="N1808" s="4" t="str">
        <f>HYPERLINK("http://141.218.60.56/~jnz1568/getInfo.php?workbook=16_15.xlsx&amp;sheet=A0&amp;row=1808&amp;col=14&amp;number=&amp;sourceID=53","")</f>
        <v/>
      </c>
      <c r="O1808" s="4" t="str">
        <f>HYPERLINK("http://141.218.60.56/~jnz1568/getInfo.php?workbook=16_15.xlsx&amp;sheet=A0&amp;row=1808&amp;col=15&amp;number=&amp;sourceID=55","")</f>
        <v/>
      </c>
      <c r="P1808" s="4" t="str">
        <f>HYPERLINK("http://141.218.60.56/~jnz1568/getInfo.php?workbook=16_15.xlsx&amp;sheet=A0&amp;row=1808&amp;col=16&amp;number=&amp;sourceID=55","")</f>
        <v/>
      </c>
      <c r="Q1808" s="4" t="str">
        <f>HYPERLINK("http://141.218.60.56/~jnz1568/getInfo.php?workbook=16_15.xlsx&amp;sheet=A0&amp;row=1808&amp;col=17&amp;number=&amp;sourceID=56","")</f>
        <v/>
      </c>
      <c r="R1808" s="4" t="str">
        <f>HYPERLINK("http://141.218.60.56/~jnz1568/getInfo.php?workbook=16_15.xlsx&amp;sheet=A0&amp;row=1808&amp;col=18&amp;number=&amp;sourceID=56","")</f>
        <v/>
      </c>
      <c r="S1808" s="4" t="str">
        <f>HYPERLINK("http://141.218.60.56/~jnz1568/getInfo.php?workbook=16_15.xlsx&amp;sheet=A0&amp;row=1808&amp;col=19&amp;number=&amp;sourceID=57","")</f>
        <v/>
      </c>
      <c r="T1808" s="4" t="str">
        <f>HYPERLINK("http://141.218.60.56/~jnz1568/getInfo.php?workbook=16_15.xlsx&amp;sheet=A0&amp;row=1808&amp;col=20&amp;number=&amp;sourceID=57","")</f>
        <v/>
      </c>
      <c r="U1808" s="4" t="str">
        <f>HYPERLINK("http://141.218.60.56/~jnz1568/getInfo.php?workbook=16_15.xlsx&amp;sheet=A0&amp;row=1808&amp;col=21&amp;number=&amp;sourceID=47","")</f>
        <v/>
      </c>
      <c r="V1808" s="4" t="str">
        <f>HYPERLINK("http://141.218.60.56/~jnz1568/getInfo.php?workbook=16_15.xlsx&amp;sheet=A0&amp;row=1808&amp;col=22&amp;number=&amp;sourceID=47","")</f>
        <v/>
      </c>
    </row>
    <row r="1809" spans="1:22">
      <c r="A1809" s="3">
        <v>16</v>
      </c>
      <c r="B1809" s="3">
        <v>15</v>
      </c>
      <c r="C1809" s="3">
        <v>68</v>
      </c>
      <c r="D1809" s="3">
        <v>38</v>
      </c>
      <c r="E1809" s="3">
        <f>((1/(INDEX(E0!J$4:J$73,C1809,1)-INDEX(E0!J$4:J$73,D1809,1))))*100000000</f>
        <v>0</v>
      </c>
      <c r="F1809" s="4" t="str">
        <f>HYPERLINK("http://141.218.60.56/~jnz1568/getInfo.php?workbook=16_15.xlsx&amp;sheet=A0&amp;row=1809&amp;col=6&amp;number=&amp;sourceID=54","")</f>
        <v/>
      </c>
      <c r="G1809" s="4" t="str">
        <f>HYPERLINK("http://141.218.60.56/~jnz1568/getInfo.php?workbook=16_15.xlsx&amp;sheet=A0&amp;row=1809&amp;col=7&amp;number=&amp;sourceID=54","")</f>
        <v/>
      </c>
      <c r="H1809" s="4" t="str">
        <f>HYPERLINK("http://141.218.60.56/~jnz1568/getInfo.php?workbook=16_15.xlsx&amp;sheet=A0&amp;row=1809&amp;col=8&amp;number=&amp;sourceID=54","")</f>
        <v/>
      </c>
      <c r="I1809" s="4" t="str">
        <f>HYPERLINK("http://141.218.60.56/~jnz1568/getInfo.php?workbook=16_15.xlsx&amp;sheet=A0&amp;row=1809&amp;col=9&amp;number=&amp;sourceID=54","")</f>
        <v/>
      </c>
      <c r="J1809" s="4" t="str">
        <f>HYPERLINK("http://141.218.60.56/~jnz1568/getInfo.php?workbook=16_15.xlsx&amp;sheet=A0&amp;row=1809&amp;col=10&amp;number=&amp;sourceID=54","")</f>
        <v/>
      </c>
      <c r="K1809" s="4" t="str">
        <f>HYPERLINK("http://141.218.60.56/~jnz1568/getInfo.php?workbook=16_15.xlsx&amp;sheet=A0&amp;row=1809&amp;col=11&amp;number=&amp;sourceID=54","")</f>
        <v/>
      </c>
      <c r="L1809" s="4" t="str">
        <f>HYPERLINK("http://141.218.60.56/~jnz1568/getInfo.php?workbook=16_15.xlsx&amp;sheet=A0&amp;row=1809&amp;col=12&amp;number=290.11455029&amp;sourceID=53","290.11455029")</f>
        <v>290.11455029</v>
      </c>
      <c r="M1809" s="4" t="str">
        <f>HYPERLINK("http://141.218.60.56/~jnz1568/getInfo.php?workbook=16_15.xlsx&amp;sheet=A0&amp;row=1809&amp;col=13&amp;number=&amp;sourceID=53","")</f>
        <v/>
      </c>
      <c r="N1809" s="4" t="str">
        <f>HYPERLINK("http://141.218.60.56/~jnz1568/getInfo.php?workbook=16_15.xlsx&amp;sheet=A0&amp;row=1809&amp;col=14&amp;number=&amp;sourceID=53","")</f>
        <v/>
      </c>
      <c r="O1809" s="4" t="str">
        <f>HYPERLINK("http://141.218.60.56/~jnz1568/getInfo.php?workbook=16_15.xlsx&amp;sheet=A0&amp;row=1809&amp;col=15&amp;number=&amp;sourceID=55","")</f>
        <v/>
      </c>
      <c r="P1809" s="4" t="str">
        <f>HYPERLINK("http://141.218.60.56/~jnz1568/getInfo.php?workbook=16_15.xlsx&amp;sheet=A0&amp;row=1809&amp;col=16&amp;number=&amp;sourceID=55","")</f>
        <v/>
      </c>
      <c r="Q1809" s="4" t="str">
        <f>HYPERLINK("http://141.218.60.56/~jnz1568/getInfo.php?workbook=16_15.xlsx&amp;sheet=A0&amp;row=1809&amp;col=17&amp;number=&amp;sourceID=56","")</f>
        <v/>
      </c>
      <c r="R1809" s="4" t="str">
        <f>HYPERLINK("http://141.218.60.56/~jnz1568/getInfo.php?workbook=16_15.xlsx&amp;sheet=A0&amp;row=1809&amp;col=18&amp;number=&amp;sourceID=56","")</f>
        <v/>
      </c>
      <c r="S1809" s="4" t="str">
        <f>HYPERLINK("http://141.218.60.56/~jnz1568/getInfo.php?workbook=16_15.xlsx&amp;sheet=A0&amp;row=1809&amp;col=19&amp;number=&amp;sourceID=57","")</f>
        <v/>
      </c>
      <c r="T1809" s="4" t="str">
        <f>HYPERLINK("http://141.218.60.56/~jnz1568/getInfo.php?workbook=16_15.xlsx&amp;sheet=A0&amp;row=1809&amp;col=20&amp;number=&amp;sourceID=57","")</f>
        <v/>
      </c>
      <c r="U1809" s="4" t="str">
        <f>HYPERLINK("http://141.218.60.56/~jnz1568/getInfo.php?workbook=16_15.xlsx&amp;sheet=A0&amp;row=1809&amp;col=21&amp;number=&amp;sourceID=47","")</f>
        <v/>
      </c>
      <c r="V1809" s="4" t="str">
        <f>HYPERLINK("http://141.218.60.56/~jnz1568/getInfo.php?workbook=16_15.xlsx&amp;sheet=A0&amp;row=1809&amp;col=22&amp;number=&amp;sourceID=47","")</f>
        <v/>
      </c>
    </row>
    <row r="1810" spans="1:22">
      <c r="A1810" s="3">
        <v>16</v>
      </c>
      <c r="B1810" s="3">
        <v>15</v>
      </c>
      <c r="C1810" s="3">
        <v>68</v>
      </c>
      <c r="D1810" s="3">
        <v>39</v>
      </c>
      <c r="E1810" s="3">
        <f>((1/(INDEX(E0!J$4:J$73,C1810,1)-INDEX(E0!J$4:J$73,D1810,1))))*100000000</f>
        <v>0</v>
      </c>
      <c r="F1810" s="4" t="str">
        <f>HYPERLINK("http://141.218.60.56/~jnz1568/getInfo.php?workbook=16_15.xlsx&amp;sheet=A0&amp;row=1810&amp;col=6&amp;number=&amp;sourceID=54","")</f>
        <v/>
      </c>
      <c r="G1810" s="4" t="str">
        <f>HYPERLINK("http://141.218.60.56/~jnz1568/getInfo.php?workbook=16_15.xlsx&amp;sheet=A0&amp;row=1810&amp;col=7&amp;number=&amp;sourceID=54","")</f>
        <v/>
      </c>
      <c r="H1810" s="4" t="str">
        <f>HYPERLINK("http://141.218.60.56/~jnz1568/getInfo.php?workbook=16_15.xlsx&amp;sheet=A0&amp;row=1810&amp;col=8&amp;number=&amp;sourceID=54","")</f>
        <v/>
      </c>
      <c r="I1810" s="4" t="str">
        <f>HYPERLINK("http://141.218.60.56/~jnz1568/getInfo.php?workbook=16_15.xlsx&amp;sheet=A0&amp;row=1810&amp;col=9&amp;number=&amp;sourceID=54","")</f>
        <v/>
      </c>
      <c r="J1810" s="4" t="str">
        <f>HYPERLINK("http://141.218.60.56/~jnz1568/getInfo.php?workbook=16_15.xlsx&amp;sheet=A0&amp;row=1810&amp;col=10&amp;number=&amp;sourceID=54","")</f>
        <v/>
      </c>
      <c r="K1810" s="4" t="str">
        <f>HYPERLINK("http://141.218.60.56/~jnz1568/getInfo.php?workbook=16_15.xlsx&amp;sheet=A0&amp;row=1810&amp;col=11&amp;number=&amp;sourceID=54","")</f>
        <v/>
      </c>
      <c r="L1810" s="4" t="str">
        <f>HYPERLINK("http://141.218.60.56/~jnz1568/getInfo.php?workbook=16_15.xlsx&amp;sheet=A0&amp;row=1810&amp;col=12&amp;number=278.934108217&amp;sourceID=53","278.934108217")</f>
        <v>278.934108217</v>
      </c>
      <c r="M1810" s="4" t="str">
        <f>HYPERLINK("http://141.218.60.56/~jnz1568/getInfo.php?workbook=16_15.xlsx&amp;sheet=A0&amp;row=1810&amp;col=13&amp;number=&amp;sourceID=53","")</f>
        <v/>
      </c>
      <c r="N1810" s="4" t="str">
        <f>HYPERLINK("http://141.218.60.56/~jnz1568/getInfo.php?workbook=16_15.xlsx&amp;sheet=A0&amp;row=1810&amp;col=14&amp;number=&amp;sourceID=53","")</f>
        <v/>
      </c>
      <c r="O1810" s="4" t="str">
        <f>HYPERLINK("http://141.218.60.56/~jnz1568/getInfo.php?workbook=16_15.xlsx&amp;sheet=A0&amp;row=1810&amp;col=15&amp;number=&amp;sourceID=55","")</f>
        <v/>
      </c>
      <c r="P1810" s="4" t="str">
        <f>HYPERLINK("http://141.218.60.56/~jnz1568/getInfo.php?workbook=16_15.xlsx&amp;sheet=A0&amp;row=1810&amp;col=16&amp;number=&amp;sourceID=55","")</f>
        <v/>
      </c>
      <c r="Q1810" s="4" t="str">
        <f>HYPERLINK("http://141.218.60.56/~jnz1568/getInfo.php?workbook=16_15.xlsx&amp;sheet=A0&amp;row=1810&amp;col=17&amp;number=&amp;sourceID=56","")</f>
        <v/>
      </c>
      <c r="R1810" s="4" t="str">
        <f>HYPERLINK("http://141.218.60.56/~jnz1568/getInfo.php?workbook=16_15.xlsx&amp;sheet=A0&amp;row=1810&amp;col=18&amp;number=&amp;sourceID=56","")</f>
        <v/>
      </c>
      <c r="S1810" s="4" t="str">
        <f>HYPERLINK("http://141.218.60.56/~jnz1568/getInfo.php?workbook=16_15.xlsx&amp;sheet=A0&amp;row=1810&amp;col=19&amp;number=&amp;sourceID=57","")</f>
        <v/>
      </c>
      <c r="T1810" s="4" t="str">
        <f>HYPERLINK("http://141.218.60.56/~jnz1568/getInfo.php?workbook=16_15.xlsx&amp;sheet=A0&amp;row=1810&amp;col=20&amp;number=&amp;sourceID=57","")</f>
        <v/>
      </c>
      <c r="U1810" s="4" t="str">
        <f>HYPERLINK("http://141.218.60.56/~jnz1568/getInfo.php?workbook=16_15.xlsx&amp;sheet=A0&amp;row=1810&amp;col=21&amp;number=&amp;sourceID=47","")</f>
        <v/>
      </c>
      <c r="V1810" s="4" t="str">
        <f>HYPERLINK("http://141.218.60.56/~jnz1568/getInfo.php?workbook=16_15.xlsx&amp;sheet=A0&amp;row=1810&amp;col=22&amp;number=&amp;sourceID=47","")</f>
        <v/>
      </c>
    </row>
    <row r="1811" spans="1:22">
      <c r="A1811" s="3">
        <v>16</v>
      </c>
      <c r="B1811" s="3">
        <v>15</v>
      </c>
      <c r="C1811" s="3">
        <v>68</v>
      </c>
      <c r="D1811" s="3">
        <v>42</v>
      </c>
      <c r="E1811" s="3">
        <f>((1/(INDEX(E0!J$4:J$73,C1811,1)-INDEX(E0!J$4:J$73,D1811,1))))*100000000</f>
        <v>0</v>
      </c>
      <c r="F1811" s="4" t="str">
        <f>HYPERLINK("http://141.218.60.56/~jnz1568/getInfo.php?workbook=16_15.xlsx&amp;sheet=A0&amp;row=1811&amp;col=6&amp;number=&amp;sourceID=54","")</f>
        <v/>
      </c>
      <c r="G1811" s="4" t="str">
        <f>HYPERLINK("http://141.218.60.56/~jnz1568/getInfo.php?workbook=16_15.xlsx&amp;sheet=A0&amp;row=1811&amp;col=7&amp;number=&amp;sourceID=54","")</f>
        <v/>
      </c>
      <c r="H1811" s="4" t="str">
        <f>HYPERLINK("http://141.218.60.56/~jnz1568/getInfo.php?workbook=16_15.xlsx&amp;sheet=A0&amp;row=1811&amp;col=8&amp;number=&amp;sourceID=54","")</f>
        <v/>
      </c>
      <c r="I1811" s="4" t="str">
        <f>HYPERLINK("http://141.218.60.56/~jnz1568/getInfo.php?workbook=16_15.xlsx&amp;sheet=A0&amp;row=1811&amp;col=9&amp;number=&amp;sourceID=54","")</f>
        <v/>
      </c>
      <c r="J1811" s="4" t="str">
        <f>HYPERLINK("http://141.218.60.56/~jnz1568/getInfo.php?workbook=16_15.xlsx&amp;sheet=A0&amp;row=1811&amp;col=10&amp;number=&amp;sourceID=54","")</f>
        <v/>
      </c>
      <c r="K1811" s="4" t="str">
        <f>HYPERLINK("http://141.218.60.56/~jnz1568/getInfo.php?workbook=16_15.xlsx&amp;sheet=A0&amp;row=1811&amp;col=11&amp;number=&amp;sourceID=54","")</f>
        <v/>
      </c>
      <c r="L1811" s="4" t="str">
        <f>HYPERLINK("http://141.218.60.56/~jnz1568/getInfo.php?workbook=16_15.xlsx&amp;sheet=A0&amp;row=1811&amp;col=12&amp;number=1898034.05607&amp;sourceID=53","1898034.05607")</f>
        <v>1898034.05607</v>
      </c>
      <c r="M1811" s="4" t="str">
        <f>HYPERLINK("http://141.218.60.56/~jnz1568/getInfo.php?workbook=16_15.xlsx&amp;sheet=A0&amp;row=1811&amp;col=13&amp;number=&amp;sourceID=53","")</f>
        <v/>
      </c>
      <c r="N1811" s="4" t="str">
        <f>HYPERLINK("http://141.218.60.56/~jnz1568/getInfo.php?workbook=16_15.xlsx&amp;sheet=A0&amp;row=1811&amp;col=14&amp;number=&amp;sourceID=53","")</f>
        <v/>
      </c>
      <c r="O1811" s="4" t="str">
        <f>HYPERLINK("http://141.218.60.56/~jnz1568/getInfo.php?workbook=16_15.xlsx&amp;sheet=A0&amp;row=1811&amp;col=15&amp;number=&amp;sourceID=55","")</f>
        <v/>
      </c>
      <c r="P1811" s="4" t="str">
        <f>HYPERLINK("http://141.218.60.56/~jnz1568/getInfo.php?workbook=16_15.xlsx&amp;sheet=A0&amp;row=1811&amp;col=16&amp;number=&amp;sourceID=55","")</f>
        <v/>
      </c>
      <c r="Q1811" s="4" t="str">
        <f>HYPERLINK("http://141.218.60.56/~jnz1568/getInfo.php?workbook=16_15.xlsx&amp;sheet=A0&amp;row=1811&amp;col=17&amp;number=&amp;sourceID=56","")</f>
        <v/>
      </c>
      <c r="R1811" s="4" t="str">
        <f>HYPERLINK("http://141.218.60.56/~jnz1568/getInfo.php?workbook=16_15.xlsx&amp;sheet=A0&amp;row=1811&amp;col=18&amp;number=&amp;sourceID=56","")</f>
        <v/>
      </c>
      <c r="S1811" s="4" t="str">
        <f>HYPERLINK("http://141.218.60.56/~jnz1568/getInfo.php?workbook=16_15.xlsx&amp;sheet=A0&amp;row=1811&amp;col=19&amp;number=&amp;sourceID=57","")</f>
        <v/>
      </c>
      <c r="T1811" s="4" t="str">
        <f>HYPERLINK("http://141.218.60.56/~jnz1568/getInfo.php?workbook=16_15.xlsx&amp;sheet=A0&amp;row=1811&amp;col=20&amp;number=&amp;sourceID=57","")</f>
        <v/>
      </c>
      <c r="U1811" s="4" t="str">
        <f>HYPERLINK("http://141.218.60.56/~jnz1568/getInfo.php?workbook=16_15.xlsx&amp;sheet=A0&amp;row=1811&amp;col=21&amp;number=&amp;sourceID=47","")</f>
        <v/>
      </c>
      <c r="V1811" s="4" t="str">
        <f>HYPERLINK("http://141.218.60.56/~jnz1568/getInfo.php?workbook=16_15.xlsx&amp;sheet=A0&amp;row=1811&amp;col=22&amp;number=&amp;sourceID=47","")</f>
        <v/>
      </c>
    </row>
    <row r="1812" spans="1:22">
      <c r="A1812" s="3">
        <v>16</v>
      </c>
      <c r="B1812" s="3">
        <v>15</v>
      </c>
      <c r="C1812" s="3">
        <v>68</v>
      </c>
      <c r="D1812" s="3">
        <v>45</v>
      </c>
      <c r="E1812" s="3">
        <f>((1/(INDEX(E0!J$4:J$73,C1812,1)-INDEX(E0!J$4:J$73,D1812,1))))*100000000</f>
        <v>0</v>
      </c>
      <c r="F1812" s="4" t="str">
        <f>HYPERLINK("http://141.218.60.56/~jnz1568/getInfo.php?workbook=16_15.xlsx&amp;sheet=A0&amp;row=1812&amp;col=6&amp;number=&amp;sourceID=54","")</f>
        <v/>
      </c>
      <c r="G1812" s="4" t="str">
        <f>HYPERLINK("http://141.218.60.56/~jnz1568/getInfo.php?workbook=16_15.xlsx&amp;sheet=A0&amp;row=1812&amp;col=7&amp;number=&amp;sourceID=54","")</f>
        <v/>
      </c>
      <c r="H1812" s="4" t="str">
        <f>HYPERLINK("http://141.218.60.56/~jnz1568/getInfo.php?workbook=16_15.xlsx&amp;sheet=A0&amp;row=1812&amp;col=8&amp;number=&amp;sourceID=54","")</f>
        <v/>
      </c>
      <c r="I1812" s="4" t="str">
        <f>HYPERLINK("http://141.218.60.56/~jnz1568/getInfo.php?workbook=16_15.xlsx&amp;sheet=A0&amp;row=1812&amp;col=9&amp;number=&amp;sourceID=54","")</f>
        <v/>
      </c>
      <c r="J1812" s="4" t="str">
        <f>HYPERLINK("http://141.218.60.56/~jnz1568/getInfo.php?workbook=16_15.xlsx&amp;sheet=A0&amp;row=1812&amp;col=10&amp;number=&amp;sourceID=54","")</f>
        <v/>
      </c>
      <c r="K1812" s="4" t="str">
        <f>HYPERLINK("http://141.218.60.56/~jnz1568/getInfo.php?workbook=16_15.xlsx&amp;sheet=A0&amp;row=1812&amp;col=11&amp;number=&amp;sourceID=54","")</f>
        <v/>
      </c>
      <c r="L1812" s="4" t="str">
        <f>HYPERLINK("http://141.218.60.56/~jnz1568/getInfo.php?workbook=16_15.xlsx&amp;sheet=A0&amp;row=1812&amp;col=12&amp;number=41406.6290783&amp;sourceID=53","41406.6290783")</f>
        <v>41406.6290783</v>
      </c>
      <c r="M1812" s="4" t="str">
        <f>HYPERLINK("http://141.218.60.56/~jnz1568/getInfo.php?workbook=16_15.xlsx&amp;sheet=A0&amp;row=1812&amp;col=13&amp;number=&amp;sourceID=53","")</f>
        <v/>
      </c>
      <c r="N1812" s="4" t="str">
        <f>HYPERLINK("http://141.218.60.56/~jnz1568/getInfo.php?workbook=16_15.xlsx&amp;sheet=A0&amp;row=1812&amp;col=14&amp;number=&amp;sourceID=53","")</f>
        <v/>
      </c>
      <c r="O1812" s="4" t="str">
        <f>HYPERLINK("http://141.218.60.56/~jnz1568/getInfo.php?workbook=16_15.xlsx&amp;sheet=A0&amp;row=1812&amp;col=15&amp;number=&amp;sourceID=55","")</f>
        <v/>
      </c>
      <c r="P1812" s="4" t="str">
        <f>HYPERLINK("http://141.218.60.56/~jnz1568/getInfo.php?workbook=16_15.xlsx&amp;sheet=A0&amp;row=1812&amp;col=16&amp;number=&amp;sourceID=55","")</f>
        <v/>
      </c>
      <c r="Q1812" s="4" t="str">
        <f>HYPERLINK("http://141.218.60.56/~jnz1568/getInfo.php?workbook=16_15.xlsx&amp;sheet=A0&amp;row=1812&amp;col=17&amp;number=&amp;sourceID=56","")</f>
        <v/>
      </c>
      <c r="R1812" s="4" t="str">
        <f>HYPERLINK("http://141.218.60.56/~jnz1568/getInfo.php?workbook=16_15.xlsx&amp;sheet=A0&amp;row=1812&amp;col=18&amp;number=&amp;sourceID=56","")</f>
        <v/>
      </c>
      <c r="S1812" s="4" t="str">
        <f>HYPERLINK("http://141.218.60.56/~jnz1568/getInfo.php?workbook=16_15.xlsx&amp;sheet=A0&amp;row=1812&amp;col=19&amp;number=&amp;sourceID=57","")</f>
        <v/>
      </c>
      <c r="T1812" s="4" t="str">
        <f>HYPERLINK("http://141.218.60.56/~jnz1568/getInfo.php?workbook=16_15.xlsx&amp;sheet=A0&amp;row=1812&amp;col=20&amp;number=&amp;sourceID=57","")</f>
        <v/>
      </c>
      <c r="U1812" s="4" t="str">
        <f>HYPERLINK("http://141.218.60.56/~jnz1568/getInfo.php?workbook=16_15.xlsx&amp;sheet=A0&amp;row=1812&amp;col=21&amp;number=&amp;sourceID=47","")</f>
        <v/>
      </c>
      <c r="V1812" s="4" t="str">
        <f>HYPERLINK("http://141.218.60.56/~jnz1568/getInfo.php?workbook=16_15.xlsx&amp;sheet=A0&amp;row=1812&amp;col=22&amp;number=&amp;sourceID=47","")</f>
        <v/>
      </c>
    </row>
    <row r="1813" spans="1:22">
      <c r="A1813" s="3">
        <v>16</v>
      </c>
      <c r="B1813" s="3">
        <v>15</v>
      </c>
      <c r="C1813" s="3">
        <v>68</v>
      </c>
      <c r="D1813" s="3">
        <v>47</v>
      </c>
      <c r="E1813" s="3">
        <f>((1/(INDEX(E0!J$4:J$73,C1813,1)-INDEX(E0!J$4:J$73,D1813,1))))*100000000</f>
        <v>0</v>
      </c>
      <c r="F1813" s="4" t="str">
        <f>HYPERLINK("http://141.218.60.56/~jnz1568/getInfo.php?workbook=16_15.xlsx&amp;sheet=A0&amp;row=1813&amp;col=6&amp;number=&amp;sourceID=54","")</f>
        <v/>
      </c>
      <c r="G1813" s="4" t="str">
        <f>HYPERLINK("http://141.218.60.56/~jnz1568/getInfo.php?workbook=16_15.xlsx&amp;sheet=A0&amp;row=1813&amp;col=7&amp;number=&amp;sourceID=54","")</f>
        <v/>
      </c>
      <c r="H1813" s="4" t="str">
        <f>HYPERLINK("http://141.218.60.56/~jnz1568/getInfo.php?workbook=16_15.xlsx&amp;sheet=A0&amp;row=1813&amp;col=8&amp;number=&amp;sourceID=54","")</f>
        <v/>
      </c>
      <c r="I1813" s="4" t="str">
        <f>HYPERLINK("http://141.218.60.56/~jnz1568/getInfo.php?workbook=16_15.xlsx&amp;sheet=A0&amp;row=1813&amp;col=9&amp;number=&amp;sourceID=54","")</f>
        <v/>
      </c>
      <c r="J1813" s="4" t="str">
        <f>HYPERLINK("http://141.218.60.56/~jnz1568/getInfo.php?workbook=16_15.xlsx&amp;sheet=A0&amp;row=1813&amp;col=10&amp;number=&amp;sourceID=54","")</f>
        <v/>
      </c>
      <c r="K1813" s="4" t="str">
        <f>HYPERLINK("http://141.218.60.56/~jnz1568/getInfo.php?workbook=16_15.xlsx&amp;sheet=A0&amp;row=1813&amp;col=11&amp;number=&amp;sourceID=54","")</f>
        <v/>
      </c>
      <c r="L1813" s="4" t="str">
        <f>HYPERLINK("http://141.218.60.56/~jnz1568/getInfo.php?workbook=16_15.xlsx&amp;sheet=A0&amp;row=1813&amp;col=12&amp;number=572703.761758&amp;sourceID=53","572703.761758")</f>
        <v>572703.761758</v>
      </c>
      <c r="M1813" s="4" t="str">
        <f>HYPERLINK("http://141.218.60.56/~jnz1568/getInfo.php?workbook=16_15.xlsx&amp;sheet=A0&amp;row=1813&amp;col=13&amp;number=&amp;sourceID=53","")</f>
        <v/>
      </c>
      <c r="N1813" s="4" t="str">
        <f>HYPERLINK("http://141.218.60.56/~jnz1568/getInfo.php?workbook=16_15.xlsx&amp;sheet=A0&amp;row=1813&amp;col=14&amp;number=&amp;sourceID=53","")</f>
        <v/>
      </c>
      <c r="O1813" s="4" t="str">
        <f>HYPERLINK("http://141.218.60.56/~jnz1568/getInfo.php?workbook=16_15.xlsx&amp;sheet=A0&amp;row=1813&amp;col=15&amp;number=&amp;sourceID=55","")</f>
        <v/>
      </c>
      <c r="P1813" s="4" t="str">
        <f>HYPERLINK("http://141.218.60.56/~jnz1568/getInfo.php?workbook=16_15.xlsx&amp;sheet=A0&amp;row=1813&amp;col=16&amp;number=&amp;sourceID=55","")</f>
        <v/>
      </c>
      <c r="Q1813" s="4" t="str">
        <f>HYPERLINK("http://141.218.60.56/~jnz1568/getInfo.php?workbook=16_15.xlsx&amp;sheet=A0&amp;row=1813&amp;col=17&amp;number=&amp;sourceID=56","")</f>
        <v/>
      </c>
      <c r="R1813" s="4" t="str">
        <f>HYPERLINK("http://141.218.60.56/~jnz1568/getInfo.php?workbook=16_15.xlsx&amp;sheet=A0&amp;row=1813&amp;col=18&amp;number=&amp;sourceID=56","")</f>
        <v/>
      </c>
      <c r="S1813" s="4" t="str">
        <f>HYPERLINK("http://141.218.60.56/~jnz1568/getInfo.php?workbook=16_15.xlsx&amp;sheet=A0&amp;row=1813&amp;col=19&amp;number=&amp;sourceID=57","")</f>
        <v/>
      </c>
      <c r="T1813" s="4" t="str">
        <f>HYPERLINK("http://141.218.60.56/~jnz1568/getInfo.php?workbook=16_15.xlsx&amp;sheet=A0&amp;row=1813&amp;col=20&amp;number=&amp;sourceID=57","")</f>
        <v/>
      </c>
      <c r="U1813" s="4" t="str">
        <f>HYPERLINK("http://141.218.60.56/~jnz1568/getInfo.php?workbook=16_15.xlsx&amp;sheet=A0&amp;row=1813&amp;col=21&amp;number=&amp;sourceID=47","")</f>
        <v/>
      </c>
      <c r="V1813" s="4" t="str">
        <f>HYPERLINK("http://141.218.60.56/~jnz1568/getInfo.php?workbook=16_15.xlsx&amp;sheet=A0&amp;row=1813&amp;col=22&amp;number=&amp;sourceID=47","")</f>
        <v/>
      </c>
    </row>
    <row r="1814" spans="1:22">
      <c r="A1814" s="3">
        <v>16</v>
      </c>
      <c r="B1814" s="3">
        <v>15</v>
      </c>
      <c r="C1814" s="3">
        <v>68</v>
      </c>
      <c r="D1814" s="3">
        <v>49</v>
      </c>
      <c r="E1814" s="3">
        <f>((1/(INDEX(E0!J$4:J$73,C1814,1)-INDEX(E0!J$4:J$73,D1814,1))))*100000000</f>
        <v>0</v>
      </c>
      <c r="F1814" s="4" t="str">
        <f>HYPERLINK("http://141.218.60.56/~jnz1568/getInfo.php?workbook=16_15.xlsx&amp;sheet=A0&amp;row=1814&amp;col=6&amp;number=&amp;sourceID=54","")</f>
        <v/>
      </c>
      <c r="G1814" s="4" t="str">
        <f>HYPERLINK("http://141.218.60.56/~jnz1568/getInfo.php?workbook=16_15.xlsx&amp;sheet=A0&amp;row=1814&amp;col=7&amp;number=&amp;sourceID=54","")</f>
        <v/>
      </c>
      <c r="H1814" s="4" t="str">
        <f>HYPERLINK("http://141.218.60.56/~jnz1568/getInfo.php?workbook=16_15.xlsx&amp;sheet=A0&amp;row=1814&amp;col=8&amp;number=&amp;sourceID=54","")</f>
        <v/>
      </c>
      <c r="I1814" s="4" t="str">
        <f>HYPERLINK("http://141.218.60.56/~jnz1568/getInfo.php?workbook=16_15.xlsx&amp;sheet=A0&amp;row=1814&amp;col=9&amp;number=&amp;sourceID=54","")</f>
        <v/>
      </c>
      <c r="J1814" s="4" t="str">
        <f>HYPERLINK("http://141.218.60.56/~jnz1568/getInfo.php?workbook=16_15.xlsx&amp;sheet=A0&amp;row=1814&amp;col=10&amp;number=&amp;sourceID=54","")</f>
        <v/>
      </c>
      <c r="K1814" s="4" t="str">
        <f>HYPERLINK("http://141.218.60.56/~jnz1568/getInfo.php?workbook=16_15.xlsx&amp;sheet=A0&amp;row=1814&amp;col=11&amp;number=&amp;sourceID=54","")</f>
        <v/>
      </c>
      <c r="L1814" s="4" t="str">
        <f>HYPERLINK("http://141.218.60.56/~jnz1568/getInfo.php?workbook=16_15.xlsx&amp;sheet=A0&amp;row=1814&amp;col=12&amp;number=4089952.4664&amp;sourceID=53","4089952.4664")</f>
        <v>4089952.4664</v>
      </c>
      <c r="M1814" s="4" t="str">
        <f>HYPERLINK("http://141.218.60.56/~jnz1568/getInfo.php?workbook=16_15.xlsx&amp;sheet=A0&amp;row=1814&amp;col=13&amp;number=&amp;sourceID=53","")</f>
        <v/>
      </c>
      <c r="N1814" s="4" t="str">
        <f>HYPERLINK("http://141.218.60.56/~jnz1568/getInfo.php?workbook=16_15.xlsx&amp;sheet=A0&amp;row=1814&amp;col=14&amp;number=&amp;sourceID=53","")</f>
        <v/>
      </c>
      <c r="O1814" s="4" t="str">
        <f>HYPERLINK("http://141.218.60.56/~jnz1568/getInfo.php?workbook=16_15.xlsx&amp;sheet=A0&amp;row=1814&amp;col=15&amp;number=&amp;sourceID=55","")</f>
        <v/>
      </c>
      <c r="P1814" s="4" t="str">
        <f>HYPERLINK("http://141.218.60.56/~jnz1568/getInfo.php?workbook=16_15.xlsx&amp;sheet=A0&amp;row=1814&amp;col=16&amp;number=&amp;sourceID=55","")</f>
        <v/>
      </c>
      <c r="Q1814" s="4" t="str">
        <f>HYPERLINK("http://141.218.60.56/~jnz1568/getInfo.php?workbook=16_15.xlsx&amp;sheet=A0&amp;row=1814&amp;col=17&amp;number=&amp;sourceID=56","")</f>
        <v/>
      </c>
      <c r="R1814" s="4" t="str">
        <f>HYPERLINK("http://141.218.60.56/~jnz1568/getInfo.php?workbook=16_15.xlsx&amp;sheet=A0&amp;row=1814&amp;col=18&amp;number=&amp;sourceID=56","")</f>
        <v/>
      </c>
      <c r="S1814" s="4" t="str">
        <f>HYPERLINK("http://141.218.60.56/~jnz1568/getInfo.php?workbook=16_15.xlsx&amp;sheet=A0&amp;row=1814&amp;col=19&amp;number=&amp;sourceID=57","")</f>
        <v/>
      </c>
      <c r="T1814" s="4" t="str">
        <f>HYPERLINK("http://141.218.60.56/~jnz1568/getInfo.php?workbook=16_15.xlsx&amp;sheet=A0&amp;row=1814&amp;col=20&amp;number=&amp;sourceID=57","")</f>
        <v/>
      </c>
      <c r="U1814" s="4" t="str">
        <f>HYPERLINK("http://141.218.60.56/~jnz1568/getInfo.php?workbook=16_15.xlsx&amp;sheet=A0&amp;row=1814&amp;col=21&amp;number=&amp;sourceID=47","")</f>
        <v/>
      </c>
      <c r="V1814" s="4" t="str">
        <f>HYPERLINK("http://141.218.60.56/~jnz1568/getInfo.php?workbook=16_15.xlsx&amp;sheet=A0&amp;row=1814&amp;col=22&amp;number=&amp;sourceID=47","")</f>
        <v/>
      </c>
    </row>
    <row r="1815" spans="1:22">
      <c r="A1815" s="3">
        <v>16</v>
      </c>
      <c r="B1815" s="3">
        <v>15</v>
      </c>
      <c r="C1815" s="3">
        <v>68</v>
      </c>
      <c r="D1815" s="3">
        <v>59</v>
      </c>
      <c r="E1815" s="3">
        <f>((1/(INDEX(E0!J$4:J$73,C1815,1)-INDEX(E0!J$4:J$73,D1815,1))))*100000000</f>
        <v>0</v>
      </c>
      <c r="F1815" s="4" t="str">
        <f>HYPERLINK("http://141.218.60.56/~jnz1568/getInfo.php?workbook=16_15.xlsx&amp;sheet=A0&amp;row=1815&amp;col=6&amp;number=&amp;sourceID=54","")</f>
        <v/>
      </c>
      <c r="G1815" s="4" t="str">
        <f>HYPERLINK("http://141.218.60.56/~jnz1568/getInfo.php?workbook=16_15.xlsx&amp;sheet=A0&amp;row=1815&amp;col=7&amp;number=&amp;sourceID=54","")</f>
        <v/>
      </c>
      <c r="H1815" s="4" t="str">
        <f>HYPERLINK("http://141.218.60.56/~jnz1568/getInfo.php?workbook=16_15.xlsx&amp;sheet=A0&amp;row=1815&amp;col=8&amp;number=&amp;sourceID=54","")</f>
        <v/>
      </c>
      <c r="I1815" s="4" t="str">
        <f>HYPERLINK("http://141.218.60.56/~jnz1568/getInfo.php?workbook=16_15.xlsx&amp;sheet=A0&amp;row=1815&amp;col=9&amp;number=&amp;sourceID=54","")</f>
        <v/>
      </c>
      <c r="J1815" s="4" t="str">
        <f>HYPERLINK("http://141.218.60.56/~jnz1568/getInfo.php?workbook=16_15.xlsx&amp;sheet=A0&amp;row=1815&amp;col=10&amp;number=&amp;sourceID=54","")</f>
        <v/>
      </c>
      <c r="K1815" s="4" t="str">
        <f>HYPERLINK("http://141.218.60.56/~jnz1568/getInfo.php?workbook=16_15.xlsx&amp;sheet=A0&amp;row=1815&amp;col=11&amp;number=&amp;sourceID=54","")</f>
        <v/>
      </c>
      <c r="L1815" s="4" t="str">
        <f>HYPERLINK("http://141.218.60.56/~jnz1568/getInfo.php?workbook=16_15.xlsx&amp;sheet=A0&amp;row=1815&amp;col=12&amp;number=4094.82811497&amp;sourceID=53","4094.82811497")</f>
        <v>4094.82811497</v>
      </c>
      <c r="M1815" s="4" t="str">
        <f>HYPERLINK("http://141.218.60.56/~jnz1568/getInfo.php?workbook=16_15.xlsx&amp;sheet=A0&amp;row=1815&amp;col=13&amp;number=&amp;sourceID=53","")</f>
        <v/>
      </c>
      <c r="N1815" s="4" t="str">
        <f>HYPERLINK("http://141.218.60.56/~jnz1568/getInfo.php?workbook=16_15.xlsx&amp;sheet=A0&amp;row=1815&amp;col=14&amp;number=&amp;sourceID=53","")</f>
        <v/>
      </c>
      <c r="O1815" s="4" t="str">
        <f>HYPERLINK("http://141.218.60.56/~jnz1568/getInfo.php?workbook=16_15.xlsx&amp;sheet=A0&amp;row=1815&amp;col=15&amp;number=&amp;sourceID=55","")</f>
        <v/>
      </c>
      <c r="P1815" s="4" t="str">
        <f>HYPERLINK("http://141.218.60.56/~jnz1568/getInfo.php?workbook=16_15.xlsx&amp;sheet=A0&amp;row=1815&amp;col=16&amp;number=&amp;sourceID=55","")</f>
        <v/>
      </c>
      <c r="Q1815" s="4" t="str">
        <f>HYPERLINK("http://141.218.60.56/~jnz1568/getInfo.php?workbook=16_15.xlsx&amp;sheet=A0&amp;row=1815&amp;col=17&amp;number=&amp;sourceID=56","")</f>
        <v/>
      </c>
      <c r="R1815" s="4" t="str">
        <f>HYPERLINK("http://141.218.60.56/~jnz1568/getInfo.php?workbook=16_15.xlsx&amp;sheet=A0&amp;row=1815&amp;col=18&amp;number=&amp;sourceID=56","")</f>
        <v/>
      </c>
      <c r="S1815" s="4" t="str">
        <f>HYPERLINK("http://141.218.60.56/~jnz1568/getInfo.php?workbook=16_15.xlsx&amp;sheet=A0&amp;row=1815&amp;col=19&amp;number=&amp;sourceID=57","")</f>
        <v/>
      </c>
      <c r="T1815" s="4" t="str">
        <f>HYPERLINK("http://141.218.60.56/~jnz1568/getInfo.php?workbook=16_15.xlsx&amp;sheet=A0&amp;row=1815&amp;col=20&amp;number=&amp;sourceID=57","")</f>
        <v/>
      </c>
      <c r="U1815" s="4" t="str">
        <f>HYPERLINK("http://141.218.60.56/~jnz1568/getInfo.php?workbook=16_15.xlsx&amp;sheet=A0&amp;row=1815&amp;col=21&amp;number=&amp;sourceID=47","")</f>
        <v/>
      </c>
      <c r="V1815" s="4" t="str">
        <f>HYPERLINK("http://141.218.60.56/~jnz1568/getInfo.php?workbook=16_15.xlsx&amp;sheet=A0&amp;row=1815&amp;col=22&amp;number=&amp;sourceID=47","")</f>
        <v/>
      </c>
    </row>
    <row r="1816" spans="1:22">
      <c r="A1816" s="3">
        <v>16</v>
      </c>
      <c r="B1816" s="3">
        <v>15</v>
      </c>
      <c r="C1816" s="3">
        <v>68</v>
      </c>
      <c r="D1816" s="3">
        <v>60</v>
      </c>
      <c r="E1816" s="3">
        <f>((1/(INDEX(E0!J$4:J$73,C1816,1)-INDEX(E0!J$4:J$73,D1816,1))))*100000000</f>
        <v>0</v>
      </c>
      <c r="F1816" s="4" t="str">
        <f>HYPERLINK("http://141.218.60.56/~jnz1568/getInfo.php?workbook=16_15.xlsx&amp;sheet=A0&amp;row=1816&amp;col=6&amp;number=&amp;sourceID=54","")</f>
        <v/>
      </c>
      <c r="G1816" s="4" t="str">
        <f>HYPERLINK("http://141.218.60.56/~jnz1568/getInfo.php?workbook=16_15.xlsx&amp;sheet=A0&amp;row=1816&amp;col=7&amp;number=&amp;sourceID=54","")</f>
        <v/>
      </c>
      <c r="H1816" s="4" t="str">
        <f>HYPERLINK("http://141.218.60.56/~jnz1568/getInfo.php?workbook=16_15.xlsx&amp;sheet=A0&amp;row=1816&amp;col=8&amp;number=&amp;sourceID=54","")</f>
        <v/>
      </c>
      <c r="I1816" s="4" t="str">
        <f>HYPERLINK("http://141.218.60.56/~jnz1568/getInfo.php?workbook=16_15.xlsx&amp;sheet=A0&amp;row=1816&amp;col=9&amp;number=&amp;sourceID=54","")</f>
        <v/>
      </c>
      <c r="J1816" s="4" t="str">
        <f>HYPERLINK("http://141.218.60.56/~jnz1568/getInfo.php?workbook=16_15.xlsx&amp;sheet=A0&amp;row=1816&amp;col=10&amp;number=&amp;sourceID=54","")</f>
        <v/>
      </c>
      <c r="K1816" s="4" t="str">
        <f>HYPERLINK("http://141.218.60.56/~jnz1568/getInfo.php?workbook=16_15.xlsx&amp;sheet=A0&amp;row=1816&amp;col=11&amp;number=&amp;sourceID=54","")</f>
        <v/>
      </c>
      <c r="L1816" s="4" t="str">
        <f>HYPERLINK("http://141.218.60.56/~jnz1568/getInfo.php?workbook=16_15.xlsx&amp;sheet=A0&amp;row=1816&amp;col=12&amp;number=2231538.32089&amp;sourceID=53","2231538.32089")</f>
        <v>2231538.32089</v>
      </c>
      <c r="M1816" s="4" t="str">
        <f>HYPERLINK("http://141.218.60.56/~jnz1568/getInfo.php?workbook=16_15.xlsx&amp;sheet=A0&amp;row=1816&amp;col=13&amp;number=&amp;sourceID=53","")</f>
        <v/>
      </c>
      <c r="N1816" s="4" t="str">
        <f>HYPERLINK("http://141.218.60.56/~jnz1568/getInfo.php?workbook=16_15.xlsx&amp;sheet=A0&amp;row=1816&amp;col=14&amp;number=&amp;sourceID=53","")</f>
        <v/>
      </c>
      <c r="O1816" s="4" t="str">
        <f>HYPERLINK("http://141.218.60.56/~jnz1568/getInfo.php?workbook=16_15.xlsx&amp;sheet=A0&amp;row=1816&amp;col=15&amp;number=&amp;sourceID=55","")</f>
        <v/>
      </c>
      <c r="P1816" s="4" t="str">
        <f>HYPERLINK("http://141.218.60.56/~jnz1568/getInfo.php?workbook=16_15.xlsx&amp;sheet=A0&amp;row=1816&amp;col=16&amp;number=&amp;sourceID=55","")</f>
        <v/>
      </c>
      <c r="Q1816" s="4" t="str">
        <f>HYPERLINK("http://141.218.60.56/~jnz1568/getInfo.php?workbook=16_15.xlsx&amp;sheet=A0&amp;row=1816&amp;col=17&amp;number=&amp;sourceID=56","")</f>
        <v/>
      </c>
      <c r="R1816" s="4" t="str">
        <f>HYPERLINK("http://141.218.60.56/~jnz1568/getInfo.php?workbook=16_15.xlsx&amp;sheet=A0&amp;row=1816&amp;col=18&amp;number=&amp;sourceID=56","")</f>
        <v/>
      </c>
      <c r="S1816" s="4" t="str">
        <f>HYPERLINK("http://141.218.60.56/~jnz1568/getInfo.php?workbook=16_15.xlsx&amp;sheet=A0&amp;row=1816&amp;col=19&amp;number=&amp;sourceID=57","")</f>
        <v/>
      </c>
      <c r="T1816" s="4" t="str">
        <f>HYPERLINK("http://141.218.60.56/~jnz1568/getInfo.php?workbook=16_15.xlsx&amp;sheet=A0&amp;row=1816&amp;col=20&amp;number=&amp;sourceID=57","")</f>
        <v/>
      </c>
      <c r="U1816" s="4" t="str">
        <f>HYPERLINK("http://141.218.60.56/~jnz1568/getInfo.php?workbook=16_15.xlsx&amp;sheet=A0&amp;row=1816&amp;col=21&amp;number=&amp;sourceID=47","")</f>
        <v/>
      </c>
      <c r="V1816" s="4" t="str">
        <f>HYPERLINK("http://141.218.60.56/~jnz1568/getInfo.php?workbook=16_15.xlsx&amp;sheet=A0&amp;row=1816&amp;col=22&amp;number=&amp;sourceID=47","")</f>
        <v/>
      </c>
    </row>
    <row r="1817" spans="1:22">
      <c r="A1817" s="3">
        <v>16</v>
      </c>
      <c r="B1817" s="3">
        <v>15</v>
      </c>
      <c r="C1817" s="3">
        <v>68</v>
      </c>
      <c r="D1817" s="3">
        <v>61</v>
      </c>
      <c r="E1817" s="3">
        <f>((1/(INDEX(E0!J$4:J$73,C1817,1)-INDEX(E0!J$4:J$73,D1817,1))))*100000000</f>
        <v>0</v>
      </c>
      <c r="F1817" s="4" t="str">
        <f>HYPERLINK("http://141.218.60.56/~jnz1568/getInfo.php?workbook=16_15.xlsx&amp;sheet=A0&amp;row=1817&amp;col=6&amp;number=&amp;sourceID=54","")</f>
        <v/>
      </c>
      <c r="G1817" s="4" t="str">
        <f>HYPERLINK("http://141.218.60.56/~jnz1568/getInfo.php?workbook=16_15.xlsx&amp;sheet=A0&amp;row=1817&amp;col=7&amp;number=&amp;sourceID=54","")</f>
        <v/>
      </c>
      <c r="H1817" s="4" t="str">
        <f>HYPERLINK("http://141.218.60.56/~jnz1568/getInfo.php?workbook=16_15.xlsx&amp;sheet=A0&amp;row=1817&amp;col=8&amp;number=&amp;sourceID=54","")</f>
        <v/>
      </c>
      <c r="I1817" s="4" t="str">
        <f>HYPERLINK("http://141.218.60.56/~jnz1568/getInfo.php?workbook=16_15.xlsx&amp;sheet=A0&amp;row=1817&amp;col=9&amp;number=&amp;sourceID=54","")</f>
        <v/>
      </c>
      <c r="J1817" s="4" t="str">
        <f>HYPERLINK("http://141.218.60.56/~jnz1568/getInfo.php?workbook=16_15.xlsx&amp;sheet=A0&amp;row=1817&amp;col=10&amp;number=&amp;sourceID=54","")</f>
        <v/>
      </c>
      <c r="K1817" s="4" t="str">
        <f>HYPERLINK("http://141.218.60.56/~jnz1568/getInfo.php?workbook=16_15.xlsx&amp;sheet=A0&amp;row=1817&amp;col=11&amp;number=&amp;sourceID=54","")</f>
        <v/>
      </c>
      <c r="L1817" s="4" t="str">
        <f>HYPERLINK("http://141.218.60.56/~jnz1568/getInfo.php?workbook=16_15.xlsx&amp;sheet=A0&amp;row=1817&amp;col=12&amp;number=3307608.23158&amp;sourceID=53","3307608.23158")</f>
        <v>3307608.23158</v>
      </c>
      <c r="M1817" s="4" t="str">
        <f>HYPERLINK("http://141.218.60.56/~jnz1568/getInfo.php?workbook=16_15.xlsx&amp;sheet=A0&amp;row=1817&amp;col=13&amp;number=&amp;sourceID=53","")</f>
        <v/>
      </c>
      <c r="N1817" s="4" t="str">
        <f>HYPERLINK("http://141.218.60.56/~jnz1568/getInfo.php?workbook=16_15.xlsx&amp;sheet=A0&amp;row=1817&amp;col=14&amp;number=&amp;sourceID=53","")</f>
        <v/>
      </c>
      <c r="O1817" s="4" t="str">
        <f>HYPERLINK("http://141.218.60.56/~jnz1568/getInfo.php?workbook=16_15.xlsx&amp;sheet=A0&amp;row=1817&amp;col=15&amp;number=&amp;sourceID=55","")</f>
        <v/>
      </c>
      <c r="P1817" s="4" t="str">
        <f>HYPERLINK("http://141.218.60.56/~jnz1568/getInfo.php?workbook=16_15.xlsx&amp;sheet=A0&amp;row=1817&amp;col=16&amp;number=&amp;sourceID=55","")</f>
        <v/>
      </c>
      <c r="Q1817" s="4" t="str">
        <f>HYPERLINK("http://141.218.60.56/~jnz1568/getInfo.php?workbook=16_15.xlsx&amp;sheet=A0&amp;row=1817&amp;col=17&amp;number=&amp;sourceID=56","")</f>
        <v/>
      </c>
      <c r="R1817" s="4" t="str">
        <f>HYPERLINK("http://141.218.60.56/~jnz1568/getInfo.php?workbook=16_15.xlsx&amp;sheet=A0&amp;row=1817&amp;col=18&amp;number=&amp;sourceID=56","")</f>
        <v/>
      </c>
      <c r="S1817" s="4" t="str">
        <f>HYPERLINK("http://141.218.60.56/~jnz1568/getInfo.php?workbook=16_15.xlsx&amp;sheet=A0&amp;row=1817&amp;col=19&amp;number=&amp;sourceID=57","")</f>
        <v/>
      </c>
      <c r="T1817" s="4" t="str">
        <f>HYPERLINK("http://141.218.60.56/~jnz1568/getInfo.php?workbook=16_15.xlsx&amp;sheet=A0&amp;row=1817&amp;col=20&amp;number=&amp;sourceID=57","")</f>
        <v/>
      </c>
      <c r="U1817" s="4" t="str">
        <f>HYPERLINK("http://141.218.60.56/~jnz1568/getInfo.php?workbook=16_15.xlsx&amp;sheet=A0&amp;row=1817&amp;col=21&amp;number=&amp;sourceID=47","")</f>
        <v/>
      </c>
      <c r="V1817" s="4" t="str">
        <f>HYPERLINK("http://141.218.60.56/~jnz1568/getInfo.php?workbook=16_15.xlsx&amp;sheet=A0&amp;row=1817&amp;col=22&amp;number=&amp;sourceID=47","")</f>
        <v/>
      </c>
    </row>
    <row r="1818" spans="1:22">
      <c r="A1818" s="3">
        <v>16</v>
      </c>
      <c r="B1818" s="3">
        <v>15</v>
      </c>
      <c r="C1818" s="3">
        <v>69</v>
      </c>
      <c r="D1818" s="3">
        <v>7</v>
      </c>
      <c r="E1818" s="3">
        <f>((1/(INDEX(E0!J$4:J$73,C1818,1)-INDEX(E0!J$4:J$73,D1818,1))))*100000000</f>
        <v>0</v>
      </c>
      <c r="F1818" s="4" t="str">
        <f>HYPERLINK("http://141.218.60.56/~jnz1568/getInfo.php?workbook=16_15.xlsx&amp;sheet=A0&amp;row=1818&amp;col=6&amp;number=&amp;sourceID=54","")</f>
        <v/>
      </c>
      <c r="G1818" s="4" t="str">
        <f>HYPERLINK("http://141.218.60.56/~jnz1568/getInfo.php?workbook=16_15.xlsx&amp;sheet=A0&amp;row=1818&amp;col=7&amp;number=&amp;sourceID=54","")</f>
        <v/>
      </c>
      <c r="H1818" s="4" t="str">
        <f>HYPERLINK("http://141.218.60.56/~jnz1568/getInfo.php?workbook=16_15.xlsx&amp;sheet=A0&amp;row=1818&amp;col=8&amp;number=&amp;sourceID=54","")</f>
        <v/>
      </c>
      <c r="I1818" s="4" t="str">
        <f>HYPERLINK("http://141.218.60.56/~jnz1568/getInfo.php?workbook=16_15.xlsx&amp;sheet=A0&amp;row=1818&amp;col=9&amp;number=&amp;sourceID=54","")</f>
        <v/>
      </c>
      <c r="J1818" s="4" t="str">
        <f>HYPERLINK("http://141.218.60.56/~jnz1568/getInfo.php?workbook=16_15.xlsx&amp;sheet=A0&amp;row=1818&amp;col=10&amp;number=&amp;sourceID=54","")</f>
        <v/>
      </c>
      <c r="K1818" s="4" t="str">
        <f>HYPERLINK("http://141.218.60.56/~jnz1568/getInfo.php?workbook=16_15.xlsx&amp;sheet=A0&amp;row=1818&amp;col=11&amp;number=&amp;sourceID=54","")</f>
        <v/>
      </c>
      <c r="L1818" s="4" t="str">
        <f>HYPERLINK("http://141.218.60.56/~jnz1568/getInfo.php?workbook=16_15.xlsx&amp;sheet=A0&amp;row=1818&amp;col=12&amp;number=166.317766946&amp;sourceID=53","166.317766946")</f>
        <v>166.317766946</v>
      </c>
      <c r="M1818" s="4" t="str">
        <f>HYPERLINK("http://141.218.60.56/~jnz1568/getInfo.php?workbook=16_15.xlsx&amp;sheet=A0&amp;row=1818&amp;col=13&amp;number=&amp;sourceID=53","")</f>
        <v/>
      </c>
      <c r="N1818" s="4" t="str">
        <f>HYPERLINK("http://141.218.60.56/~jnz1568/getInfo.php?workbook=16_15.xlsx&amp;sheet=A0&amp;row=1818&amp;col=14&amp;number=&amp;sourceID=53","")</f>
        <v/>
      </c>
      <c r="O1818" s="4" t="str">
        <f>HYPERLINK("http://141.218.60.56/~jnz1568/getInfo.php?workbook=16_15.xlsx&amp;sheet=A0&amp;row=1818&amp;col=15&amp;number=&amp;sourceID=55","")</f>
        <v/>
      </c>
      <c r="P1818" s="4" t="str">
        <f>HYPERLINK("http://141.218.60.56/~jnz1568/getInfo.php?workbook=16_15.xlsx&amp;sheet=A0&amp;row=1818&amp;col=16&amp;number=&amp;sourceID=55","")</f>
        <v/>
      </c>
      <c r="Q1818" s="4" t="str">
        <f>HYPERLINK("http://141.218.60.56/~jnz1568/getInfo.php?workbook=16_15.xlsx&amp;sheet=A0&amp;row=1818&amp;col=17&amp;number=&amp;sourceID=56","")</f>
        <v/>
      </c>
      <c r="R1818" s="4" t="str">
        <f>HYPERLINK("http://141.218.60.56/~jnz1568/getInfo.php?workbook=16_15.xlsx&amp;sheet=A0&amp;row=1818&amp;col=18&amp;number=&amp;sourceID=56","")</f>
        <v/>
      </c>
      <c r="S1818" s="4" t="str">
        <f>HYPERLINK("http://141.218.60.56/~jnz1568/getInfo.php?workbook=16_15.xlsx&amp;sheet=A0&amp;row=1818&amp;col=19&amp;number=&amp;sourceID=57","")</f>
        <v/>
      </c>
      <c r="T1818" s="4" t="str">
        <f>HYPERLINK("http://141.218.60.56/~jnz1568/getInfo.php?workbook=16_15.xlsx&amp;sheet=A0&amp;row=1818&amp;col=20&amp;number=&amp;sourceID=57","")</f>
        <v/>
      </c>
      <c r="U1818" s="4" t="str">
        <f>HYPERLINK("http://141.218.60.56/~jnz1568/getInfo.php?workbook=16_15.xlsx&amp;sheet=A0&amp;row=1818&amp;col=21&amp;number=&amp;sourceID=47","")</f>
        <v/>
      </c>
      <c r="V1818" s="4" t="str">
        <f>HYPERLINK("http://141.218.60.56/~jnz1568/getInfo.php?workbook=16_15.xlsx&amp;sheet=A0&amp;row=1818&amp;col=22&amp;number=&amp;sourceID=47","")</f>
        <v/>
      </c>
    </row>
    <row r="1819" spans="1:22">
      <c r="A1819" s="3">
        <v>16</v>
      </c>
      <c r="B1819" s="3">
        <v>15</v>
      </c>
      <c r="C1819" s="3">
        <v>69</v>
      </c>
      <c r="D1819" s="3">
        <v>8</v>
      </c>
      <c r="E1819" s="3">
        <f>((1/(INDEX(E0!J$4:J$73,C1819,1)-INDEX(E0!J$4:J$73,D1819,1))))*100000000</f>
        <v>0</v>
      </c>
      <c r="F1819" s="4" t="str">
        <f>HYPERLINK("http://141.218.60.56/~jnz1568/getInfo.php?workbook=16_15.xlsx&amp;sheet=A0&amp;row=1819&amp;col=6&amp;number=&amp;sourceID=54","")</f>
        <v/>
      </c>
      <c r="G1819" s="4" t="str">
        <f>HYPERLINK("http://141.218.60.56/~jnz1568/getInfo.php?workbook=16_15.xlsx&amp;sheet=A0&amp;row=1819&amp;col=7&amp;number=&amp;sourceID=54","")</f>
        <v/>
      </c>
      <c r="H1819" s="4" t="str">
        <f>HYPERLINK("http://141.218.60.56/~jnz1568/getInfo.php?workbook=16_15.xlsx&amp;sheet=A0&amp;row=1819&amp;col=8&amp;number=&amp;sourceID=54","")</f>
        <v/>
      </c>
      <c r="I1819" s="4" t="str">
        <f>HYPERLINK("http://141.218.60.56/~jnz1568/getInfo.php?workbook=16_15.xlsx&amp;sheet=A0&amp;row=1819&amp;col=9&amp;number=&amp;sourceID=54","")</f>
        <v/>
      </c>
      <c r="J1819" s="4" t="str">
        <f>HYPERLINK("http://141.218.60.56/~jnz1568/getInfo.php?workbook=16_15.xlsx&amp;sheet=A0&amp;row=1819&amp;col=10&amp;number=&amp;sourceID=54","")</f>
        <v/>
      </c>
      <c r="K1819" s="4" t="str">
        <f>HYPERLINK("http://141.218.60.56/~jnz1568/getInfo.php?workbook=16_15.xlsx&amp;sheet=A0&amp;row=1819&amp;col=11&amp;number=&amp;sourceID=54","")</f>
        <v/>
      </c>
      <c r="L1819" s="4" t="str">
        <f>HYPERLINK("http://141.218.60.56/~jnz1568/getInfo.php?workbook=16_15.xlsx&amp;sheet=A0&amp;row=1819&amp;col=12&amp;number=116.560298704&amp;sourceID=53","116.560298704")</f>
        <v>116.560298704</v>
      </c>
      <c r="M1819" s="4" t="str">
        <f>HYPERLINK("http://141.218.60.56/~jnz1568/getInfo.php?workbook=16_15.xlsx&amp;sheet=A0&amp;row=1819&amp;col=13&amp;number=&amp;sourceID=53","")</f>
        <v/>
      </c>
      <c r="N1819" s="4" t="str">
        <f>HYPERLINK("http://141.218.60.56/~jnz1568/getInfo.php?workbook=16_15.xlsx&amp;sheet=A0&amp;row=1819&amp;col=14&amp;number=&amp;sourceID=53","")</f>
        <v/>
      </c>
      <c r="O1819" s="4" t="str">
        <f>HYPERLINK("http://141.218.60.56/~jnz1568/getInfo.php?workbook=16_15.xlsx&amp;sheet=A0&amp;row=1819&amp;col=15&amp;number=&amp;sourceID=55","")</f>
        <v/>
      </c>
      <c r="P1819" s="4" t="str">
        <f>HYPERLINK("http://141.218.60.56/~jnz1568/getInfo.php?workbook=16_15.xlsx&amp;sheet=A0&amp;row=1819&amp;col=16&amp;number=&amp;sourceID=55","")</f>
        <v/>
      </c>
      <c r="Q1819" s="4" t="str">
        <f>HYPERLINK("http://141.218.60.56/~jnz1568/getInfo.php?workbook=16_15.xlsx&amp;sheet=A0&amp;row=1819&amp;col=17&amp;number=&amp;sourceID=56","")</f>
        <v/>
      </c>
      <c r="R1819" s="4" t="str">
        <f>HYPERLINK("http://141.218.60.56/~jnz1568/getInfo.php?workbook=16_15.xlsx&amp;sheet=A0&amp;row=1819&amp;col=18&amp;number=&amp;sourceID=56","")</f>
        <v/>
      </c>
      <c r="S1819" s="4" t="str">
        <f>HYPERLINK("http://141.218.60.56/~jnz1568/getInfo.php?workbook=16_15.xlsx&amp;sheet=A0&amp;row=1819&amp;col=19&amp;number=&amp;sourceID=57","")</f>
        <v/>
      </c>
      <c r="T1819" s="4" t="str">
        <f>HYPERLINK("http://141.218.60.56/~jnz1568/getInfo.php?workbook=16_15.xlsx&amp;sheet=A0&amp;row=1819&amp;col=20&amp;number=&amp;sourceID=57","")</f>
        <v/>
      </c>
      <c r="U1819" s="4" t="str">
        <f>HYPERLINK("http://141.218.60.56/~jnz1568/getInfo.php?workbook=16_15.xlsx&amp;sheet=A0&amp;row=1819&amp;col=21&amp;number=&amp;sourceID=47","")</f>
        <v/>
      </c>
      <c r="V1819" s="4" t="str">
        <f>HYPERLINK("http://141.218.60.56/~jnz1568/getInfo.php?workbook=16_15.xlsx&amp;sheet=A0&amp;row=1819&amp;col=22&amp;number=&amp;sourceID=47","")</f>
        <v/>
      </c>
    </row>
    <row r="1820" spans="1:22">
      <c r="A1820" s="3">
        <v>16</v>
      </c>
      <c r="B1820" s="3">
        <v>15</v>
      </c>
      <c r="C1820" s="3">
        <v>69</v>
      </c>
      <c r="D1820" s="3">
        <v>9</v>
      </c>
      <c r="E1820" s="3">
        <f>((1/(INDEX(E0!J$4:J$73,C1820,1)-INDEX(E0!J$4:J$73,D1820,1))))*100000000</f>
        <v>0</v>
      </c>
      <c r="F1820" s="4" t="str">
        <f>HYPERLINK("http://141.218.60.56/~jnz1568/getInfo.php?workbook=16_15.xlsx&amp;sheet=A0&amp;row=1820&amp;col=6&amp;number=&amp;sourceID=54","")</f>
        <v/>
      </c>
      <c r="G1820" s="4" t="str">
        <f>HYPERLINK("http://141.218.60.56/~jnz1568/getInfo.php?workbook=16_15.xlsx&amp;sheet=A0&amp;row=1820&amp;col=7&amp;number=&amp;sourceID=54","")</f>
        <v/>
      </c>
      <c r="H1820" s="4" t="str">
        <f>HYPERLINK("http://141.218.60.56/~jnz1568/getInfo.php?workbook=16_15.xlsx&amp;sheet=A0&amp;row=1820&amp;col=8&amp;number=&amp;sourceID=54","")</f>
        <v/>
      </c>
      <c r="I1820" s="4" t="str">
        <f>HYPERLINK("http://141.218.60.56/~jnz1568/getInfo.php?workbook=16_15.xlsx&amp;sheet=A0&amp;row=1820&amp;col=9&amp;number=&amp;sourceID=54","")</f>
        <v/>
      </c>
      <c r="J1820" s="4" t="str">
        <f>HYPERLINK("http://141.218.60.56/~jnz1568/getInfo.php?workbook=16_15.xlsx&amp;sheet=A0&amp;row=1820&amp;col=10&amp;number=&amp;sourceID=54","")</f>
        <v/>
      </c>
      <c r="K1820" s="4" t="str">
        <f>HYPERLINK("http://141.218.60.56/~jnz1568/getInfo.php?workbook=16_15.xlsx&amp;sheet=A0&amp;row=1820&amp;col=11&amp;number=&amp;sourceID=54","")</f>
        <v/>
      </c>
      <c r="L1820" s="4" t="str">
        <f>HYPERLINK("http://141.218.60.56/~jnz1568/getInfo.php?workbook=16_15.xlsx&amp;sheet=A0&amp;row=1820&amp;col=12&amp;number=16541180.7154&amp;sourceID=53","16541180.7154")</f>
        <v>16541180.7154</v>
      </c>
      <c r="M1820" s="4" t="str">
        <f>HYPERLINK("http://141.218.60.56/~jnz1568/getInfo.php?workbook=16_15.xlsx&amp;sheet=A0&amp;row=1820&amp;col=13&amp;number=&amp;sourceID=53","")</f>
        <v/>
      </c>
      <c r="N1820" s="4" t="str">
        <f>HYPERLINK("http://141.218.60.56/~jnz1568/getInfo.php?workbook=16_15.xlsx&amp;sheet=A0&amp;row=1820&amp;col=14&amp;number=&amp;sourceID=53","")</f>
        <v/>
      </c>
      <c r="O1820" s="4" t="str">
        <f>HYPERLINK("http://141.218.60.56/~jnz1568/getInfo.php?workbook=16_15.xlsx&amp;sheet=A0&amp;row=1820&amp;col=15&amp;number=&amp;sourceID=55","")</f>
        <v/>
      </c>
      <c r="P1820" s="4" t="str">
        <f>HYPERLINK("http://141.218.60.56/~jnz1568/getInfo.php?workbook=16_15.xlsx&amp;sheet=A0&amp;row=1820&amp;col=16&amp;number=&amp;sourceID=55","")</f>
        <v/>
      </c>
      <c r="Q1820" s="4" t="str">
        <f>HYPERLINK("http://141.218.60.56/~jnz1568/getInfo.php?workbook=16_15.xlsx&amp;sheet=A0&amp;row=1820&amp;col=17&amp;number=&amp;sourceID=56","")</f>
        <v/>
      </c>
      <c r="R1820" s="4" t="str">
        <f>HYPERLINK("http://141.218.60.56/~jnz1568/getInfo.php?workbook=16_15.xlsx&amp;sheet=A0&amp;row=1820&amp;col=18&amp;number=&amp;sourceID=56","")</f>
        <v/>
      </c>
      <c r="S1820" s="4" t="str">
        <f>HYPERLINK("http://141.218.60.56/~jnz1568/getInfo.php?workbook=16_15.xlsx&amp;sheet=A0&amp;row=1820&amp;col=19&amp;number=&amp;sourceID=57","")</f>
        <v/>
      </c>
      <c r="T1820" s="4" t="str">
        <f>HYPERLINK("http://141.218.60.56/~jnz1568/getInfo.php?workbook=16_15.xlsx&amp;sheet=A0&amp;row=1820&amp;col=20&amp;number=&amp;sourceID=57","")</f>
        <v/>
      </c>
      <c r="U1820" s="4" t="str">
        <f>HYPERLINK("http://141.218.60.56/~jnz1568/getInfo.php?workbook=16_15.xlsx&amp;sheet=A0&amp;row=1820&amp;col=21&amp;number=&amp;sourceID=47","")</f>
        <v/>
      </c>
      <c r="V1820" s="4" t="str">
        <f>HYPERLINK("http://141.218.60.56/~jnz1568/getInfo.php?workbook=16_15.xlsx&amp;sheet=A0&amp;row=1820&amp;col=22&amp;number=&amp;sourceID=47","")</f>
        <v/>
      </c>
    </row>
    <row r="1821" spans="1:22">
      <c r="A1821" s="3">
        <v>16</v>
      </c>
      <c r="B1821" s="3">
        <v>15</v>
      </c>
      <c r="C1821" s="3">
        <v>69</v>
      </c>
      <c r="D1821" s="3">
        <v>11</v>
      </c>
      <c r="E1821" s="3">
        <f>((1/(INDEX(E0!J$4:J$73,C1821,1)-INDEX(E0!J$4:J$73,D1821,1))))*100000000</f>
        <v>0</v>
      </c>
      <c r="F1821" s="4" t="str">
        <f>HYPERLINK("http://141.218.60.56/~jnz1568/getInfo.php?workbook=16_15.xlsx&amp;sheet=A0&amp;row=1821&amp;col=6&amp;number=&amp;sourceID=54","")</f>
        <v/>
      </c>
      <c r="G1821" s="4" t="str">
        <f>HYPERLINK("http://141.218.60.56/~jnz1568/getInfo.php?workbook=16_15.xlsx&amp;sheet=A0&amp;row=1821&amp;col=7&amp;number=&amp;sourceID=54","")</f>
        <v/>
      </c>
      <c r="H1821" s="4" t="str">
        <f>HYPERLINK("http://141.218.60.56/~jnz1568/getInfo.php?workbook=16_15.xlsx&amp;sheet=A0&amp;row=1821&amp;col=8&amp;number=&amp;sourceID=54","")</f>
        <v/>
      </c>
      <c r="I1821" s="4" t="str">
        <f>HYPERLINK("http://141.218.60.56/~jnz1568/getInfo.php?workbook=16_15.xlsx&amp;sheet=A0&amp;row=1821&amp;col=9&amp;number=&amp;sourceID=54","")</f>
        <v/>
      </c>
      <c r="J1821" s="4" t="str">
        <f>HYPERLINK("http://141.218.60.56/~jnz1568/getInfo.php?workbook=16_15.xlsx&amp;sheet=A0&amp;row=1821&amp;col=10&amp;number=&amp;sourceID=54","")</f>
        <v/>
      </c>
      <c r="K1821" s="4" t="str">
        <f>HYPERLINK("http://141.218.60.56/~jnz1568/getInfo.php?workbook=16_15.xlsx&amp;sheet=A0&amp;row=1821&amp;col=11&amp;number=&amp;sourceID=54","")</f>
        <v/>
      </c>
      <c r="L1821" s="4" t="str">
        <f>HYPERLINK("http://141.218.60.56/~jnz1568/getInfo.php?workbook=16_15.xlsx&amp;sheet=A0&amp;row=1821&amp;col=12&amp;number=21876.6054704&amp;sourceID=53","21876.6054704")</f>
        <v>21876.6054704</v>
      </c>
      <c r="M1821" s="4" t="str">
        <f>HYPERLINK("http://141.218.60.56/~jnz1568/getInfo.php?workbook=16_15.xlsx&amp;sheet=A0&amp;row=1821&amp;col=13&amp;number=&amp;sourceID=53","")</f>
        <v/>
      </c>
      <c r="N1821" s="4" t="str">
        <f>HYPERLINK("http://141.218.60.56/~jnz1568/getInfo.php?workbook=16_15.xlsx&amp;sheet=A0&amp;row=1821&amp;col=14&amp;number=&amp;sourceID=53","")</f>
        <v/>
      </c>
      <c r="O1821" s="4" t="str">
        <f>HYPERLINK("http://141.218.60.56/~jnz1568/getInfo.php?workbook=16_15.xlsx&amp;sheet=A0&amp;row=1821&amp;col=15&amp;number=&amp;sourceID=55","")</f>
        <v/>
      </c>
      <c r="P1821" s="4" t="str">
        <f>HYPERLINK("http://141.218.60.56/~jnz1568/getInfo.php?workbook=16_15.xlsx&amp;sheet=A0&amp;row=1821&amp;col=16&amp;number=&amp;sourceID=55","")</f>
        <v/>
      </c>
      <c r="Q1821" s="4" t="str">
        <f>HYPERLINK("http://141.218.60.56/~jnz1568/getInfo.php?workbook=16_15.xlsx&amp;sheet=A0&amp;row=1821&amp;col=17&amp;number=&amp;sourceID=56","")</f>
        <v/>
      </c>
      <c r="R1821" s="4" t="str">
        <f>HYPERLINK("http://141.218.60.56/~jnz1568/getInfo.php?workbook=16_15.xlsx&amp;sheet=A0&amp;row=1821&amp;col=18&amp;number=&amp;sourceID=56","")</f>
        <v/>
      </c>
      <c r="S1821" s="4" t="str">
        <f>HYPERLINK("http://141.218.60.56/~jnz1568/getInfo.php?workbook=16_15.xlsx&amp;sheet=A0&amp;row=1821&amp;col=19&amp;number=&amp;sourceID=57","")</f>
        <v/>
      </c>
      <c r="T1821" s="4" t="str">
        <f>HYPERLINK("http://141.218.60.56/~jnz1568/getInfo.php?workbook=16_15.xlsx&amp;sheet=A0&amp;row=1821&amp;col=20&amp;number=&amp;sourceID=57","")</f>
        <v/>
      </c>
      <c r="U1821" s="4" t="str">
        <f>HYPERLINK("http://141.218.60.56/~jnz1568/getInfo.php?workbook=16_15.xlsx&amp;sheet=A0&amp;row=1821&amp;col=21&amp;number=&amp;sourceID=47","")</f>
        <v/>
      </c>
      <c r="V1821" s="4" t="str">
        <f>HYPERLINK("http://141.218.60.56/~jnz1568/getInfo.php?workbook=16_15.xlsx&amp;sheet=A0&amp;row=1821&amp;col=22&amp;number=&amp;sourceID=47","")</f>
        <v/>
      </c>
    </row>
    <row r="1822" spans="1:22">
      <c r="A1822" s="3">
        <v>16</v>
      </c>
      <c r="B1822" s="3">
        <v>15</v>
      </c>
      <c r="C1822" s="3">
        <v>69</v>
      </c>
      <c r="D1822" s="3">
        <v>12</v>
      </c>
      <c r="E1822" s="3">
        <f>((1/(INDEX(E0!J$4:J$73,C1822,1)-INDEX(E0!J$4:J$73,D1822,1))))*100000000</f>
        <v>0</v>
      </c>
      <c r="F1822" s="4" t="str">
        <f>HYPERLINK("http://141.218.60.56/~jnz1568/getInfo.php?workbook=16_15.xlsx&amp;sheet=A0&amp;row=1822&amp;col=6&amp;number=&amp;sourceID=54","")</f>
        <v/>
      </c>
      <c r="G1822" s="4" t="str">
        <f>HYPERLINK("http://141.218.60.56/~jnz1568/getInfo.php?workbook=16_15.xlsx&amp;sheet=A0&amp;row=1822&amp;col=7&amp;number=&amp;sourceID=54","")</f>
        <v/>
      </c>
      <c r="H1822" s="4" t="str">
        <f>HYPERLINK("http://141.218.60.56/~jnz1568/getInfo.php?workbook=16_15.xlsx&amp;sheet=A0&amp;row=1822&amp;col=8&amp;number=&amp;sourceID=54","")</f>
        <v/>
      </c>
      <c r="I1822" s="4" t="str">
        <f>HYPERLINK("http://141.218.60.56/~jnz1568/getInfo.php?workbook=16_15.xlsx&amp;sheet=A0&amp;row=1822&amp;col=9&amp;number=&amp;sourceID=54","")</f>
        <v/>
      </c>
      <c r="J1822" s="4" t="str">
        <f>HYPERLINK("http://141.218.60.56/~jnz1568/getInfo.php?workbook=16_15.xlsx&amp;sheet=A0&amp;row=1822&amp;col=10&amp;number=&amp;sourceID=54","")</f>
        <v/>
      </c>
      <c r="K1822" s="4" t="str">
        <f>HYPERLINK("http://141.218.60.56/~jnz1568/getInfo.php?workbook=16_15.xlsx&amp;sheet=A0&amp;row=1822&amp;col=11&amp;number=&amp;sourceID=54","")</f>
        <v/>
      </c>
      <c r="L1822" s="4" t="str">
        <f>HYPERLINK("http://141.218.60.56/~jnz1568/getInfo.php?workbook=16_15.xlsx&amp;sheet=A0&amp;row=1822&amp;col=12&amp;number=192628.066694&amp;sourceID=53","192628.066694")</f>
        <v>192628.066694</v>
      </c>
      <c r="M1822" s="4" t="str">
        <f>HYPERLINK("http://141.218.60.56/~jnz1568/getInfo.php?workbook=16_15.xlsx&amp;sheet=A0&amp;row=1822&amp;col=13&amp;number=&amp;sourceID=53","")</f>
        <v/>
      </c>
      <c r="N1822" s="4" t="str">
        <f>HYPERLINK("http://141.218.60.56/~jnz1568/getInfo.php?workbook=16_15.xlsx&amp;sheet=A0&amp;row=1822&amp;col=14&amp;number=&amp;sourceID=53","")</f>
        <v/>
      </c>
      <c r="O1822" s="4" t="str">
        <f>HYPERLINK("http://141.218.60.56/~jnz1568/getInfo.php?workbook=16_15.xlsx&amp;sheet=A0&amp;row=1822&amp;col=15&amp;number=&amp;sourceID=55","")</f>
        <v/>
      </c>
      <c r="P1822" s="4" t="str">
        <f>HYPERLINK("http://141.218.60.56/~jnz1568/getInfo.php?workbook=16_15.xlsx&amp;sheet=A0&amp;row=1822&amp;col=16&amp;number=&amp;sourceID=55","")</f>
        <v/>
      </c>
      <c r="Q1822" s="4" t="str">
        <f>HYPERLINK("http://141.218.60.56/~jnz1568/getInfo.php?workbook=16_15.xlsx&amp;sheet=A0&amp;row=1822&amp;col=17&amp;number=&amp;sourceID=56","")</f>
        <v/>
      </c>
      <c r="R1822" s="4" t="str">
        <f>HYPERLINK("http://141.218.60.56/~jnz1568/getInfo.php?workbook=16_15.xlsx&amp;sheet=A0&amp;row=1822&amp;col=18&amp;number=&amp;sourceID=56","")</f>
        <v/>
      </c>
      <c r="S1822" s="4" t="str">
        <f>HYPERLINK("http://141.218.60.56/~jnz1568/getInfo.php?workbook=16_15.xlsx&amp;sheet=A0&amp;row=1822&amp;col=19&amp;number=&amp;sourceID=57","")</f>
        <v/>
      </c>
      <c r="T1822" s="4" t="str">
        <f>HYPERLINK("http://141.218.60.56/~jnz1568/getInfo.php?workbook=16_15.xlsx&amp;sheet=A0&amp;row=1822&amp;col=20&amp;number=&amp;sourceID=57","")</f>
        <v/>
      </c>
      <c r="U1822" s="4" t="str">
        <f>HYPERLINK("http://141.218.60.56/~jnz1568/getInfo.php?workbook=16_15.xlsx&amp;sheet=A0&amp;row=1822&amp;col=21&amp;number=&amp;sourceID=47","")</f>
        <v/>
      </c>
      <c r="V1822" s="4" t="str">
        <f>HYPERLINK("http://141.218.60.56/~jnz1568/getInfo.php?workbook=16_15.xlsx&amp;sheet=A0&amp;row=1822&amp;col=22&amp;number=&amp;sourceID=47","")</f>
        <v/>
      </c>
    </row>
    <row r="1823" spans="1:22">
      <c r="A1823" s="3">
        <v>16</v>
      </c>
      <c r="B1823" s="3">
        <v>15</v>
      </c>
      <c r="C1823" s="3">
        <v>69</v>
      </c>
      <c r="D1823" s="3">
        <v>13</v>
      </c>
      <c r="E1823" s="3">
        <f>((1/(INDEX(E0!J$4:J$73,C1823,1)-INDEX(E0!J$4:J$73,D1823,1))))*100000000</f>
        <v>0</v>
      </c>
      <c r="F1823" s="4" t="str">
        <f>HYPERLINK("http://141.218.60.56/~jnz1568/getInfo.php?workbook=16_15.xlsx&amp;sheet=A0&amp;row=1823&amp;col=6&amp;number=&amp;sourceID=54","")</f>
        <v/>
      </c>
      <c r="G1823" s="4" t="str">
        <f>HYPERLINK("http://141.218.60.56/~jnz1568/getInfo.php?workbook=16_15.xlsx&amp;sheet=A0&amp;row=1823&amp;col=7&amp;number=&amp;sourceID=54","")</f>
        <v/>
      </c>
      <c r="H1823" s="4" t="str">
        <f>HYPERLINK("http://141.218.60.56/~jnz1568/getInfo.php?workbook=16_15.xlsx&amp;sheet=A0&amp;row=1823&amp;col=8&amp;number=&amp;sourceID=54","")</f>
        <v/>
      </c>
      <c r="I1823" s="4" t="str">
        <f>HYPERLINK("http://141.218.60.56/~jnz1568/getInfo.php?workbook=16_15.xlsx&amp;sheet=A0&amp;row=1823&amp;col=9&amp;number=&amp;sourceID=54","")</f>
        <v/>
      </c>
      <c r="J1823" s="4" t="str">
        <f>HYPERLINK("http://141.218.60.56/~jnz1568/getInfo.php?workbook=16_15.xlsx&amp;sheet=A0&amp;row=1823&amp;col=10&amp;number=&amp;sourceID=54","")</f>
        <v/>
      </c>
      <c r="K1823" s="4" t="str">
        <f>HYPERLINK("http://141.218.60.56/~jnz1568/getInfo.php?workbook=16_15.xlsx&amp;sheet=A0&amp;row=1823&amp;col=11&amp;number=&amp;sourceID=54","")</f>
        <v/>
      </c>
      <c r="L1823" s="4" t="str">
        <f>HYPERLINK("http://141.218.60.56/~jnz1568/getInfo.php?workbook=16_15.xlsx&amp;sheet=A0&amp;row=1823&amp;col=12&amp;number=10122.5300884&amp;sourceID=53","10122.5300884")</f>
        <v>10122.5300884</v>
      </c>
      <c r="M1823" s="4" t="str">
        <f>HYPERLINK("http://141.218.60.56/~jnz1568/getInfo.php?workbook=16_15.xlsx&amp;sheet=A0&amp;row=1823&amp;col=13&amp;number=&amp;sourceID=53","")</f>
        <v/>
      </c>
      <c r="N1823" s="4" t="str">
        <f>HYPERLINK("http://141.218.60.56/~jnz1568/getInfo.php?workbook=16_15.xlsx&amp;sheet=A0&amp;row=1823&amp;col=14&amp;number=&amp;sourceID=53","")</f>
        <v/>
      </c>
      <c r="O1823" s="4" t="str">
        <f>HYPERLINK("http://141.218.60.56/~jnz1568/getInfo.php?workbook=16_15.xlsx&amp;sheet=A0&amp;row=1823&amp;col=15&amp;number=&amp;sourceID=55","")</f>
        <v/>
      </c>
      <c r="P1823" s="4" t="str">
        <f>HYPERLINK("http://141.218.60.56/~jnz1568/getInfo.php?workbook=16_15.xlsx&amp;sheet=A0&amp;row=1823&amp;col=16&amp;number=&amp;sourceID=55","")</f>
        <v/>
      </c>
      <c r="Q1823" s="4" t="str">
        <f>HYPERLINK("http://141.218.60.56/~jnz1568/getInfo.php?workbook=16_15.xlsx&amp;sheet=A0&amp;row=1823&amp;col=17&amp;number=&amp;sourceID=56","")</f>
        <v/>
      </c>
      <c r="R1823" s="4" t="str">
        <f>HYPERLINK("http://141.218.60.56/~jnz1568/getInfo.php?workbook=16_15.xlsx&amp;sheet=A0&amp;row=1823&amp;col=18&amp;number=&amp;sourceID=56","")</f>
        <v/>
      </c>
      <c r="S1823" s="4" t="str">
        <f>HYPERLINK("http://141.218.60.56/~jnz1568/getInfo.php?workbook=16_15.xlsx&amp;sheet=A0&amp;row=1823&amp;col=19&amp;number=&amp;sourceID=57","")</f>
        <v/>
      </c>
      <c r="T1823" s="4" t="str">
        <f>HYPERLINK("http://141.218.60.56/~jnz1568/getInfo.php?workbook=16_15.xlsx&amp;sheet=A0&amp;row=1823&amp;col=20&amp;number=&amp;sourceID=57","")</f>
        <v/>
      </c>
      <c r="U1823" s="4" t="str">
        <f>HYPERLINK("http://141.218.60.56/~jnz1568/getInfo.php?workbook=16_15.xlsx&amp;sheet=A0&amp;row=1823&amp;col=21&amp;number=&amp;sourceID=47","")</f>
        <v/>
      </c>
      <c r="V1823" s="4" t="str">
        <f>HYPERLINK("http://141.218.60.56/~jnz1568/getInfo.php?workbook=16_15.xlsx&amp;sheet=A0&amp;row=1823&amp;col=22&amp;number=&amp;sourceID=47","")</f>
        <v/>
      </c>
    </row>
    <row r="1824" spans="1:22">
      <c r="A1824" s="3">
        <v>16</v>
      </c>
      <c r="B1824" s="3">
        <v>15</v>
      </c>
      <c r="C1824" s="3">
        <v>69</v>
      </c>
      <c r="D1824" s="3">
        <v>14</v>
      </c>
      <c r="E1824" s="3">
        <f>((1/(INDEX(E0!J$4:J$73,C1824,1)-INDEX(E0!J$4:J$73,D1824,1))))*100000000</f>
        <v>0</v>
      </c>
      <c r="F1824" s="4" t="str">
        <f>HYPERLINK("http://141.218.60.56/~jnz1568/getInfo.php?workbook=16_15.xlsx&amp;sheet=A0&amp;row=1824&amp;col=6&amp;number=&amp;sourceID=54","")</f>
        <v/>
      </c>
      <c r="G1824" s="4" t="str">
        <f>HYPERLINK("http://141.218.60.56/~jnz1568/getInfo.php?workbook=16_15.xlsx&amp;sheet=A0&amp;row=1824&amp;col=7&amp;number=&amp;sourceID=54","")</f>
        <v/>
      </c>
      <c r="H1824" s="4" t="str">
        <f>HYPERLINK("http://141.218.60.56/~jnz1568/getInfo.php?workbook=16_15.xlsx&amp;sheet=A0&amp;row=1824&amp;col=8&amp;number=&amp;sourceID=54","")</f>
        <v/>
      </c>
      <c r="I1824" s="4" t="str">
        <f>HYPERLINK("http://141.218.60.56/~jnz1568/getInfo.php?workbook=16_15.xlsx&amp;sheet=A0&amp;row=1824&amp;col=9&amp;number=&amp;sourceID=54","")</f>
        <v/>
      </c>
      <c r="J1824" s="4" t="str">
        <f>HYPERLINK("http://141.218.60.56/~jnz1568/getInfo.php?workbook=16_15.xlsx&amp;sheet=A0&amp;row=1824&amp;col=10&amp;number=&amp;sourceID=54","")</f>
        <v/>
      </c>
      <c r="K1824" s="4" t="str">
        <f>HYPERLINK("http://141.218.60.56/~jnz1568/getInfo.php?workbook=16_15.xlsx&amp;sheet=A0&amp;row=1824&amp;col=11&amp;number=&amp;sourceID=54","")</f>
        <v/>
      </c>
      <c r="L1824" s="4" t="str">
        <f>HYPERLINK("http://141.218.60.56/~jnz1568/getInfo.php?workbook=16_15.xlsx&amp;sheet=A0&amp;row=1824&amp;col=12&amp;number=856.634829199&amp;sourceID=53","856.634829199")</f>
        <v>856.634829199</v>
      </c>
      <c r="M1824" s="4" t="str">
        <f>HYPERLINK("http://141.218.60.56/~jnz1568/getInfo.php?workbook=16_15.xlsx&amp;sheet=A0&amp;row=1824&amp;col=13&amp;number=&amp;sourceID=53","")</f>
        <v/>
      </c>
      <c r="N1824" s="4" t="str">
        <f>HYPERLINK("http://141.218.60.56/~jnz1568/getInfo.php?workbook=16_15.xlsx&amp;sheet=A0&amp;row=1824&amp;col=14&amp;number=&amp;sourceID=53","")</f>
        <v/>
      </c>
      <c r="O1824" s="4" t="str">
        <f>HYPERLINK("http://141.218.60.56/~jnz1568/getInfo.php?workbook=16_15.xlsx&amp;sheet=A0&amp;row=1824&amp;col=15&amp;number=&amp;sourceID=55","")</f>
        <v/>
      </c>
      <c r="P1824" s="4" t="str">
        <f>HYPERLINK("http://141.218.60.56/~jnz1568/getInfo.php?workbook=16_15.xlsx&amp;sheet=A0&amp;row=1824&amp;col=16&amp;number=&amp;sourceID=55","")</f>
        <v/>
      </c>
      <c r="Q1824" s="4" t="str">
        <f>HYPERLINK("http://141.218.60.56/~jnz1568/getInfo.php?workbook=16_15.xlsx&amp;sheet=A0&amp;row=1824&amp;col=17&amp;number=&amp;sourceID=56","")</f>
        <v/>
      </c>
      <c r="R1824" s="4" t="str">
        <f>HYPERLINK("http://141.218.60.56/~jnz1568/getInfo.php?workbook=16_15.xlsx&amp;sheet=A0&amp;row=1824&amp;col=18&amp;number=&amp;sourceID=56","")</f>
        <v/>
      </c>
      <c r="S1824" s="4" t="str">
        <f>HYPERLINK("http://141.218.60.56/~jnz1568/getInfo.php?workbook=16_15.xlsx&amp;sheet=A0&amp;row=1824&amp;col=19&amp;number=&amp;sourceID=57","")</f>
        <v/>
      </c>
      <c r="T1824" s="4" t="str">
        <f>HYPERLINK("http://141.218.60.56/~jnz1568/getInfo.php?workbook=16_15.xlsx&amp;sheet=A0&amp;row=1824&amp;col=20&amp;number=&amp;sourceID=57","")</f>
        <v/>
      </c>
      <c r="U1824" s="4" t="str">
        <f>HYPERLINK("http://141.218.60.56/~jnz1568/getInfo.php?workbook=16_15.xlsx&amp;sheet=A0&amp;row=1824&amp;col=21&amp;number=&amp;sourceID=47","")</f>
        <v/>
      </c>
      <c r="V1824" s="4" t="str">
        <f>HYPERLINK("http://141.218.60.56/~jnz1568/getInfo.php?workbook=16_15.xlsx&amp;sheet=A0&amp;row=1824&amp;col=22&amp;number=&amp;sourceID=47","")</f>
        <v/>
      </c>
    </row>
    <row r="1825" spans="1:22">
      <c r="A1825" s="3">
        <v>16</v>
      </c>
      <c r="B1825" s="3">
        <v>15</v>
      </c>
      <c r="C1825" s="3">
        <v>69</v>
      </c>
      <c r="D1825" s="3">
        <v>15</v>
      </c>
      <c r="E1825" s="3">
        <f>((1/(INDEX(E0!J$4:J$73,C1825,1)-INDEX(E0!J$4:J$73,D1825,1))))*100000000</f>
        <v>0</v>
      </c>
      <c r="F1825" s="4" t="str">
        <f>HYPERLINK("http://141.218.60.56/~jnz1568/getInfo.php?workbook=16_15.xlsx&amp;sheet=A0&amp;row=1825&amp;col=6&amp;number=&amp;sourceID=54","")</f>
        <v/>
      </c>
      <c r="G1825" s="4" t="str">
        <f>HYPERLINK("http://141.218.60.56/~jnz1568/getInfo.php?workbook=16_15.xlsx&amp;sheet=A0&amp;row=1825&amp;col=7&amp;number=&amp;sourceID=54","")</f>
        <v/>
      </c>
      <c r="H1825" s="4" t="str">
        <f>HYPERLINK("http://141.218.60.56/~jnz1568/getInfo.php?workbook=16_15.xlsx&amp;sheet=A0&amp;row=1825&amp;col=8&amp;number=&amp;sourceID=54","")</f>
        <v/>
      </c>
      <c r="I1825" s="4" t="str">
        <f>HYPERLINK("http://141.218.60.56/~jnz1568/getInfo.php?workbook=16_15.xlsx&amp;sheet=A0&amp;row=1825&amp;col=9&amp;number=&amp;sourceID=54","")</f>
        <v/>
      </c>
      <c r="J1825" s="4" t="str">
        <f>HYPERLINK("http://141.218.60.56/~jnz1568/getInfo.php?workbook=16_15.xlsx&amp;sheet=A0&amp;row=1825&amp;col=10&amp;number=&amp;sourceID=54","")</f>
        <v/>
      </c>
      <c r="K1825" s="4" t="str">
        <f>HYPERLINK("http://141.218.60.56/~jnz1568/getInfo.php?workbook=16_15.xlsx&amp;sheet=A0&amp;row=1825&amp;col=11&amp;number=&amp;sourceID=54","")</f>
        <v/>
      </c>
      <c r="L1825" s="4" t="str">
        <f>HYPERLINK("http://141.218.60.56/~jnz1568/getInfo.php?workbook=16_15.xlsx&amp;sheet=A0&amp;row=1825&amp;col=12&amp;number=2887.32095323&amp;sourceID=53","2887.32095323")</f>
        <v>2887.32095323</v>
      </c>
      <c r="M1825" s="4" t="str">
        <f>HYPERLINK("http://141.218.60.56/~jnz1568/getInfo.php?workbook=16_15.xlsx&amp;sheet=A0&amp;row=1825&amp;col=13&amp;number=&amp;sourceID=53","")</f>
        <v/>
      </c>
      <c r="N1825" s="4" t="str">
        <f>HYPERLINK("http://141.218.60.56/~jnz1568/getInfo.php?workbook=16_15.xlsx&amp;sheet=A0&amp;row=1825&amp;col=14&amp;number=&amp;sourceID=53","")</f>
        <v/>
      </c>
      <c r="O1825" s="4" t="str">
        <f>HYPERLINK("http://141.218.60.56/~jnz1568/getInfo.php?workbook=16_15.xlsx&amp;sheet=A0&amp;row=1825&amp;col=15&amp;number=&amp;sourceID=55","")</f>
        <v/>
      </c>
      <c r="P1825" s="4" t="str">
        <f>HYPERLINK("http://141.218.60.56/~jnz1568/getInfo.php?workbook=16_15.xlsx&amp;sheet=A0&amp;row=1825&amp;col=16&amp;number=&amp;sourceID=55","")</f>
        <v/>
      </c>
      <c r="Q1825" s="4" t="str">
        <f>HYPERLINK("http://141.218.60.56/~jnz1568/getInfo.php?workbook=16_15.xlsx&amp;sheet=A0&amp;row=1825&amp;col=17&amp;number=&amp;sourceID=56","")</f>
        <v/>
      </c>
      <c r="R1825" s="4" t="str">
        <f>HYPERLINK("http://141.218.60.56/~jnz1568/getInfo.php?workbook=16_15.xlsx&amp;sheet=A0&amp;row=1825&amp;col=18&amp;number=&amp;sourceID=56","")</f>
        <v/>
      </c>
      <c r="S1825" s="4" t="str">
        <f>HYPERLINK("http://141.218.60.56/~jnz1568/getInfo.php?workbook=16_15.xlsx&amp;sheet=A0&amp;row=1825&amp;col=19&amp;number=&amp;sourceID=57","")</f>
        <v/>
      </c>
      <c r="T1825" s="4" t="str">
        <f>HYPERLINK("http://141.218.60.56/~jnz1568/getInfo.php?workbook=16_15.xlsx&amp;sheet=A0&amp;row=1825&amp;col=20&amp;number=&amp;sourceID=57","")</f>
        <v/>
      </c>
      <c r="U1825" s="4" t="str">
        <f>HYPERLINK("http://141.218.60.56/~jnz1568/getInfo.php?workbook=16_15.xlsx&amp;sheet=A0&amp;row=1825&amp;col=21&amp;number=&amp;sourceID=47","")</f>
        <v/>
      </c>
      <c r="V1825" s="4" t="str">
        <f>HYPERLINK("http://141.218.60.56/~jnz1568/getInfo.php?workbook=16_15.xlsx&amp;sheet=A0&amp;row=1825&amp;col=22&amp;number=&amp;sourceID=47","")</f>
        <v/>
      </c>
    </row>
    <row r="1826" spans="1:22">
      <c r="A1826" s="3">
        <v>16</v>
      </c>
      <c r="B1826" s="3">
        <v>15</v>
      </c>
      <c r="C1826" s="3">
        <v>69</v>
      </c>
      <c r="D1826" s="3">
        <v>20</v>
      </c>
      <c r="E1826" s="3">
        <f>((1/(INDEX(E0!J$4:J$73,C1826,1)-INDEX(E0!J$4:J$73,D1826,1))))*100000000</f>
        <v>0</v>
      </c>
      <c r="F1826" s="4" t="str">
        <f>HYPERLINK("http://141.218.60.56/~jnz1568/getInfo.php?workbook=16_15.xlsx&amp;sheet=A0&amp;row=1826&amp;col=6&amp;number=&amp;sourceID=54","")</f>
        <v/>
      </c>
      <c r="G1826" s="4" t="str">
        <f>HYPERLINK("http://141.218.60.56/~jnz1568/getInfo.php?workbook=16_15.xlsx&amp;sheet=A0&amp;row=1826&amp;col=7&amp;number=&amp;sourceID=54","")</f>
        <v/>
      </c>
      <c r="H1826" s="4" t="str">
        <f>HYPERLINK("http://141.218.60.56/~jnz1568/getInfo.php?workbook=16_15.xlsx&amp;sheet=A0&amp;row=1826&amp;col=8&amp;number=&amp;sourceID=54","")</f>
        <v/>
      </c>
      <c r="I1826" s="4" t="str">
        <f>HYPERLINK("http://141.218.60.56/~jnz1568/getInfo.php?workbook=16_15.xlsx&amp;sheet=A0&amp;row=1826&amp;col=9&amp;number=&amp;sourceID=54","")</f>
        <v/>
      </c>
      <c r="J1826" s="4" t="str">
        <f>HYPERLINK("http://141.218.60.56/~jnz1568/getInfo.php?workbook=16_15.xlsx&amp;sheet=A0&amp;row=1826&amp;col=10&amp;number=&amp;sourceID=54","")</f>
        <v/>
      </c>
      <c r="K1826" s="4" t="str">
        <f>HYPERLINK("http://141.218.60.56/~jnz1568/getInfo.php?workbook=16_15.xlsx&amp;sheet=A0&amp;row=1826&amp;col=11&amp;number=&amp;sourceID=54","")</f>
        <v/>
      </c>
      <c r="L1826" s="4" t="str">
        <f>HYPERLINK("http://141.218.60.56/~jnz1568/getInfo.php?workbook=16_15.xlsx&amp;sheet=A0&amp;row=1826&amp;col=12&amp;number=3069076.03301&amp;sourceID=53","3069076.03301")</f>
        <v>3069076.03301</v>
      </c>
      <c r="M1826" s="4" t="str">
        <f>HYPERLINK("http://141.218.60.56/~jnz1568/getInfo.php?workbook=16_15.xlsx&amp;sheet=A0&amp;row=1826&amp;col=13&amp;number=&amp;sourceID=53","")</f>
        <v/>
      </c>
      <c r="N1826" s="4" t="str">
        <f>HYPERLINK("http://141.218.60.56/~jnz1568/getInfo.php?workbook=16_15.xlsx&amp;sheet=A0&amp;row=1826&amp;col=14&amp;number=&amp;sourceID=53","")</f>
        <v/>
      </c>
      <c r="O1826" s="4" t="str">
        <f>HYPERLINK("http://141.218.60.56/~jnz1568/getInfo.php?workbook=16_15.xlsx&amp;sheet=A0&amp;row=1826&amp;col=15&amp;number=&amp;sourceID=55","")</f>
        <v/>
      </c>
      <c r="P1826" s="4" t="str">
        <f>HYPERLINK("http://141.218.60.56/~jnz1568/getInfo.php?workbook=16_15.xlsx&amp;sheet=A0&amp;row=1826&amp;col=16&amp;number=&amp;sourceID=55","")</f>
        <v/>
      </c>
      <c r="Q1826" s="4" t="str">
        <f>HYPERLINK("http://141.218.60.56/~jnz1568/getInfo.php?workbook=16_15.xlsx&amp;sheet=A0&amp;row=1826&amp;col=17&amp;number=&amp;sourceID=56","")</f>
        <v/>
      </c>
      <c r="R1826" s="4" t="str">
        <f>HYPERLINK("http://141.218.60.56/~jnz1568/getInfo.php?workbook=16_15.xlsx&amp;sheet=A0&amp;row=1826&amp;col=18&amp;number=&amp;sourceID=56","")</f>
        <v/>
      </c>
      <c r="S1826" s="4" t="str">
        <f>HYPERLINK("http://141.218.60.56/~jnz1568/getInfo.php?workbook=16_15.xlsx&amp;sheet=A0&amp;row=1826&amp;col=19&amp;number=&amp;sourceID=57","")</f>
        <v/>
      </c>
      <c r="T1826" s="4" t="str">
        <f>HYPERLINK("http://141.218.60.56/~jnz1568/getInfo.php?workbook=16_15.xlsx&amp;sheet=A0&amp;row=1826&amp;col=20&amp;number=&amp;sourceID=57","")</f>
        <v/>
      </c>
      <c r="U1826" s="4" t="str">
        <f>HYPERLINK("http://141.218.60.56/~jnz1568/getInfo.php?workbook=16_15.xlsx&amp;sheet=A0&amp;row=1826&amp;col=21&amp;number=&amp;sourceID=47","")</f>
        <v/>
      </c>
      <c r="V1826" s="4" t="str">
        <f>HYPERLINK("http://141.218.60.56/~jnz1568/getInfo.php?workbook=16_15.xlsx&amp;sheet=A0&amp;row=1826&amp;col=22&amp;number=&amp;sourceID=47","")</f>
        <v/>
      </c>
    </row>
    <row r="1827" spans="1:22">
      <c r="A1827" s="3">
        <v>16</v>
      </c>
      <c r="B1827" s="3">
        <v>15</v>
      </c>
      <c r="C1827" s="3">
        <v>69</v>
      </c>
      <c r="D1827" s="3">
        <v>21</v>
      </c>
      <c r="E1827" s="3">
        <f>((1/(INDEX(E0!J$4:J$73,C1827,1)-INDEX(E0!J$4:J$73,D1827,1))))*100000000</f>
        <v>0</v>
      </c>
      <c r="F1827" s="4" t="str">
        <f>HYPERLINK("http://141.218.60.56/~jnz1568/getInfo.php?workbook=16_15.xlsx&amp;sheet=A0&amp;row=1827&amp;col=6&amp;number=&amp;sourceID=54","")</f>
        <v/>
      </c>
      <c r="G1827" s="4" t="str">
        <f>HYPERLINK("http://141.218.60.56/~jnz1568/getInfo.php?workbook=16_15.xlsx&amp;sheet=A0&amp;row=1827&amp;col=7&amp;number=&amp;sourceID=54","")</f>
        <v/>
      </c>
      <c r="H1827" s="4" t="str">
        <f>HYPERLINK("http://141.218.60.56/~jnz1568/getInfo.php?workbook=16_15.xlsx&amp;sheet=A0&amp;row=1827&amp;col=8&amp;number=&amp;sourceID=54","")</f>
        <v/>
      </c>
      <c r="I1827" s="4" t="str">
        <f>HYPERLINK("http://141.218.60.56/~jnz1568/getInfo.php?workbook=16_15.xlsx&amp;sheet=A0&amp;row=1827&amp;col=9&amp;number=&amp;sourceID=54","")</f>
        <v/>
      </c>
      <c r="J1827" s="4" t="str">
        <f>HYPERLINK("http://141.218.60.56/~jnz1568/getInfo.php?workbook=16_15.xlsx&amp;sheet=A0&amp;row=1827&amp;col=10&amp;number=&amp;sourceID=54","")</f>
        <v/>
      </c>
      <c r="K1827" s="4" t="str">
        <f>HYPERLINK("http://141.218.60.56/~jnz1568/getInfo.php?workbook=16_15.xlsx&amp;sheet=A0&amp;row=1827&amp;col=11&amp;number=&amp;sourceID=54","")</f>
        <v/>
      </c>
      <c r="L1827" s="4" t="str">
        <f>HYPERLINK("http://141.218.60.56/~jnz1568/getInfo.php?workbook=16_15.xlsx&amp;sheet=A0&amp;row=1827&amp;col=12&amp;number=3313.88451918&amp;sourceID=53","3313.88451918")</f>
        <v>3313.88451918</v>
      </c>
      <c r="M1827" s="4" t="str">
        <f>HYPERLINK("http://141.218.60.56/~jnz1568/getInfo.php?workbook=16_15.xlsx&amp;sheet=A0&amp;row=1827&amp;col=13&amp;number=&amp;sourceID=53","")</f>
        <v/>
      </c>
      <c r="N1827" s="4" t="str">
        <f>HYPERLINK("http://141.218.60.56/~jnz1568/getInfo.php?workbook=16_15.xlsx&amp;sheet=A0&amp;row=1827&amp;col=14&amp;number=&amp;sourceID=53","")</f>
        <v/>
      </c>
      <c r="O1827" s="4" t="str">
        <f>HYPERLINK("http://141.218.60.56/~jnz1568/getInfo.php?workbook=16_15.xlsx&amp;sheet=A0&amp;row=1827&amp;col=15&amp;number=&amp;sourceID=55","")</f>
        <v/>
      </c>
      <c r="P1827" s="4" t="str">
        <f>HYPERLINK("http://141.218.60.56/~jnz1568/getInfo.php?workbook=16_15.xlsx&amp;sheet=A0&amp;row=1827&amp;col=16&amp;number=&amp;sourceID=55","")</f>
        <v/>
      </c>
      <c r="Q1827" s="4" t="str">
        <f>HYPERLINK("http://141.218.60.56/~jnz1568/getInfo.php?workbook=16_15.xlsx&amp;sheet=A0&amp;row=1827&amp;col=17&amp;number=&amp;sourceID=56","")</f>
        <v/>
      </c>
      <c r="R1827" s="4" t="str">
        <f>HYPERLINK("http://141.218.60.56/~jnz1568/getInfo.php?workbook=16_15.xlsx&amp;sheet=A0&amp;row=1827&amp;col=18&amp;number=&amp;sourceID=56","")</f>
        <v/>
      </c>
      <c r="S1827" s="4" t="str">
        <f>HYPERLINK("http://141.218.60.56/~jnz1568/getInfo.php?workbook=16_15.xlsx&amp;sheet=A0&amp;row=1827&amp;col=19&amp;number=&amp;sourceID=57","")</f>
        <v/>
      </c>
      <c r="T1827" s="4" t="str">
        <f>HYPERLINK("http://141.218.60.56/~jnz1568/getInfo.php?workbook=16_15.xlsx&amp;sheet=A0&amp;row=1827&amp;col=20&amp;number=&amp;sourceID=57","")</f>
        <v/>
      </c>
      <c r="U1827" s="4" t="str">
        <f>HYPERLINK("http://141.218.60.56/~jnz1568/getInfo.php?workbook=16_15.xlsx&amp;sheet=A0&amp;row=1827&amp;col=21&amp;number=&amp;sourceID=47","")</f>
        <v/>
      </c>
      <c r="V1827" s="4" t="str">
        <f>HYPERLINK("http://141.218.60.56/~jnz1568/getInfo.php?workbook=16_15.xlsx&amp;sheet=A0&amp;row=1827&amp;col=22&amp;number=&amp;sourceID=47","")</f>
        <v/>
      </c>
    </row>
    <row r="1828" spans="1:22">
      <c r="A1828" s="3">
        <v>16</v>
      </c>
      <c r="B1828" s="3">
        <v>15</v>
      </c>
      <c r="C1828" s="3">
        <v>69</v>
      </c>
      <c r="D1828" s="3">
        <v>22</v>
      </c>
      <c r="E1828" s="3">
        <f>((1/(INDEX(E0!J$4:J$73,C1828,1)-INDEX(E0!J$4:J$73,D1828,1))))*100000000</f>
        <v>0</v>
      </c>
      <c r="F1828" s="4" t="str">
        <f>HYPERLINK("http://141.218.60.56/~jnz1568/getInfo.php?workbook=16_15.xlsx&amp;sheet=A0&amp;row=1828&amp;col=6&amp;number=&amp;sourceID=54","")</f>
        <v/>
      </c>
      <c r="G1828" s="4" t="str">
        <f>HYPERLINK("http://141.218.60.56/~jnz1568/getInfo.php?workbook=16_15.xlsx&amp;sheet=A0&amp;row=1828&amp;col=7&amp;number=&amp;sourceID=54","")</f>
        <v/>
      </c>
      <c r="H1828" s="4" t="str">
        <f>HYPERLINK("http://141.218.60.56/~jnz1568/getInfo.php?workbook=16_15.xlsx&amp;sheet=A0&amp;row=1828&amp;col=8&amp;number=&amp;sourceID=54","")</f>
        <v/>
      </c>
      <c r="I1828" s="4" t="str">
        <f>HYPERLINK("http://141.218.60.56/~jnz1568/getInfo.php?workbook=16_15.xlsx&amp;sheet=A0&amp;row=1828&amp;col=9&amp;number=&amp;sourceID=54","")</f>
        <v/>
      </c>
      <c r="J1828" s="4" t="str">
        <f>HYPERLINK("http://141.218.60.56/~jnz1568/getInfo.php?workbook=16_15.xlsx&amp;sheet=A0&amp;row=1828&amp;col=10&amp;number=&amp;sourceID=54","")</f>
        <v/>
      </c>
      <c r="K1828" s="4" t="str">
        <f>HYPERLINK("http://141.218.60.56/~jnz1568/getInfo.php?workbook=16_15.xlsx&amp;sheet=A0&amp;row=1828&amp;col=11&amp;number=&amp;sourceID=54","")</f>
        <v/>
      </c>
      <c r="L1828" s="4" t="str">
        <f>HYPERLINK("http://141.218.60.56/~jnz1568/getInfo.php?workbook=16_15.xlsx&amp;sheet=A0&amp;row=1828&amp;col=12&amp;number=476.765997928&amp;sourceID=53","476.765997928")</f>
        <v>476.765997928</v>
      </c>
      <c r="M1828" s="4" t="str">
        <f>HYPERLINK("http://141.218.60.56/~jnz1568/getInfo.php?workbook=16_15.xlsx&amp;sheet=A0&amp;row=1828&amp;col=13&amp;number=&amp;sourceID=53","")</f>
        <v/>
      </c>
      <c r="N1828" s="4" t="str">
        <f>HYPERLINK("http://141.218.60.56/~jnz1568/getInfo.php?workbook=16_15.xlsx&amp;sheet=A0&amp;row=1828&amp;col=14&amp;number=&amp;sourceID=53","")</f>
        <v/>
      </c>
      <c r="O1828" s="4" t="str">
        <f>HYPERLINK("http://141.218.60.56/~jnz1568/getInfo.php?workbook=16_15.xlsx&amp;sheet=A0&amp;row=1828&amp;col=15&amp;number=&amp;sourceID=55","")</f>
        <v/>
      </c>
      <c r="P1828" s="4" t="str">
        <f>HYPERLINK("http://141.218.60.56/~jnz1568/getInfo.php?workbook=16_15.xlsx&amp;sheet=A0&amp;row=1828&amp;col=16&amp;number=&amp;sourceID=55","")</f>
        <v/>
      </c>
      <c r="Q1828" s="4" t="str">
        <f>HYPERLINK("http://141.218.60.56/~jnz1568/getInfo.php?workbook=16_15.xlsx&amp;sheet=A0&amp;row=1828&amp;col=17&amp;number=&amp;sourceID=56","")</f>
        <v/>
      </c>
      <c r="R1828" s="4" t="str">
        <f>HYPERLINK("http://141.218.60.56/~jnz1568/getInfo.php?workbook=16_15.xlsx&amp;sheet=A0&amp;row=1828&amp;col=18&amp;number=&amp;sourceID=56","")</f>
        <v/>
      </c>
      <c r="S1828" s="4" t="str">
        <f>HYPERLINK("http://141.218.60.56/~jnz1568/getInfo.php?workbook=16_15.xlsx&amp;sheet=A0&amp;row=1828&amp;col=19&amp;number=&amp;sourceID=57","")</f>
        <v/>
      </c>
      <c r="T1828" s="4" t="str">
        <f>HYPERLINK("http://141.218.60.56/~jnz1568/getInfo.php?workbook=16_15.xlsx&amp;sheet=A0&amp;row=1828&amp;col=20&amp;number=&amp;sourceID=57","")</f>
        <v/>
      </c>
      <c r="U1828" s="4" t="str">
        <f>HYPERLINK("http://141.218.60.56/~jnz1568/getInfo.php?workbook=16_15.xlsx&amp;sheet=A0&amp;row=1828&amp;col=21&amp;number=&amp;sourceID=47","")</f>
        <v/>
      </c>
      <c r="V1828" s="4" t="str">
        <f>HYPERLINK("http://141.218.60.56/~jnz1568/getInfo.php?workbook=16_15.xlsx&amp;sheet=A0&amp;row=1828&amp;col=22&amp;number=&amp;sourceID=47","")</f>
        <v/>
      </c>
    </row>
    <row r="1829" spans="1:22">
      <c r="A1829" s="3">
        <v>16</v>
      </c>
      <c r="B1829" s="3">
        <v>15</v>
      </c>
      <c r="C1829" s="3">
        <v>69</v>
      </c>
      <c r="D1829" s="3">
        <v>23</v>
      </c>
      <c r="E1829" s="3">
        <f>((1/(INDEX(E0!J$4:J$73,C1829,1)-INDEX(E0!J$4:J$73,D1829,1))))*100000000</f>
        <v>0</v>
      </c>
      <c r="F1829" s="4" t="str">
        <f>HYPERLINK("http://141.218.60.56/~jnz1568/getInfo.php?workbook=16_15.xlsx&amp;sheet=A0&amp;row=1829&amp;col=6&amp;number=&amp;sourceID=54","")</f>
        <v/>
      </c>
      <c r="G1829" s="4" t="str">
        <f>HYPERLINK("http://141.218.60.56/~jnz1568/getInfo.php?workbook=16_15.xlsx&amp;sheet=A0&amp;row=1829&amp;col=7&amp;number=&amp;sourceID=54","")</f>
        <v/>
      </c>
      <c r="H1829" s="4" t="str">
        <f>HYPERLINK("http://141.218.60.56/~jnz1568/getInfo.php?workbook=16_15.xlsx&amp;sheet=A0&amp;row=1829&amp;col=8&amp;number=&amp;sourceID=54","")</f>
        <v/>
      </c>
      <c r="I1829" s="4" t="str">
        <f>HYPERLINK("http://141.218.60.56/~jnz1568/getInfo.php?workbook=16_15.xlsx&amp;sheet=A0&amp;row=1829&amp;col=9&amp;number=&amp;sourceID=54","")</f>
        <v/>
      </c>
      <c r="J1829" s="4" t="str">
        <f>HYPERLINK("http://141.218.60.56/~jnz1568/getInfo.php?workbook=16_15.xlsx&amp;sheet=A0&amp;row=1829&amp;col=10&amp;number=&amp;sourceID=54","")</f>
        <v/>
      </c>
      <c r="K1829" s="4" t="str">
        <f>HYPERLINK("http://141.218.60.56/~jnz1568/getInfo.php?workbook=16_15.xlsx&amp;sheet=A0&amp;row=1829&amp;col=11&amp;number=&amp;sourceID=54","")</f>
        <v/>
      </c>
      <c r="L1829" s="4" t="str">
        <f>HYPERLINK("http://141.218.60.56/~jnz1568/getInfo.php?workbook=16_15.xlsx&amp;sheet=A0&amp;row=1829&amp;col=12&amp;number=27.5545115869&amp;sourceID=53","27.5545115869")</f>
        <v>27.5545115869</v>
      </c>
      <c r="M1829" s="4" t="str">
        <f>HYPERLINK("http://141.218.60.56/~jnz1568/getInfo.php?workbook=16_15.xlsx&amp;sheet=A0&amp;row=1829&amp;col=13&amp;number=&amp;sourceID=53","")</f>
        <v/>
      </c>
      <c r="N1829" s="4" t="str">
        <f>HYPERLINK("http://141.218.60.56/~jnz1568/getInfo.php?workbook=16_15.xlsx&amp;sheet=A0&amp;row=1829&amp;col=14&amp;number=&amp;sourceID=53","")</f>
        <v/>
      </c>
      <c r="O1829" s="4" t="str">
        <f>HYPERLINK("http://141.218.60.56/~jnz1568/getInfo.php?workbook=16_15.xlsx&amp;sheet=A0&amp;row=1829&amp;col=15&amp;number=&amp;sourceID=55","")</f>
        <v/>
      </c>
      <c r="P1829" s="4" t="str">
        <f>HYPERLINK("http://141.218.60.56/~jnz1568/getInfo.php?workbook=16_15.xlsx&amp;sheet=A0&amp;row=1829&amp;col=16&amp;number=&amp;sourceID=55","")</f>
        <v/>
      </c>
      <c r="Q1829" s="4" t="str">
        <f>HYPERLINK("http://141.218.60.56/~jnz1568/getInfo.php?workbook=16_15.xlsx&amp;sheet=A0&amp;row=1829&amp;col=17&amp;number=&amp;sourceID=56","")</f>
        <v/>
      </c>
      <c r="R1829" s="4" t="str">
        <f>HYPERLINK("http://141.218.60.56/~jnz1568/getInfo.php?workbook=16_15.xlsx&amp;sheet=A0&amp;row=1829&amp;col=18&amp;number=&amp;sourceID=56","")</f>
        <v/>
      </c>
      <c r="S1829" s="4" t="str">
        <f>HYPERLINK("http://141.218.60.56/~jnz1568/getInfo.php?workbook=16_15.xlsx&amp;sheet=A0&amp;row=1829&amp;col=19&amp;number=&amp;sourceID=57","")</f>
        <v/>
      </c>
      <c r="T1829" s="4" t="str">
        <f>HYPERLINK("http://141.218.60.56/~jnz1568/getInfo.php?workbook=16_15.xlsx&amp;sheet=A0&amp;row=1829&amp;col=20&amp;number=&amp;sourceID=57","")</f>
        <v/>
      </c>
      <c r="U1829" s="4" t="str">
        <f>HYPERLINK("http://141.218.60.56/~jnz1568/getInfo.php?workbook=16_15.xlsx&amp;sheet=A0&amp;row=1829&amp;col=21&amp;number=&amp;sourceID=47","")</f>
        <v/>
      </c>
      <c r="V1829" s="4" t="str">
        <f>HYPERLINK("http://141.218.60.56/~jnz1568/getInfo.php?workbook=16_15.xlsx&amp;sheet=A0&amp;row=1829&amp;col=22&amp;number=&amp;sourceID=47","")</f>
        <v/>
      </c>
    </row>
    <row r="1830" spans="1:22">
      <c r="A1830" s="3">
        <v>16</v>
      </c>
      <c r="B1830" s="3">
        <v>15</v>
      </c>
      <c r="C1830" s="3">
        <v>69</v>
      </c>
      <c r="D1830" s="3">
        <v>28</v>
      </c>
      <c r="E1830" s="3">
        <f>((1/(INDEX(E0!J$4:J$73,C1830,1)-INDEX(E0!J$4:J$73,D1830,1))))*100000000</f>
        <v>0</v>
      </c>
      <c r="F1830" s="4" t="str">
        <f>HYPERLINK("http://141.218.60.56/~jnz1568/getInfo.php?workbook=16_15.xlsx&amp;sheet=A0&amp;row=1830&amp;col=6&amp;number=&amp;sourceID=54","")</f>
        <v/>
      </c>
      <c r="G1830" s="4" t="str">
        <f>HYPERLINK("http://141.218.60.56/~jnz1568/getInfo.php?workbook=16_15.xlsx&amp;sheet=A0&amp;row=1830&amp;col=7&amp;number=&amp;sourceID=54","")</f>
        <v/>
      </c>
      <c r="H1830" s="4" t="str">
        <f>HYPERLINK("http://141.218.60.56/~jnz1568/getInfo.php?workbook=16_15.xlsx&amp;sheet=A0&amp;row=1830&amp;col=8&amp;number=&amp;sourceID=54","")</f>
        <v/>
      </c>
      <c r="I1830" s="4" t="str">
        <f>HYPERLINK("http://141.218.60.56/~jnz1568/getInfo.php?workbook=16_15.xlsx&amp;sheet=A0&amp;row=1830&amp;col=9&amp;number=&amp;sourceID=54","")</f>
        <v/>
      </c>
      <c r="J1830" s="4" t="str">
        <f>HYPERLINK("http://141.218.60.56/~jnz1568/getInfo.php?workbook=16_15.xlsx&amp;sheet=A0&amp;row=1830&amp;col=10&amp;number=&amp;sourceID=54","")</f>
        <v/>
      </c>
      <c r="K1830" s="4" t="str">
        <f>HYPERLINK("http://141.218.60.56/~jnz1568/getInfo.php?workbook=16_15.xlsx&amp;sheet=A0&amp;row=1830&amp;col=11&amp;number=&amp;sourceID=54","")</f>
        <v/>
      </c>
      <c r="L1830" s="4" t="str">
        <f>HYPERLINK("http://141.218.60.56/~jnz1568/getInfo.php?workbook=16_15.xlsx&amp;sheet=A0&amp;row=1830&amp;col=12&amp;number=2966507.25055&amp;sourceID=53","2966507.25055")</f>
        <v>2966507.25055</v>
      </c>
      <c r="M1830" s="4" t="str">
        <f>HYPERLINK("http://141.218.60.56/~jnz1568/getInfo.php?workbook=16_15.xlsx&amp;sheet=A0&amp;row=1830&amp;col=13&amp;number=&amp;sourceID=53","")</f>
        <v/>
      </c>
      <c r="N1830" s="4" t="str">
        <f>HYPERLINK("http://141.218.60.56/~jnz1568/getInfo.php?workbook=16_15.xlsx&amp;sheet=A0&amp;row=1830&amp;col=14&amp;number=&amp;sourceID=53","")</f>
        <v/>
      </c>
      <c r="O1830" s="4" t="str">
        <f>HYPERLINK("http://141.218.60.56/~jnz1568/getInfo.php?workbook=16_15.xlsx&amp;sheet=A0&amp;row=1830&amp;col=15&amp;number=&amp;sourceID=55","")</f>
        <v/>
      </c>
      <c r="P1830" s="4" t="str">
        <f>HYPERLINK("http://141.218.60.56/~jnz1568/getInfo.php?workbook=16_15.xlsx&amp;sheet=A0&amp;row=1830&amp;col=16&amp;number=&amp;sourceID=55","")</f>
        <v/>
      </c>
      <c r="Q1830" s="4" t="str">
        <f>HYPERLINK("http://141.218.60.56/~jnz1568/getInfo.php?workbook=16_15.xlsx&amp;sheet=A0&amp;row=1830&amp;col=17&amp;number=&amp;sourceID=56","")</f>
        <v/>
      </c>
      <c r="R1830" s="4" t="str">
        <f>HYPERLINK("http://141.218.60.56/~jnz1568/getInfo.php?workbook=16_15.xlsx&amp;sheet=A0&amp;row=1830&amp;col=18&amp;number=&amp;sourceID=56","")</f>
        <v/>
      </c>
      <c r="S1830" s="4" t="str">
        <f>HYPERLINK("http://141.218.60.56/~jnz1568/getInfo.php?workbook=16_15.xlsx&amp;sheet=A0&amp;row=1830&amp;col=19&amp;number=&amp;sourceID=57","")</f>
        <v/>
      </c>
      <c r="T1830" s="4" t="str">
        <f>HYPERLINK("http://141.218.60.56/~jnz1568/getInfo.php?workbook=16_15.xlsx&amp;sheet=A0&amp;row=1830&amp;col=20&amp;number=&amp;sourceID=57","")</f>
        <v/>
      </c>
      <c r="U1830" s="4" t="str">
        <f>HYPERLINK("http://141.218.60.56/~jnz1568/getInfo.php?workbook=16_15.xlsx&amp;sheet=A0&amp;row=1830&amp;col=21&amp;number=&amp;sourceID=47","")</f>
        <v/>
      </c>
      <c r="V1830" s="4" t="str">
        <f>HYPERLINK("http://141.218.60.56/~jnz1568/getInfo.php?workbook=16_15.xlsx&amp;sheet=A0&amp;row=1830&amp;col=22&amp;number=&amp;sourceID=47","")</f>
        <v/>
      </c>
    </row>
    <row r="1831" spans="1:22">
      <c r="A1831" s="3">
        <v>16</v>
      </c>
      <c r="B1831" s="3">
        <v>15</v>
      </c>
      <c r="C1831" s="3">
        <v>69</v>
      </c>
      <c r="D1831" s="3">
        <v>29</v>
      </c>
      <c r="E1831" s="3">
        <f>((1/(INDEX(E0!J$4:J$73,C1831,1)-INDEX(E0!J$4:J$73,D1831,1))))*100000000</f>
        <v>0</v>
      </c>
      <c r="F1831" s="4" t="str">
        <f>HYPERLINK("http://141.218.60.56/~jnz1568/getInfo.php?workbook=16_15.xlsx&amp;sheet=A0&amp;row=1831&amp;col=6&amp;number=&amp;sourceID=54","")</f>
        <v/>
      </c>
      <c r="G1831" s="4" t="str">
        <f>HYPERLINK("http://141.218.60.56/~jnz1568/getInfo.php?workbook=16_15.xlsx&amp;sheet=A0&amp;row=1831&amp;col=7&amp;number=&amp;sourceID=54","")</f>
        <v/>
      </c>
      <c r="H1831" s="4" t="str">
        <f>HYPERLINK("http://141.218.60.56/~jnz1568/getInfo.php?workbook=16_15.xlsx&amp;sheet=A0&amp;row=1831&amp;col=8&amp;number=&amp;sourceID=54","")</f>
        <v/>
      </c>
      <c r="I1831" s="4" t="str">
        <f>HYPERLINK("http://141.218.60.56/~jnz1568/getInfo.php?workbook=16_15.xlsx&amp;sheet=A0&amp;row=1831&amp;col=9&amp;number=&amp;sourceID=54","")</f>
        <v/>
      </c>
      <c r="J1831" s="4" t="str">
        <f>HYPERLINK("http://141.218.60.56/~jnz1568/getInfo.php?workbook=16_15.xlsx&amp;sheet=A0&amp;row=1831&amp;col=10&amp;number=&amp;sourceID=54","")</f>
        <v/>
      </c>
      <c r="K1831" s="4" t="str">
        <f>HYPERLINK("http://141.218.60.56/~jnz1568/getInfo.php?workbook=16_15.xlsx&amp;sheet=A0&amp;row=1831&amp;col=11&amp;number=&amp;sourceID=54","")</f>
        <v/>
      </c>
      <c r="L1831" s="4" t="str">
        <f>HYPERLINK("http://141.218.60.56/~jnz1568/getInfo.php?workbook=16_15.xlsx&amp;sheet=A0&amp;row=1831&amp;col=12&amp;number=3473450.03158&amp;sourceID=53","3473450.03158")</f>
        <v>3473450.03158</v>
      </c>
      <c r="M1831" s="4" t="str">
        <f>HYPERLINK("http://141.218.60.56/~jnz1568/getInfo.php?workbook=16_15.xlsx&amp;sheet=A0&amp;row=1831&amp;col=13&amp;number=&amp;sourceID=53","")</f>
        <v/>
      </c>
      <c r="N1831" s="4" t="str">
        <f>HYPERLINK("http://141.218.60.56/~jnz1568/getInfo.php?workbook=16_15.xlsx&amp;sheet=A0&amp;row=1831&amp;col=14&amp;number=&amp;sourceID=53","")</f>
        <v/>
      </c>
      <c r="O1831" s="4" t="str">
        <f>HYPERLINK("http://141.218.60.56/~jnz1568/getInfo.php?workbook=16_15.xlsx&amp;sheet=A0&amp;row=1831&amp;col=15&amp;number=&amp;sourceID=55","")</f>
        <v/>
      </c>
      <c r="P1831" s="4" t="str">
        <f>HYPERLINK("http://141.218.60.56/~jnz1568/getInfo.php?workbook=16_15.xlsx&amp;sheet=A0&amp;row=1831&amp;col=16&amp;number=&amp;sourceID=55","")</f>
        <v/>
      </c>
      <c r="Q1831" s="4" t="str">
        <f>HYPERLINK("http://141.218.60.56/~jnz1568/getInfo.php?workbook=16_15.xlsx&amp;sheet=A0&amp;row=1831&amp;col=17&amp;number=&amp;sourceID=56","")</f>
        <v/>
      </c>
      <c r="R1831" s="4" t="str">
        <f>HYPERLINK("http://141.218.60.56/~jnz1568/getInfo.php?workbook=16_15.xlsx&amp;sheet=A0&amp;row=1831&amp;col=18&amp;number=&amp;sourceID=56","")</f>
        <v/>
      </c>
      <c r="S1831" s="4" t="str">
        <f>HYPERLINK("http://141.218.60.56/~jnz1568/getInfo.php?workbook=16_15.xlsx&amp;sheet=A0&amp;row=1831&amp;col=19&amp;number=&amp;sourceID=57","")</f>
        <v/>
      </c>
      <c r="T1831" s="4" t="str">
        <f>HYPERLINK("http://141.218.60.56/~jnz1568/getInfo.php?workbook=16_15.xlsx&amp;sheet=A0&amp;row=1831&amp;col=20&amp;number=&amp;sourceID=57","")</f>
        <v/>
      </c>
      <c r="U1831" s="4" t="str">
        <f>HYPERLINK("http://141.218.60.56/~jnz1568/getInfo.php?workbook=16_15.xlsx&amp;sheet=A0&amp;row=1831&amp;col=21&amp;number=&amp;sourceID=47","")</f>
        <v/>
      </c>
      <c r="V1831" s="4" t="str">
        <f>HYPERLINK("http://141.218.60.56/~jnz1568/getInfo.php?workbook=16_15.xlsx&amp;sheet=A0&amp;row=1831&amp;col=22&amp;number=&amp;sourceID=47","")</f>
        <v/>
      </c>
    </row>
    <row r="1832" spans="1:22">
      <c r="A1832" s="3">
        <v>16</v>
      </c>
      <c r="B1832" s="3">
        <v>15</v>
      </c>
      <c r="C1832" s="3">
        <v>69</v>
      </c>
      <c r="D1832" s="3">
        <v>43</v>
      </c>
      <c r="E1832" s="3">
        <f>((1/(INDEX(E0!J$4:J$73,C1832,1)-INDEX(E0!J$4:J$73,D1832,1))))*100000000</f>
        <v>0</v>
      </c>
      <c r="F1832" s="4" t="str">
        <f>HYPERLINK("http://141.218.60.56/~jnz1568/getInfo.php?workbook=16_15.xlsx&amp;sheet=A0&amp;row=1832&amp;col=6&amp;number=&amp;sourceID=54","")</f>
        <v/>
      </c>
      <c r="G1832" s="4" t="str">
        <f>HYPERLINK("http://141.218.60.56/~jnz1568/getInfo.php?workbook=16_15.xlsx&amp;sheet=A0&amp;row=1832&amp;col=7&amp;number=&amp;sourceID=54","")</f>
        <v/>
      </c>
      <c r="H1832" s="4" t="str">
        <f>HYPERLINK("http://141.218.60.56/~jnz1568/getInfo.php?workbook=16_15.xlsx&amp;sheet=A0&amp;row=1832&amp;col=8&amp;number=&amp;sourceID=54","")</f>
        <v/>
      </c>
      <c r="I1832" s="4" t="str">
        <f>HYPERLINK("http://141.218.60.56/~jnz1568/getInfo.php?workbook=16_15.xlsx&amp;sheet=A0&amp;row=1832&amp;col=9&amp;number=&amp;sourceID=54","")</f>
        <v/>
      </c>
      <c r="J1832" s="4" t="str">
        <f>HYPERLINK("http://141.218.60.56/~jnz1568/getInfo.php?workbook=16_15.xlsx&amp;sheet=A0&amp;row=1832&amp;col=10&amp;number=&amp;sourceID=54","")</f>
        <v/>
      </c>
      <c r="K1832" s="4" t="str">
        <f>HYPERLINK("http://141.218.60.56/~jnz1568/getInfo.php?workbook=16_15.xlsx&amp;sheet=A0&amp;row=1832&amp;col=11&amp;number=&amp;sourceID=54","")</f>
        <v/>
      </c>
      <c r="L1832" s="4" t="str">
        <f>HYPERLINK("http://141.218.60.56/~jnz1568/getInfo.php?workbook=16_15.xlsx&amp;sheet=A0&amp;row=1832&amp;col=12&amp;number=204.596967939&amp;sourceID=53","204.596967939")</f>
        <v>204.596967939</v>
      </c>
      <c r="M1832" s="4" t="str">
        <f>HYPERLINK("http://141.218.60.56/~jnz1568/getInfo.php?workbook=16_15.xlsx&amp;sheet=A0&amp;row=1832&amp;col=13&amp;number=&amp;sourceID=53","")</f>
        <v/>
      </c>
      <c r="N1832" s="4" t="str">
        <f>HYPERLINK("http://141.218.60.56/~jnz1568/getInfo.php?workbook=16_15.xlsx&amp;sheet=A0&amp;row=1832&amp;col=14&amp;number=&amp;sourceID=53","")</f>
        <v/>
      </c>
      <c r="O1832" s="4" t="str">
        <f>HYPERLINK("http://141.218.60.56/~jnz1568/getInfo.php?workbook=16_15.xlsx&amp;sheet=A0&amp;row=1832&amp;col=15&amp;number=&amp;sourceID=55","")</f>
        <v/>
      </c>
      <c r="P1832" s="4" t="str">
        <f>HYPERLINK("http://141.218.60.56/~jnz1568/getInfo.php?workbook=16_15.xlsx&amp;sheet=A0&amp;row=1832&amp;col=16&amp;number=&amp;sourceID=55","")</f>
        <v/>
      </c>
      <c r="Q1832" s="4" t="str">
        <f>HYPERLINK("http://141.218.60.56/~jnz1568/getInfo.php?workbook=16_15.xlsx&amp;sheet=A0&amp;row=1832&amp;col=17&amp;number=&amp;sourceID=56","")</f>
        <v/>
      </c>
      <c r="R1832" s="4" t="str">
        <f>HYPERLINK("http://141.218.60.56/~jnz1568/getInfo.php?workbook=16_15.xlsx&amp;sheet=A0&amp;row=1832&amp;col=18&amp;number=&amp;sourceID=56","")</f>
        <v/>
      </c>
      <c r="S1832" s="4" t="str">
        <f>HYPERLINK("http://141.218.60.56/~jnz1568/getInfo.php?workbook=16_15.xlsx&amp;sheet=A0&amp;row=1832&amp;col=19&amp;number=&amp;sourceID=57","")</f>
        <v/>
      </c>
      <c r="T1832" s="4" t="str">
        <f>HYPERLINK("http://141.218.60.56/~jnz1568/getInfo.php?workbook=16_15.xlsx&amp;sheet=A0&amp;row=1832&amp;col=20&amp;number=&amp;sourceID=57","")</f>
        <v/>
      </c>
      <c r="U1832" s="4" t="str">
        <f>HYPERLINK("http://141.218.60.56/~jnz1568/getInfo.php?workbook=16_15.xlsx&amp;sheet=A0&amp;row=1832&amp;col=21&amp;number=&amp;sourceID=47","")</f>
        <v/>
      </c>
      <c r="V1832" s="4" t="str">
        <f>HYPERLINK("http://141.218.60.56/~jnz1568/getInfo.php?workbook=16_15.xlsx&amp;sheet=A0&amp;row=1832&amp;col=22&amp;number=&amp;sourceID=47","")</f>
        <v/>
      </c>
    </row>
    <row r="1833" spans="1:22">
      <c r="A1833" s="3">
        <v>16</v>
      </c>
      <c r="B1833" s="3">
        <v>15</v>
      </c>
      <c r="C1833" s="3">
        <v>69</v>
      </c>
      <c r="D1833" s="3">
        <v>44</v>
      </c>
      <c r="E1833" s="3">
        <f>((1/(INDEX(E0!J$4:J$73,C1833,1)-INDEX(E0!J$4:J$73,D1833,1))))*100000000</f>
        <v>0</v>
      </c>
      <c r="F1833" s="4" t="str">
        <f>HYPERLINK("http://141.218.60.56/~jnz1568/getInfo.php?workbook=16_15.xlsx&amp;sheet=A0&amp;row=1833&amp;col=6&amp;number=&amp;sourceID=54","")</f>
        <v/>
      </c>
      <c r="G1833" s="4" t="str">
        <f>HYPERLINK("http://141.218.60.56/~jnz1568/getInfo.php?workbook=16_15.xlsx&amp;sheet=A0&amp;row=1833&amp;col=7&amp;number=&amp;sourceID=54","")</f>
        <v/>
      </c>
      <c r="H1833" s="4" t="str">
        <f>HYPERLINK("http://141.218.60.56/~jnz1568/getInfo.php?workbook=16_15.xlsx&amp;sheet=A0&amp;row=1833&amp;col=8&amp;number=&amp;sourceID=54","")</f>
        <v/>
      </c>
      <c r="I1833" s="4" t="str">
        <f>HYPERLINK("http://141.218.60.56/~jnz1568/getInfo.php?workbook=16_15.xlsx&amp;sheet=A0&amp;row=1833&amp;col=9&amp;number=&amp;sourceID=54","")</f>
        <v/>
      </c>
      <c r="J1833" s="4" t="str">
        <f>HYPERLINK("http://141.218.60.56/~jnz1568/getInfo.php?workbook=16_15.xlsx&amp;sheet=A0&amp;row=1833&amp;col=10&amp;number=&amp;sourceID=54","")</f>
        <v/>
      </c>
      <c r="K1833" s="4" t="str">
        <f>HYPERLINK("http://141.218.60.56/~jnz1568/getInfo.php?workbook=16_15.xlsx&amp;sheet=A0&amp;row=1833&amp;col=11&amp;number=&amp;sourceID=54","")</f>
        <v/>
      </c>
      <c r="L1833" s="4" t="str">
        <f>HYPERLINK("http://141.218.60.56/~jnz1568/getInfo.php?workbook=16_15.xlsx&amp;sheet=A0&amp;row=1833&amp;col=12&amp;number=5913.91554441&amp;sourceID=53","5913.91554441")</f>
        <v>5913.91554441</v>
      </c>
      <c r="M1833" s="4" t="str">
        <f>HYPERLINK("http://141.218.60.56/~jnz1568/getInfo.php?workbook=16_15.xlsx&amp;sheet=A0&amp;row=1833&amp;col=13&amp;number=&amp;sourceID=53","")</f>
        <v/>
      </c>
      <c r="N1833" s="4" t="str">
        <f>HYPERLINK("http://141.218.60.56/~jnz1568/getInfo.php?workbook=16_15.xlsx&amp;sheet=A0&amp;row=1833&amp;col=14&amp;number=&amp;sourceID=53","")</f>
        <v/>
      </c>
      <c r="O1833" s="4" t="str">
        <f>HYPERLINK("http://141.218.60.56/~jnz1568/getInfo.php?workbook=16_15.xlsx&amp;sheet=A0&amp;row=1833&amp;col=15&amp;number=&amp;sourceID=55","")</f>
        <v/>
      </c>
      <c r="P1833" s="4" t="str">
        <f>HYPERLINK("http://141.218.60.56/~jnz1568/getInfo.php?workbook=16_15.xlsx&amp;sheet=A0&amp;row=1833&amp;col=16&amp;number=&amp;sourceID=55","")</f>
        <v/>
      </c>
      <c r="Q1833" s="4" t="str">
        <f>HYPERLINK("http://141.218.60.56/~jnz1568/getInfo.php?workbook=16_15.xlsx&amp;sheet=A0&amp;row=1833&amp;col=17&amp;number=&amp;sourceID=56","")</f>
        <v/>
      </c>
      <c r="R1833" s="4" t="str">
        <f>HYPERLINK("http://141.218.60.56/~jnz1568/getInfo.php?workbook=16_15.xlsx&amp;sheet=A0&amp;row=1833&amp;col=18&amp;number=&amp;sourceID=56","")</f>
        <v/>
      </c>
      <c r="S1833" s="4" t="str">
        <f>HYPERLINK("http://141.218.60.56/~jnz1568/getInfo.php?workbook=16_15.xlsx&amp;sheet=A0&amp;row=1833&amp;col=19&amp;number=&amp;sourceID=57","")</f>
        <v/>
      </c>
      <c r="T1833" s="4" t="str">
        <f>HYPERLINK("http://141.218.60.56/~jnz1568/getInfo.php?workbook=16_15.xlsx&amp;sheet=A0&amp;row=1833&amp;col=20&amp;number=&amp;sourceID=57","")</f>
        <v/>
      </c>
      <c r="U1833" s="4" t="str">
        <f>HYPERLINK("http://141.218.60.56/~jnz1568/getInfo.php?workbook=16_15.xlsx&amp;sheet=A0&amp;row=1833&amp;col=21&amp;number=&amp;sourceID=47","")</f>
        <v/>
      </c>
      <c r="V1833" s="4" t="str">
        <f>HYPERLINK("http://141.218.60.56/~jnz1568/getInfo.php?workbook=16_15.xlsx&amp;sheet=A0&amp;row=1833&amp;col=22&amp;number=&amp;sourceID=47","")</f>
        <v/>
      </c>
    </row>
    <row r="1834" spans="1:22">
      <c r="A1834" s="3">
        <v>16</v>
      </c>
      <c r="B1834" s="3">
        <v>15</v>
      </c>
      <c r="C1834" s="3">
        <v>69</v>
      </c>
      <c r="D1834" s="3">
        <v>48</v>
      </c>
      <c r="E1834" s="3">
        <f>((1/(INDEX(E0!J$4:J$73,C1834,1)-INDEX(E0!J$4:J$73,D1834,1))))*100000000</f>
        <v>0</v>
      </c>
      <c r="F1834" s="4" t="str">
        <f>HYPERLINK("http://141.218.60.56/~jnz1568/getInfo.php?workbook=16_15.xlsx&amp;sheet=A0&amp;row=1834&amp;col=6&amp;number=&amp;sourceID=54","")</f>
        <v/>
      </c>
      <c r="G1834" s="4" t="str">
        <f>HYPERLINK("http://141.218.60.56/~jnz1568/getInfo.php?workbook=16_15.xlsx&amp;sheet=A0&amp;row=1834&amp;col=7&amp;number=&amp;sourceID=54","")</f>
        <v/>
      </c>
      <c r="H1834" s="4" t="str">
        <f>HYPERLINK("http://141.218.60.56/~jnz1568/getInfo.php?workbook=16_15.xlsx&amp;sheet=A0&amp;row=1834&amp;col=8&amp;number=&amp;sourceID=54","")</f>
        <v/>
      </c>
      <c r="I1834" s="4" t="str">
        <f>HYPERLINK("http://141.218.60.56/~jnz1568/getInfo.php?workbook=16_15.xlsx&amp;sheet=A0&amp;row=1834&amp;col=9&amp;number=&amp;sourceID=54","")</f>
        <v/>
      </c>
      <c r="J1834" s="4" t="str">
        <f>HYPERLINK("http://141.218.60.56/~jnz1568/getInfo.php?workbook=16_15.xlsx&amp;sheet=A0&amp;row=1834&amp;col=10&amp;number=&amp;sourceID=54","")</f>
        <v/>
      </c>
      <c r="K1834" s="4" t="str">
        <f>HYPERLINK("http://141.218.60.56/~jnz1568/getInfo.php?workbook=16_15.xlsx&amp;sheet=A0&amp;row=1834&amp;col=11&amp;number=&amp;sourceID=54","")</f>
        <v/>
      </c>
      <c r="L1834" s="4" t="str">
        <f>HYPERLINK("http://141.218.60.56/~jnz1568/getInfo.php?workbook=16_15.xlsx&amp;sheet=A0&amp;row=1834&amp;col=12&amp;number=3941559.92518&amp;sourceID=53","3941559.92518")</f>
        <v>3941559.92518</v>
      </c>
      <c r="M1834" s="4" t="str">
        <f>HYPERLINK("http://141.218.60.56/~jnz1568/getInfo.php?workbook=16_15.xlsx&amp;sheet=A0&amp;row=1834&amp;col=13&amp;number=&amp;sourceID=53","")</f>
        <v/>
      </c>
      <c r="N1834" s="4" t="str">
        <f>HYPERLINK("http://141.218.60.56/~jnz1568/getInfo.php?workbook=16_15.xlsx&amp;sheet=A0&amp;row=1834&amp;col=14&amp;number=&amp;sourceID=53","")</f>
        <v/>
      </c>
      <c r="O1834" s="4" t="str">
        <f>HYPERLINK("http://141.218.60.56/~jnz1568/getInfo.php?workbook=16_15.xlsx&amp;sheet=A0&amp;row=1834&amp;col=15&amp;number=&amp;sourceID=55","")</f>
        <v/>
      </c>
      <c r="P1834" s="4" t="str">
        <f>HYPERLINK("http://141.218.60.56/~jnz1568/getInfo.php?workbook=16_15.xlsx&amp;sheet=A0&amp;row=1834&amp;col=16&amp;number=&amp;sourceID=55","")</f>
        <v/>
      </c>
      <c r="Q1834" s="4" t="str">
        <f>HYPERLINK("http://141.218.60.56/~jnz1568/getInfo.php?workbook=16_15.xlsx&amp;sheet=A0&amp;row=1834&amp;col=17&amp;number=&amp;sourceID=56","")</f>
        <v/>
      </c>
      <c r="R1834" s="4" t="str">
        <f>HYPERLINK("http://141.218.60.56/~jnz1568/getInfo.php?workbook=16_15.xlsx&amp;sheet=A0&amp;row=1834&amp;col=18&amp;number=&amp;sourceID=56","")</f>
        <v/>
      </c>
      <c r="S1834" s="4" t="str">
        <f>HYPERLINK("http://141.218.60.56/~jnz1568/getInfo.php?workbook=16_15.xlsx&amp;sheet=A0&amp;row=1834&amp;col=19&amp;number=&amp;sourceID=57","")</f>
        <v/>
      </c>
      <c r="T1834" s="4" t="str">
        <f>HYPERLINK("http://141.218.60.56/~jnz1568/getInfo.php?workbook=16_15.xlsx&amp;sheet=A0&amp;row=1834&amp;col=20&amp;number=&amp;sourceID=57","")</f>
        <v/>
      </c>
      <c r="U1834" s="4" t="str">
        <f>HYPERLINK("http://141.218.60.56/~jnz1568/getInfo.php?workbook=16_15.xlsx&amp;sheet=A0&amp;row=1834&amp;col=21&amp;number=&amp;sourceID=47","")</f>
        <v/>
      </c>
      <c r="V1834" s="4" t="str">
        <f>HYPERLINK("http://141.218.60.56/~jnz1568/getInfo.php?workbook=16_15.xlsx&amp;sheet=A0&amp;row=1834&amp;col=22&amp;number=&amp;sourceID=47","")</f>
        <v/>
      </c>
    </row>
    <row r="1835" spans="1:22">
      <c r="A1835" s="3">
        <v>16</v>
      </c>
      <c r="B1835" s="3">
        <v>15</v>
      </c>
      <c r="C1835" s="3">
        <v>69</v>
      </c>
      <c r="D1835" s="3">
        <v>51</v>
      </c>
      <c r="E1835" s="3">
        <f>((1/(INDEX(E0!J$4:J$73,C1835,1)-INDEX(E0!J$4:J$73,D1835,1))))*100000000</f>
        <v>0</v>
      </c>
      <c r="F1835" s="4" t="str">
        <f>HYPERLINK("http://141.218.60.56/~jnz1568/getInfo.php?workbook=16_15.xlsx&amp;sheet=A0&amp;row=1835&amp;col=6&amp;number=&amp;sourceID=54","")</f>
        <v/>
      </c>
      <c r="G1835" s="4" t="str">
        <f>HYPERLINK("http://141.218.60.56/~jnz1568/getInfo.php?workbook=16_15.xlsx&amp;sheet=A0&amp;row=1835&amp;col=7&amp;number=&amp;sourceID=54","")</f>
        <v/>
      </c>
      <c r="H1835" s="4" t="str">
        <f>HYPERLINK("http://141.218.60.56/~jnz1568/getInfo.php?workbook=16_15.xlsx&amp;sheet=A0&amp;row=1835&amp;col=8&amp;number=&amp;sourceID=54","")</f>
        <v/>
      </c>
      <c r="I1835" s="4" t="str">
        <f>HYPERLINK("http://141.218.60.56/~jnz1568/getInfo.php?workbook=16_15.xlsx&amp;sheet=A0&amp;row=1835&amp;col=9&amp;number=&amp;sourceID=54","")</f>
        <v/>
      </c>
      <c r="J1835" s="4" t="str">
        <f>HYPERLINK("http://141.218.60.56/~jnz1568/getInfo.php?workbook=16_15.xlsx&amp;sheet=A0&amp;row=1835&amp;col=10&amp;number=&amp;sourceID=54","")</f>
        <v/>
      </c>
      <c r="K1835" s="4" t="str">
        <f>HYPERLINK("http://141.218.60.56/~jnz1568/getInfo.php?workbook=16_15.xlsx&amp;sheet=A0&amp;row=1835&amp;col=11&amp;number=&amp;sourceID=54","")</f>
        <v/>
      </c>
      <c r="L1835" s="4" t="str">
        <f>HYPERLINK("http://141.218.60.56/~jnz1568/getInfo.php?workbook=16_15.xlsx&amp;sheet=A0&amp;row=1835&amp;col=12&amp;number=77908161.1792&amp;sourceID=53","77908161.1792")</f>
        <v>77908161.1792</v>
      </c>
      <c r="M1835" s="4" t="str">
        <f>HYPERLINK("http://141.218.60.56/~jnz1568/getInfo.php?workbook=16_15.xlsx&amp;sheet=A0&amp;row=1835&amp;col=13&amp;number=&amp;sourceID=53","")</f>
        <v/>
      </c>
      <c r="N1835" s="4" t="str">
        <f>HYPERLINK("http://141.218.60.56/~jnz1568/getInfo.php?workbook=16_15.xlsx&amp;sheet=A0&amp;row=1835&amp;col=14&amp;number=&amp;sourceID=53","")</f>
        <v/>
      </c>
      <c r="O1835" s="4" t="str">
        <f>HYPERLINK("http://141.218.60.56/~jnz1568/getInfo.php?workbook=16_15.xlsx&amp;sheet=A0&amp;row=1835&amp;col=15&amp;number=&amp;sourceID=55","")</f>
        <v/>
      </c>
      <c r="P1835" s="4" t="str">
        <f>HYPERLINK("http://141.218.60.56/~jnz1568/getInfo.php?workbook=16_15.xlsx&amp;sheet=A0&amp;row=1835&amp;col=16&amp;number=&amp;sourceID=55","")</f>
        <v/>
      </c>
      <c r="Q1835" s="4" t="str">
        <f>HYPERLINK("http://141.218.60.56/~jnz1568/getInfo.php?workbook=16_15.xlsx&amp;sheet=A0&amp;row=1835&amp;col=17&amp;number=&amp;sourceID=56","")</f>
        <v/>
      </c>
      <c r="R1835" s="4" t="str">
        <f>HYPERLINK("http://141.218.60.56/~jnz1568/getInfo.php?workbook=16_15.xlsx&amp;sheet=A0&amp;row=1835&amp;col=18&amp;number=&amp;sourceID=56","")</f>
        <v/>
      </c>
      <c r="S1835" s="4" t="str">
        <f>HYPERLINK("http://141.218.60.56/~jnz1568/getInfo.php?workbook=16_15.xlsx&amp;sheet=A0&amp;row=1835&amp;col=19&amp;number=&amp;sourceID=57","")</f>
        <v/>
      </c>
      <c r="T1835" s="4" t="str">
        <f>HYPERLINK("http://141.218.60.56/~jnz1568/getInfo.php?workbook=16_15.xlsx&amp;sheet=A0&amp;row=1835&amp;col=20&amp;number=&amp;sourceID=57","")</f>
        <v/>
      </c>
      <c r="U1835" s="4" t="str">
        <f>HYPERLINK("http://141.218.60.56/~jnz1568/getInfo.php?workbook=16_15.xlsx&amp;sheet=A0&amp;row=1835&amp;col=21&amp;number=&amp;sourceID=47","")</f>
        <v/>
      </c>
      <c r="V1835" s="4" t="str">
        <f>HYPERLINK("http://141.218.60.56/~jnz1568/getInfo.php?workbook=16_15.xlsx&amp;sheet=A0&amp;row=1835&amp;col=22&amp;number=&amp;sourceID=47","")</f>
        <v/>
      </c>
    </row>
    <row r="1836" spans="1:22">
      <c r="A1836" s="3">
        <v>16</v>
      </c>
      <c r="B1836" s="3">
        <v>15</v>
      </c>
      <c r="C1836" s="3">
        <v>69</v>
      </c>
      <c r="D1836" s="3">
        <v>54</v>
      </c>
      <c r="E1836" s="3">
        <f>((1/(INDEX(E0!J$4:J$73,C1836,1)-INDEX(E0!J$4:J$73,D1836,1))))*100000000</f>
        <v>0</v>
      </c>
      <c r="F1836" s="4" t="str">
        <f>HYPERLINK("http://141.218.60.56/~jnz1568/getInfo.php?workbook=16_15.xlsx&amp;sheet=A0&amp;row=1836&amp;col=6&amp;number=&amp;sourceID=54","")</f>
        <v/>
      </c>
      <c r="G1836" s="4" t="str">
        <f>HYPERLINK("http://141.218.60.56/~jnz1568/getInfo.php?workbook=16_15.xlsx&amp;sheet=A0&amp;row=1836&amp;col=7&amp;number=&amp;sourceID=54","")</f>
        <v/>
      </c>
      <c r="H1836" s="4" t="str">
        <f>HYPERLINK("http://141.218.60.56/~jnz1568/getInfo.php?workbook=16_15.xlsx&amp;sheet=A0&amp;row=1836&amp;col=8&amp;number=&amp;sourceID=54","")</f>
        <v/>
      </c>
      <c r="I1836" s="4" t="str">
        <f>HYPERLINK("http://141.218.60.56/~jnz1568/getInfo.php?workbook=16_15.xlsx&amp;sheet=A0&amp;row=1836&amp;col=9&amp;number=&amp;sourceID=54","")</f>
        <v/>
      </c>
      <c r="J1836" s="4" t="str">
        <f>HYPERLINK("http://141.218.60.56/~jnz1568/getInfo.php?workbook=16_15.xlsx&amp;sheet=A0&amp;row=1836&amp;col=10&amp;number=&amp;sourceID=54","")</f>
        <v/>
      </c>
      <c r="K1836" s="4" t="str">
        <f>HYPERLINK("http://141.218.60.56/~jnz1568/getInfo.php?workbook=16_15.xlsx&amp;sheet=A0&amp;row=1836&amp;col=11&amp;number=&amp;sourceID=54","")</f>
        <v/>
      </c>
      <c r="L1836" s="4" t="str">
        <f>HYPERLINK("http://141.218.60.56/~jnz1568/getInfo.php?workbook=16_15.xlsx&amp;sheet=A0&amp;row=1836&amp;col=12&amp;number=164312.116724&amp;sourceID=53","164312.116724")</f>
        <v>164312.116724</v>
      </c>
      <c r="M1836" s="4" t="str">
        <f>HYPERLINK("http://141.218.60.56/~jnz1568/getInfo.php?workbook=16_15.xlsx&amp;sheet=A0&amp;row=1836&amp;col=13&amp;number=&amp;sourceID=53","")</f>
        <v/>
      </c>
      <c r="N1836" s="4" t="str">
        <f>HYPERLINK("http://141.218.60.56/~jnz1568/getInfo.php?workbook=16_15.xlsx&amp;sheet=A0&amp;row=1836&amp;col=14&amp;number=&amp;sourceID=53","")</f>
        <v/>
      </c>
      <c r="O1836" s="4" t="str">
        <f>HYPERLINK("http://141.218.60.56/~jnz1568/getInfo.php?workbook=16_15.xlsx&amp;sheet=A0&amp;row=1836&amp;col=15&amp;number=&amp;sourceID=55","")</f>
        <v/>
      </c>
      <c r="P1836" s="4" t="str">
        <f>HYPERLINK("http://141.218.60.56/~jnz1568/getInfo.php?workbook=16_15.xlsx&amp;sheet=A0&amp;row=1836&amp;col=16&amp;number=&amp;sourceID=55","")</f>
        <v/>
      </c>
      <c r="Q1836" s="4" t="str">
        <f>HYPERLINK("http://141.218.60.56/~jnz1568/getInfo.php?workbook=16_15.xlsx&amp;sheet=A0&amp;row=1836&amp;col=17&amp;number=&amp;sourceID=56","")</f>
        <v/>
      </c>
      <c r="R1836" s="4" t="str">
        <f>HYPERLINK("http://141.218.60.56/~jnz1568/getInfo.php?workbook=16_15.xlsx&amp;sheet=A0&amp;row=1836&amp;col=18&amp;number=&amp;sourceID=56","")</f>
        <v/>
      </c>
      <c r="S1836" s="4" t="str">
        <f>HYPERLINK("http://141.218.60.56/~jnz1568/getInfo.php?workbook=16_15.xlsx&amp;sheet=A0&amp;row=1836&amp;col=19&amp;number=&amp;sourceID=57","")</f>
        <v/>
      </c>
      <c r="T1836" s="4" t="str">
        <f>HYPERLINK("http://141.218.60.56/~jnz1568/getInfo.php?workbook=16_15.xlsx&amp;sheet=A0&amp;row=1836&amp;col=20&amp;number=&amp;sourceID=57","")</f>
        <v/>
      </c>
      <c r="U1836" s="4" t="str">
        <f>HYPERLINK("http://141.218.60.56/~jnz1568/getInfo.php?workbook=16_15.xlsx&amp;sheet=A0&amp;row=1836&amp;col=21&amp;number=&amp;sourceID=47","")</f>
        <v/>
      </c>
      <c r="V1836" s="4" t="str">
        <f>HYPERLINK("http://141.218.60.56/~jnz1568/getInfo.php?workbook=16_15.xlsx&amp;sheet=A0&amp;row=1836&amp;col=22&amp;number=&amp;sourceID=47","")</f>
        <v/>
      </c>
    </row>
    <row r="1837" spans="1:22">
      <c r="A1837" s="3">
        <v>16</v>
      </c>
      <c r="B1837" s="3">
        <v>15</v>
      </c>
      <c r="C1837" s="3">
        <v>69</v>
      </c>
      <c r="D1837" s="3">
        <v>55</v>
      </c>
      <c r="E1837" s="3">
        <f>((1/(INDEX(E0!J$4:J$73,C1837,1)-INDEX(E0!J$4:J$73,D1837,1))))*100000000</f>
        <v>0</v>
      </c>
      <c r="F1837" s="4" t="str">
        <f>HYPERLINK("http://141.218.60.56/~jnz1568/getInfo.php?workbook=16_15.xlsx&amp;sheet=A0&amp;row=1837&amp;col=6&amp;number=&amp;sourceID=54","")</f>
        <v/>
      </c>
      <c r="G1837" s="4" t="str">
        <f>HYPERLINK("http://141.218.60.56/~jnz1568/getInfo.php?workbook=16_15.xlsx&amp;sheet=A0&amp;row=1837&amp;col=7&amp;number=&amp;sourceID=54","")</f>
        <v/>
      </c>
      <c r="H1837" s="4" t="str">
        <f>HYPERLINK("http://141.218.60.56/~jnz1568/getInfo.php?workbook=16_15.xlsx&amp;sheet=A0&amp;row=1837&amp;col=8&amp;number=&amp;sourceID=54","")</f>
        <v/>
      </c>
      <c r="I1837" s="4" t="str">
        <f>HYPERLINK("http://141.218.60.56/~jnz1568/getInfo.php?workbook=16_15.xlsx&amp;sheet=A0&amp;row=1837&amp;col=9&amp;number=&amp;sourceID=54","")</f>
        <v/>
      </c>
      <c r="J1837" s="4" t="str">
        <f>HYPERLINK("http://141.218.60.56/~jnz1568/getInfo.php?workbook=16_15.xlsx&amp;sheet=A0&amp;row=1837&amp;col=10&amp;number=&amp;sourceID=54","")</f>
        <v/>
      </c>
      <c r="K1837" s="4" t="str">
        <f>HYPERLINK("http://141.218.60.56/~jnz1568/getInfo.php?workbook=16_15.xlsx&amp;sheet=A0&amp;row=1837&amp;col=11&amp;number=&amp;sourceID=54","")</f>
        <v/>
      </c>
      <c r="L1837" s="4" t="str">
        <f>HYPERLINK("http://141.218.60.56/~jnz1568/getInfo.php?workbook=16_15.xlsx&amp;sheet=A0&amp;row=1837&amp;col=12&amp;number=15789.8401243&amp;sourceID=53","15789.8401243")</f>
        <v>15789.8401243</v>
      </c>
      <c r="M1837" s="4" t="str">
        <f>HYPERLINK("http://141.218.60.56/~jnz1568/getInfo.php?workbook=16_15.xlsx&amp;sheet=A0&amp;row=1837&amp;col=13&amp;number=&amp;sourceID=53","")</f>
        <v/>
      </c>
      <c r="N1837" s="4" t="str">
        <f>HYPERLINK("http://141.218.60.56/~jnz1568/getInfo.php?workbook=16_15.xlsx&amp;sheet=A0&amp;row=1837&amp;col=14&amp;number=&amp;sourceID=53","")</f>
        <v/>
      </c>
      <c r="O1837" s="4" t="str">
        <f>HYPERLINK("http://141.218.60.56/~jnz1568/getInfo.php?workbook=16_15.xlsx&amp;sheet=A0&amp;row=1837&amp;col=15&amp;number=&amp;sourceID=55","")</f>
        <v/>
      </c>
      <c r="P1837" s="4" t="str">
        <f>HYPERLINK("http://141.218.60.56/~jnz1568/getInfo.php?workbook=16_15.xlsx&amp;sheet=A0&amp;row=1837&amp;col=16&amp;number=&amp;sourceID=55","")</f>
        <v/>
      </c>
      <c r="Q1837" s="4" t="str">
        <f>HYPERLINK("http://141.218.60.56/~jnz1568/getInfo.php?workbook=16_15.xlsx&amp;sheet=A0&amp;row=1837&amp;col=17&amp;number=&amp;sourceID=56","")</f>
        <v/>
      </c>
      <c r="R1837" s="4" t="str">
        <f>HYPERLINK("http://141.218.60.56/~jnz1568/getInfo.php?workbook=16_15.xlsx&amp;sheet=A0&amp;row=1837&amp;col=18&amp;number=&amp;sourceID=56","")</f>
        <v/>
      </c>
      <c r="S1837" s="4" t="str">
        <f>HYPERLINK("http://141.218.60.56/~jnz1568/getInfo.php?workbook=16_15.xlsx&amp;sheet=A0&amp;row=1837&amp;col=19&amp;number=&amp;sourceID=57","")</f>
        <v/>
      </c>
      <c r="T1837" s="4" t="str">
        <f>HYPERLINK("http://141.218.60.56/~jnz1568/getInfo.php?workbook=16_15.xlsx&amp;sheet=A0&amp;row=1837&amp;col=20&amp;number=&amp;sourceID=57","")</f>
        <v/>
      </c>
      <c r="U1837" s="4" t="str">
        <f>HYPERLINK("http://141.218.60.56/~jnz1568/getInfo.php?workbook=16_15.xlsx&amp;sheet=A0&amp;row=1837&amp;col=21&amp;number=&amp;sourceID=47","")</f>
        <v/>
      </c>
      <c r="V1837" s="4" t="str">
        <f>HYPERLINK("http://141.218.60.56/~jnz1568/getInfo.php?workbook=16_15.xlsx&amp;sheet=A0&amp;row=1837&amp;col=22&amp;number=&amp;sourceID=47","")</f>
        <v/>
      </c>
    </row>
    <row r="1838" spans="1:22">
      <c r="A1838" s="3">
        <v>16</v>
      </c>
      <c r="B1838" s="3">
        <v>15</v>
      </c>
      <c r="C1838" s="3">
        <v>69</v>
      </c>
      <c r="D1838" s="3">
        <v>63</v>
      </c>
      <c r="E1838" s="3">
        <f>((1/(INDEX(E0!J$4:J$73,C1838,1)-INDEX(E0!J$4:J$73,D1838,1))))*100000000</f>
        <v>0</v>
      </c>
      <c r="F1838" s="4" t="str">
        <f>HYPERLINK("http://141.218.60.56/~jnz1568/getInfo.php?workbook=16_15.xlsx&amp;sheet=A0&amp;row=1838&amp;col=6&amp;number=&amp;sourceID=54","")</f>
        <v/>
      </c>
      <c r="G1838" s="4" t="str">
        <f>HYPERLINK("http://141.218.60.56/~jnz1568/getInfo.php?workbook=16_15.xlsx&amp;sheet=A0&amp;row=1838&amp;col=7&amp;number=&amp;sourceID=54","")</f>
        <v/>
      </c>
      <c r="H1838" s="4" t="str">
        <f>HYPERLINK("http://141.218.60.56/~jnz1568/getInfo.php?workbook=16_15.xlsx&amp;sheet=A0&amp;row=1838&amp;col=8&amp;number=&amp;sourceID=54","")</f>
        <v/>
      </c>
      <c r="I1838" s="4" t="str">
        <f>HYPERLINK("http://141.218.60.56/~jnz1568/getInfo.php?workbook=16_15.xlsx&amp;sheet=A0&amp;row=1838&amp;col=9&amp;number=&amp;sourceID=54","")</f>
        <v/>
      </c>
      <c r="J1838" s="4" t="str">
        <f>HYPERLINK("http://141.218.60.56/~jnz1568/getInfo.php?workbook=16_15.xlsx&amp;sheet=A0&amp;row=1838&amp;col=10&amp;number=&amp;sourceID=54","")</f>
        <v/>
      </c>
      <c r="K1838" s="4" t="str">
        <f>HYPERLINK("http://141.218.60.56/~jnz1568/getInfo.php?workbook=16_15.xlsx&amp;sheet=A0&amp;row=1838&amp;col=11&amp;number=&amp;sourceID=54","")</f>
        <v/>
      </c>
      <c r="L1838" s="4" t="str">
        <f>HYPERLINK("http://141.218.60.56/~jnz1568/getInfo.php?workbook=16_15.xlsx&amp;sheet=A0&amp;row=1838&amp;col=12&amp;number=6746486.78739&amp;sourceID=53","6746486.78739")</f>
        <v>6746486.78739</v>
      </c>
      <c r="M1838" s="4" t="str">
        <f>HYPERLINK("http://141.218.60.56/~jnz1568/getInfo.php?workbook=16_15.xlsx&amp;sheet=A0&amp;row=1838&amp;col=13&amp;number=&amp;sourceID=53","")</f>
        <v/>
      </c>
      <c r="N1838" s="4" t="str">
        <f>HYPERLINK("http://141.218.60.56/~jnz1568/getInfo.php?workbook=16_15.xlsx&amp;sheet=A0&amp;row=1838&amp;col=14&amp;number=&amp;sourceID=53","")</f>
        <v/>
      </c>
      <c r="O1838" s="4" t="str">
        <f>HYPERLINK("http://141.218.60.56/~jnz1568/getInfo.php?workbook=16_15.xlsx&amp;sheet=A0&amp;row=1838&amp;col=15&amp;number=&amp;sourceID=55","")</f>
        <v/>
      </c>
      <c r="P1838" s="4" t="str">
        <f>HYPERLINK("http://141.218.60.56/~jnz1568/getInfo.php?workbook=16_15.xlsx&amp;sheet=A0&amp;row=1838&amp;col=16&amp;number=&amp;sourceID=55","")</f>
        <v/>
      </c>
      <c r="Q1838" s="4" t="str">
        <f>HYPERLINK("http://141.218.60.56/~jnz1568/getInfo.php?workbook=16_15.xlsx&amp;sheet=A0&amp;row=1838&amp;col=17&amp;number=&amp;sourceID=56","")</f>
        <v/>
      </c>
      <c r="R1838" s="4" t="str">
        <f>HYPERLINK("http://141.218.60.56/~jnz1568/getInfo.php?workbook=16_15.xlsx&amp;sheet=A0&amp;row=1838&amp;col=18&amp;number=&amp;sourceID=56","")</f>
        <v/>
      </c>
      <c r="S1838" s="4" t="str">
        <f>HYPERLINK("http://141.218.60.56/~jnz1568/getInfo.php?workbook=16_15.xlsx&amp;sheet=A0&amp;row=1838&amp;col=19&amp;number=&amp;sourceID=57","")</f>
        <v/>
      </c>
      <c r="T1838" s="4" t="str">
        <f>HYPERLINK("http://141.218.60.56/~jnz1568/getInfo.php?workbook=16_15.xlsx&amp;sheet=A0&amp;row=1838&amp;col=20&amp;number=&amp;sourceID=57","")</f>
        <v/>
      </c>
      <c r="U1838" s="4" t="str">
        <f>HYPERLINK("http://141.218.60.56/~jnz1568/getInfo.php?workbook=16_15.xlsx&amp;sheet=A0&amp;row=1838&amp;col=21&amp;number=&amp;sourceID=47","")</f>
        <v/>
      </c>
      <c r="V1838" s="4" t="str">
        <f>HYPERLINK("http://141.218.60.56/~jnz1568/getInfo.php?workbook=16_15.xlsx&amp;sheet=A0&amp;row=1838&amp;col=22&amp;number=&amp;sourceID=47","")</f>
        <v/>
      </c>
    </row>
    <row r="1839" spans="1:22">
      <c r="A1839" s="3">
        <v>16</v>
      </c>
      <c r="B1839" s="3">
        <v>15</v>
      </c>
      <c r="C1839" s="3">
        <v>69</v>
      </c>
      <c r="D1839" s="3">
        <v>64</v>
      </c>
      <c r="E1839" s="3">
        <f>((1/(INDEX(E0!J$4:J$73,C1839,1)-INDEX(E0!J$4:J$73,D1839,1))))*100000000</f>
        <v>0</v>
      </c>
      <c r="F1839" s="4" t="str">
        <f>HYPERLINK("http://141.218.60.56/~jnz1568/getInfo.php?workbook=16_15.xlsx&amp;sheet=A0&amp;row=1839&amp;col=6&amp;number=&amp;sourceID=54","")</f>
        <v/>
      </c>
      <c r="G1839" s="4" t="str">
        <f>HYPERLINK("http://141.218.60.56/~jnz1568/getInfo.php?workbook=16_15.xlsx&amp;sheet=A0&amp;row=1839&amp;col=7&amp;number=&amp;sourceID=54","")</f>
        <v/>
      </c>
      <c r="H1839" s="4" t="str">
        <f>HYPERLINK("http://141.218.60.56/~jnz1568/getInfo.php?workbook=16_15.xlsx&amp;sheet=A0&amp;row=1839&amp;col=8&amp;number=&amp;sourceID=54","")</f>
        <v/>
      </c>
      <c r="I1839" s="4" t="str">
        <f>HYPERLINK("http://141.218.60.56/~jnz1568/getInfo.php?workbook=16_15.xlsx&amp;sheet=A0&amp;row=1839&amp;col=9&amp;number=&amp;sourceID=54","")</f>
        <v/>
      </c>
      <c r="J1839" s="4" t="str">
        <f>HYPERLINK("http://141.218.60.56/~jnz1568/getInfo.php?workbook=16_15.xlsx&amp;sheet=A0&amp;row=1839&amp;col=10&amp;number=&amp;sourceID=54","")</f>
        <v/>
      </c>
      <c r="K1839" s="4" t="str">
        <f>HYPERLINK("http://141.218.60.56/~jnz1568/getInfo.php?workbook=16_15.xlsx&amp;sheet=A0&amp;row=1839&amp;col=11&amp;number=&amp;sourceID=54","")</f>
        <v/>
      </c>
      <c r="L1839" s="4" t="str">
        <f>HYPERLINK("http://141.218.60.56/~jnz1568/getInfo.php?workbook=16_15.xlsx&amp;sheet=A0&amp;row=1839&amp;col=12&amp;number=313045.395253&amp;sourceID=53","313045.395253")</f>
        <v>313045.395253</v>
      </c>
      <c r="M1839" s="4" t="str">
        <f>HYPERLINK("http://141.218.60.56/~jnz1568/getInfo.php?workbook=16_15.xlsx&amp;sheet=A0&amp;row=1839&amp;col=13&amp;number=&amp;sourceID=53","")</f>
        <v/>
      </c>
      <c r="N1839" s="4" t="str">
        <f>HYPERLINK("http://141.218.60.56/~jnz1568/getInfo.php?workbook=16_15.xlsx&amp;sheet=A0&amp;row=1839&amp;col=14&amp;number=&amp;sourceID=53","")</f>
        <v/>
      </c>
      <c r="O1839" s="4" t="str">
        <f>HYPERLINK("http://141.218.60.56/~jnz1568/getInfo.php?workbook=16_15.xlsx&amp;sheet=A0&amp;row=1839&amp;col=15&amp;number=&amp;sourceID=55","")</f>
        <v/>
      </c>
      <c r="P1839" s="4" t="str">
        <f>HYPERLINK("http://141.218.60.56/~jnz1568/getInfo.php?workbook=16_15.xlsx&amp;sheet=A0&amp;row=1839&amp;col=16&amp;number=&amp;sourceID=55","")</f>
        <v/>
      </c>
      <c r="Q1839" s="4" t="str">
        <f>HYPERLINK("http://141.218.60.56/~jnz1568/getInfo.php?workbook=16_15.xlsx&amp;sheet=A0&amp;row=1839&amp;col=17&amp;number=&amp;sourceID=56","")</f>
        <v/>
      </c>
      <c r="R1839" s="4" t="str">
        <f>HYPERLINK("http://141.218.60.56/~jnz1568/getInfo.php?workbook=16_15.xlsx&amp;sheet=A0&amp;row=1839&amp;col=18&amp;number=&amp;sourceID=56","")</f>
        <v/>
      </c>
      <c r="S1839" s="4" t="str">
        <f>HYPERLINK("http://141.218.60.56/~jnz1568/getInfo.php?workbook=16_15.xlsx&amp;sheet=A0&amp;row=1839&amp;col=19&amp;number=&amp;sourceID=57","")</f>
        <v/>
      </c>
      <c r="T1839" s="4" t="str">
        <f>HYPERLINK("http://141.218.60.56/~jnz1568/getInfo.php?workbook=16_15.xlsx&amp;sheet=A0&amp;row=1839&amp;col=20&amp;number=&amp;sourceID=57","")</f>
        <v/>
      </c>
      <c r="U1839" s="4" t="str">
        <f>HYPERLINK("http://141.218.60.56/~jnz1568/getInfo.php?workbook=16_15.xlsx&amp;sheet=A0&amp;row=1839&amp;col=21&amp;number=&amp;sourceID=47","")</f>
        <v/>
      </c>
      <c r="V1839" s="4" t="str">
        <f>HYPERLINK("http://141.218.60.56/~jnz1568/getInfo.php?workbook=16_15.xlsx&amp;sheet=A0&amp;row=1839&amp;col=22&amp;number=&amp;sourceID=47","")</f>
        <v/>
      </c>
    </row>
    <row r="1840" spans="1:22">
      <c r="A1840" s="3">
        <v>16</v>
      </c>
      <c r="B1840" s="3">
        <v>15</v>
      </c>
      <c r="C1840" s="3">
        <v>69</v>
      </c>
      <c r="D1840" s="3">
        <v>65</v>
      </c>
      <c r="E1840" s="3">
        <f>((1/(INDEX(E0!J$4:J$73,C1840,1)-INDEX(E0!J$4:J$73,D1840,1))))*100000000</f>
        <v>0</v>
      </c>
      <c r="F1840" s="4" t="str">
        <f>HYPERLINK("http://141.218.60.56/~jnz1568/getInfo.php?workbook=16_15.xlsx&amp;sheet=A0&amp;row=1840&amp;col=6&amp;number=&amp;sourceID=54","")</f>
        <v/>
      </c>
      <c r="G1840" s="4" t="str">
        <f>HYPERLINK("http://141.218.60.56/~jnz1568/getInfo.php?workbook=16_15.xlsx&amp;sheet=A0&amp;row=1840&amp;col=7&amp;number=&amp;sourceID=54","")</f>
        <v/>
      </c>
      <c r="H1840" s="4" t="str">
        <f>HYPERLINK("http://141.218.60.56/~jnz1568/getInfo.php?workbook=16_15.xlsx&amp;sheet=A0&amp;row=1840&amp;col=8&amp;number=&amp;sourceID=54","")</f>
        <v/>
      </c>
      <c r="I1840" s="4" t="str">
        <f>HYPERLINK("http://141.218.60.56/~jnz1568/getInfo.php?workbook=16_15.xlsx&amp;sheet=A0&amp;row=1840&amp;col=9&amp;number=&amp;sourceID=54","")</f>
        <v/>
      </c>
      <c r="J1840" s="4" t="str">
        <f>HYPERLINK("http://141.218.60.56/~jnz1568/getInfo.php?workbook=16_15.xlsx&amp;sheet=A0&amp;row=1840&amp;col=10&amp;number=&amp;sourceID=54","")</f>
        <v/>
      </c>
      <c r="K1840" s="4" t="str">
        <f>HYPERLINK("http://141.218.60.56/~jnz1568/getInfo.php?workbook=16_15.xlsx&amp;sheet=A0&amp;row=1840&amp;col=11&amp;number=&amp;sourceID=54","")</f>
        <v/>
      </c>
      <c r="L1840" s="4" t="str">
        <f>HYPERLINK("http://141.218.60.56/~jnz1568/getInfo.php?workbook=16_15.xlsx&amp;sheet=A0&amp;row=1840&amp;col=12&amp;number=132429.735799&amp;sourceID=53","132429.735799")</f>
        <v>132429.735799</v>
      </c>
      <c r="M1840" s="4" t="str">
        <f>HYPERLINK("http://141.218.60.56/~jnz1568/getInfo.php?workbook=16_15.xlsx&amp;sheet=A0&amp;row=1840&amp;col=13&amp;number=&amp;sourceID=53","")</f>
        <v/>
      </c>
      <c r="N1840" s="4" t="str">
        <f>HYPERLINK("http://141.218.60.56/~jnz1568/getInfo.php?workbook=16_15.xlsx&amp;sheet=A0&amp;row=1840&amp;col=14&amp;number=&amp;sourceID=53","")</f>
        <v/>
      </c>
      <c r="O1840" s="4" t="str">
        <f>HYPERLINK("http://141.218.60.56/~jnz1568/getInfo.php?workbook=16_15.xlsx&amp;sheet=A0&amp;row=1840&amp;col=15&amp;number=&amp;sourceID=55","")</f>
        <v/>
      </c>
      <c r="P1840" s="4" t="str">
        <f>HYPERLINK("http://141.218.60.56/~jnz1568/getInfo.php?workbook=16_15.xlsx&amp;sheet=A0&amp;row=1840&amp;col=16&amp;number=&amp;sourceID=55","")</f>
        <v/>
      </c>
      <c r="Q1840" s="4" t="str">
        <f>HYPERLINK("http://141.218.60.56/~jnz1568/getInfo.php?workbook=16_15.xlsx&amp;sheet=A0&amp;row=1840&amp;col=17&amp;number=&amp;sourceID=56","")</f>
        <v/>
      </c>
      <c r="R1840" s="4" t="str">
        <f>HYPERLINK("http://141.218.60.56/~jnz1568/getInfo.php?workbook=16_15.xlsx&amp;sheet=A0&amp;row=1840&amp;col=18&amp;number=&amp;sourceID=56","")</f>
        <v/>
      </c>
      <c r="S1840" s="4" t="str">
        <f>HYPERLINK("http://141.218.60.56/~jnz1568/getInfo.php?workbook=16_15.xlsx&amp;sheet=A0&amp;row=1840&amp;col=19&amp;number=&amp;sourceID=57","")</f>
        <v/>
      </c>
      <c r="T1840" s="4" t="str">
        <f>HYPERLINK("http://141.218.60.56/~jnz1568/getInfo.php?workbook=16_15.xlsx&amp;sheet=A0&amp;row=1840&amp;col=20&amp;number=&amp;sourceID=57","")</f>
        <v/>
      </c>
      <c r="U1840" s="4" t="str">
        <f>HYPERLINK("http://141.218.60.56/~jnz1568/getInfo.php?workbook=16_15.xlsx&amp;sheet=A0&amp;row=1840&amp;col=21&amp;number=&amp;sourceID=47","")</f>
        <v/>
      </c>
      <c r="V1840" s="4" t="str">
        <f>HYPERLINK("http://141.218.60.56/~jnz1568/getInfo.php?workbook=16_15.xlsx&amp;sheet=A0&amp;row=1840&amp;col=22&amp;number=&amp;sourceID=47","")</f>
        <v/>
      </c>
    </row>
    <row r="1841" spans="1:22">
      <c r="A1841" s="3">
        <v>16</v>
      </c>
      <c r="B1841" s="3">
        <v>15</v>
      </c>
      <c r="C1841" s="3">
        <v>69</v>
      </c>
      <c r="D1841" s="3">
        <v>67</v>
      </c>
      <c r="E1841" s="3">
        <f>((1/(INDEX(E0!J$4:J$73,C1841,1)-INDEX(E0!J$4:J$73,D1841,1))))*100000000</f>
        <v>0</v>
      </c>
      <c r="F1841" s="4" t="str">
        <f>HYPERLINK("http://141.218.60.56/~jnz1568/getInfo.php?workbook=16_15.xlsx&amp;sheet=A0&amp;row=1841&amp;col=6&amp;number=&amp;sourceID=54","")</f>
        <v/>
      </c>
      <c r="G1841" s="4" t="str">
        <f>HYPERLINK("http://141.218.60.56/~jnz1568/getInfo.php?workbook=16_15.xlsx&amp;sheet=A0&amp;row=1841&amp;col=7&amp;number=&amp;sourceID=54","")</f>
        <v/>
      </c>
      <c r="H1841" s="4" t="str">
        <f>HYPERLINK("http://141.218.60.56/~jnz1568/getInfo.php?workbook=16_15.xlsx&amp;sheet=A0&amp;row=1841&amp;col=8&amp;number=&amp;sourceID=54","")</f>
        <v/>
      </c>
      <c r="I1841" s="4" t="str">
        <f>HYPERLINK("http://141.218.60.56/~jnz1568/getInfo.php?workbook=16_15.xlsx&amp;sheet=A0&amp;row=1841&amp;col=9&amp;number=&amp;sourceID=54","")</f>
        <v/>
      </c>
      <c r="J1841" s="4" t="str">
        <f>HYPERLINK("http://141.218.60.56/~jnz1568/getInfo.php?workbook=16_15.xlsx&amp;sheet=A0&amp;row=1841&amp;col=10&amp;number=&amp;sourceID=54","")</f>
        <v/>
      </c>
      <c r="K1841" s="4" t="str">
        <f>HYPERLINK("http://141.218.60.56/~jnz1568/getInfo.php?workbook=16_15.xlsx&amp;sheet=A0&amp;row=1841&amp;col=11&amp;number=&amp;sourceID=54","")</f>
        <v/>
      </c>
      <c r="L1841" s="4" t="str">
        <f>HYPERLINK("http://141.218.60.56/~jnz1568/getInfo.php?workbook=16_15.xlsx&amp;sheet=A0&amp;row=1841&amp;col=12&amp;number=2669948.44132&amp;sourceID=53","2669948.44132")</f>
        <v>2669948.44132</v>
      </c>
      <c r="M1841" s="4" t="str">
        <f>HYPERLINK("http://141.218.60.56/~jnz1568/getInfo.php?workbook=16_15.xlsx&amp;sheet=A0&amp;row=1841&amp;col=13&amp;number=&amp;sourceID=53","")</f>
        <v/>
      </c>
      <c r="N1841" s="4" t="str">
        <f>HYPERLINK("http://141.218.60.56/~jnz1568/getInfo.php?workbook=16_15.xlsx&amp;sheet=A0&amp;row=1841&amp;col=14&amp;number=&amp;sourceID=53","")</f>
        <v/>
      </c>
      <c r="O1841" s="4" t="str">
        <f>HYPERLINK("http://141.218.60.56/~jnz1568/getInfo.php?workbook=16_15.xlsx&amp;sheet=A0&amp;row=1841&amp;col=15&amp;number=&amp;sourceID=55","")</f>
        <v/>
      </c>
      <c r="P1841" s="4" t="str">
        <f>HYPERLINK("http://141.218.60.56/~jnz1568/getInfo.php?workbook=16_15.xlsx&amp;sheet=A0&amp;row=1841&amp;col=16&amp;number=&amp;sourceID=55","")</f>
        <v/>
      </c>
      <c r="Q1841" s="4" t="str">
        <f>HYPERLINK("http://141.218.60.56/~jnz1568/getInfo.php?workbook=16_15.xlsx&amp;sheet=A0&amp;row=1841&amp;col=17&amp;number=&amp;sourceID=56","")</f>
        <v/>
      </c>
      <c r="R1841" s="4" t="str">
        <f>HYPERLINK("http://141.218.60.56/~jnz1568/getInfo.php?workbook=16_15.xlsx&amp;sheet=A0&amp;row=1841&amp;col=18&amp;number=&amp;sourceID=56","")</f>
        <v/>
      </c>
      <c r="S1841" s="4" t="str">
        <f>HYPERLINK("http://141.218.60.56/~jnz1568/getInfo.php?workbook=16_15.xlsx&amp;sheet=A0&amp;row=1841&amp;col=19&amp;number=&amp;sourceID=57","")</f>
        <v/>
      </c>
      <c r="T1841" s="4" t="str">
        <f>HYPERLINK("http://141.218.60.56/~jnz1568/getInfo.php?workbook=16_15.xlsx&amp;sheet=A0&amp;row=1841&amp;col=20&amp;number=&amp;sourceID=57","")</f>
        <v/>
      </c>
      <c r="U1841" s="4" t="str">
        <f>HYPERLINK("http://141.218.60.56/~jnz1568/getInfo.php?workbook=16_15.xlsx&amp;sheet=A0&amp;row=1841&amp;col=21&amp;number=&amp;sourceID=47","")</f>
        <v/>
      </c>
      <c r="V1841" s="4" t="str">
        <f>HYPERLINK("http://141.218.60.56/~jnz1568/getInfo.php?workbook=16_15.xlsx&amp;sheet=A0&amp;row=1841&amp;col=22&amp;number=&amp;sourceID=47","")</f>
        <v/>
      </c>
    </row>
    <row r="1842" spans="1:22">
      <c r="A1842" s="3">
        <v>16</v>
      </c>
      <c r="B1842" s="3">
        <v>15</v>
      </c>
      <c r="C1842" s="3">
        <v>69</v>
      </c>
      <c r="D1842" s="3">
        <v>68</v>
      </c>
      <c r="E1842" s="3">
        <f>((1/(INDEX(E0!J$4:J$73,C1842,1)-INDEX(E0!J$4:J$73,D1842,1))))*100000000</f>
        <v>0</v>
      </c>
      <c r="F1842" s="4" t="str">
        <f>HYPERLINK("http://141.218.60.56/~jnz1568/getInfo.php?workbook=16_15.xlsx&amp;sheet=A0&amp;row=1842&amp;col=6&amp;number=&amp;sourceID=54","")</f>
        <v/>
      </c>
      <c r="G1842" s="4" t="str">
        <f>HYPERLINK("http://141.218.60.56/~jnz1568/getInfo.php?workbook=16_15.xlsx&amp;sheet=A0&amp;row=1842&amp;col=7&amp;number=&amp;sourceID=54","")</f>
        <v/>
      </c>
      <c r="H1842" s="4" t="str">
        <f>HYPERLINK("http://141.218.60.56/~jnz1568/getInfo.php?workbook=16_15.xlsx&amp;sheet=A0&amp;row=1842&amp;col=8&amp;number=&amp;sourceID=54","")</f>
        <v/>
      </c>
      <c r="I1842" s="4" t="str">
        <f>HYPERLINK("http://141.218.60.56/~jnz1568/getInfo.php?workbook=16_15.xlsx&amp;sheet=A0&amp;row=1842&amp;col=9&amp;number=&amp;sourceID=54","")</f>
        <v/>
      </c>
      <c r="J1842" s="4" t="str">
        <f>HYPERLINK("http://141.218.60.56/~jnz1568/getInfo.php?workbook=16_15.xlsx&amp;sheet=A0&amp;row=1842&amp;col=10&amp;number=&amp;sourceID=54","")</f>
        <v/>
      </c>
      <c r="K1842" s="4" t="str">
        <f>HYPERLINK("http://141.218.60.56/~jnz1568/getInfo.php?workbook=16_15.xlsx&amp;sheet=A0&amp;row=1842&amp;col=11&amp;number=&amp;sourceID=54","")</f>
        <v/>
      </c>
      <c r="L1842" s="4" t="str">
        <f>HYPERLINK("http://141.218.60.56/~jnz1568/getInfo.php?workbook=16_15.xlsx&amp;sheet=A0&amp;row=1842&amp;col=12&amp;number=157611.88163&amp;sourceID=53","157611.88163")</f>
        <v>157611.88163</v>
      </c>
      <c r="M1842" s="4" t="str">
        <f>HYPERLINK("http://141.218.60.56/~jnz1568/getInfo.php?workbook=16_15.xlsx&amp;sheet=A0&amp;row=1842&amp;col=13&amp;number=&amp;sourceID=53","")</f>
        <v/>
      </c>
      <c r="N1842" s="4" t="str">
        <f>HYPERLINK("http://141.218.60.56/~jnz1568/getInfo.php?workbook=16_15.xlsx&amp;sheet=A0&amp;row=1842&amp;col=14&amp;number=&amp;sourceID=53","")</f>
        <v/>
      </c>
      <c r="O1842" s="4" t="str">
        <f>HYPERLINK("http://141.218.60.56/~jnz1568/getInfo.php?workbook=16_15.xlsx&amp;sheet=A0&amp;row=1842&amp;col=15&amp;number=&amp;sourceID=55","")</f>
        <v/>
      </c>
      <c r="P1842" s="4" t="str">
        <f>HYPERLINK("http://141.218.60.56/~jnz1568/getInfo.php?workbook=16_15.xlsx&amp;sheet=A0&amp;row=1842&amp;col=16&amp;number=&amp;sourceID=55","")</f>
        <v/>
      </c>
      <c r="Q1842" s="4" t="str">
        <f>HYPERLINK("http://141.218.60.56/~jnz1568/getInfo.php?workbook=16_15.xlsx&amp;sheet=A0&amp;row=1842&amp;col=17&amp;number=&amp;sourceID=56","")</f>
        <v/>
      </c>
      <c r="R1842" s="4" t="str">
        <f>HYPERLINK("http://141.218.60.56/~jnz1568/getInfo.php?workbook=16_15.xlsx&amp;sheet=A0&amp;row=1842&amp;col=18&amp;number=&amp;sourceID=56","")</f>
        <v/>
      </c>
      <c r="S1842" s="4" t="str">
        <f>HYPERLINK("http://141.218.60.56/~jnz1568/getInfo.php?workbook=16_15.xlsx&amp;sheet=A0&amp;row=1842&amp;col=19&amp;number=&amp;sourceID=57","")</f>
        <v/>
      </c>
      <c r="T1842" s="4" t="str">
        <f>HYPERLINK("http://141.218.60.56/~jnz1568/getInfo.php?workbook=16_15.xlsx&amp;sheet=A0&amp;row=1842&amp;col=20&amp;number=&amp;sourceID=57","")</f>
        <v/>
      </c>
      <c r="U1842" s="4" t="str">
        <f>HYPERLINK("http://141.218.60.56/~jnz1568/getInfo.php?workbook=16_15.xlsx&amp;sheet=A0&amp;row=1842&amp;col=21&amp;number=&amp;sourceID=47","")</f>
        <v/>
      </c>
      <c r="V1842" s="4" t="str">
        <f>HYPERLINK("http://141.218.60.56/~jnz1568/getInfo.php?workbook=16_15.xlsx&amp;sheet=A0&amp;row=1842&amp;col=22&amp;number=&amp;sourceID=47","")</f>
        <v/>
      </c>
    </row>
    <row r="1843" spans="1:22">
      <c r="A1843" s="3">
        <v>16</v>
      </c>
      <c r="B1843" s="3">
        <v>15</v>
      </c>
      <c r="C1843" s="3">
        <v>70</v>
      </c>
      <c r="D1843" s="3">
        <v>6</v>
      </c>
      <c r="E1843" s="3">
        <f>((1/(INDEX(E0!J$4:J$73,C1843,1)-INDEX(E0!J$4:J$73,D1843,1))))*100000000</f>
        <v>0</v>
      </c>
      <c r="F1843" s="4" t="str">
        <f>HYPERLINK("http://141.218.60.56/~jnz1568/getInfo.php?workbook=16_15.xlsx&amp;sheet=A0&amp;row=1843&amp;col=6&amp;number=&amp;sourceID=54","")</f>
        <v/>
      </c>
      <c r="G1843" s="4" t="str">
        <f>HYPERLINK("http://141.218.60.56/~jnz1568/getInfo.php?workbook=16_15.xlsx&amp;sheet=A0&amp;row=1843&amp;col=7&amp;number=&amp;sourceID=54","")</f>
        <v/>
      </c>
      <c r="H1843" s="4" t="str">
        <f>HYPERLINK("http://141.218.60.56/~jnz1568/getInfo.php?workbook=16_15.xlsx&amp;sheet=A0&amp;row=1843&amp;col=8&amp;number=&amp;sourceID=54","")</f>
        <v/>
      </c>
      <c r="I1843" s="4" t="str">
        <f>HYPERLINK("http://141.218.60.56/~jnz1568/getInfo.php?workbook=16_15.xlsx&amp;sheet=A0&amp;row=1843&amp;col=9&amp;number=&amp;sourceID=54","")</f>
        <v/>
      </c>
      <c r="J1843" s="4" t="str">
        <f>HYPERLINK("http://141.218.60.56/~jnz1568/getInfo.php?workbook=16_15.xlsx&amp;sheet=A0&amp;row=1843&amp;col=10&amp;number=&amp;sourceID=54","")</f>
        <v/>
      </c>
      <c r="K1843" s="4" t="str">
        <f>HYPERLINK("http://141.218.60.56/~jnz1568/getInfo.php?workbook=16_15.xlsx&amp;sheet=A0&amp;row=1843&amp;col=11&amp;number=&amp;sourceID=54","")</f>
        <v/>
      </c>
      <c r="L1843" s="4" t="str">
        <f>HYPERLINK("http://141.218.60.56/~jnz1568/getInfo.php?workbook=16_15.xlsx&amp;sheet=A0&amp;row=1843&amp;col=12&amp;number=8470.69407679&amp;sourceID=53","8470.69407679")</f>
        <v>8470.69407679</v>
      </c>
      <c r="M1843" s="4" t="str">
        <f>HYPERLINK("http://141.218.60.56/~jnz1568/getInfo.php?workbook=16_15.xlsx&amp;sheet=A0&amp;row=1843&amp;col=13&amp;number=&amp;sourceID=53","")</f>
        <v/>
      </c>
      <c r="N1843" s="4" t="str">
        <f>HYPERLINK("http://141.218.60.56/~jnz1568/getInfo.php?workbook=16_15.xlsx&amp;sheet=A0&amp;row=1843&amp;col=14&amp;number=&amp;sourceID=53","")</f>
        <v/>
      </c>
      <c r="O1843" s="4" t="str">
        <f>HYPERLINK("http://141.218.60.56/~jnz1568/getInfo.php?workbook=16_15.xlsx&amp;sheet=A0&amp;row=1843&amp;col=15&amp;number=&amp;sourceID=55","")</f>
        <v/>
      </c>
      <c r="P1843" s="4" t="str">
        <f>HYPERLINK("http://141.218.60.56/~jnz1568/getInfo.php?workbook=16_15.xlsx&amp;sheet=A0&amp;row=1843&amp;col=16&amp;number=&amp;sourceID=55","")</f>
        <v/>
      </c>
      <c r="Q1843" s="4" t="str">
        <f>HYPERLINK("http://141.218.60.56/~jnz1568/getInfo.php?workbook=16_15.xlsx&amp;sheet=A0&amp;row=1843&amp;col=17&amp;number=&amp;sourceID=56","")</f>
        <v/>
      </c>
      <c r="R1843" s="4" t="str">
        <f>HYPERLINK("http://141.218.60.56/~jnz1568/getInfo.php?workbook=16_15.xlsx&amp;sheet=A0&amp;row=1843&amp;col=18&amp;number=&amp;sourceID=56","")</f>
        <v/>
      </c>
      <c r="S1843" s="4" t="str">
        <f>HYPERLINK("http://141.218.60.56/~jnz1568/getInfo.php?workbook=16_15.xlsx&amp;sheet=A0&amp;row=1843&amp;col=19&amp;number=&amp;sourceID=57","")</f>
        <v/>
      </c>
      <c r="T1843" s="4" t="str">
        <f>HYPERLINK("http://141.218.60.56/~jnz1568/getInfo.php?workbook=16_15.xlsx&amp;sheet=A0&amp;row=1843&amp;col=20&amp;number=&amp;sourceID=57","")</f>
        <v/>
      </c>
      <c r="U1843" s="4" t="str">
        <f>HYPERLINK("http://141.218.60.56/~jnz1568/getInfo.php?workbook=16_15.xlsx&amp;sheet=A0&amp;row=1843&amp;col=21&amp;number=&amp;sourceID=47","")</f>
        <v/>
      </c>
      <c r="V1843" s="4" t="str">
        <f>HYPERLINK("http://141.218.60.56/~jnz1568/getInfo.php?workbook=16_15.xlsx&amp;sheet=A0&amp;row=1843&amp;col=22&amp;number=&amp;sourceID=47","")</f>
        <v/>
      </c>
    </row>
    <row r="1844" spans="1:22">
      <c r="A1844" s="3">
        <v>16</v>
      </c>
      <c r="B1844" s="3">
        <v>15</v>
      </c>
      <c r="C1844" s="3">
        <v>70</v>
      </c>
      <c r="D1844" s="3">
        <v>7</v>
      </c>
      <c r="E1844" s="3">
        <f>((1/(INDEX(E0!J$4:J$73,C1844,1)-INDEX(E0!J$4:J$73,D1844,1))))*100000000</f>
        <v>0</v>
      </c>
      <c r="F1844" s="4" t="str">
        <f>HYPERLINK("http://141.218.60.56/~jnz1568/getInfo.php?workbook=16_15.xlsx&amp;sheet=A0&amp;row=1844&amp;col=6&amp;number=&amp;sourceID=54","")</f>
        <v/>
      </c>
      <c r="G1844" s="4" t="str">
        <f>HYPERLINK("http://141.218.60.56/~jnz1568/getInfo.php?workbook=16_15.xlsx&amp;sheet=A0&amp;row=1844&amp;col=7&amp;number=&amp;sourceID=54","")</f>
        <v/>
      </c>
      <c r="H1844" s="4" t="str">
        <f>HYPERLINK("http://141.218.60.56/~jnz1568/getInfo.php?workbook=16_15.xlsx&amp;sheet=A0&amp;row=1844&amp;col=8&amp;number=&amp;sourceID=54","")</f>
        <v/>
      </c>
      <c r="I1844" s="4" t="str">
        <f>HYPERLINK("http://141.218.60.56/~jnz1568/getInfo.php?workbook=16_15.xlsx&amp;sheet=A0&amp;row=1844&amp;col=9&amp;number=&amp;sourceID=54","")</f>
        <v/>
      </c>
      <c r="J1844" s="4" t="str">
        <f>HYPERLINK("http://141.218.60.56/~jnz1568/getInfo.php?workbook=16_15.xlsx&amp;sheet=A0&amp;row=1844&amp;col=10&amp;number=&amp;sourceID=54","")</f>
        <v/>
      </c>
      <c r="K1844" s="4" t="str">
        <f>HYPERLINK("http://141.218.60.56/~jnz1568/getInfo.php?workbook=16_15.xlsx&amp;sheet=A0&amp;row=1844&amp;col=11&amp;number=&amp;sourceID=54","")</f>
        <v/>
      </c>
      <c r="L1844" s="4" t="str">
        <f>HYPERLINK("http://141.218.60.56/~jnz1568/getInfo.php?workbook=16_15.xlsx&amp;sheet=A0&amp;row=1844&amp;col=12&amp;number=1304.96655102&amp;sourceID=53","1304.96655102")</f>
        <v>1304.96655102</v>
      </c>
      <c r="M1844" s="4" t="str">
        <f>HYPERLINK("http://141.218.60.56/~jnz1568/getInfo.php?workbook=16_15.xlsx&amp;sheet=A0&amp;row=1844&amp;col=13&amp;number=&amp;sourceID=53","")</f>
        <v/>
      </c>
      <c r="N1844" s="4" t="str">
        <f>HYPERLINK("http://141.218.60.56/~jnz1568/getInfo.php?workbook=16_15.xlsx&amp;sheet=A0&amp;row=1844&amp;col=14&amp;number=&amp;sourceID=53","")</f>
        <v/>
      </c>
      <c r="O1844" s="4" t="str">
        <f>HYPERLINK("http://141.218.60.56/~jnz1568/getInfo.php?workbook=16_15.xlsx&amp;sheet=A0&amp;row=1844&amp;col=15&amp;number=&amp;sourceID=55","")</f>
        <v/>
      </c>
      <c r="P1844" s="4" t="str">
        <f>HYPERLINK("http://141.218.60.56/~jnz1568/getInfo.php?workbook=16_15.xlsx&amp;sheet=A0&amp;row=1844&amp;col=16&amp;number=&amp;sourceID=55","")</f>
        <v/>
      </c>
      <c r="Q1844" s="4" t="str">
        <f>HYPERLINK("http://141.218.60.56/~jnz1568/getInfo.php?workbook=16_15.xlsx&amp;sheet=A0&amp;row=1844&amp;col=17&amp;number=&amp;sourceID=56","")</f>
        <v/>
      </c>
      <c r="R1844" s="4" t="str">
        <f>HYPERLINK("http://141.218.60.56/~jnz1568/getInfo.php?workbook=16_15.xlsx&amp;sheet=A0&amp;row=1844&amp;col=18&amp;number=&amp;sourceID=56","")</f>
        <v/>
      </c>
      <c r="S1844" s="4" t="str">
        <f>HYPERLINK("http://141.218.60.56/~jnz1568/getInfo.php?workbook=16_15.xlsx&amp;sheet=A0&amp;row=1844&amp;col=19&amp;number=&amp;sourceID=57","")</f>
        <v/>
      </c>
      <c r="T1844" s="4" t="str">
        <f>HYPERLINK("http://141.218.60.56/~jnz1568/getInfo.php?workbook=16_15.xlsx&amp;sheet=A0&amp;row=1844&amp;col=20&amp;number=&amp;sourceID=57","")</f>
        <v/>
      </c>
      <c r="U1844" s="4" t="str">
        <f>HYPERLINK("http://141.218.60.56/~jnz1568/getInfo.php?workbook=16_15.xlsx&amp;sheet=A0&amp;row=1844&amp;col=21&amp;number=&amp;sourceID=47","")</f>
        <v/>
      </c>
      <c r="V1844" s="4" t="str">
        <f>HYPERLINK("http://141.218.60.56/~jnz1568/getInfo.php?workbook=16_15.xlsx&amp;sheet=A0&amp;row=1844&amp;col=22&amp;number=&amp;sourceID=47","")</f>
        <v/>
      </c>
    </row>
    <row r="1845" spans="1:22">
      <c r="A1845" s="3">
        <v>16</v>
      </c>
      <c r="B1845" s="3">
        <v>15</v>
      </c>
      <c r="C1845" s="3">
        <v>70</v>
      </c>
      <c r="D1845" s="3">
        <v>8</v>
      </c>
      <c r="E1845" s="3">
        <f>((1/(INDEX(E0!J$4:J$73,C1845,1)-INDEX(E0!J$4:J$73,D1845,1))))*100000000</f>
        <v>0</v>
      </c>
      <c r="F1845" s="4" t="str">
        <f>HYPERLINK("http://141.218.60.56/~jnz1568/getInfo.php?workbook=16_15.xlsx&amp;sheet=A0&amp;row=1845&amp;col=6&amp;number=&amp;sourceID=54","")</f>
        <v/>
      </c>
      <c r="G1845" s="4" t="str">
        <f>HYPERLINK("http://141.218.60.56/~jnz1568/getInfo.php?workbook=16_15.xlsx&amp;sheet=A0&amp;row=1845&amp;col=7&amp;number=&amp;sourceID=54","")</f>
        <v/>
      </c>
      <c r="H1845" s="4" t="str">
        <f>HYPERLINK("http://141.218.60.56/~jnz1568/getInfo.php?workbook=16_15.xlsx&amp;sheet=A0&amp;row=1845&amp;col=8&amp;number=&amp;sourceID=54","")</f>
        <v/>
      </c>
      <c r="I1845" s="4" t="str">
        <f>HYPERLINK("http://141.218.60.56/~jnz1568/getInfo.php?workbook=16_15.xlsx&amp;sheet=A0&amp;row=1845&amp;col=9&amp;number=&amp;sourceID=54","")</f>
        <v/>
      </c>
      <c r="J1845" s="4" t="str">
        <f>HYPERLINK("http://141.218.60.56/~jnz1568/getInfo.php?workbook=16_15.xlsx&amp;sheet=A0&amp;row=1845&amp;col=10&amp;number=&amp;sourceID=54","")</f>
        <v/>
      </c>
      <c r="K1845" s="4" t="str">
        <f>HYPERLINK("http://141.218.60.56/~jnz1568/getInfo.php?workbook=16_15.xlsx&amp;sheet=A0&amp;row=1845&amp;col=11&amp;number=&amp;sourceID=54","")</f>
        <v/>
      </c>
      <c r="L1845" s="4" t="str">
        <f>HYPERLINK("http://141.218.60.56/~jnz1568/getInfo.php?workbook=16_15.xlsx&amp;sheet=A0&amp;row=1845&amp;col=12&amp;number=2611.44599811&amp;sourceID=53","2611.44599811")</f>
        <v>2611.44599811</v>
      </c>
      <c r="M1845" s="4" t="str">
        <f>HYPERLINK("http://141.218.60.56/~jnz1568/getInfo.php?workbook=16_15.xlsx&amp;sheet=A0&amp;row=1845&amp;col=13&amp;number=&amp;sourceID=53","")</f>
        <v/>
      </c>
      <c r="N1845" s="4" t="str">
        <f>HYPERLINK("http://141.218.60.56/~jnz1568/getInfo.php?workbook=16_15.xlsx&amp;sheet=A0&amp;row=1845&amp;col=14&amp;number=&amp;sourceID=53","")</f>
        <v/>
      </c>
      <c r="O1845" s="4" t="str">
        <f>HYPERLINK("http://141.218.60.56/~jnz1568/getInfo.php?workbook=16_15.xlsx&amp;sheet=A0&amp;row=1845&amp;col=15&amp;number=&amp;sourceID=55","")</f>
        <v/>
      </c>
      <c r="P1845" s="4" t="str">
        <f>HYPERLINK("http://141.218.60.56/~jnz1568/getInfo.php?workbook=16_15.xlsx&amp;sheet=A0&amp;row=1845&amp;col=16&amp;number=&amp;sourceID=55","")</f>
        <v/>
      </c>
      <c r="Q1845" s="4" t="str">
        <f>HYPERLINK("http://141.218.60.56/~jnz1568/getInfo.php?workbook=16_15.xlsx&amp;sheet=A0&amp;row=1845&amp;col=17&amp;number=&amp;sourceID=56","")</f>
        <v/>
      </c>
      <c r="R1845" s="4" t="str">
        <f>HYPERLINK("http://141.218.60.56/~jnz1568/getInfo.php?workbook=16_15.xlsx&amp;sheet=A0&amp;row=1845&amp;col=18&amp;number=&amp;sourceID=56","")</f>
        <v/>
      </c>
      <c r="S1845" s="4" t="str">
        <f>HYPERLINK("http://141.218.60.56/~jnz1568/getInfo.php?workbook=16_15.xlsx&amp;sheet=A0&amp;row=1845&amp;col=19&amp;number=&amp;sourceID=57","")</f>
        <v/>
      </c>
      <c r="T1845" s="4" t="str">
        <f>HYPERLINK("http://141.218.60.56/~jnz1568/getInfo.php?workbook=16_15.xlsx&amp;sheet=A0&amp;row=1845&amp;col=20&amp;number=&amp;sourceID=57","")</f>
        <v/>
      </c>
      <c r="U1845" s="4" t="str">
        <f>HYPERLINK("http://141.218.60.56/~jnz1568/getInfo.php?workbook=16_15.xlsx&amp;sheet=A0&amp;row=1845&amp;col=21&amp;number=&amp;sourceID=47","")</f>
        <v/>
      </c>
      <c r="V1845" s="4" t="str">
        <f>HYPERLINK("http://141.218.60.56/~jnz1568/getInfo.php?workbook=16_15.xlsx&amp;sheet=A0&amp;row=1845&amp;col=22&amp;number=&amp;sourceID=47","")</f>
        <v/>
      </c>
    </row>
    <row r="1846" spans="1:22">
      <c r="A1846" s="3">
        <v>16</v>
      </c>
      <c r="B1846" s="3">
        <v>15</v>
      </c>
      <c r="C1846" s="3">
        <v>70</v>
      </c>
      <c r="D1846" s="3">
        <v>9</v>
      </c>
      <c r="E1846" s="3">
        <f>((1/(INDEX(E0!J$4:J$73,C1846,1)-INDEX(E0!J$4:J$73,D1846,1))))*100000000</f>
        <v>0</v>
      </c>
      <c r="F1846" s="4" t="str">
        <f>HYPERLINK("http://141.218.60.56/~jnz1568/getInfo.php?workbook=16_15.xlsx&amp;sheet=A0&amp;row=1846&amp;col=6&amp;number=&amp;sourceID=54","")</f>
        <v/>
      </c>
      <c r="G1846" s="4" t="str">
        <f>HYPERLINK("http://141.218.60.56/~jnz1568/getInfo.php?workbook=16_15.xlsx&amp;sheet=A0&amp;row=1846&amp;col=7&amp;number=&amp;sourceID=54","")</f>
        <v/>
      </c>
      <c r="H1846" s="4" t="str">
        <f>HYPERLINK("http://141.218.60.56/~jnz1568/getInfo.php?workbook=16_15.xlsx&amp;sheet=A0&amp;row=1846&amp;col=8&amp;number=&amp;sourceID=54","")</f>
        <v/>
      </c>
      <c r="I1846" s="4" t="str">
        <f>HYPERLINK("http://141.218.60.56/~jnz1568/getInfo.php?workbook=16_15.xlsx&amp;sheet=A0&amp;row=1846&amp;col=9&amp;number=&amp;sourceID=54","")</f>
        <v/>
      </c>
      <c r="J1846" s="4" t="str">
        <f>HYPERLINK("http://141.218.60.56/~jnz1568/getInfo.php?workbook=16_15.xlsx&amp;sheet=A0&amp;row=1846&amp;col=10&amp;number=&amp;sourceID=54","")</f>
        <v/>
      </c>
      <c r="K1846" s="4" t="str">
        <f>HYPERLINK("http://141.218.60.56/~jnz1568/getInfo.php?workbook=16_15.xlsx&amp;sheet=A0&amp;row=1846&amp;col=11&amp;number=&amp;sourceID=54","")</f>
        <v/>
      </c>
      <c r="L1846" s="4" t="str">
        <f>HYPERLINK("http://141.218.60.56/~jnz1568/getInfo.php?workbook=16_15.xlsx&amp;sheet=A0&amp;row=1846&amp;col=12&amp;number=1693729.72742&amp;sourceID=53","1693729.72742")</f>
        <v>1693729.72742</v>
      </c>
      <c r="M1846" s="4" t="str">
        <f>HYPERLINK("http://141.218.60.56/~jnz1568/getInfo.php?workbook=16_15.xlsx&amp;sheet=A0&amp;row=1846&amp;col=13&amp;number=&amp;sourceID=53","")</f>
        <v/>
      </c>
      <c r="N1846" s="4" t="str">
        <f>HYPERLINK("http://141.218.60.56/~jnz1568/getInfo.php?workbook=16_15.xlsx&amp;sheet=A0&amp;row=1846&amp;col=14&amp;number=&amp;sourceID=53","")</f>
        <v/>
      </c>
      <c r="O1846" s="4" t="str">
        <f>HYPERLINK("http://141.218.60.56/~jnz1568/getInfo.php?workbook=16_15.xlsx&amp;sheet=A0&amp;row=1846&amp;col=15&amp;number=&amp;sourceID=55","")</f>
        <v/>
      </c>
      <c r="P1846" s="4" t="str">
        <f>HYPERLINK("http://141.218.60.56/~jnz1568/getInfo.php?workbook=16_15.xlsx&amp;sheet=A0&amp;row=1846&amp;col=16&amp;number=&amp;sourceID=55","")</f>
        <v/>
      </c>
      <c r="Q1846" s="4" t="str">
        <f>HYPERLINK("http://141.218.60.56/~jnz1568/getInfo.php?workbook=16_15.xlsx&amp;sheet=A0&amp;row=1846&amp;col=17&amp;number=&amp;sourceID=56","")</f>
        <v/>
      </c>
      <c r="R1846" s="4" t="str">
        <f>HYPERLINK("http://141.218.60.56/~jnz1568/getInfo.php?workbook=16_15.xlsx&amp;sheet=A0&amp;row=1846&amp;col=18&amp;number=&amp;sourceID=56","")</f>
        <v/>
      </c>
      <c r="S1846" s="4" t="str">
        <f>HYPERLINK("http://141.218.60.56/~jnz1568/getInfo.php?workbook=16_15.xlsx&amp;sheet=A0&amp;row=1846&amp;col=19&amp;number=&amp;sourceID=57","")</f>
        <v/>
      </c>
      <c r="T1846" s="4" t="str">
        <f>HYPERLINK("http://141.218.60.56/~jnz1568/getInfo.php?workbook=16_15.xlsx&amp;sheet=A0&amp;row=1846&amp;col=20&amp;number=&amp;sourceID=57","")</f>
        <v/>
      </c>
      <c r="U1846" s="4" t="str">
        <f>HYPERLINK("http://141.218.60.56/~jnz1568/getInfo.php?workbook=16_15.xlsx&amp;sheet=A0&amp;row=1846&amp;col=21&amp;number=&amp;sourceID=47","")</f>
        <v/>
      </c>
      <c r="V1846" s="4" t="str">
        <f>HYPERLINK("http://141.218.60.56/~jnz1568/getInfo.php?workbook=16_15.xlsx&amp;sheet=A0&amp;row=1846&amp;col=22&amp;number=&amp;sourceID=47","")</f>
        <v/>
      </c>
    </row>
    <row r="1847" spans="1:22">
      <c r="A1847" s="3">
        <v>16</v>
      </c>
      <c r="B1847" s="3">
        <v>15</v>
      </c>
      <c r="C1847" s="3">
        <v>70</v>
      </c>
      <c r="D1847" s="3">
        <v>10</v>
      </c>
      <c r="E1847" s="3">
        <f>((1/(INDEX(E0!J$4:J$73,C1847,1)-INDEX(E0!J$4:J$73,D1847,1))))*100000000</f>
        <v>0</v>
      </c>
      <c r="F1847" s="4" t="str">
        <f>HYPERLINK("http://141.218.60.56/~jnz1568/getInfo.php?workbook=16_15.xlsx&amp;sheet=A0&amp;row=1847&amp;col=6&amp;number=&amp;sourceID=54","")</f>
        <v/>
      </c>
      <c r="G1847" s="4" t="str">
        <f>HYPERLINK("http://141.218.60.56/~jnz1568/getInfo.php?workbook=16_15.xlsx&amp;sheet=A0&amp;row=1847&amp;col=7&amp;number=&amp;sourceID=54","")</f>
        <v/>
      </c>
      <c r="H1847" s="4" t="str">
        <f>HYPERLINK("http://141.218.60.56/~jnz1568/getInfo.php?workbook=16_15.xlsx&amp;sheet=A0&amp;row=1847&amp;col=8&amp;number=&amp;sourceID=54","")</f>
        <v/>
      </c>
      <c r="I1847" s="4" t="str">
        <f>HYPERLINK("http://141.218.60.56/~jnz1568/getInfo.php?workbook=16_15.xlsx&amp;sheet=A0&amp;row=1847&amp;col=9&amp;number=&amp;sourceID=54","")</f>
        <v/>
      </c>
      <c r="J1847" s="4" t="str">
        <f>HYPERLINK("http://141.218.60.56/~jnz1568/getInfo.php?workbook=16_15.xlsx&amp;sheet=A0&amp;row=1847&amp;col=10&amp;number=&amp;sourceID=54","")</f>
        <v/>
      </c>
      <c r="K1847" s="4" t="str">
        <f>HYPERLINK("http://141.218.60.56/~jnz1568/getInfo.php?workbook=16_15.xlsx&amp;sheet=A0&amp;row=1847&amp;col=11&amp;number=&amp;sourceID=54","")</f>
        <v/>
      </c>
      <c r="L1847" s="4" t="str">
        <f>HYPERLINK("http://141.218.60.56/~jnz1568/getInfo.php?workbook=16_15.xlsx&amp;sheet=A0&amp;row=1847&amp;col=12&amp;number=15503433.8761&amp;sourceID=53","15503433.8761")</f>
        <v>15503433.8761</v>
      </c>
      <c r="M1847" s="4" t="str">
        <f>HYPERLINK("http://141.218.60.56/~jnz1568/getInfo.php?workbook=16_15.xlsx&amp;sheet=A0&amp;row=1847&amp;col=13&amp;number=&amp;sourceID=53","")</f>
        <v/>
      </c>
      <c r="N1847" s="4" t="str">
        <f>HYPERLINK("http://141.218.60.56/~jnz1568/getInfo.php?workbook=16_15.xlsx&amp;sheet=A0&amp;row=1847&amp;col=14&amp;number=&amp;sourceID=53","")</f>
        <v/>
      </c>
      <c r="O1847" s="4" t="str">
        <f>HYPERLINK("http://141.218.60.56/~jnz1568/getInfo.php?workbook=16_15.xlsx&amp;sheet=A0&amp;row=1847&amp;col=15&amp;number=&amp;sourceID=55","")</f>
        <v/>
      </c>
      <c r="P1847" s="4" t="str">
        <f>HYPERLINK("http://141.218.60.56/~jnz1568/getInfo.php?workbook=16_15.xlsx&amp;sheet=A0&amp;row=1847&amp;col=16&amp;number=&amp;sourceID=55","")</f>
        <v/>
      </c>
      <c r="Q1847" s="4" t="str">
        <f>HYPERLINK("http://141.218.60.56/~jnz1568/getInfo.php?workbook=16_15.xlsx&amp;sheet=A0&amp;row=1847&amp;col=17&amp;number=&amp;sourceID=56","")</f>
        <v/>
      </c>
      <c r="R1847" s="4" t="str">
        <f>HYPERLINK("http://141.218.60.56/~jnz1568/getInfo.php?workbook=16_15.xlsx&amp;sheet=A0&amp;row=1847&amp;col=18&amp;number=&amp;sourceID=56","")</f>
        <v/>
      </c>
      <c r="S1847" s="4" t="str">
        <f>HYPERLINK("http://141.218.60.56/~jnz1568/getInfo.php?workbook=16_15.xlsx&amp;sheet=A0&amp;row=1847&amp;col=19&amp;number=&amp;sourceID=57","")</f>
        <v/>
      </c>
      <c r="T1847" s="4" t="str">
        <f>HYPERLINK("http://141.218.60.56/~jnz1568/getInfo.php?workbook=16_15.xlsx&amp;sheet=A0&amp;row=1847&amp;col=20&amp;number=&amp;sourceID=57","")</f>
        <v/>
      </c>
      <c r="U1847" s="4" t="str">
        <f>HYPERLINK("http://141.218.60.56/~jnz1568/getInfo.php?workbook=16_15.xlsx&amp;sheet=A0&amp;row=1847&amp;col=21&amp;number=&amp;sourceID=47","")</f>
        <v/>
      </c>
      <c r="V1847" s="4" t="str">
        <f>HYPERLINK("http://141.218.60.56/~jnz1568/getInfo.php?workbook=16_15.xlsx&amp;sheet=A0&amp;row=1847&amp;col=22&amp;number=&amp;sourceID=47","")</f>
        <v/>
      </c>
    </row>
    <row r="1848" spans="1:22">
      <c r="A1848" s="3">
        <v>16</v>
      </c>
      <c r="B1848" s="3">
        <v>15</v>
      </c>
      <c r="C1848" s="3">
        <v>70</v>
      </c>
      <c r="D1848" s="3">
        <v>11</v>
      </c>
      <c r="E1848" s="3">
        <f>((1/(INDEX(E0!J$4:J$73,C1848,1)-INDEX(E0!J$4:J$73,D1848,1))))*100000000</f>
        <v>0</v>
      </c>
      <c r="F1848" s="4" t="str">
        <f>HYPERLINK("http://141.218.60.56/~jnz1568/getInfo.php?workbook=16_15.xlsx&amp;sheet=A0&amp;row=1848&amp;col=6&amp;number=&amp;sourceID=54","")</f>
        <v/>
      </c>
      <c r="G1848" s="4" t="str">
        <f>HYPERLINK("http://141.218.60.56/~jnz1568/getInfo.php?workbook=16_15.xlsx&amp;sheet=A0&amp;row=1848&amp;col=7&amp;number=&amp;sourceID=54","")</f>
        <v/>
      </c>
      <c r="H1848" s="4" t="str">
        <f>HYPERLINK("http://141.218.60.56/~jnz1568/getInfo.php?workbook=16_15.xlsx&amp;sheet=A0&amp;row=1848&amp;col=8&amp;number=&amp;sourceID=54","")</f>
        <v/>
      </c>
      <c r="I1848" s="4" t="str">
        <f>HYPERLINK("http://141.218.60.56/~jnz1568/getInfo.php?workbook=16_15.xlsx&amp;sheet=A0&amp;row=1848&amp;col=9&amp;number=&amp;sourceID=54","")</f>
        <v/>
      </c>
      <c r="J1848" s="4" t="str">
        <f>HYPERLINK("http://141.218.60.56/~jnz1568/getInfo.php?workbook=16_15.xlsx&amp;sheet=A0&amp;row=1848&amp;col=10&amp;number=&amp;sourceID=54","")</f>
        <v/>
      </c>
      <c r="K1848" s="4" t="str">
        <f>HYPERLINK("http://141.218.60.56/~jnz1568/getInfo.php?workbook=16_15.xlsx&amp;sheet=A0&amp;row=1848&amp;col=11&amp;number=&amp;sourceID=54","")</f>
        <v/>
      </c>
      <c r="L1848" s="4" t="str">
        <f>HYPERLINK("http://141.218.60.56/~jnz1568/getInfo.php?workbook=16_15.xlsx&amp;sheet=A0&amp;row=1848&amp;col=12&amp;number=20898.6581406&amp;sourceID=53","20898.6581406")</f>
        <v>20898.6581406</v>
      </c>
      <c r="M1848" s="4" t="str">
        <f>HYPERLINK("http://141.218.60.56/~jnz1568/getInfo.php?workbook=16_15.xlsx&amp;sheet=A0&amp;row=1848&amp;col=13&amp;number=&amp;sourceID=53","")</f>
        <v/>
      </c>
      <c r="N1848" s="4" t="str">
        <f>HYPERLINK("http://141.218.60.56/~jnz1568/getInfo.php?workbook=16_15.xlsx&amp;sheet=A0&amp;row=1848&amp;col=14&amp;number=&amp;sourceID=53","")</f>
        <v/>
      </c>
      <c r="O1848" s="4" t="str">
        <f>HYPERLINK("http://141.218.60.56/~jnz1568/getInfo.php?workbook=16_15.xlsx&amp;sheet=A0&amp;row=1848&amp;col=15&amp;number=&amp;sourceID=55","")</f>
        <v/>
      </c>
      <c r="P1848" s="4" t="str">
        <f>HYPERLINK("http://141.218.60.56/~jnz1568/getInfo.php?workbook=16_15.xlsx&amp;sheet=A0&amp;row=1848&amp;col=16&amp;number=&amp;sourceID=55","")</f>
        <v/>
      </c>
      <c r="Q1848" s="4" t="str">
        <f>HYPERLINK("http://141.218.60.56/~jnz1568/getInfo.php?workbook=16_15.xlsx&amp;sheet=A0&amp;row=1848&amp;col=17&amp;number=&amp;sourceID=56","")</f>
        <v/>
      </c>
      <c r="R1848" s="4" t="str">
        <f>HYPERLINK("http://141.218.60.56/~jnz1568/getInfo.php?workbook=16_15.xlsx&amp;sheet=A0&amp;row=1848&amp;col=18&amp;number=&amp;sourceID=56","")</f>
        <v/>
      </c>
      <c r="S1848" s="4" t="str">
        <f>HYPERLINK("http://141.218.60.56/~jnz1568/getInfo.php?workbook=16_15.xlsx&amp;sheet=A0&amp;row=1848&amp;col=19&amp;number=&amp;sourceID=57","")</f>
        <v/>
      </c>
      <c r="T1848" s="4" t="str">
        <f>HYPERLINK("http://141.218.60.56/~jnz1568/getInfo.php?workbook=16_15.xlsx&amp;sheet=A0&amp;row=1848&amp;col=20&amp;number=&amp;sourceID=57","")</f>
        <v/>
      </c>
      <c r="U1848" s="4" t="str">
        <f>HYPERLINK("http://141.218.60.56/~jnz1568/getInfo.php?workbook=16_15.xlsx&amp;sheet=A0&amp;row=1848&amp;col=21&amp;number=&amp;sourceID=47","")</f>
        <v/>
      </c>
      <c r="V1848" s="4" t="str">
        <f>HYPERLINK("http://141.218.60.56/~jnz1568/getInfo.php?workbook=16_15.xlsx&amp;sheet=A0&amp;row=1848&amp;col=22&amp;number=&amp;sourceID=47","")</f>
        <v/>
      </c>
    </row>
    <row r="1849" spans="1:22">
      <c r="A1849" s="3">
        <v>16</v>
      </c>
      <c r="B1849" s="3">
        <v>15</v>
      </c>
      <c r="C1849" s="3">
        <v>70</v>
      </c>
      <c r="D1849" s="3">
        <v>12</v>
      </c>
      <c r="E1849" s="3">
        <f>((1/(INDEX(E0!J$4:J$73,C1849,1)-INDEX(E0!J$4:J$73,D1849,1))))*100000000</f>
        <v>0</v>
      </c>
      <c r="F1849" s="4" t="str">
        <f>HYPERLINK("http://141.218.60.56/~jnz1568/getInfo.php?workbook=16_15.xlsx&amp;sheet=A0&amp;row=1849&amp;col=6&amp;number=&amp;sourceID=54","")</f>
        <v/>
      </c>
      <c r="G1849" s="4" t="str">
        <f>HYPERLINK("http://141.218.60.56/~jnz1568/getInfo.php?workbook=16_15.xlsx&amp;sheet=A0&amp;row=1849&amp;col=7&amp;number=&amp;sourceID=54","")</f>
        <v/>
      </c>
      <c r="H1849" s="4" t="str">
        <f>HYPERLINK("http://141.218.60.56/~jnz1568/getInfo.php?workbook=16_15.xlsx&amp;sheet=A0&amp;row=1849&amp;col=8&amp;number=&amp;sourceID=54","")</f>
        <v/>
      </c>
      <c r="I1849" s="4" t="str">
        <f>HYPERLINK("http://141.218.60.56/~jnz1568/getInfo.php?workbook=16_15.xlsx&amp;sheet=A0&amp;row=1849&amp;col=9&amp;number=&amp;sourceID=54","")</f>
        <v/>
      </c>
      <c r="J1849" s="4" t="str">
        <f>HYPERLINK("http://141.218.60.56/~jnz1568/getInfo.php?workbook=16_15.xlsx&amp;sheet=A0&amp;row=1849&amp;col=10&amp;number=&amp;sourceID=54","")</f>
        <v/>
      </c>
      <c r="K1849" s="4" t="str">
        <f>HYPERLINK("http://141.218.60.56/~jnz1568/getInfo.php?workbook=16_15.xlsx&amp;sheet=A0&amp;row=1849&amp;col=11&amp;number=&amp;sourceID=54","")</f>
        <v/>
      </c>
      <c r="L1849" s="4" t="str">
        <f>HYPERLINK("http://141.218.60.56/~jnz1568/getInfo.php?workbook=16_15.xlsx&amp;sheet=A0&amp;row=1849&amp;col=12&amp;number=19903.2985789&amp;sourceID=53","19903.2985789")</f>
        <v>19903.2985789</v>
      </c>
      <c r="M1849" s="4" t="str">
        <f>HYPERLINK("http://141.218.60.56/~jnz1568/getInfo.php?workbook=16_15.xlsx&amp;sheet=A0&amp;row=1849&amp;col=13&amp;number=&amp;sourceID=53","")</f>
        <v/>
      </c>
      <c r="N1849" s="4" t="str">
        <f>HYPERLINK("http://141.218.60.56/~jnz1568/getInfo.php?workbook=16_15.xlsx&amp;sheet=A0&amp;row=1849&amp;col=14&amp;number=&amp;sourceID=53","")</f>
        <v/>
      </c>
      <c r="O1849" s="4" t="str">
        <f>HYPERLINK("http://141.218.60.56/~jnz1568/getInfo.php?workbook=16_15.xlsx&amp;sheet=A0&amp;row=1849&amp;col=15&amp;number=&amp;sourceID=55","")</f>
        <v/>
      </c>
      <c r="P1849" s="4" t="str">
        <f>HYPERLINK("http://141.218.60.56/~jnz1568/getInfo.php?workbook=16_15.xlsx&amp;sheet=A0&amp;row=1849&amp;col=16&amp;number=&amp;sourceID=55","")</f>
        <v/>
      </c>
      <c r="Q1849" s="4" t="str">
        <f>HYPERLINK("http://141.218.60.56/~jnz1568/getInfo.php?workbook=16_15.xlsx&amp;sheet=A0&amp;row=1849&amp;col=17&amp;number=&amp;sourceID=56","")</f>
        <v/>
      </c>
      <c r="R1849" s="4" t="str">
        <f>HYPERLINK("http://141.218.60.56/~jnz1568/getInfo.php?workbook=16_15.xlsx&amp;sheet=A0&amp;row=1849&amp;col=18&amp;number=&amp;sourceID=56","")</f>
        <v/>
      </c>
      <c r="S1849" s="4" t="str">
        <f>HYPERLINK("http://141.218.60.56/~jnz1568/getInfo.php?workbook=16_15.xlsx&amp;sheet=A0&amp;row=1849&amp;col=19&amp;number=&amp;sourceID=57","")</f>
        <v/>
      </c>
      <c r="T1849" s="4" t="str">
        <f>HYPERLINK("http://141.218.60.56/~jnz1568/getInfo.php?workbook=16_15.xlsx&amp;sheet=A0&amp;row=1849&amp;col=20&amp;number=&amp;sourceID=57","")</f>
        <v/>
      </c>
      <c r="U1849" s="4" t="str">
        <f>HYPERLINK("http://141.218.60.56/~jnz1568/getInfo.php?workbook=16_15.xlsx&amp;sheet=A0&amp;row=1849&amp;col=21&amp;number=&amp;sourceID=47","")</f>
        <v/>
      </c>
      <c r="V1849" s="4" t="str">
        <f>HYPERLINK("http://141.218.60.56/~jnz1568/getInfo.php?workbook=16_15.xlsx&amp;sheet=A0&amp;row=1849&amp;col=22&amp;number=&amp;sourceID=47","")</f>
        <v/>
      </c>
    </row>
    <row r="1850" spans="1:22">
      <c r="A1850" s="3">
        <v>16</v>
      </c>
      <c r="B1850" s="3">
        <v>15</v>
      </c>
      <c r="C1850" s="3">
        <v>70</v>
      </c>
      <c r="D1850" s="3">
        <v>13</v>
      </c>
      <c r="E1850" s="3">
        <f>((1/(INDEX(E0!J$4:J$73,C1850,1)-INDEX(E0!J$4:J$73,D1850,1))))*100000000</f>
        <v>0</v>
      </c>
      <c r="F1850" s="4" t="str">
        <f>HYPERLINK("http://141.218.60.56/~jnz1568/getInfo.php?workbook=16_15.xlsx&amp;sheet=A0&amp;row=1850&amp;col=6&amp;number=&amp;sourceID=54","")</f>
        <v/>
      </c>
      <c r="G1850" s="4" t="str">
        <f>HYPERLINK("http://141.218.60.56/~jnz1568/getInfo.php?workbook=16_15.xlsx&amp;sheet=A0&amp;row=1850&amp;col=7&amp;number=&amp;sourceID=54","")</f>
        <v/>
      </c>
      <c r="H1850" s="4" t="str">
        <f>HYPERLINK("http://141.218.60.56/~jnz1568/getInfo.php?workbook=16_15.xlsx&amp;sheet=A0&amp;row=1850&amp;col=8&amp;number=&amp;sourceID=54","")</f>
        <v/>
      </c>
      <c r="I1850" s="4" t="str">
        <f>HYPERLINK("http://141.218.60.56/~jnz1568/getInfo.php?workbook=16_15.xlsx&amp;sheet=A0&amp;row=1850&amp;col=9&amp;number=&amp;sourceID=54","")</f>
        <v/>
      </c>
      <c r="J1850" s="4" t="str">
        <f>HYPERLINK("http://141.218.60.56/~jnz1568/getInfo.php?workbook=16_15.xlsx&amp;sheet=A0&amp;row=1850&amp;col=10&amp;number=&amp;sourceID=54","")</f>
        <v/>
      </c>
      <c r="K1850" s="4" t="str">
        <f>HYPERLINK("http://141.218.60.56/~jnz1568/getInfo.php?workbook=16_15.xlsx&amp;sheet=A0&amp;row=1850&amp;col=11&amp;number=&amp;sourceID=54","")</f>
        <v/>
      </c>
      <c r="L1850" s="4" t="str">
        <f>HYPERLINK("http://141.218.60.56/~jnz1568/getInfo.php?workbook=16_15.xlsx&amp;sheet=A0&amp;row=1850&amp;col=12&amp;number=6.14546099271&amp;sourceID=53","6.14546099271")</f>
        <v>6.14546099271</v>
      </c>
      <c r="M1850" s="4" t="str">
        <f>HYPERLINK("http://141.218.60.56/~jnz1568/getInfo.php?workbook=16_15.xlsx&amp;sheet=A0&amp;row=1850&amp;col=13&amp;number=&amp;sourceID=53","")</f>
        <v/>
      </c>
      <c r="N1850" s="4" t="str">
        <f>HYPERLINK("http://141.218.60.56/~jnz1568/getInfo.php?workbook=16_15.xlsx&amp;sheet=A0&amp;row=1850&amp;col=14&amp;number=&amp;sourceID=53","")</f>
        <v/>
      </c>
      <c r="O1850" s="4" t="str">
        <f>HYPERLINK("http://141.218.60.56/~jnz1568/getInfo.php?workbook=16_15.xlsx&amp;sheet=A0&amp;row=1850&amp;col=15&amp;number=&amp;sourceID=55","")</f>
        <v/>
      </c>
      <c r="P1850" s="4" t="str">
        <f>HYPERLINK("http://141.218.60.56/~jnz1568/getInfo.php?workbook=16_15.xlsx&amp;sheet=A0&amp;row=1850&amp;col=16&amp;number=&amp;sourceID=55","")</f>
        <v/>
      </c>
      <c r="Q1850" s="4" t="str">
        <f>HYPERLINK("http://141.218.60.56/~jnz1568/getInfo.php?workbook=16_15.xlsx&amp;sheet=A0&amp;row=1850&amp;col=17&amp;number=&amp;sourceID=56","")</f>
        <v/>
      </c>
      <c r="R1850" s="4" t="str">
        <f>HYPERLINK("http://141.218.60.56/~jnz1568/getInfo.php?workbook=16_15.xlsx&amp;sheet=A0&amp;row=1850&amp;col=18&amp;number=&amp;sourceID=56","")</f>
        <v/>
      </c>
      <c r="S1850" s="4" t="str">
        <f>HYPERLINK("http://141.218.60.56/~jnz1568/getInfo.php?workbook=16_15.xlsx&amp;sheet=A0&amp;row=1850&amp;col=19&amp;number=&amp;sourceID=57","")</f>
        <v/>
      </c>
      <c r="T1850" s="4" t="str">
        <f>HYPERLINK("http://141.218.60.56/~jnz1568/getInfo.php?workbook=16_15.xlsx&amp;sheet=A0&amp;row=1850&amp;col=20&amp;number=&amp;sourceID=57","")</f>
        <v/>
      </c>
      <c r="U1850" s="4" t="str">
        <f>HYPERLINK("http://141.218.60.56/~jnz1568/getInfo.php?workbook=16_15.xlsx&amp;sheet=A0&amp;row=1850&amp;col=21&amp;number=&amp;sourceID=47","")</f>
        <v/>
      </c>
      <c r="V1850" s="4" t="str">
        <f>HYPERLINK("http://141.218.60.56/~jnz1568/getInfo.php?workbook=16_15.xlsx&amp;sheet=A0&amp;row=1850&amp;col=22&amp;number=&amp;sourceID=47","")</f>
        <v/>
      </c>
    </row>
    <row r="1851" spans="1:22">
      <c r="A1851" s="3">
        <v>16</v>
      </c>
      <c r="B1851" s="3">
        <v>15</v>
      </c>
      <c r="C1851" s="3">
        <v>70</v>
      </c>
      <c r="D1851" s="3">
        <v>14</v>
      </c>
      <c r="E1851" s="3">
        <f>((1/(INDEX(E0!J$4:J$73,C1851,1)-INDEX(E0!J$4:J$73,D1851,1))))*100000000</f>
        <v>0</v>
      </c>
      <c r="F1851" s="4" t="str">
        <f>HYPERLINK("http://141.218.60.56/~jnz1568/getInfo.php?workbook=16_15.xlsx&amp;sheet=A0&amp;row=1851&amp;col=6&amp;number=&amp;sourceID=54","")</f>
        <v/>
      </c>
      <c r="G1851" s="4" t="str">
        <f>HYPERLINK("http://141.218.60.56/~jnz1568/getInfo.php?workbook=16_15.xlsx&amp;sheet=A0&amp;row=1851&amp;col=7&amp;number=&amp;sourceID=54","")</f>
        <v/>
      </c>
      <c r="H1851" s="4" t="str">
        <f>HYPERLINK("http://141.218.60.56/~jnz1568/getInfo.php?workbook=16_15.xlsx&amp;sheet=A0&amp;row=1851&amp;col=8&amp;number=&amp;sourceID=54","")</f>
        <v/>
      </c>
      <c r="I1851" s="4" t="str">
        <f>HYPERLINK("http://141.218.60.56/~jnz1568/getInfo.php?workbook=16_15.xlsx&amp;sheet=A0&amp;row=1851&amp;col=9&amp;number=&amp;sourceID=54","")</f>
        <v/>
      </c>
      <c r="J1851" s="4" t="str">
        <f>HYPERLINK("http://141.218.60.56/~jnz1568/getInfo.php?workbook=16_15.xlsx&amp;sheet=A0&amp;row=1851&amp;col=10&amp;number=&amp;sourceID=54","")</f>
        <v/>
      </c>
      <c r="K1851" s="4" t="str">
        <f>HYPERLINK("http://141.218.60.56/~jnz1568/getInfo.php?workbook=16_15.xlsx&amp;sheet=A0&amp;row=1851&amp;col=11&amp;number=&amp;sourceID=54","")</f>
        <v/>
      </c>
      <c r="L1851" s="4" t="str">
        <f>HYPERLINK("http://141.218.60.56/~jnz1568/getInfo.php?workbook=16_15.xlsx&amp;sheet=A0&amp;row=1851&amp;col=12&amp;number=2268.49490654&amp;sourceID=53","2268.49490654")</f>
        <v>2268.49490654</v>
      </c>
      <c r="M1851" s="4" t="str">
        <f>HYPERLINK("http://141.218.60.56/~jnz1568/getInfo.php?workbook=16_15.xlsx&amp;sheet=A0&amp;row=1851&amp;col=13&amp;number=&amp;sourceID=53","")</f>
        <v/>
      </c>
      <c r="N1851" s="4" t="str">
        <f>HYPERLINK("http://141.218.60.56/~jnz1568/getInfo.php?workbook=16_15.xlsx&amp;sheet=A0&amp;row=1851&amp;col=14&amp;number=&amp;sourceID=53","")</f>
        <v/>
      </c>
      <c r="O1851" s="4" t="str">
        <f>HYPERLINK("http://141.218.60.56/~jnz1568/getInfo.php?workbook=16_15.xlsx&amp;sheet=A0&amp;row=1851&amp;col=15&amp;number=&amp;sourceID=55","")</f>
        <v/>
      </c>
      <c r="P1851" s="4" t="str">
        <f>HYPERLINK("http://141.218.60.56/~jnz1568/getInfo.php?workbook=16_15.xlsx&amp;sheet=A0&amp;row=1851&amp;col=16&amp;number=&amp;sourceID=55","")</f>
        <v/>
      </c>
      <c r="Q1851" s="4" t="str">
        <f>HYPERLINK("http://141.218.60.56/~jnz1568/getInfo.php?workbook=16_15.xlsx&amp;sheet=A0&amp;row=1851&amp;col=17&amp;number=&amp;sourceID=56","")</f>
        <v/>
      </c>
      <c r="R1851" s="4" t="str">
        <f>HYPERLINK("http://141.218.60.56/~jnz1568/getInfo.php?workbook=16_15.xlsx&amp;sheet=A0&amp;row=1851&amp;col=18&amp;number=&amp;sourceID=56","")</f>
        <v/>
      </c>
      <c r="S1851" s="4" t="str">
        <f>HYPERLINK("http://141.218.60.56/~jnz1568/getInfo.php?workbook=16_15.xlsx&amp;sheet=A0&amp;row=1851&amp;col=19&amp;number=&amp;sourceID=57","")</f>
        <v/>
      </c>
      <c r="T1851" s="4" t="str">
        <f>HYPERLINK("http://141.218.60.56/~jnz1568/getInfo.php?workbook=16_15.xlsx&amp;sheet=A0&amp;row=1851&amp;col=20&amp;number=&amp;sourceID=57","")</f>
        <v/>
      </c>
      <c r="U1851" s="4" t="str">
        <f>HYPERLINK("http://141.218.60.56/~jnz1568/getInfo.php?workbook=16_15.xlsx&amp;sheet=A0&amp;row=1851&amp;col=21&amp;number=&amp;sourceID=47","")</f>
        <v/>
      </c>
      <c r="V1851" s="4" t="str">
        <f>HYPERLINK("http://141.218.60.56/~jnz1568/getInfo.php?workbook=16_15.xlsx&amp;sheet=A0&amp;row=1851&amp;col=22&amp;number=&amp;sourceID=47","")</f>
        <v/>
      </c>
    </row>
    <row r="1852" spans="1:22">
      <c r="A1852" s="3">
        <v>16</v>
      </c>
      <c r="B1852" s="3">
        <v>15</v>
      </c>
      <c r="C1852" s="3">
        <v>70</v>
      </c>
      <c r="D1852" s="3">
        <v>15</v>
      </c>
      <c r="E1852" s="3">
        <f>((1/(INDEX(E0!J$4:J$73,C1852,1)-INDEX(E0!J$4:J$73,D1852,1))))*100000000</f>
        <v>0</v>
      </c>
      <c r="F1852" s="4" t="str">
        <f>HYPERLINK("http://141.218.60.56/~jnz1568/getInfo.php?workbook=16_15.xlsx&amp;sheet=A0&amp;row=1852&amp;col=6&amp;number=&amp;sourceID=54","")</f>
        <v/>
      </c>
      <c r="G1852" s="4" t="str">
        <f>HYPERLINK("http://141.218.60.56/~jnz1568/getInfo.php?workbook=16_15.xlsx&amp;sheet=A0&amp;row=1852&amp;col=7&amp;number=&amp;sourceID=54","")</f>
        <v/>
      </c>
      <c r="H1852" s="4" t="str">
        <f>HYPERLINK("http://141.218.60.56/~jnz1568/getInfo.php?workbook=16_15.xlsx&amp;sheet=A0&amp;row=1852&amp;col=8&amp;number=&amp;sourceID=54","")</f>
        <v/>
      </c>
      <c r="I1852" s="4" t="str">
        <f>HYPERLINK("http://141.218.60.56/~jnz1568/getInfo.php?workbook=16_15.xlsx&amp;sheet=A0&amp;row=1852&amp;col=9&amp;number=&amp;sourceID=54","")</f>
        <v/>
      </c>
      <c r="J1852" s="4" t="str">
        <f>HYPERLINK("http://141.218.60.56/~jnz1568/getInfo.php?workbook=16_15.xlsx&amp;sheet=A0&amp;row=1852&amp;col=10&amp;number=&amp;sourceID=54","")</f>
        <v/>
      </c>
      <c r="K1852" s="4" t="str">
        <f>HYPERLINK("http://141.218.60.56/~jnz1568/getInfo.php?workbook=16_15.xlsx&amp;sheet=A0&amp;row=1852&amp;col=11&amp;number=&amp;sourceID=54","")</f>
        <v/>
      </c>
      <c r="L1852" s="4" t="str">
        <f>HYPERLINK("http://141.218.60.56/~jnz1568/getInfo.php?workbook=16_15.xlsx&amp;sheet=A0&amp;row=1852&amp;col=12&amp;number=913.107438187&amp;sourceID=53","913.107438187")</f>
        <v>913.107438187</v>
      </c>
      <c r="M1852" s="4" t="str">
        <f>HYPERLINK("http://141.218.60.56/~jnz1568/getInfo.php?workbook=16_15.xlsx&amp;sheet=A0&amp;row=1852&amp;col=13&amp;number=&amp;sourceID=53","")</f>
        <v/>
      </c>
      <c r="N1852" s="4" t="str">
        <f>HYPERLINK("http://141.218.60.56/~jnz1568/getInfo.php?workbook=16_15.xlsx&amp;sheet=A0&amp;row=1852&amp;col=14&amp;number=&amp;sourceID=53","")</f>
        <v/>
      </c>
      <c r="O1852" s="4" t="str">
        <f>HYPERLINK("http://141.218.60.56/~jnz1568/getInfo.php?workbook=16_15.xlsx&amp;sheet=A0&amp;row=1852&amp;col=15&amp;number=&amp;sourceID=55","")</f>
        <v/>
      </c>
      <c r="P1852" s="4" t="str">
        <f>HYPERLINK("http://141.218.60.56/~jnz1568/getInfo.php?workbook=16_15.xlsx&amp;sheet=A0&amp;row=1852&amp;col=16&amp;number=&amp;sourceID=55","")</f>
        <v/>
      </c>
      <c r="Q1852" s="4" t="str">
        <f>HYPERLINK("http://141.218.60.56/~jnz1568/getInfo.php?workbook=16_15.xlsx&amp;sheet=A0&amp;row=1852&amp;col=17&amp;number=&amp;sourceID=56","")</f>
        <v/>
      </c>
      <c r="R1852" s="4" t="str">
        <f>HYPERLINK("http://141.218.60.56/~jnz1568/getInfo.php?workbook=16_15.xlsx&amp;sheet=A0&amp;row=1852&amp;col=18&amp;number=&amp;sourceID=56","")</f>
        <v/>
      </c>
      <c r="S1852" s="4" t="str">
        <f>HYPERLINK("http://141.218.60.56/~jnz1568/getInfo.php?workbook=16_15.xlsx&amp;sheet=A0&amp;row=1852&amp;col=19&amp;number=&amp;sourceID=57","")</f>
        <v/>
      </c>
      <c r="T1852" s="4" t="str">
        <f>HYPERLINK("http://141.218.60.56/~jnz1568/getInfo.php?workbook=16_15.xlsx&amp;sheet=A0&amp;row=1852&amp;col=20&amp;number=&amp;sourceID=57","")</f>
        <v/>
      </c>
      <c r="U1852" s="4" t="str">
        <f>HYPERLINK("http://141.218.60.56/~jnz1568/getInfo.php?workbook=16_15.xlsx&amp;sheet=A0&amp;row=1852&amp;col=21&amp;number=&amp;sourceID=47","")</f>
        <v/>
      </c>
      <c r="V1852" s="4" t="str">
        <f>HYPERLINK("http://141.218.60.56/~jnz1568/getInfo.php?workbook=16_15.xlsx&amp;sheet=A0&amp;row=1852&amp;col=22&amp;number=&amp;sourceID=47","")</f>
        <v/>
      </c>
    </row>
    <row r="1853" spans="1:22">
      <c r="A1853" s="3">
        <v>16</v>
      </c>
      <c r="B1853" s="3">
        <v>15</v>
      </c>
      <c r="C1853" s="3">
        <v>70</v>
      </c>
      <c r="D1853" s="3">
        <v>16</v>
      </c>
      <c r="E1853" s="3">
        <f>((1/(INDEX(E0!J$4:J$73,C1853,1)-INDEX(E0!J$4:J$73,D1853,1))))*100000000</f>
        <v>0</v>
      </c>
      <c r="F1853" s="4" t="str">
        <f>HYPERLINK("http://141.218.60.56/~jnz1568/getInfo.php?workbook=16_15.xlsx&amp;sheet=A0&amp;row=1853&amp;col=6&amp;number=&amp;sourceID=54","")</f>
        <v/>
      </c>
      <c r="G1853" s="4" t="str">
        <f>HYPERLINK("http://141.218.60.56/~jnz1568/getInfo.php?workbook=16_15.xlsx&amp;sheet=A0&amp;row=1853&amp;col=7&amp;number=&amp;sourceID=54","")</f>
        <v/>
      </c>
      <c r="H1853" s="4" t="str">
        <f>HYPERLINK("http://141.218.60.56/~jnz1568/getInfo.php?workbook=16_15.xlsx&amp;sheet=A0&amp;row=1853&amp;col=8&amp;number=&amp;sourceID=54","")</f>
        <v/>
      </c>
      <c r="I1853" s="4" t="str">
        <f>HYPERLINK("http://141.218.60.56/~jnz1568/getInfo.php?workbook=16_15.xlsx&amp;sheet=A0&amp;row=1853&amp;col=9&amp;number=&amp;sourceID=54","")</f>
        <v/>
      </c>
      <c r="J1853" s="4" t="str">
        <f>HYPERLINK("http://141.218.60.56/~jnz1568/getInfo.php?workbook=16_15.xlsx&amp;sheet=A0&amp;row=1853&amp;col=10&amp;number=&amp;sourceID=54","")</f>
        <v/>
      </c>
      <c r="K1853" s="4" t="str">
        <f>HYPERLINK("http://141.218.60.56/~jnz1568/getInfo.php?workbook=16_15.xlsx&amp;sheet=A0&amp;row=1853&amp;col=11&amp;number=&amp;sourceID=54","")</f>
        <v/>
      </c>
      <c r="L1853" s="4" t="str">
        <f>HYPERLINK("http://141.218.60.56/~jnz1568/getInfo.php?workbook=16_15.xlsx&amp;sheet=A0&amp;row=1853&amp;col=12&amp;number=5426.32639815&amp;sourceID=53","5426.32639815")</f>
        <v>5426.32639815</v>
      </c>
      <c r="M1853" s="4" t="str">
        <f>HYPERLINK("http://141.218.60.56/~jnz1568/getInfo.php?workbook=16_15.xlsx&amp;sheet=A0&amp;row=1853&amp;col=13&amp;number=&amp;sourceID=53","")</f>
        <v/>
      </c>
      <c r="N1853" s="4" t="str">
        <f>HYPERLINK("http://141.218.60.56/~jnz1568/getInfo.php?workbook=16_15.xlsx&amp;sheet=A0&amp;row=1853&amp;col=14&amp;number=&amp;sourceID=53","")</f>
        <v/>
      </c>
      <c r="O1853" s="4" t="str">
        <f>HYPERLINK("http://141.218.60.56/~jnz1568/getInfo.php?workbook=16_15.xlsx&amp;sheet=A0&amp;row=1853&amp;col=15&amp;number=&amp;sourceID=55","")</f>
        <v/>
      </c>
      <c r="P1853" s="4" t="str">
        <f>HYPERLINK("http://141.218.60.56/~jnz1568/getInfo.php?workbook=16_15.xlsx&amp;sheet=A0&amp;row=1853&amp;col=16&amp;number=&amp;sourceID=55","")</f>
        <v/>
      </c>
      <c r="Q1853" s="4" t="str">
        <f>HYPERLINK("http://141.218.60.56/~jnz1568/getInfo.php?workbook=16_15.xlsx&amp;sheet=A0&amp;row=1853&amp;col=17&amp;number=&amp;sourceID=56","")</f>
        <v/>
      </c>
      <c r="R1853" s="4" t="str">
        <f>HYPERLINK("http://141.218.60.56/~jnz1568/getInfo.php?workbook=16_15.xlsx&amp;sheet=A0&amp;row=1853&amp;col=18&amp;number=&amp;sourceID=56","")</f>
        <v/>
      </c>
      <c r="S1853" s="4" t="str">
        <f>HYPERLINK("http://141.218.60.56/~jnz1568/getInfo.php?workbook=16_15.xlsx&amp;sheet=A0&amp;row=1853&amp;col=19&amp;number=&amp;sourceID=57","")</f>
        <v/>
      </c>
      <c r="T1853" s="4" t="str">
        <f>HYPERLINK("http://141.218.60.56/~jnz1568/getInfo.php?workbook=16_15.xlsx&amp;sheet=A0&amp;row=1853&amp;col=20&amp;number=&amp;sourceID=57","")</f>
        <v/>
      </c>
      <c r="U1853" s="4" t="str">
        <f>HYPERLINK("http://141.218.60.56/~jnz1568/getInfo.php?workbook=16_15.xlsx&amp;sheet=A0&amp;row=1853&amp;col=21&amp;number=&amp;sourceID=47","")</f>
        <v/>
      </c>
      <c r="V1853" s="4" t="str">
        <f>HYPERLINK("http://141.218.60.56/~jnz1568/getInfo.php?workbook=16_15.xlsx&amp;sheet=A0&amp;row=1853&amp;col=22&amp;number=&amp;sourceID=47","")</f>
        <v/>
      </c>
    </row>
    <row r="1854" spans="1:22">
      <c r="A1854" s="3">
        <v>16</v>
      </c>
      <c r="B1854" s="3">
        <v>15</v>
      </c>
      <c r="C1854" s="3">
        <v>70</v>
      </c>
      <c r="D1854" s="3">
        <v>17</v>
      </c>
      <c r="E1854" s="3">
        <f>((1/(INDEX(E0!J$4:J$73,C1854,1)-INDEX(E0!J$4:J$73,D1854,1))))*100000000</f>
        <v>0</v>
      </c>
      <c r="F1854" s="4" t="str">
        <f>HYPERLINK("http://141.218.60.56/~jnz1568/getInfo.php?workbook=16_15.xlsx&amp;sheet=A0&amp;row=1854&amp;col=6&amp;number=&amp;sourceID=54","")</f>
        <v/>
      </c>
      <c r="G1854" s="4" t="str">
        <f>HYPERLINK("http://141.218.60.56/~jnz1568/getInfo.php?workbook=16_15.xlsx&amp;sheet=A0&amp;row=1854&amp;col=7&amp;number=&amp;sourceID=54","")</f>
        <v/>
      </c>
      <c r="H1854" s="4" t="str">
        <f>HYPERLINK("http://141.218.60.56/~jnz1568/getInfo.php?workbook=16_15.xlsx&amp;sheet=A0&amp;row=1854&amp;col=8&amp;number=&amp;sourceID=54","")</f>
        <v/>
      </c>
      <c r="I1854" s="4" t="str">
        <f>HYPERLINK("http://141.218.60.56/~jnz1568/getInfo.php?workbook=16_15.xlsx&amp;sheet=A0&amp;row=1854&amp;col=9&amp;number=&amp;sourceID=54","")</f>
        <v/>
      </c>
      <c r="J1854" s="4" t="str">
        <f>HYPERLINK("http://141.218.60.56/~jnz1568/getInfo.php?workbook=16_15.xlsx&amp;sheet=A0&amp;row=1854&amp;col=10&amp;number=&amp;sourceID=54","")</f>
        <v/>
      </c>
      <c r="K1854" s="4" t="str">
        <f>HYPERLINK("http://141.218.60.56/~jnz1568/getInfo.php?workbook=16_15.xlsx&amp;sheet=A0&amp;row=1854&amp;col=11&amp;number=&amp;sourceID=54","")</f>
        <v/>
      </c>
      <c r="L1854" s="4" t="str">
        <f>HYPERLINK("http://141.218.60.56/~jnz1568/getInfo.php?workbook=16_15.xlsx&amp;sheet=A0&amp;row=1854&amp;col=12&amp;number=3354.50401961&amp;sourceID=53","3354.50401961")</f>
        <v>3354.50401961</v>
      </c>
      <c r="M1854" s="4" t="str">
        <f>HYPERLINK("http://141.218.60.56/~jnz1568/getInfo.php?workbook=16_15.xlsx&amp;sheet=A0&amp;row=1854&amp;col=13&amp;number=&amp;sourceID=53","")</f>
        <v/>
      </c>
      <c r="N1854" s="4" t="str">
        <f>HYPERLINK("http://141.218.60.56/~jnz1568/getInfo.php?workbook=16_15.xlsx&amp;sheet=A0&amp;row=1854&amp;col=14&amp;number=&amp;sourceID=53","")</f>
        <v/>
      </c>
      <c r="O1854" s="4" t="str">
        <f>HYPERLINK("http://141.218.60.56/~jnz1568/getInfo.php?workbook=16_15.xlsx&amp;sheet=A0&amp;row=1854&amp;col=15&amp;number=&amp;sourceID=55","")</f>
        <v/>
      </c>
      <c r="P1854" s="4" t="str">
        <f>HYPERLINK("http://141.218.60.56/~jnz1568/getInfo.php?workbook=16_15.xlsx&amp;sheet=A0&amp;row=1854&amp;col=16&amp;number=&amp;sourceID=55","")</f>
        <v/>
      </c>
      <c r="Q1854" s="4" t="str">
        <f>HYPERLINK("http://141.218.60.56/~jnz1568/getInfo.php?workbook=16_15.xlsx&amp;sheet=A0&amp;row=1854&amp;col=17&amp;number=&amp;sourceID=56","")</f>
        <v/>
      </c>
      <c r="R1854" s="4" t="str">
        <f>HYPERLINK("http://141.218.60.56/~jnz1568/getInfo.php?workbook=16_15.xlsx&amp;sheet=A0&amp;row=1854&amp;col=18&amp;number=&amp;sourceID=56","")</f>
        <v/>
      </c>
      <c r="S1854" s="4" t="str">
        <f>HYPERLINK("http://141.218.60.56/~jnz1568/getInfo.php?workbook=16_15.xlsx&amp;sheet=A0&amp;row=1854&amp;col=19&amp;number=&amp;sourceID=57","")</f>
        <v/>
      </c>
      <c r="T1854" s="4" t="str">
        <f>HYPERLINK("http://141.218.60.56/~jnz1568/getInfo.php?workbook=16_15.xlsx&amp;sheet=A0&amp;row=1854&amp;col=20&amp;number=&amp;sourceID=57","")</f>
        <v/>
      </c>
      <c r="U1854" s="4" t="str">
        <f>HYPERLINK("http://141.218.60.56/~jnz1568/getInfo.php?workbook=16_15.xlsx&amp;sheet=A0&amp;row=1854&amp;col=21&amp;number=&amp;sourceID=47","")</f>
        <v/>
      </c>
      <c r="V1854" s="4" t="str">
        <f>HYPERLINK("http://141.218.60.56/~jnz1568/getInfo.php?workbook=16_15.xlsx&amp;sheet=A0&amp;row=1854&amp;col=22&amp;number=&amp;sourceID=47","")</f>
        <v/>
      </c>
    </row>
    <row r="1855" spans="1:22">
      <c r="A1855" s="3">
        <v>16</v>
      </c>
      <c r="B1855" s="3">
        <v>15</v>
      </c>
      <c r="C1855" s="3">
        <v>70</v>
      </c>
      <c r="D1855" s="3">
        <v>20</v>
      </c>
      <c r="E1855" s="3">
        <f>((1/(INDEX(E0!J$4:J$73,C1855,1)-INDEX(E0!J$4:J$73,D1855,1))))*100000000</f>
        <v>0</v>
      </c>
      <c r="F1855" s="4" t="str">
        <f>HYPERLINK("http://141.218.60.56/~jnz1568/getInfo.php?workbook=16_15.xlsx&amp;sheet=A0&amp;row=1855&amp;col=6&amp;number=&amp;sourceID=54","")</f>
        <v/>
      </c>
      <c r="G1855" s="4" t="str">
        <f>HYPERLINK("http://141.218.60.56/~jnz1568/getInfo.php?workbook=16_15.xlsx&amp;sheet=A0&amp;row=1855&amp;col=7&amp;number=&amp;sourceID=54","")</f>
        <v/>
      </c>
      <c r="H1855" s="4" t="str">
        <f>HYPERLINK("http://141.218.60.56/~jnz1568/getInfo.php?workbook=16_15.xlsx&amp;sheet=A0&amp;row=1855&amp;col=8&amp;number=&amp;sourceID=54","")</f>
        <v/>
      </c>
      <c r="I1855" s="4" t="str">
        <f>HYPERLINK("http://141.218.60.56/~jnz1568/getInfo.php?workbook=16_15.xlsx&amp;sheet=A0&amp;row=1855&amp;col=9&amp;number=&amp;sourceID=54","")</f>
        <v/>
      </c>
      <c r="J1855" s="4" t="str">
        <f>HYPERLINK("http://141.218.60.56/~jnz1568/getInfo.php?workbook=16_15.xlsx&amp;sheet=A0&amp;row=1855&amp;col=10&amp;number=&amp;sourceID=54","")</f>
        <v/>
      </c>
      <c r="K1855" s="4" t="str">
        <f>HYPERLINK("http://141.218.60.56/~jnz1568/getInfo.php?workbook=16_15.xlsx&amp;sheet=A0&amp;row=1855&amp;col=11&amp;number=&amp;sourceID=54","")</f>
        <v/>
      </c>
      <c r="L1855" s="4" t="str">
        <f>HYPERLINK("http://141.218.60.56/~jnz1568/getInfo.php?workbook=16_15.xlsx&amp;sheet=A0&amp;row=1855&amp;col=12&amp;number=503049.772369&amp;sourceID=53","503049.772369")</f>
        <v>503049.772369</v>
      </c>
      <c r="M1855" s="4" t="str">
        <f>HYPERLINK("http://141.218.60.56/~jnz1568/getInfo.php?workbook=16_15.xlsx&amp;sheet=A0&amp;row=1855&amp;col=13&amp;number=&amp;sourceID=53","")</f>
        <v/>
      </c>
      <c r="N1855" s="4" t="str">
        <f>HYPERLINK("http://141.218.60.56/~jnz1568/getInfo.php?workbook=16_15.xlsx&amp;sheet=A0&amp;row=1855&amp;col=14&amp;number=&amp;sourceID=53","")</f>
        <v/>
      </c>
      <c r="O1855" s="4" t="str">
        <f>HYPERLINK("http://141.218.60.56/~jnz1568/getInfo.php?workbook=16_15.xlsx&amp;sheet=A0&amp;row=1855&amp;col=15&amp;number=&amp;sourceID=55","")</f>
        <v/>
      </c>
      <c r="P1855" s="4" t="str">
        <f>HYPERLINK("http://141.218.60.56/~jnz1568/getInfo.php?workbook=16_15.xlsx&amp;sheet=A0&amp;row=1855&amp;col=16&amp;number=&amp;sourceID=55","")</f>
        <v/>
      </c>
      <c r="Q1855" s="4" t="str">
        <f>HYPERLINK("http://141.218.60.56/~jnz1568/getInfo.php?workbook=16_15.xlsx&amp;sheet=A0&amp;row=1855&amp;col=17&amp;number=&amp;sourceID=56","")</f>
        <v/>
      </c>
      <c r="R1855" s="4" t="str">
        <f>HYPERLINK("http://141.218.60.56/~jnz1568/getInfo.php?workbook=16_15.xlsx&amp;sheet=A0&amp;row=1855&amp;col=18&amp;number=&amp;sourceID=56","")</f>
        <v/>
      </c>
      <c r="S1855" s="4" t="str">
        <f>HYPERLINK("http://141.218.60.56/~jnz1568/getInfo.php?workbook=16_15.xlsx&amp;sheet=A0&amp;row=1855&amp;col=19&amp;number=&amp;sourceID=57","")</f>
        <v/>
      </c>
      <c r="T1855" s="4" t="str">
        <f>HYPERLINK("http://141.218.60.56/~jnz1568/getInfo.php?workbook=16_15.xlsx&amp;sheet=A0&amp;row=1855&amp;col=20&amp;number=&amp;sourceID=57","")</f>
        <v/>
      </c>
      <c r="U1855" s="4" t="str">
        <f>HYPERLINK("http://141.218.60.56/~jnz1568/getInfo.php?workbook=16_15.xlsx&amp;sheet=A0&amp;row=1855&amp;col=21&amp;number=&amp;sourceID=47","")</f>
        <v/>
      </c>
      <c r="V1855" s="4" t="str">
        <f>HYPERLINK("http://141.218.60.56/~jnz1568/getInfo.php?workbook=16_15.xlsx&amp;sheet=A0&amp;row=1855&amp;col=22&amp;number=&amp;sourceID=47","")</f>
        <v/>
      </c>
    </row>
    <row r="1856" spans="1:22">
      <c r="A1856" s="3">
        <v>16</v>
      </c>
      <c r="B1856" s="3">
        <v>15</v>
      </c>
      <c r="C1856" s="3">
        <v>70</v>
      </c>
      <c r="D1856" s="3">
        <v>21</v>
      </c>
      <c r="E1856" s="3">
        <f>((1/(INDEX(E0!J$4:J$73,C1856,1)-INDEX(E0!J$4:J$73,D1856,1))))*100000000</f>
        <v>0</v>
      </c>
      <c r="F1856" s="4" t="str">
        <f>HYPERLINK("http://141.218.60.56/~jnz1568/getInfo.php?workbook=16_15.xlsx&amp;sheet=A0&amp;row=1856&amp;col=6&amp;number=&amp;sourceID=54","")</f>
        <v/>
      </c>
      <c r="G1856" s="4" t="str">
        <f>HYPERLINK("http://141.218.60.56/~jnz1568/getInfo.php?workbook=16_15.xlsx&amp;sheet=A0&amp;row=1856&amp;col=7&amp;number=&amp;sourceID=54","")</f>
        <v/>
      </c>
      <c r="H1856" s="4" t="str">
        <f>HYPERLINK("http://141.218.60.56/~jnz1568/getInfo.php?workbook=16_15.xlsx&amp;sheet=A0&amp;row=1856&amp;col=8&amp;number=&amp;sourceID=54","")</f>
        <v/>
      </c>
      <c r="I1856" s="4" t="str">
        <f>HYPERLINK("http://141.218.60.56/~jnz1568/getInfo.php?workbook=16_15.xlsx&amp;sheet=A0&amp;row=1856&amp;col=9&amp;number=&amp;sourceID=54","")</f>
        <v/>
      </c>
      <c r="J1856" s="4" t="str">
        <f>HYPERLINK("http://141.218.60.56/~jnz1568/getInfo.php?workbook=16_15.xlsx&amp;sheet=A0&amp;row=1856&amp;col=10&amp;number=&amp;sourceID=54","")</f>
        <v/>
      </c>
      <c r="K1856" s="4" t="str">
        <f>HYPERLINK("http://141.218.60.56/~jnz1568/getInfo.php?workbook=16_15.xlsx&amp;sheet=A0&amp;row=1856&amp;col=11&amp;number=&amp;sourceID=54","")</f>
        <v/>
      </c>
      <c r="L1856" s="4" t="str">
        <f>HYPERLINK("http://141.218.60.56/~jnz1568/getInfo.php?workbook=16_15.xlsx&amp;sheet=A0&amp;row=1856&amp;col=12&amp;number=2138875.94787&amp;sourceID=53","2138875.94787")</f>
        <v>2138875.94787</v>
      </c>
      <c r="M1856" s="4" t="str">
        <f>HYPERLINK("http://141.218.60.56/~jnz1568/getInfo.php?workbook=16_15.xlsx&amp;sheet=A0&amp;row=1856&amp;col=13&amp;number=&amp;sourceID=53","")</f>
        <v/>
      </c>
      <c r="N1856" s="4" t="str">
        <f>HYPERLINK("http://141.218.60.56/~jnz1568/getInfo.php?workbook=16_15.xlsx&amp;sheet=A0&amp;row=1856&amp;col=14&amp;number=&amp;sourceID=53","")</f>
        <v/>
      </c>
      <c r="O1856" s="4" t="str">
        <f>HYPERLINK("http://141.218.60.56/~jnz1568/getInfo.php?workbook=16_15.xlsx&amp;sheet=A0&amp;row=1856&amp;col=15&amp;number=&amp;sourceID=55","")</f>
        <v/>
      </c>
      <c r="P1856" s="4" t="str">
        <f>HYPERLINK("http://141.218.60.56/~jnz1568/getInfo.php?workbook=16_15.xlsx&amp;sheet=A0&amp;row=1856&amp;col=16&amp;number=&amp;sourceID=55","")</f>
        <v/>
      </c>
      <c r="Q1856" s="4" t="str">
        <f>HYPERLINK("http://141.218.60.56/~jnz1568/getInfo.php?workbook=16_15.xlsx&amp;sheet=A0&amp;row=1856&amp;col=17&amp;number=&amp;sourceID=56","")</f>
        <v/>
      </c>
      <c r="R1856" s="4" t="str">
        <f>HYPERLINK("http://141.218.60.56/~jnz1568/getInfo.php?workbook=16_15.xlsx&amp;sheet=A0&amp;row=1856&amp;col=18&amp;number=&amp;sourceID=56","")</f>
        <v/>
      </c>
      <c r="S1856" s="4" t="str">
        <f>HYPERLINK("http://141.218.60.56/~jnz1568/getInfo.php?workbook=16_15.xlsx&amp;sheet=A0&amp;row=1856&amp;col=19&amp;number=&amp;sourceID=57","")</f>
        <v/>
      </c>
      <c r="T1856" s="4" t="str">
        <f>HYPERLINK("http://141.218.60.56/~jnz1568/getInfo.php?workbook=16_15.xlsx&amp;sheet=A0&amp;row=1856&amp;col=20&amp;number=&amp;sourceID=57","")</f>
        <v/>
      </c>
      <c r="U1856" s="4" t="str">
        <f>HYPERLINK("http://141.218.60.56/~jnz1568/getInfo.php?workbook=16_15.xlsx&amp;sheet=A0&amp;row=1856&amp;col=21&amp;number=&amp;sourceID=47","")</f>
        <v/>
      </c>
      <c r="V1856" s="4" t="str">
        <f>HYPERLINK("http://141.218.60.56/~jnz1568/getInfo.php?workbook=16_15.xlsx&amp;sheet=A0&amp;row=1856&amp;col=22&amp;number=&amp;sourceID=47","")</f>
        <v/>
      </c>
    </row>
    <row r="1857" spans="1:22">
      <c r="A1857" s="3">
        <v>16</v>
      </c>
      <c r="B1857" s="3">
        <v>15</v>
      </c>
      <c r="C1857" s="3">
        <v>70</v>
      </c>
      <c r="D1857" s="3">
        <v>22</v>
      </c>
      <c r="E1857" s="3">
        <f>((1/(INDEX(E0!J$4:J$73,C1857,1)-INDEX(E0!J$4:J$73,D1857,1))))*100000000</f>
        <v>0</v>
      </c>
      <c r="F1857" s="4" t="str">
        <f>HYPERLINK("http://141.218.60.56/~jnz1568/getInfo.php?workbook=16_15.xlsx&amp;sheet=A0&amp;row=1857&amp;col=6&amp;number=&amp;sourceID=54","")</f>
        <v/>
      </c>
      <c r="G1857" s="4" t="str">
        <f>HYPERLINK("http://141.218.60.56/~jnz1568/getInfo.php?workbook=16_15.xlsx&amp;sheet=A0&amp;row=1857&amp;col=7&amp;number=&amp;sourceID=54","")</f>
        <v/>
      </c>
      <c r="H1857" s="4" t="str">
        <f>HYPERLINK("http://141.218.60.56/~jnz1568/getInfo.php?workbook=16_15.xlsx&amp;sheet=A0&amp;row=1857&amp;col=8&amp;number=&amp;sourceID=54","")</f>
        <v/>
      </c>
      <c r="I1857" s="4" t="str">
        <f>HYPERLINK("http://141.218.60.56/~jnz1568/getInfo.php?workbook=16_15.xlsx&amp;sheet=A0&amp;row=1857&amp;col=9&amp;number=&amp;sourceID=54","")</f>
        <v/>
      </c>
      <c r="J1857" s="4" t="str">
        <f>HYPERLINK("http://141.218.60.56/~jnz1568/getInfo.php?workbook=16_15.xlsx&amp;sheet=A0&amp;row=1857&amp;col=10&amp;number=&amp;sourceID=54","")</f>
        <v/>
      </c>
      <c r="K1857" s="4" t="str">
        <f>HYPERLINK("http://141.218.60.56/~jnz1568/getInfo.php?workbook=16_15.xlsx&amp;sheet=A0&amp;row=1857&amp;col=11&amp;number=&amp;sourceID=54","")</f>
        <v/>
      </c>
      <c r="L1857" s="4" t="str">
        <f>HYPERLINK("http://141.218.60.56/~jnz1568/getInfo.php?workbook=16_15.xlsx&amp;sheet=A0&amp;row=1857&amp;col=12&amp;number=442.678457379&amp;sourceID=53","442.678457379")</f>
        <v>442.678457379</v>
      </c>
      <c r="M1857" s="4" t="str">
        <f>HYPERLINK("http://141.218.60.56/~jnz1568/getInfo.php?workbook=16_15.xlsx&amp;sheet=A0&amp;row=1857&amp;col=13&amp;number=&amp;sourceID=53","")</f>
        <v/>
      </c>
      <c r="N1857" s="4" t="str">
        <f>HYPERLINK("http://141.218.60.56/~jnz1568/getInfo.php?workbook=16_15.xlsx&amp;sheet=A0&amp;row=1857&amp;col=14&amp;number=&amp;sourceID=53","")</f>
        <v/>
      </c>
      <c r="O1857" s="4" t="str">
        <f>HYPERLINK("http://141.218.60.56/~jnz1568/getInfo.php?workbook=16_15.xlsx&amp;sheet=A0&amp;row=1857&amp;col=15&amp;number=&amp;sourceID=55","")</f>
        <v/>
      </c>
      <c r="P1857" s="4" t="str">
        <f>HYPERLINK("http://141.218.60.56/~jnz1568/getInfo.php?workbook=16_15.xlsx&amp;sheet=A0&amp;row=1857&amp;col=16&amp;number=&amp;sourceID=55","")</f>
        <v/>
      </c>
      <c r="Q1857" s="4" t="str">
        <f>HYPERLINK("http://141.218.60.56/~jnz1568/getInfo.php?workbook=16_15.xlsx&amp;sheet=A0&amp;row=1857&amp;col=17&amp;number=&amp;sourceID=56","")</f>
        <v/>
      </c>
      <c r="R1857" s="4" t="str">
        <f>HYPERLINK("http://141.218.60.56/~jnz1568/getInfo.php?workbook=16_15.xlsx&amp;sheet=A0&amp;row=1857&amp;col=18&amp;number=&amp;sourceID=56","")</f>
        <v/>
      </c>
      <c r="S1857" s="4" t="str">
        <f>HYPERLINK("http://141.218.60.56/~jnz1568/getInfo.php?workbook=16_15.xlsx&amp;sheet=A0&amp;row=1857&amp;col=19&amp;number=&amp;sourceID=57","")</f>
        <v/>
      </c>
      <c r="T1857" s="4" t="str">
        <f>HYPERLINK("http://141.218.60.56/~jnz1568/getInfo.php?workbook=16_15.xlsx&amp;sheet=A0&amp;row=1857&amp;col=20&amp;number=&amp;sourceID=57","")</f>
        <v/>
      </c>
      <c r="U1857" s="4" t="str">
        <f>HYPERLINK("http://141.218.60.56/~jnz1568/getInfo.php?workbook=16_15.xlsx&amp;sheet=A0&amp;row=1857&amp;col=21&amp;number=&amp;sourceID=47","")</f>
        <v/>
      </c>
      <c r="V1857" s="4" t="str">
        <f>HYPERLINK("http://141.218.60.56/~jnz1568/getInfo.php?workbook=16_15.xlsx&amp;sheet=A0&amp;row=1857&amp;col=22&amp;number=&amp;sourceID=47","")</f>
        <v/>
      </c>
    </row>
    <row r="1858" spans="1:22">
      <c r="A1858" s="3">
        <v>16</v>
      </c>
      <c r="B1858" s="3">
        <v>15</v>
      </c>
      <c r="C1858" s="3">
        <v>70</v>
      </c>
      <c r="D1858" s="3">
        <v>23</v>
      </c>
      <c r="E1858" s="3">
        <f>((1/(INDEX(E0!J$4:J$73,C1858,1)-INDEX(E0!J$4:J$73,D1858,1))))*100000000</f>
        <v>0</v>
      </c>
      <c r="F1858" s="4" t="str">
        <f>HYPERLINK("http://141.218.60.56/~jnz1568/getInfo.php?workbook=16_15.xlsx&amp;sheet=A0&amp;row=1858&amp;col=6&amp;number=&amp;sourceID=54","")</f>
        <v/>
      </c>
      <c r="G1858" s="4" t="str">
        <f>HYPERLINK("http://141.218.60.56/~jnz1568/getInfo.php?workbook=16_15.xlsx&amp;sheet=A0&amp;row=1858&amp;col=7&amp;number=&amp;sourceID=54","")</f>
        <v/>
      </c>
      <c r="H1858" s="4" t="str">
        <f>HYPERLINK("http://141.218.60.56/~jnz1568/getInfo.php?workbook=16_15.xlsx&amp;sheet=A0&amp;row=1858&amp;col=8&amp;number=&amp;sourceID=54","")</f>
        <v/>
      </c>
      <c r="I1858" s="4" t="str">
        <f>HYPERLINK("http://141.218.60.56/~jnz1568/getInfo.php?workbook=16_15.xlsx&amp;sheet=A0&amp;row=1858&amp;col=9&amp;number=&amp;sourceID=54","")</f>
        <v/>
      </c>
      <c r="J1858" s="4" t="str">
        <f>HYPERLINK("http://141.218.60.56/~jnz1568/getInfo.php?workbook=16_15.xlsx&amp;sheet=A0&amp;row=1858&amp;col=10&amp;number=&amp;sourceID=54","")</f>
        <v/>
      </c>
      <c r="K1858" s="4" t="str">
        <f>HYPERLINK("http://141.218.60.56/~jnz1568/getInfo.php?workbook=16_15.xlsx&amp;sheet=A0&amp;row=1858&amp;col=11&amp;number=&amp;sourceID=54","")</f>
        <v/>
      </c>
      <c r="L1858" s="4" t="str">
        <f>HYPERLINK("http://141.218.60.56/~jnz1568/getInfo.php?workbook=16_15.xlsx&amp;sheet=A0&amp;row=1858&amp;col=12&amp;number=1565.9109717&amp;sourceID=53","1565.9109717")</f>
        <v>1565.9109717</v>
      </c>
      <c r="M1858" s="4" t="str">
        <f>HYPERLINK("http://141.218.60.56/~jnz1568/getInfo.php?workbook=16_15.xlsx&amp;sheet=A0&amp;row=1858&amp;col=13&amp;number=&amp;sourceID=53","")</f>
        <v/>
      </c>
      <c r="N1858" s="4" t="str">
        <f>HYPERLINK("http://141.218.60.56/~jnz1568/getInfo.php?workbook=16_15.xlsx&amp;sheet=A0&amp;row=1858&amp;col=14&amp;number=&amp;sourceID=53","")</f>
        <v/>
      </c>
      <c r="O1858" s="4" t="str">
        <f>HYPERLINK("http://141.218.60.56/~jnz1568/getInfo.php?workbook=16_15.xlsx&amp;sheet=A0&amp;row=1858&amp;col=15&amp;number=&amp;sourceID=55","")</f>
        <v/>
      </c>
      <c r="P1858" s="4" t="str">
        <f>HYPERLINK("http://141.218.60.56/~jnz1568/getInfo.php?workbook=16_15.xlsx&amp;sheet=A0&amp;row=1858&amp;col=16&amp;number=&amp;sourceID=55","")</f>
        <v/>
      </c>
      <c r="Q1858" s="4" t="str">
        <f>HYPERLINK("http://141.218.60.56/~jnz1568/getInfo.php?workbook=16_15.xlsx&amp;sheet=A0&amp;row=1858&amp;col=17&amp;number=&amp;sourceID=56","")</f>
        <v/>
      </c>
      <c r="R1858" s="4" t="str">
        <f>HYPERLINK("http://141.218.60.56/~jnz1568/getInfo.php?workbook=16_15.xlsx&amp;sheet=A0&amp;row=1858&amp;col=18&amp;number=&amp;sourceID=56","")</f>
        <v/>
      </c>
      <c r="S1858" s="4" t="str">
        <f>HYPERLINK("http://141.218.60.56/~jnz1568/getInfo.php?workbook=16_15.xlsx&amp;sheet=A0&amp;row=1858&amp;col=19&amp;number=&amp;sourceID=57","")</f>
        <v/>
      </c>
      <c r="T1858" s="4" t="str">
        <f>HYPERLINK("http://141.218.60.56/~jnz1568/getInfo.php?workbook=16_15.xlsx&amp;sheet=A0&amp;row=1858&amp;col=20&amp;number=&amp;sourceID=57","")</f>
        <v/>
      </c>
      <c r="U1858" s="4" t="str">
        <f>HYPERLINK("http://141.218.60.56/~jnz1568/getInfo.php?workbook=16_15.xlsx&amp;sheet=A0&amp;row=1858&amp;col=21&amp;number=&amp;sourceID=47","")</f>
        <v/>
      </c>
      <c r="V1858" s="4" t="str">
        <f>HYPERLINK("http://141.218.60.56/~jnz1568/getInfo.php?workbook=16_15.xlsx&amp;sheet=A0&amp;row=1858&amp;col=22&amp;number=&amp;sourceID=47","")</f>
        <v/>
      </c>
    </row>
    <row r="1859" spans="1:22">
      <c r="A1859" s="3">
        <v>16</v>
      </c>
      <c r="B1859" s="3">
        <v>15</v>
      </c>
      <c r="C1859" s="3">
        <v>70</v>
      </c>
      <c r="D1859" s="3">
        <v>24</v>
      </c>
      <c r="E1859" s="3">
        <f>((1/(INDEX(E0!J$4:J$73,C1859,1)-INDEX(E0!J$4:J$73,D1859,1))))*100000000</f>
        <v>0</v>
      </c>
      <c r="F1859" s="4" t="str">
        <f>HYPERLINK("http://141.218.60.56/~jnz1568/getInfo.php?workbook=16_15.xlsx&amp;sheet=A0&amp;row=1859&amp;col=6&amp;number=&amp;sourceID=54","")</f>
        <v/>
      </c>
      <c r="G1859" s="4" t="str">
        <f>HYPERLINK("http://141.218.60.56/~jnz1568/getInfo.php?workbook=16_15.xlsx&amp;sheet=A0&amp;row=1859&amp;col=7&amp;number=&amp;sourceID=54","")</f>
        <v/>
      </c>
      <c r="H1859" s="4" t="str">
        <f>HYPERLINK("http://141.218.60.56/~jnz1568/getInfo.php?workbook=16_15.xlsx&amp;sheet=A0&amp;row=1859&amp;col=8&amp;number=&amp;sourceID=54","")</f>
        <v/>
      </c>
      <c r="I1859" s="4" t="str">
        <f>HYPERLINK("http://141.218.60.56/~jnz1568/getInfo.php?workbook=16_15.xlsx&amp;sheet=A0&amp;row=1859&amp;col=9&amp;number=&amp;sourceID=54","")</f>
        <v/>
      </c>
      <c r="J1859" s="4" t="str">
        <f>HYPERLINK("http://141.218.60.56/~jnz1568/getInfo.php?workbook=16_15.xlsx&amp;sheet=A0&amp;row=1859&amp;col=10&amp;number=&amp;sourceID=54","")</f>
        <v/>
      </c>
      <c r="K1859" s="4" t="str">
        <f>HYPERLINK("http://141.218.60.56/~jnz1568/getInfo.php?workbook=16_15.xlsx&amp;sheet=A0&amp;row=1859&amp;col=11&amp;number=&amp;sourceID=54","")</f>
        <v/>
      </c>
      <c r="L1859" s="4" t="str">
        <f>HYPERLINK("http://141.218.60.56/~jnz1568/getInfo.php?workbook=16_15.xlsx&amp;sheet=A0&amp;row=1859&amp;col=12&amp;number=4631.04832887&amp;sourceID=53","4631.04832887")</f>
        <v>4631.04832887</v>
      </c>
      <c r="M1859" s="4" t="str">
        <f>HYPERLINK("http://141.218.60.56/~jnz1568/getInfo.php?workbook=16_15.xlsx&amp;sheet=A0&amp;row=1859&amp;col=13&amp;number=&amp;sourceID=53","")</f>
        <v/>
      </c>
      <c r="N1859" s="4" t="str">
        <f>HYPERLINK("http://141.218.60.56/~jnz1568/getInfo.php?workbook=16_15.xlsx&amp;sheet=A0&amp;row=1859&amp;col=14&amp;number=&amp;sourceID=53","")</f>
        <v/>
      </c>
      <c r="O1859" s="4" t="str">
        <f>HYPERLINK("http://141.218.60.56/~jnz1568/getInfo.php?workbook=16_15.xlsx&amp;sheet=A0&amp;row=1859&amp;col=15&amp;number=&amp;sourceID=55","")</f>
        <v/>
      </c>
      <c r="P1859" s="4" t="str">
        <f>HYPERLINK("http://141.218.60.56/~jnz1568/getInfo.php?workbook=16_15.xlsx&amp;sheet=A0&amp;row=1859&amp;col=16&amp;number=&amp;sourceID=55","")</f>
        <v/>
      </c>
      <c r="Q1859" s="4" t="str">
        <f>HYPERLINK("http://141.218.60.56/~jnz1568/getInfo.php?workbook=16_15.xlsx&amp;sheet=A0&amp;row=1859&amp;col=17&amp;number=&amp;sourceID=56","")</f>
        <v/>
      </c>
      <c r="R1859" s="4" t="str">
        <f>HYPERLINK("http://141.218.60.56/~jnz1568/getInfo.php?workbook=16_15.xlsx&amp;sheet=A0&amp;row=1859&amp;col=18&amp;number=&amp;sourceID=56","")</f>
        <v/>
      </c>
      <c r="S1859" s="4" t="str">
        <f>HYPERLINK("http://141.218.60.56/~jnz1568/getInfo.php?workbook=16_15.xlsx&amp;sheet=A0&amp;row=1859&amp;col=19&amp;number=&amp;sourceID=57","")</f>
        <v/>
      </c>
      <c r="T1859" s="4" t="str">
        <f>HYPERLINK("http://141.218.60.56/~jnz1568/getInfo.php?workbook=16_15.xlsx&amp;sheet=A0&amp;row=1859&amp;col=20&amp;number=&amp;sourceID=57","")</f>
        <v/>
      </c>
      <c r="U1859" s="4" t="str">
        <f>HYPERLINK("http://141.218.60.56/~jnz1568/getInfo.php?workbook=16_15.xlsx&amp;sheet=A0&amp;row=1859&amp;col=21&amp;number=&amp;sourceID=47","")</f>
        <v/>
      </c>
      <c r="V1859" s="4" t="str">
        <f>HYPERLINK("http://141.218.60.56/~jnz1568/getInfo.php?workbook=16_15.xlsx&amp;sheet=A0&amp;row=1859&amp;col=22&amp;number=&amp;sourceID=47","")</f>
        <v/>
      </c>
    </row>
    <row r="1860" spans="1:22">
      <c r="A1860" s="3">
        <v>16</v>
      </c>
      <c r="B1860" s="3">
        <v>15</v>
      </c>
      <c r="C1860" s="3">
        <v>70</v>
      </c>
      <c r="D1860" s="3">
        <v>26</v>
      </c>
      <c r="E1860" s="3">
        <f>((1/(INDEX(E0!J$4:J$73,C1860,1)-INDEX(E0!J$4:J$73,D1860,1))))*100000000</f>
        <v>0</v>
      </c>
      <c r="F1860" s="4" t="str">
        <f>HYPERLINK("http://141.218.60.56/~jnz1568/getInfo.php?workbook=16_15.xlsx&amp;sheet=A0&amp;row=1860&amp;col=6&amp;number=&amp;sourceID=54","")</f>
        <v/>
      </c>
      <c r="G1860" s="4" t="str">
        <f>HYPERLINK("http://141.218.60.56/~jnz1568/getInfo.php?workbook=16_15.xlsx&amp;sheet=A0&amp;row=1860&amp;col=7&amp;number=&amp;sourceID=54","")</f>
        <v/>
      </c>
      <c r="H1860" s="4" t="str">
        <f>HYPERLINK("http://141.218.60.56/~jnz1568/getInfo.php?workbook=16_15.xlsx&amp;sheet=A0&amp;row=1860&amp;col=8&amp;number=&amp;sourceID=54","")</f>
        <v/>
      </c>
      <c r="I1860" s="4" t="str">
        <f>HYPERLINK("http://141.218.60.56/~jnz1568/getInfo.php?workbook=16_15.xlsx&amp;sheet=A0&amp;row=1860&amp;col=9&amp;number=&amp;sourceID=54","")</f>
        <v/>
      </c>
      <c r="J1860" s="4" t="str">
        <f>HYPERLINK("http://141.218.60.56/~jnz1568/getInfo.php?workbook=16_15.xlsx&amp;sheet=A0&amp;row=1860&amp;col=10&amp;number=&amp;sourceID=54","")</f>
        <v/>
      </c>
      <c r="K1860" s="4" t="str">
        <f>HYPERLINK("http://141.218.60.56/~jnz1568/getInfo.php?workbook=16_15.xlsx&amp;sheet=A0&amp;row=1860&amp;col=11&amp;number=&amp;sourceID=54","")</f>
        <v/>
      </c>
      <c r="L1860" s="4" t="str">
        <f>HYPERLINK("http://141.218.60.56/~jnz1568/getInfo.php?workbook=16_15.xlsx&amp;sheet=A0&amp;row=1860&amp;col=12&amp;number=596.16981911&amp;sourceID=53","596.16981911")</f>
        <v>596.16981911</v>
      </c>
      <c r="M1860" s="4" t="str">
        <f>HYPERLINK("http://141.218.60.56/~jnz1568/getInfo.php?workbook=16_15.xlsx&amp;sheet=A0&amp;row=1860&amp;col=13&amp;number=&amp;sourceID=53","")</f>
        <v/>
      </c>
      <c r="N1860" s="4" t="str">
        <f>HYPERLINK("http://141.218.60.56/~jnz1568/getInfo.php?workbook=16_15.xlsx&amp;sheet=A0&amp;row=1860&amp;col=14&amp;number=&amp;sourceID=53","")</f>
        <v/>
      </c>
      <c r="O1860" s="4" t="str">
        <f>HYPERLINK("http://141.218.60.56/~jnz1568/getInfo.php?workbook=16_15.xlsx&amp;sheet=A0&amp;row=1860&amp;col=15&amp;number=&amp;sourceID=55","")</f>
        <v/>
      </c>
      <c r="P1860" s="4" t="str">
        <f>HYPERLINK("http://141.218.60.56/~jnz1568/getInfo.php?workbook=16_15.xlsx&amp;sheet=A0&amp;row=1860&amp;col=16&amp;number=&amp;sourceID=55","")</f>
        <v/>
      </c>
      <c r="Q1860" s="4" t="str">
        <f>HYPERLINK("http://141.218.60.56/~jnz1568/getInfo.php?workbook=16_15.xlsx&amp;sheet=A0&amp;row=1860&amp;col=17&amp;number=&amp;sourceID=56","")</f>
        <v/>
      </c>
      <c r="R1860" s="4" t="str">
        <f>HYPERLINK("http://141.218.60.56/~jnz1568/getInfo.php?workbook=16_15.xlsx&amp;sheet=A0&amp;row=1860&amp;col=18&amp;number=&amp;sourceID=56","")</f>
        <v/>
      </c>
      <c r="S1860" s="4" t="str">
        <f>HYPERLINK("http://141.218.60.56/~jnz1568/getInfo.php?workbook=16_15.xlsx&amp;sheet=A0&amp;row=1860&amp;col=19&amp;number=&amp;sourceID=57","")</f>
        <v/>
      </c>
      <c r="T1860" s="4" t="str">
        <f>HYPERLINK("http://141.218.60.56/~jnz1568/getInfo.php?workbook=16_15.xlsx&amp;sheet=A0&amp;row=1860&amp;col=20&amp;number=&amp;sourceID=57","")</f>
        <v/>
      </c>
      <c r="U1860" s="4" t="str">
        <f>HYPERLINK("http://141.218.60.56/~jnz1568/getInfo.php?workbook=16_15.xlsx&amp;sheet=A0&amp;row=1860&amp;col=21&amp;number=&amp;sourceID=47","")</f>
        <v/>
      </c>
      <c r="V1860" s="4" t="str">
        <f>HYPERLINK("http://141.218.60.56/~jnz1568/getInfo.php?workbook=16_15.xlsx&amp;sheet=A0&amp;row=1860&amp;col=22&amp;number=&amp;sourceID=47","")</f>
        <v/>
      </c>
    </row>
    <row r="1861" spans="1:22">
      <c r="A1861" s="3">
        <v>16</v>
      </c>
      <c r="B1861" s="3">
        <v>15</v>
      </c>
      <c r="C1861" s="3">
        <v>70</v>
      </c>
      <c r="D1861" s="3">
        <v>28</v>
      </c>
      <c r="E1861" s="3">
        <f>((1/(INDEX(E0!J$4:J$73,C1861,1)-INDEX(E0!J$4:J$73,D1861,1))))*100000000</f>
        <v>0</v>
      </c>
      <c r="F1861" s="4" t="str">
        <f>HYPERLINK("http://141.218.60.56/~jnz1568/getInfo.php?workbook=16_15.xlsx&amp;sheet=A0&amp;row=1861&amp;col=6&amp;number=&amp;sourceID=54","")</f>
        <v/>
      </c>
      <c r="G1861" s="4" t="str">
        <f>HYPERLINK("http://141.218.60.56/~jnz1568/getInfo.php?workbook=16_15.xlsx&amp;sheet=A0&amp;row=1861&amp;col=7&amp;number=&amp;sourceID=54","")</f>
        <v/>
      </c>
      <c r="H1861" s="4" t="str">
        <f>HYPERLINK("http://141.218.60.56/~jnz1568/getInfo.php?workbook=16_15.xlsx&amp;sheet=A0&amp;row=1861&amp;col=8&amp;number=&amp;sourceID=54","")</f>
        <v/>
      </c>
      <c r="I1861" s="4" t="str">
        <f>HYPERLINK("http://141.218.60.56/~jnz1568/getInfo.php?workbook=16_15.xlsx&amp;sheet=A0&amp;row=1861&amp;col=9&amp;number=&amp;sourceID=54","")</f>
        <v/>
      </c>
      <c r="J1861" s="4" t="str">
        <f>HYPERLINK("http://141.218.60.56/~jnz1568/getInfo.php?workbook=16_15.xlsx&amp;sheet=A0&amp;row=1861&amp;col=10&amp;number=&amp;sourceID=54","")</f>
        <v/>
      </c>
      <c r="K1861" s="4" t="str">
        <f>HYPERLINK("http://141.218.60.56/~jnz1568/getInfo.php?workbook=16_15.xlsx&amp;sheet=A0&amp;row=1861&amp;col=11&amp;number=&amp;sourceID=54","")</f>
        <v/>
      </c>
      <c r="L1861" s="4" t="str">
        <f>HYPERLINK("http://141.218.60.56/~jnz1568/getInfo.php?workbook=16_15.xlsx&amp;sheet=A0&amp;row=1861&amp;col=12&amp;number=3003290.38258&amp;sourceID=53","3003290.38258")</f>
        <v>3003290.38258</v>
      </c>
      <c r="M1861" s="4" t="str">
        <f>HYPERLINK("http://141.218.60.56/~jnz1568/getInfo.php?workbook=16_15.xlsx&amp;sheet=A0&amp;row=1861&amp;col=13&amp;number=&amp;sourceID=53","")</f>
        <v/>
      </c>
      <c r="N1861" s="4" t="str">
        <f>HYPERLINK("http://141.218.60.56/~jnz1568/getInfo.php?workbook=16_15.xlsx&amp;sheet=A0&amp;row=1861&amp;col=14&amp;number=&amp;sourceID=53","")</f>
        <v/>
      </c>
      <c r="O1861" s="4" t="str">
        <f>HYPERLINK("http://141.218.60.56/~jnz1568/getInfo.php?workbook=16_15.xlsx&amp;sheet=A0&amp;row=1861&amp;col=15&amp;number=&amp;sourceID=55","")</f>
        <v/>
      </c>
      <c r="P1861" s="4" t="str">
        <f>HYPERLINK("http://141.218.60.56/~jnz1568/getInfo.php?workbook=16_15.xlsx&amp;sheet=A0&amp;row=1861&amp;col=16&amp;number=&amp;sourceID=55","")</f>
        <v/>
      </c>
      <c r="Q1861" s="4" t="str">
        <f>HYPERLINK("http://141.218.60.56/~jnz1568/getInfo.php?workbook=16_15.xlsx&amp;sheet=A0&amp;row=1861&amp;col=17&amp;number=&amp;sourceID=56","")</f>
        <v/>
      </c>
      <c r="R1861" s="4" t="str">
        <f>HYPERLINK("http://141.218.60.56/~jnz1568/getInfo.php?workbook=16_15.xlsx&amp;sheet=A0&amp;row=1861&amp;col=18&amp;number=&amp;sourceID=56","")</f>
        <v/>
      </c>
      <c r="S1861" s="4" t="str">
        <f>HYPERLINK("http://141.218.60.56/~jnz1568/getInfo.php?workbook=16_15.xlsx&amp;sheet=A0&amp;row=1861&amp;col=19&amp;number=&amp;sourceID=57","")</f>
        <v/>
      </c>
      <c r="T1861" s="4" t="str">
        <f>HYPERLINK("http://141.218.60.56/~jnz1568/getInfo.php?workbook=16_15.xlsx&amp;sheet=A0&amp;row=1861&amp;col=20&amp;number=&amp;sourceID=57","")</f>
        <v/>
      </c>
      <c r="U1861" s="4" t="str">
        <f>HYPERLINK("http://141.218.60.56/~jnz1568/getInfo.php?workbook=16_15.xlsx&amp;sheet=A0&amp;row=1861&amp;col=21&amp;number=&amp;sourceID=47","")</f>
        <v/>
      </c>
      <c r="V1861" s="4" t="str">
        <f>HYPERLINK("http://141.218.60.56/~jnz1568/getInfo.php?workbook=16_15.xlsx&amp;sheet=A0&amp;row=1861&amp;col=22&amp;number=&amp;sourceID=47","")</f>
        <v/>
      </c>
    </row>
    <row r="1862" spans="1:22">
      <c r="A1862" s="3">
        <v>16</v>
      </c>
      <c r="B1862" s="3">
        <v>15</v>
      </c>
      <c r="C1862" s="3">
        <v>70</v>
      </c>
      <c r="D1862" s="3">
        <v>29</v>
      </c>
      <c r="E1862" s="3">
        <f>((1/(INDEX(E0!J$4:J$73,C1862,1)-INDEX(E0!J$4:J$73,D1862,1))))*100000000</f>
        <v>0</v>
      </c>
      <c r="F1862" s="4" t="str">
        <f>HYPERLINK("http://141.218.60.56/~jnz1568/getInfo.php?workbook=16_15.xlsx&amp;sheet=A0&amp;row=1862&amp;col=6&amp;number=&amp;sourceID=54","")</f>
        <v/>
      </c>
      <c r="G1862" s="4" t="str">
        <f>HYPERLINK("http://141.218.60.56/~jnz1568/getInfo.php?workbook=16_15.xlsx&amp;sheet=A0&amp;row=1862&amp;col=7&amp;number=&amp;sourceID=54","")</f>
        <v/>
      </c>
      <c r="H1862" s="4" t="str">
        <f>HYPERLINK("http://141.218.60.56/~jnz1568/getInfo.php?workbook=16_15.xlsx&amp;sheet=A0&amp;row=1862&amp;col=8&amp;number=&amp;sourceID=54","")</f>
        <v/>
      </c>
      <c r="I1862" s="4" t="str">
        <f>HYPERLINK("http://141.218.60.56/~jnz1568/getInfo.php?workbook=16_15.xlsx&amp;sheet=A0&amp;row=1862&amp;col=9&amp;number=&amp;sourceID=54","")</f>
        <v/>
      </c>
      <c r="J1862" s="4" t="str">
        <f>HYPERLINK("http://141.218.60.56/~jnz1568/getInfo.php?workbook=16_15.xlsx&amp;sheet=A0&amp;row=1862&amp;col=10&amp;number=&amp;sourceID=54","")</f>
        <v/>
      </c>
      <c r="K1862" s="4" t="str">
        <f>HYPERLINK("http://141.218.60.56/~jnz1568/getInfo.php?workbook=16_15.xlsx&amp;sheet=A0&amp;row=1862&amp;col=11&amp;number=&amp;sourceID=54","")</f>
        <v/>
      </c>
      <c r="L1862" s="4" t="str">
        <f>HYPERLINK("http://141.218.60.56/~jnz1568/getInfo.php?workbook=16_15.xlsx&amp;sheet=A0&amp;row=1862&amp;col=12&amp;number=216770.603122&amp;sourceID=53","216770.603122")</f>
        <v>216770.603122</v>
      </c>
      <c r="M1862" s="4" t="str">
        <f>HYPERLINK("http://141.218.60.56/~jnz1568/getInfo.php?workbook=16_15.xlsx&amp;sheet=A0&amp;row=1862&amp;col=13&amp;number=&amp;sourceID=53","")</f>
        <v/>
      </c>
      <c r="N1862" s="4" t="str">
        <f>HYPERLINK("http://141.218.60.56/~jnz1568/getInfo.php?workbook=16_15.xlsx&amp;sheet=A0&amp;row=1862&amp;col=14&amp;number=&amp;sourceID=53","")</f>
        <v/>
      </c>
      <c r="O1862" s="4" t="str">
        <f>HYPERLINK("http://141.218.60.56/~jnz1568/getInfo.php?workbook=16_15.xlsx&amp;sheet=A0&amp;row=1862&amp;col=15&amp;number=&amp;sourceID=55","")</f>
        <v/>
      </c>
      <c r="P1862" s="4" t="str">
        <f>HYPERLINK("http://141.218.60.56/~jnz1568/getInfo.php?workbook=16_15.xlsx&amp;sheet=A0&amp;row=1862&amp;col=16&amp;number=&amp;sourceID=55","")</f>
        <v/>
      </c>
      <c r="Q1862" s="4" t="str">
        <f>HYPERLINK("http://141.218.60.56/~jnz1568/getInfo.php?workbook=16_15.xlsx&amp;sheet=A0&amp;row=1862&amp;col=17&amp;number=&amp;sourceID=56","")</f>
        <v/>
      </c>
      <c r="R1862" s="4" t="str">
        <f>HYPERLINK("http://141.218.60.56/~jnz1568/getInfo.php?workbook=16_15.xlsx&amp;sheet=A0&amp;row=1862&amp;col=18&amp;number=&amp;sourceID=56","")</f>
        <v/>
      </c>
      <c r="S1862" s="4" t="str">
        <f>HYPERLINK("http://141.218.60.56/~jnz1568/getInfo.php?workbook=16_15.xlsx&amp;sheet=A0&amp;row=1862&amp;col=19&amp;number=&amp;sourceID=57","")</f>
        <v/>
      </c>
      <c r="T1862" s="4" t="str">
        <f>HYPERLINK("http://141.218.60.56/~jnz1568/getInfo.php?workbook=16_15.xlsx&amp;sheet=A0&amp;row=1862&amp;col=20&amp;number=&amp;sourceID=57","")</f>
        <v/>
      </c>
      <c r="U1862" s="4" t="str">
        <f>HYPERLINK("http://141.218.60.56/~jnz1568/getInfo.php?workbook=16_15.xlsx&amp;sheet=A0&amp;row=1862&amp;col=21&amp;number=&amp;sourceID=47","")</f>
        <v/>
      </c>
      <c r="V1862" s="4" t="str">
        <f>HYPERLINK("http://141.218.60.56/~jnz1568/getInfo.php?workbook=16_15.xlsx&amp;sheet=A0&amp;row=1862&amp;col=22&amp;number=&amp;sourceID=47","")</f>
        <v/>
      </c>
    </row>
    <row r="1863" spans="1:22">
      <c r="A1863" s="3">
        <v>16</v>
      </c>
      <c r="B1863" s="3">
        <v>15</v>
      </c>
      <c r="C1863" s="3">
        <v>70</v>
      </c>
      <c r="D1863" s="3">
        <v>30</v>
      </c>
      <c r="E1863" s="3">
        <f>((1/(INDEX(E0!J$4:J$73,C1863,1)-INDEX(E0!J$4:J$73,D1863,1))))*100000000</f>
        <v>0</v>
      </c>
      <c r="F1863" s="4" t="str">
        <f>HYPERLINK("http://141.218.60.56/~jnz1568/getInfo.php?workbook=16_15.xlsx&amp;sheet=A0&amp;row=1863&amp;col=6&amp;number=&amp;sourceID=54","")</f>
        <v/>
      </c>
      <c r="G1863" s="4" t="str">
        <f>HYPERLINK("http://141.218.60.56/~jnz1568/getInfo.php?workbook=16_15.xlsx&amp;sheet=A0&amp;row=1863&amp;col=7&amp;number=&amp;sourceID=54","")</f>
        <v/>
      </c>
      <c r="H1863" s="4" t="str">
        <f>HYPERLINK("http://141.218.60.56/~jnz1568/getInfo.php?workbook=16_15.xlsx&amp;sheet=A0&amp;row=1863&amp;col=8&amp;number=&amp;sourceID=54","")</f>
        <v/>
      </c>
      <c r="I1863" s="4" t="str">
        <f>HYPERLINK("http://141.218.60.56/~jnz1568/getInfo.php?workbook=16_15.xlsx&amp;sheet=A0&amp;row=1863&amp;col=9&amp;number=&amp;sourceID=54","")</f>
        <v/>
      </c>
      <c r="J1863" s="4" t="str">
        <f>HYPERLINK("http://141.218.60.56/~jnz1568/getInfo.php?workbook=16_15.xlsx&amp;sheet=A0&amp;row=1863&amp;col=10&amp;number=&amp;sourceID=54","")</f>
        <v/>
      </c>
      <c r="K1863" s="4" t="str">
        <f>HYPERLINK("http://141.218.60.56/~jnz1568/getInfo.php?workbook=16_15.xlsx&amp;sheet=A0&amp;row=1863&amp;col=11&amp;number=&amp;sourceID=54","")</f>
        <v/>
      </c>
      <c r="L1863" s="4" t="str">
        <f>HYPERLINK("http://141.218.60.56/~jnz1568/getInfo.php?workbook=16_15.xlsx&amp;sheet=A0&amp;row=1863&amp;col=12&amp;number=3251194.11746&amp;sourceID=53","3251194.11746")</f>
        <v>3251194.11746</v>
      </c>
      <c r="M1863" s="4" t="str">
        <f>HYPERLINK("http://141.218.60.56/~jnz1568/getInfo.php?workbook=16_15.xlsx&amp;sheet=A0&amp;row=1863&amp;col=13&amp;number=&amp;sourceID=53","")</f>
        <v/>
      </c>
      <c r="N1863" s="4" t="str">
        <f>HYPERLINK("http://141.218.60.56/~jnz1568/getInfo.php?workbook=16_15.xlsx&amp;sheet=A0&amp;row=1863&amp;col=14&amp;number=&amp;sourceID=53","")</f>
        <v/>
      </c>
      <c r="O1863" s="4" t="str">
        <f>HYPERLINK("http://141.218.60.56/~jnz1568/getInfo.php?workbook=16_15.xlsx&amp;sheet=A0&amp;row=1863&amp;col=15&amp;number=&amp;sourceID=55","")</f>
        <v/>
      </c>
      <c r="P1863" s="4" t="str">
        <f>HYPERLINK("http://141.218.60.56/~jnz1568/getInfo.php?workbook=16_15.xlsx&amp;sheet=A0&amp;row=1863&amp;col=16&amp;number=&amp;sourceID=55","")</f>
        <v/>
      </c>
      <c r="Q1863" s="4" t="str">
        <f>HYPERLINK("http://141.218.60.56/~jnz1568/getInfo.php?workbook=16_15.xlsx&amp;sheet=A0&amp;row=1863&amp;col=17&amp;number=&amp;sourceID=56","")</f>
        <v/>
      </c>
      <c r="R1863" s="4" t="str">
        <f>HYPERLINK("http://141.218.60.56/~jnz1568/getInfo.php?workbook=16_15.xlsx&amp;sheet=A0&amp;row=1863&amp;col=18&amp;number=&amp;sourceID=56","")</f>
        <v/>
      </c>
      <c r="S1863" s="4" t="str">
        <f>HYPERLINK("http://141.218.60.56/~jnz1568/getInfo.php?workbook=16_15.xlsx&amp;sheet=A0&amp;row=1863&amp;col=19&amp;number=&amp;sourceID=57","")</f>
        <v/>
      </c>
      <c r="T1863" s="4" t="str">
        <f>HYPERLINK("http://141.218.60.56/~jnz1568/getInfo.php?workbook=16_15.xlsx&amp;sheet=A0&amp;row=1863&amp;col=20&amp;number=&amp;sourceID=57","")</f>
        <v/>
      </c>
      <c r="U1863" s="4" t="str">
        <f>HYPERLINK("http://141.218.60.56/~jnz1568/getInfo.php?workbook=16_15.xlsx&amp;sheet=A0&amp;row=1863&amp;col=21&amp;number=&amp;sourceID=47","")</f>
        <v/>
      </c>
      <c r="V1863" s="4" t="str">
        <f>HYPERLINK("http://141.218.60.56/~jnz1568/getInfo.php?workbook=16_15.xlsx&amp;sheet=A0&amp;row=1863&amp;col=22&amp;number=&amp;sourceID=47","")</f>
        <v/>
      </c>
    </row>
    <row r="1864" spans="1:22">
      <c r="A1864" s="3">
        <v>16</v>
      </c>
      <c r="B1864" s="3">
        <v>15</v>
      </c>
      <c r="C1864" s="3">
        <v>70</v>
      </c>
      <c r="D1864" s="3">
        <v>41</v>
      </c>
      <c r="E1864" s="3">
        <f>((1/(INDEX(E0!J$4:J$73,C1864,1)-INDEX(E0!J$4:J$73,D1864,1))))*100000000</f>
        <v>0</v>
      </c>
      <c r="F1864" s="4" t="str">
        <f>HYPERLINK("http://141.218.60.56/~jnz1568/getInfo.php?workbook=16_15.xlsx&amp;sheet=A0&amp;row=1864&amp;col=6&amp;number=&amp;sourceID=54","")</f>
        <v/>
      </c>
      <c r="G1864" s="4" t="str">
        <f>HYPERLINK("http://141.218.60.56/~jnz1568/getInfo.php?workbook=16_15.xlsx&amp;sheet=A0&amp;row=1864&amp;col=7&amp;number=&amp;sourceID=54","")</f>
        <v/>
      </c>
      <c r="H1864" s="4" t="str">
        <f>HYPERLINK("http://141.218.60.56/~jnz1568/getInfo.php?workbook=16_15.xlsx&amp;sheet=A0&amp;row=1864&amp;col=8&amp;number=&amp;sourceID=54","")</f>
        <v/>
      </c>
      <c r="I1864" s="4" t="str">
        <f>HYPERLINK("http://141.218.60.56/~jnz1568/getInfo.php?workbook=16_15.xlsx&amp;sheet=A0&amp;row=1864&amp;col=9&amp;number=&amp;sourceID=54","")</f>
        <v/>
      </c>
      <c r="J1864" s="4" t="str">
        <f>HYPERLINK("http://141.218.60.56/~jnz1568/getInfo.php?workbook=16_15.xlsx&amp;sheet=A0&amp;row=1864&amp;col=10&amp;number=&amp;sourceID=54","")</f>
        <v/>
      </c>
      <c r="K1864" s="4" t="str">
        <f>HYPERLINK("http://141.218.60.56/~jnz1568/getInfo.php?workbook=16_15.xlsx&amp;sheet=A0&amp;row=1864&amp;col=11&amp;number=&amp;sourceID=54","")</f>
        <v/>
      </c>
      <c r="L1864" s="4" t="str">
        <f>HYPERLINK("http://141.218.60.56/~jnz1568/getInfo.php?workbook=16_15.xlsx&amp;sheet=A0&amp;row=1864&amp;col=12&amp;number=764.686774613&amp;sourceID=53","764.686774613")</f>
        <v>764.686774613</v>
      </c>
      <c r="M1864" s="4" t="str">
        <f>HYPERLINK("http://141.218.60.56/~jnz1568/getInfo.php?workbook=16_15.xlsx&amp;sheet=A0&amp;row=1864&amp;col=13&amp;number=&amp;sourceID=53","")</f>
        <v/>
      </c>
      <c r="N1864" s="4" t="str">
        <f>HYPERLINK("http://141.218.60.56/~jnz1568/getInfo.php?workbook=16_15.xlsx&amp;sheet=A0&amp;row=1864&amp;col=14&amp;number=&amp;sourceID=53","")</f>
        <v/>
      </c>
      <c r="O1864" s="4" t="str">
        <f>HYPERLINK("http://141.218.60.56/~jnz1568/getInfo.php?workbook=16_15.xlsx&amp;sheet=A0&amp;row=1864&amp;col=15&amp;number=&amp;sourceID=55","")</f>
        <v/>
      </c>
      <c r="P1864" s="4" t="str">
        <f>HYPERLINK("http://141.218.60.56/~jnz1568/getInfo.php?workbook=16_15.xlsx&amp;sheet=A0&amp;row=1864&amp;col=16&amp;number=&amp;sourceID=55","")</f>
        <v/>
      </c>
      <c r="Q1864" s="4" t="str">
        <f>HYPERLINK("http://141.218.60.56/~jnz1568/getInfo.php?workbook=16_15.xlsx&amp;sheet=A0&amp;row=1864&amp;col=17&amp;number=&amp;sourceID=56","")</f>
        <v/>
      </c>
      <c r="R1864" s="4" t="str">
        <f>HYPERLINK("http://141.218.60.56/~jnz1568/getInfo.php?workbook=16_15.xlsx&amp;sheet=A0&amp;row=1864&amp;col=18&amp;number=&amp;sourceID=56","")</f>
        <v/>
      </c>
      <c r="S1864" s="4" t="str">
        <f>HYPERLINK("http://141.218.60.56/~jnz1568/getInfo.php?workbook=16_15.xlsx&amp;sheet=A0&amp;row=1864&amp;col=19&amp;number=&amp;sourceID=57","")</f>
        <v/>
      </c>
      <c r="T1864" s="4" t="str">
        <f>HYPERLINK("http://141.218.60.56/~jnz1568/getInfo.php?workbook=16_15.xlsx&amp;sheet=A0&amp;row=1864&amp;col=20&amp;number=&amp;sourceID=57","")</f>
        <v/>
      </c>
      <c r="U1864" s="4" t="str">
        <f>HYPERLINK("http://141.218.60.56/~jnz1568/getInfo.php?workbook=16_15.xlsx&amp;sheet=A0&amp;row=1864&amp;col=21&amp;number=&amp;sourceID=47","")</f>
        <v/>
      </c>
      <c r="V1864" s="4" t="str">
        <f>HYPERLINK("http://141.218.60.56/~jnz1568/getInfo.php?workbook=16_15.xlsx&amp;sheet=A0&amp;row=1864&amp;col=22&amp;number=&amp;sourceID=47","")</f>
        <v/>
      </c>
    </row>
    <row r="1865" spans="1:22">
      <c r="A1865" s="3">
        <v>16</v>
      </c>
      <c r="B1865" s="3">
        <v>15</v>
      </c>
      <c r="C1865" s="3">
        <v>70</v>
      </c>
      <c r="D1865" s="3">
        <v>43</v>
      </c>
      <c r="E1865" s="3">
        <f>((1/(INDEX(E0!J$4:J$73,C1865,1)-INDEX(E0!J$4:J$73,D1865,1))))*100000000</f>
        <v>0</v>
      </c>
      <c r="F1865" s="4" t="str">
        <f>HYPERLINK("http://141.218.60.56/~jnz1568/getInfo.php?workbook=16_15.xlsx&amp;sheet=A0&amp;row=1865&amp;col=6&amp;number=&amp;sourceID=54","")</f>
        <v/>
      </c>
      <c r="G1865" s="4" t="str">
        <f>HYPERLINK("http://141.218.60.56/~jnz1568/getInfo.php?workbook=16_15.xlsx&amp;sheet=A0&amp;row=1865&amp;col=7&amp;number=&amp;sourceID=54","")</f>
        <v/>
      </c>
      <c r="H1865" s="4" t="str">
        <f>HYPERLINK("http://141.218.60.56/~jnz1568/getInfo.php?workbook=16_15.xlsx&amp;sheet=A0&amp;row=1865&amp;col=8&amp;number=&amp;sourceID=54","")</f>
        <v/>
      </c>
      <c r="I1865" s="4" t="str">
        <f>HYPERLINK("http://141.218.60.56/~jnz1568/getInfo.php?workbook=16_15.xlsx&amp;sheet=A0&amp;row=1865&amp;col=9&amp;number=&amp;sourceID=54","")</f>
        <v/>
      </c>
      <c r="J1865" s="4" t="str">
        <f>HYPERLINK("http://141.218.60.56/~jnz1568/getInfo.php?workbook=16_15.xlsx&amp;sheet=A0&amp;row=1865&amp;col=10&amp;number=&amp;sourceID=54","")</f>
        <v/>
      </c>
      <c r="K1865" s="4" t="str">
        <f>HYPERLINK("http://141.218.60.56/~jnz1568/getInfo.php?workbook=16_15.xlsx&amp;sheet=A0&amp;row=1865&amp;col=11&amp;number=&amp;sourceID=54","")</f>
        <v/>
      </c>
      <c r="L1865" s="4" t="str">
        <f>HYPERLINK("http://141.218.60.56/~jnz1568/getInfo.php?workbook=16_15.xlsx&amp;sheet=A0&amp;row=1865&amp;col=12&amp;number=92.7686961892&amp;sourceID=53","92.7686961892")</f>
        <v>92.7686961892</v>
      </c>
      <c r="M1865" s="4" t="str">
        <f>HYPERLINK("http://141.218.60.56/~jnz1568/getInfo.php?workbook=16_15.xlsx&amp;sheet=A0&amp;row=1865&amp;col=13&amp;number=&amp;sourceID=53","")</f>
        <v/>
      </c>
      <c r="N1865" s="4" t="str">
        <f>HYPERLINK("http://141.218.60.56/~jnz1568/getInfo.php?workbook=16_15.xlsx&amp;sheet=A0&amp;row=1865&amp;col=14&amp;number=&amp;sourceID=53","")</f>
        <v/>
      </c>
      <c r="O1865" s="4" t="str">
        <f>HYPERLINK("http://141.218.60.56/~jnz1568/getInfo.php?workbook=16_15.xlsx&amp;sheet=A0&amp;row=1865&amp;col=15&amp;number=&amp;sourceID=55","")</f>
        <v/>
      </c>
      <c r="P1865" s="4" t="str">
        <f>HYPERLINK("http://141.218.60.56/~jnz1568/getInfo.php?workbook=16_15.xlsx&amp;sheet=A0&amp;row=1865&amp;col=16&amp;number=&amp;sourceID=55","")</f>
        <v/>
      </c>
      <c r="Q1865" s="4" t="str">
        <f>HYPERLINK("http://141.218.60.56/~jnz1568/getInfo.php?workbook=16_15.xlsx&amp;sheet=A0&amp;row=1865&amp;col=17&amp;number=&amp;sourceID=56","")</f>
        <v/>
      </c>
      <c r="R1865" s="4" t="str">
        <f>HYPERLINK("http://141.218.60.56/~jnz1568/getInfo.php?workbook=16_15.xlsx&amp;sheet=A0&amp;row=1865&amp;col=18&amp;number=&amp;sourceID=56","")</f>
        <v/>
      </c>
      <c r="S1865" s="4" t="str">
        <f>HYPERLINK("http://141.218.60.56/~jnz1568/getInfo.php?workbook=16_15.xlsx&amp;sheet=A0&amp;row=1865&amp;col=19&amp;number=&amp;sourceID=57","")</f>
        <v/>
      </c>
      <c r="T1865" s="4" t="str">
        <f>HYPERLINK("http://141.218.60.56/~jnz1568/getInfo.php?workbook=16_15.xlsx&amp;sheet=A0&amp;row=1865&amp;col=20&amp;number=&amp;sourceID=57","")</f>
        <v/>
      </c>
      <c r="U1865" s="4" t="str">
        <f>HYPERLINK("http://141.218.60.56/~jnz1568/getInfo.php?workbook=16_15.xlsx&amp;sheet=A0&amp;row=1865&amp;col=21&amp;number=&amp;sourceID=47","")</f>
        <v/>
      </c>
      <c r="V1865" s="4" t="str">
        <f>HYPERLINK("http://141.218.60.56/~jnz1568/getInfo.php?workbook=16_15.xlsx&amp;sheet=A0&amp;row=1865&amp;col=22&amp;number=&amp;sourceID=47","")</f>
        <v/>
      </c>
    </row>
    <row r="1866" spans="1:22">
      <c r="A1866" s="3">
        <v>16</v>
      </c>
      <c r="B1866" s="3">
        <v>15</v>
      </c>
      <c r="C1866" s="3">
        <v>70</v>
      </c>
      <c r="D1866" s="3">
        <v>44</v>
      </c>
      <c r="E1866" s="3">
        <f>((1/(INDEX(E0!J$4:J$73,C1866,1)-INDEX(E0!J$4:J$73,D1866,1))))*100000000</f>
        <v>0</v>
      </c>
      <c r="F1866" s="4" t="str">
        <f>HYPERLINK("http://141.218.60.56/~jnz1568/getInfo.php?workbook=16_15.xlsx&amp;sheet=A0&amp;row=1866&amp;col=6&amp;number=&amp;sourceID=54","")</f>
        <v/>
      </c>
      <c r="G1866" s="4" t="str">
        <f>HYPERLINK("http://141.218.60.56/~jnz1568/getInfo.php?workbook=16_15.xlsx&amp;sheet=A0&amp;row=1866&amp;col=7&amp;number=&amp;sourceID=54","")</f>
        <v/>
      </c>
      <c r="H1866" s="4" t="str">
        <f>HYPERLINK("http://141.218.60.56/~jnz1568/getInfo.php?workbook=16_15.xlsx&amp;sheet=A0&amp;row=1866&amp;col=8&amp;number=&amp;sourceID=54","")</f>
        <v/>
      </c>
      <c r="I1866" s="4" t="str">
        <f>HYPERLINK("http://141.218.60.56/~jnz1568/getInfo.php?workbook=16_15.xlsx&amp;sheet=A0&amp;row=1866&amp;col=9&amp;number=&amp;sourceID=54","")</f>
        <v/>
      </c>
      <c r="J1866" s="4" t="str">
        <f>HYPERLINK("http://141.218.60.56/~jnz1568/getInfo.php?workbook=16_15.xlsx&amp;sheet=A0&amp;row=1866&amp;col=10&amp;number=&amp;sourceID=54","")</f>
        <v/>
      </c>
      <c r="K1866" s="4" t="str">
        <f>HYPERLINK("http://141.218.60.56/~jnz1568/getInfo.php?workbook=16_15.xlsx&amp;sheet=A0&amp;row=1866&amp;col=11&amp;number=&amp;sourceID=54","")</f>
        <v/>
      </c>
      <c r="L1866" s="4" t="str">
        <f>HYPERLINK("http://141.218.60.56/~jnz1568/getInfo.php?workbook=16_15.xlsx&amp;sheet=A0&amp;row=1866&amp;col=12&amp;number=2205.65955339&amp;sourceID=53","2205.65955339")</f>
        <v>2205.65955339</v>
      </c>
      <c r="M1866" s="4" t="str">
        <f>HYPERLINK("http://141.218.60.56/~jnz1568/getInfo.php?workbook=16_15.xlsx&amp;sheet=A0&amp;row=1866&amp;col=13&amp;number=&amp;sourceID=53","")</f>
        <v/>
      </c>
      <c r="N1866" s="4" t="str">
        <f>HYPERLINK("http://141.218.60.56/~jnz1568/getInfo.php?workbook=16_15.xlsx&amp;sheet=A0&amp;row=1866&amp;col=14&amp;number=&amp;sourceID=53","")</f>
        <v/>
      </c>
      <c r="O1866" s="4" t="str">
        <f>HYPERLINK("http://141.218.60.56/~jnz1568/getInfo.php?workbook=16_15.xlsx&amp;sheet=A0&amp;row=1866&amp;col=15&amp;number=&amp;sourceID=55","")</f>
        <v/>
      </c>
      <c r="P1866" s="4" t="str">
        <f>HYPERLINK("http://141.218.60.56/~jnz1568/getInfo.php?workbook=16_15.xlsx&amp;sheet=A0&amp;row=1866&amp;col=16&amp;number=&amp;sourceID=55","")</f>
        <v/>
      </c>
      <c r="Q1866" s="4" t="str">
        <f>HYPERLINK("http://141.218.60.56/~jnz1568/getInfo.php?workbook=16_15.xlsx&amp;sheet=A0&amp;row=1866&amp;col=17&amp;number=&amp;sourceID=56","")</f>
        <v/>
      </c>
      <c r="R1866" s="4" t="str">
        <f>HYPERLINK("http://141.218.60.56/~jnz1568/getInfo.php?workbook=16_15.xlsx&amp;sheet=A0&amp;row=1866&amp;col=18&amp;number=&amp;sourceID=56","")</f>
        <v/>
      </c>
      <c r="S1866" s="4" t="str">
        <f>HYPERLINK("http://141.218.60.56/~jnz1568/getInfo.php?workbook=16_15.xlsx&amp;sheet=A0&amp;row=1866&amp;col=19&amp;number=&amp;sourceID=57","")</f>
        <v/>
      </c>
      <c r="T1866" s="4" t="str">
        <f>HYPERLINK("http://141.218.60.56/~jnz1568/getInfo.php?workbook=16_15.xlsx&amp;sheet=A0&amp;row=1866&amp;col=20&amp;number=&amp;sourceID=57","")</f>
        <v/>
      </c>
      <c r="U1866" s="4" t="str">
        <f>HYPERLINK("http://141.218.60.56/~jnz1568/getInfo.php?workbook=16_15.xlsx&amp;sheet=A0&amp;row=1866&amp;col=21&amp;number=&amp;sourceID=47","")</f>
        <v/>
      </c>
      <c r="V1866" s="4" t="str">
        <f>HYPERLINK("http://141.218.60.56/~jnz1568/getInfo.php?workbook=16_15.xlsx&amp;sheet=A0&amp;row=1866&amp;col=22&amp;number=&amp;sourceID=47","")</f>
        <v/>
      </c>
    </row>
    <row r="1867" spans="1:22">
      <c r="A1867" s="3">
        <v>16</v>
      </c>
      <c r="B1867" s="3">
        <v>15</v>
      </c>
      <c r="C1867" s="3">
        <v>70</v>
      </c>
      <c r="D1867" s="3">
        <v>48</v>
      </c>
      <c r="E1867" s="3">
        <f>((1/(INDEX(E0!J$4:J$73,C1867,1)-INDEX(E0!J$4:J$73,D1867,1))))*100000000</f>
        <v>0</v>
      </c>
      <c r="F1867" s="4" t="str">
        <f>HYPERLINK("http://141.218.60.56/~jnz1568/getInfo.php?workbook=16_15.xlsx&amp;sheet=A0&amp;row=1867&amp;col=6&amp;number=&amp;sourceID=54","")</f>
        <v/>
      </c>
      <c r="G1867" s="4" t="str">
        <f>HYPERLINK("http://141.218.60.56/~jnz1568/getInfo.php?workbook=16_15.xlsx&amp;sheet=A0&amp;row=1867&amp;col=7&amp;number=&amp;sourceID=54","")</f>
        <v/>
      </c>
      <c r="H1867" s="4" t="str">
        <f>HYPERLINK("http://141.218.60.56/~jnz1568/getInfo.php?workbook=16_15.xlsx&amp;sheet=A0&amp;row=1867&amp;col=8&amp;number=&amp;sourceID=54","")</f>
        <v/>
      </c>
      <c r="I1867" s="4" t="str">
        <f>HYPERLINK("http://141.218.60.56/~jnz1568/getInfo.php?workbook=16_15.xlsx&amp;sheet=A0&amp;row=1867&amp;col=9&amp;number=&amp;sourceID=54","")</f>
        <v/>
      </c>
      <c r="J1867" s="4" t="str">
        <f>HYPERLINK("http://141.218.60.56/~jnz1568/getInfo.php?workbook=16_15.xlsx&amp;sheet=A0&amp;row=1867&amp;col=10&amp;number=&amp;sourceID=54","")</f>
        <v/>
      </c>
      <c r="K1867" s="4" t="str">
        <f>HYPERLINK("http://141.218.60.56/~jnz1568/getInfo.php?workbook=16_15.xlsx&amp;sheet=A0&amp;row=1867&amp;col=11&amp;number=&amp;sourceID=54","")</f>
        <v/>
      </c>
      <c r="L1867" s="4" t="str">
        <f>HYPERLINK("http://141.218.60.56/~jnz1568/getInfo.php?workbook=16_15.xlsx&amp;sheet=A0&amp;row=1867&amp;col=12&amp;number=496797.034796&amp;sourceID=53","496797.034796")</f>
        <v>496797.034796</v>
      </c>
      <c r="M1867" s="4" t="str">
        <f>HYPERLINK("http://141.218.60.56/~jnz1568/getInfo.php?workbook=16_15.xlsx&amp;sheet=A0&amp;row=1867&amp;col=13&amp;number=&amp;sourceID=53","")</f>
        <v/>
      </c>
      <c r="N1867" s="4" t="str">
        <f>HYPERLINK("http://141.218.60.56/~jnz1568/getInfo.php?workbook=16_15.xlsx&amp;sheet=A0&amp;row=1867&amp;col=14&amp;number=&amp;sourceID=53","")</f>
        <v/>
      </c>
      <c r="O1867" s="4" t="str">
        <f>HYPERLINK("http://141.218.60.56/~jnz1568/getInfo.php?workbook=16_15.xlsx&amp;sheet=A0&amp;row=1867&amp;col=15&amp;number=&amp;sourceID=55","")</f>
        <v/>
      </c>
      <c r="P1867" s="4" t="str">
        <f>HYPERLINK("http://141.218.60.56/~jnz1568/getInfo.php?workbook=16_15.xlsx&amp;sheet=A0&amp;row=1867&amp;col=16&amp;number=&amp;sourceID=55","")</f>
        <v/>
      </c>
      <c r="Q1867" s="4" t="str">
        <f>HYPERLINK("http://141.218.60.56/~jnz1568/getInfo.php?workbook=16_15.xlsx&amp;sheet=A0&amp;row=1867&amp;col=17&amp;number=&amp;sourceID=56","")</f>
        <v/>
      </c>
      <c r="R1867" s="4" t="str">
        <f>HYPERLINK("http://141.218.60.56/~jnz1568/getInfo.php?workbook=16_15.xlsx&amp;sheet=A0&amp;row=1867&amp;col=18&amp;number=&amp;sourceID=56","")</f>
        <v/>
      </c>
      <c r="S1867" s="4" t="str">
        <f>HYPERLINK("http://141.218.60.56/~jnz1568/getInfo.php?workbook=16_15.xlsx&amp;sheet=A0&amp;row=1867&amp;col=19&amp;number=&amp;sourceID=57","")</f>
        <v/>
      </c>
      <c r="T1867" s="4" t="str">
        <f>HYPERLINK("http://141.218.60.56/~jnz1568/getInfo.php?workbook=16_15.xlsx&amp;sheet=A0&amp;row=1867&amp;col=20&amp;number=&amp;sourceID=57","")</f>
        <v/>
      </c>
      <c r="U1867" s="4" t="str">
        <f>HYPERLINK("http://141.218.60.56/~jnz1568/getInfo.php?workbook=16_15.xlsx&amp;sheet=A0&amp;row=1867&amp;col=21&amp;number=&amp;sourceID=47","")</f>
        <v/>
      </c>
      <c r="V1867" s="4" t="str">
        <f>HYPERLINK("http://141.218.60.56/~jnz1568/getInfo.php?workbook=16_15.xlsx&amp;sheet=A0&amp;row=1867&amp;col=22&amp;number=&amp;sourceID=47","")</f>
        <v/>
      </c>
    </row>
    <row r="1868" spans="1:22">
      <c r="A1868" s="3">
        <v>16</v>
      </c>
      <c r="B1868" s="3">
        <v>15</v>
      </c>
      <c r="C1868" s="3">
        <v>70</v>
      </c>
      <c r="D1868" s="3">
        <v>50</v>
      </c>
      <c r="E1868" s="3">
        <f>((1/(INDEX(E0!J$4:J$73,C1868,1)-INDEX(E0!J$4:J$73,D1868,1))))*100000000</f>
        <v>0</v>
      </c>
      <c r="F1868" s="4" t="str">
        <f>HYPERLINK("http://141.218.60.56/~jnz1568/getInfo.php?workbook=16_15.xlsx&amp;sheet=A0&amp;row=1868&amp;col=6&amp;number=&amp;sourceID=54","")</f>
        <v/>
      </c>
      <c r="G1868" s="4" t="str">
        <f>HYPERLINK("http://141.218.60.56/~jnz1568/getInfo.php?workbook=16_15.xlsx&amp;sheet=A0&amp;row=1868&amp;col=7&amp;number=&amp;sourceID=54","")</f>
        <v/>
      </c>
      <c r="H1868" s="4" t="str">
        <f>HYPERLINK("http://141.218.60.56/~jnz1568/getInfo.php?workbook=16_15.xlsx&amp;sheet=A0&amp;row=1868&amp;col=8&amp;number=&amp;sourceID=54","")</f>
        <v/>
      </c>
      <c r="I1868" s="4" t="str">
        <f>HYPERLINK("http://141.218.60.56/~jnz1568/getInfo.php?workbook=16_15.xlsx&amp;sheet=A0&amp;row=1868&amp;col=9&amp;number=&amp;sourceID=54","")</f>
        <v/>
      </c>
      <c r="J1868" s="4" t="str">
        <f>HYPERLINK("http://141.218.60.56/~jnz1568/getInfo.php?workbook=16_15.xlsx&amp;sheet=A0&amp;row=1868&amp;col=10&amp;number=&amp;sourceID=54","")</f>
        <v/>
      </c>
      <c r="K1868" s="4" t="str">
        <f>HYPERLINK("http://141.218.60.56/~jnz1568/getInfo.php?workbook=16_15.xlsx&amp;sheet=A0&amp;row=1868&amp;col=11&amp;number=&amp;sourceID=54","")</f>
        <v/>
      </c>
      <c r="L1868" s="4" t="str">
        <f>HYPERLINK("http://141.218.60.56/~jnz1568/getInfo.php?workbook=16_15.xlsx&amp;sheet=A0&amp;row=1868&amp;col=12&amp;number=3610787.95731&amp;sourceID=53","3610787.95731")</f>
        <v>3610787.95731</v>
      </c>
      <c r="M1868" s="4" t="str">
        <f>HYPERLINK("http://141.218.60.56/~jnz1568/getInfo.php?workbook=16_15.xlsx&amp;sheet=A0&amp;row=1868&amp;col=13&amp;number=&amp;sourceID=53","")</f>
        <v/>
      </c>
      <c r="N1868" s="4" t="str">
        <f>HYPERLINK("http://141.218.60.56/~jnz1568/getInfo.php?workbook=16_15.xlsx&amp;sheet=A0&amp;row=1868&amp;col=14&amp;number=&amp;sourceID=53","")</f>
        <v/>
      </c>
      <c r="O1868" s="4" t="str">
        <f>HYPERLINK("http://141.218.60.56/~jnz1568/getInfo.php?workbook=16_15.xlsx&amp;sheet=A0&amp;row=1868&amp;col=15&amp;number=&amp;sourceID=55","")</f>
        <v/>
      </c>
      <c r="P1868" s="4" t="str">
        <f>HYPERLINK("http://141.218.60.56/~jnz1568/getInfo.php?workbook=16_15.xlsx&amp;sheet=A0&amp;row=1868&amp;col=16&amp;number=&amp;sourceID=55","")</f>
        <v/>
      </c>
      <c r="Q1868" s="4" t="str">
        <f>HYPERLINK("http://141.218.60.56/~jnz1568/getInfo.php?workbook=16_15.xlsx&amp;sheet=A0&amp;row=1868&amp;col=17&amp;number=&amp;sourceID=56","")</f>
        <v/>
      </c>
      <c r="R1868" s="4" t="str">
        <f>HYPERLINK("http://141.218.60.56/~jnz1568/getInfo.php?workbook=16_15.xlsx&amp;sheet=A0&amp;row=1868&amp;col=18&amp;number=&amp;sourceID=56","")</f>
        <v/>
      </c>
      <c r="S1868" s="4" t="str">
        <f>HYPERLINK("http://141.218.60.56/~jnz1568/getInfo.php?workbook=16_15.xlsx&amp;sheet=A0&amp;row=1868&amp;col=19&amp;number=&amp;sourceID=57","")</f>
        <v/>
      </c>
      <c r="T1868" s="4" t="str">
        <f>HYPERLINK("http://141.218.60.56/~jnz1568/getInfo.php?workbook=16_15.xlsx&amp;sheet=A0&amp;row=1868&amp;col=20&amp;number=&amp;sourceID=57","")</f>
        <v/>
      </c>
      <c r="U1868" s="4" t="str">
        <f>HYPERLINK("http://141.218.60.56/~jnz1568/getInfo.php?workbook=16_15.xlsx&amp;sheet=A0&amp;row=1868&amp;col=21&amp;number=&amp;sourceID=47","")</f>
        <v/>
      </c>
      <c r="V1868" s="4" t="str">
        <f>HYPERLINK("http://141.218.60.56/~jnz1568/getInfo.php?workbook=16_15.xlsx&amp;sheet=A0&amp;row=1868&amp;col=22&amp;number=&amp;sourceID=47","")</f>
        <v/>
      </c>
    </row>
    <row r="1869" spans="1:22">
      <c r="A1869" s="3">
        <v>16</v>
      </c>
      <c r="B1869" s="3">
        <v>15</v>
      </c>
      <c r="C1869" s="3">
        <v>70</v>
      </c>
      <c r="D1869" s="3">
        <v>51</v>
      </c>
      <c r="E1869" s="3">
        <f>((1/(INDEX(E0!J$4:J$73,C1869,1)-INDEX(E0!J$4:J$73,D1869,1))))*100000000</f>
        <v>0</v>
      </c>
      <c r="F1869" s="4" t="str">
        <f>HYPERLINK("http://141.218.60.56/~jnz1568/getInfo.php?workbook=16_15.xlsx&amp;sheet=A0&amp;row=1869&amp;col=6&amp;number=&amp;sourceID=54","")</f>
        <v/>
      </c>
      <c r="G1869" s="4" t="str">
        <f>HYPERLINK("http://141.218.60.56/~jnz1568/getInfo.php?workbook=16_15.xlsx&amp;sheet=A0&amp;row=1869&amp;col=7&amp;number=&amp;sourceID=54","")</f>
        <v/>
      </c>
      <c r="H1869" s="4" t="str">
        <f>HYPERLINK("http://141.218.60.56/~jnz1568/getInfo.php?workbook=16_15.xlsx&amp;sheet=A0&amp;row=1869&amp;col=8&amp;number=&amp;sourceID=54","")</f>
        <v/>
      </c>
      <c r="I1869" s="4" t="str">
        <f>HYPERLINK("http://141.218.60.56/~jnz1568/getInfo.php?workbook=16_15.xlsx&amp;sheet=A0&amp;row=1869&amp;col=9&amp;number=&amp;sourceID=54","")</f>
        <v/>
      </c>
      <c r="J1869" s="4" t="str">
        <f>HYPERLINK("http://141.218.60.56/~jnz1568/getInfo.php?workbook=16_15.xlsx&amp;sheet=A0&amp;row=1869&amp;col=10&amp;number=&amp;sourceID=54","")</f>
        <v/>
      </c>
      <c r="K1869" s="4" t="str">
        <f>HYPERLINK("http://141.218.60.56/~jnz1568/getInfo.php?workbook=16_15.xlsx&amp;sheet=A0&amp;row=1869&amp;col=11&amp;number=&amp;sourceID=54","")</f>
        <v/>
      </c>
      <c r="L1869" s="4" t="str">
        <f>HYPERLINK("http://141.218.60.56/~jnz1568/getInfo.php?workbook=16_15.xlsx&amp;sheet=A0&amp;row=1869&amp;col=12&amp;number=82425426.5811&amp;sourceID=53","82425426.5811")</f>
        <v>82425426.5811</v>
      </c>
      <c r="M1869" s="4" t="str">
        <f>HYPERLINK("http://141.218.60.56/~jnz1568/getInfo.php?workbook=16_15.xlsx&amp;sheet=A0&amp;row=1869&amp;col=13&amp;number=&amp;sourceID=53","")</f>
        <v/>
      </c>
      <c r="N1869" s="4" t="str">
        <f>HYPERLINK("http://141.218.60.56/~jnz1568/getInfo.php?workbook=16_15.xlsx&amp;sheet=A0&amp;row=1869&amp;col=14&amp;number=&amp;sourceID=53","")</f>
        <v/>
      </c>
      <c r="O1869" s="4" t="str">
        <f>HYPERLINK("http://141.218.60.56/~jnz1568/getInfo.php?workbook=16_15.xlsx&amp;sheet=A0&amp;row=1869&amp;col=15&amp;number=&amp;sourceID=55","")</f>
        <v/>
      </c>
      <c r="P1869" s="4" t="str">
        <f>HYPERLINK("http://141.218.60.56/~jnz1568/getInfo.php?workbook=16_15.xlsx&amp;sheet=A0&amp;row=1869&amp;col=16&amp;number=&amp;sourceID=55","")</f>
        <v/>
      </c>
      <c r="Q1869" s="4" t="str">
        <f>HYPERLINK("http://141.218.60.56/~jnz1568/getInfo.php?workbook=16_15.xlsx&amp;sheet=A0&amp;row=1869&amp;col=17&amp;number=&amp;sourceID=56","")</f>
        <v/>
      </c>
      <c r="R1869" s="4" t="str">
        <f>HYPERLINK("http://141.218.60.56/~jnz1568/getInfo.php?workbook=16_15.xlsx&amp;sheet=A0&amp;row=1869&amp;col=18&amp;number=&amp;sourceID=56","")</f>
        <v/>
      </c>
      <c r="S1869" s="4" t="str">
        <f>HYPERLINK("http://141.218.60.56/~jnz1568/getInfo.php?workbook=16_15.xlsx&amp;sheet=A0&amp;row=1869&amp;col=19&amp;number=&amp;sourceID=57","")</f>
        <v/>
      </c>
      <c r="T1869" s="4" t="str">
        <f>HYPERLINK("http://141.218.60.56/~jnz1568/getInfo.php?workbook=16_15.xlsx&amp;sheet=A0&amp;row=1869&amp;col=20&amp;number=&amp;sourceID=57","")</f>
        <v/>
      </c>
      <c r="U1869" s="4" t="str">
        <f>HYPERLINK("http://141.218.60.56/~jnz1568/getInfo.php?workbook=16_15.xlsx&amp;sheet=A0&amp;row=1869&amp;col=21&amp;number=&amp;sourceID=47","")</f>
        <v/>
      </c>
      <c r="V1869" s="4" t="str">
        <f>HYPERLINK("http://141.218.60.56/~jnz1568/getInfo.php?workbook=16_15.xlsx&amp;sheet=A0&amp;row=1869&amp;col=22&amp;number=&amp;sourceID=47","")</f>
        <v/>
      </c>
    </row>
    <row r="1870" spans="1:22">
      <c r="A1870" s="3">
        <v>16</v>
      </c>
      <c r="B1870" s="3">
        <v>15</v>
      </c>
      <c r="C1870" s="3">
        <v>70</v>
      </c>
      <c r="D1870" s="3">
        <v>52</v>
      </c>
      <c r="E1870" s="3">
        <f>((1/(INDEX(E0!J$4:J$73,C1870,1)-INDEX(E0!J$4:J$73,D1870,1))))*100000000</f>
        <v>0</v>
      </c>
      <c r="F1870" s="4" t="str">
        <f>HYPERLINK("http://141.218.60.56/~jnz1568/getInfo.php?workbook=16_15.xlsx&amp;sheet=A0&amp;row=1870&amp;col=6&amp;number=&amp;sourceID=54","")</f>
        <v/>
      </c>
      <c r="G1870" s="4" t="str">
        <f>HYPERLINK("http://141.218.60.56/~jnz1568/getInfo.php?workbook=16_15.xlsx&amp;sheet=A0&amp;row=1870&amp;col=7&amp;number=&amp;sourceID=54","")</f>
        <v/>
      </c>
      <c r="H1870" s="4" t="str">
        <f>HYPERLINK("http://141.218.60.56/~jnz1568/getInfo.php?workbook=16_15.xlsx&amp;sheet=A0&amp;row=1870&amp;col=8&amp;number=&amp;sourceID=54","")</f>
        <v/>
      </c>
      <c r="I1870" s="4" t="str">
        <f>HYPERLINK("http://141.218.60.56/~jnz1568/getInfo.php?workbook=16_15.xlsx&amp;sheet=A0&amp;row=1870&amp;col=9&amp;number=&amp;sourceID=54","")</f>
        <v/>
      </c>
      <c r="J1870" s="4" t="str">
        <f>HYPERLINK("http://141.218.60.56/~jnz1568/getInfo.php?workbook=16_15.xlsx&amp;sheet=A0&amp;row=1870&amp;col=10&amp;number=&amp;sourceID=54","")</f>
        <v/>
      </c>
      <c r="K1870" s="4" t="str">
        <f>HYPERLINK("http://141.218.60.56/~jnz1568/getInfo.php?workbook=16_15.xlsx&amp;sheet=A0&amp;row=1870&amp;col=11&amp;number=&amp;sourceID=54","")</f>
        <v/>
      </c>
      <c r="L1870" s="4" t="str">
        <f>HYPERLINK("http://141.218.60.56/~jnz1568/getInfo.php?workbook=16_15.xlsx&amp;sheet=A0&amp;row=1870&amp;col=12&amp;number=55118.7152513&amp;sourceID=53","55118.7152513")</f>
        <v>55118.7152513</v>
      </c>
      <c r="M1870" s="4" t="str">
        <f>HYPERLINK("http://141.218.60.56/~jnz1568/getInfo.php?workbook=16_15.xlsx&amp;sheet=A0&amp;row=1870&amp;col=13&amp;number=&amp;sourceID=53","")</f>
        <v/>
      </c>
      <c r="N1870" s="4" t="str">
        <f>HYPERLINK("http://141.218.60.56/~jnz1568/getInfo.php?workbook=16_15.xlsx&amp;sheet=A0&amp;row=1870&amp;col=14&amp;number=&amp;sourceID=53","")</f>
        <v/>
      </c>
      <c r="O1870" s="4" t="str">
        <f>HYPERLINK("http://141.218.60.56/~jnz1568/getInfo.php?workbook=16_15.xlsx&amp;sheet=A0&amp;row=1870&amp;col=15&amp;number=&amp;sourceID=55","")</f>
        <v/>
      </c>
      <c r="P1870" s="4" t="str">
        <f>HYPERLINK("http://141.218.60.56/~jnz1568/getInfo.php?workbook=16_15.xlsx&amp;sheet=A0&amp;row=1870&amp;col=16&amp;number=&amp;sourceID=55","")</f>
        <v/>
      </c>
      <c r="Q1870" s="4" t="str">
        <f>HYPERLINK("http://141.218.60.56/~jnz1568/getInfo.php?workbook=16_15.xlsx&amp;sheet=A0&amp;row=1870&amp;col=17&amp;number=&amp;sourceID=56","")</f>
        <v/>
      </c>
      <c r="R1870" s="4" t="str">
        <f>HYPERLINK("http://141.218.60.56/~jnz1568/getInfo.php?workbook=16_15.xlsx&amp;sheet=A0&amp;row=1870&amp;col=18&amp;number=&amp;sourceID=56","")</f>
        <v/>
      </c>
      <c r="S1870" s="4" t="str">
        <f>HYPERLINK("http://141.218.60.56/~jnz1568/getInfo.php?workbook=16_15.xlsx&amp;sheet=A0&amp;row=1870&amp;col=19&amp;number=&amp;sourceID=57","")</f>
        <v/>
      </c>
      <c r="T1870" s="4" t="str">
        <f>HYPERLINK("http://141.218.60.56/~jnz1568/getInfo.php?workbook=16_15.xlsx&amp;sheet=A0&amp;row=1870&amp;col=20&amp;number=&amp;sourceID=57","")</f>
        <v/>
      </c>
      <c r="U1870" s="4" t="str">
        <f>HYPERLINK("http://141.218.60.56/~jnz1568/getInfo.php?workbook=16_15.xlsx&amp;sheet=A0&amp;row=1870&amp;col=21&amp;number=&amp;sourceID=47","")</f>
        <v/>
      </c>
      <c r="V1870" s="4" t="str">
        <f>HYPERLINK("http://141.218.60.56/~jnz1568/getInfo.php?workbook=16_15.xlsx&amp;sheet=A0&amp;row=1870&amp;col=22&amp;number=&amp;sourceID=47","")</f>
        <v/>
      </c>
    </row>
    <row r="1871" spans="1:22">
      <c r="A1871" s="3">
        <v>16</v>
      </c>
      <c r="B1871" s="3">
        <v>15</v>
      </c>
      <c r="C1871" s="3">
        <v>70</v>
      </c>
      <c r="D1871" s="3">
        <v>54</v>
      </c>
      <c r="E1871" s="3">
        <f>((1/(INDEX(E0!J$4:J$73,C1871,1)-INDEX(E0!J$4:J$73,D1871,1))))*100000000</f>
        <v>0</v>
      </c>
      <c r="F1871" s="4" t="str">
        <f>HYPERLINK("http://141.218.60.56/~jnz1568/getInfo.php?workbook=16_15.xlsx&amp;sheet=A0&amp;row=1871&amp;col=6&amp;number=&amp;sourceID=54","")</f>
        <v/>
      </c>
      <c r="G1871" s="4" t="str">
        <f>HYPERLINK("http://141.218.60.56/~jnz1568/getInfo.php?workbook=16_15.xlsx&amp;sheet=A0&amp;row=1871&amp;col=7&amp;number=&amp;sourceID=54","")</f>
        <v/>
      </c>
      <c r="H1871" s="4" t="str">
        <f>HYPERLINK("http://141.218.60.56/~jnz1568/getInfo.php?workbook=16_15.xlsx&amp;sheet=A0&amp;row=1871&amp;col=8&amp;number=&amp;sourceID=54","")</f>
        <v/>
      </c>
      <c r="I1871" s="4" t="str">
        <f>HYPERLINK("http://141.218.60.56/~jnz1568/getInfo.php?workbook=16_15.xlsx&amp;sheet=A0&amp;row=1871&amp;col=9&amp;number=&amp;sourceID=54","")</f>
        <v/>
      </c>
      <c r="J1871" s="4" t="str">
        <f>HYPERLINK("http://141.218.60.56/~jnz1568/getInfo.php?workbook=16_15.xlsx&amp;sheet=A0&amp;row=1871&amp;col=10&amp;number=&amp;sourceID=54","")</f>
        <v/>
      </c>
      <c r="K1871" s="4" t="str">
        <f>HYPERLINK("http://141.218.60.56/~jnz1568/getInfo.php?workbook=16_15.xlsx&amp;sheet=A0&amp;row=1871&amp;col=11&amp;number=&amp;sourceID=54","")</f>
        <v/>
      </c>
      <c r="L1871" s="4" t="str">
        <f>HYPERLINK("http://141.218.60.56/~jnz1568/getInfo.php?workbook=16_15.xlsx&amp;sheet=A0&amp;row=1871&amp;col=12&amp;number=36181.8792251&amp;sourceID=53","36181.8792251")</f>
        <v>36181.8792251</v>
      </c>
      <c r="M1871" s="4" t="str">
        <f>HYPERLINK("http://141.218.60.56/~jnz1568/getInfo.php?workbook=16_15.xlsx&amp;sheet=A0&amp;row=1871&amp;col=13&amp;number=&amp;sourceID=53","")</f>
        <v/>
      </c>
      <c r="N1871" s="4" t="str">
        <f>HYPERLINK("http://141.218.60.56/~jnz1568/getInfo.php?workbook=16_15.xlsx&amp;sheet=A0&amp;row=1871&amp;col=14&amp;number=&amp;sourceID=53","")</f>
        <v/>
      </c>
      <c r="O1871" s="4" t="str">
        <f>HYPERLINK("http://141.218.60.56/~jnz1568/getInfo.php?workbook=16_15.xlsx&amp;sheet=A0&amp;row=1871&amp;col=15&amp;number=&amp;sourceID=55","")</f>
        <v/>
      </c>
      <c r="P1871" s="4" t="str">
        <f>HYPERLINK("http://141.218.60.56/~jnz1568/getInfo.php?workbook=16_15.xlsx&amp;sheet=A0&amp;row=1871&amp;col=16&amp;number=&amp;sourceID=55","")</f>
        <v/>
      </c>
      <c r="Q1871" s="4" t="str">
        <f>HYPERLINK("http://141.218.60.56/~jnz1568/getInfo.php?workbook=16_15.xlsx&amp;sheet=A0&amp;row=1871&amp;col=17&amp;number=&amp;sourceID=56","")</f>
        <v/>
      </c>
      <c r="R1871" s="4" t="str">
        <f>HYPERLINK("http://141.218.60.56/~jnz1568/getInfo.php?workbook=16_15.xlsx&amp;sheet=A0&amp;row=1871&amp;col=18&amp;number=&amp;sourceID=56","")</f>
        <v/>
      </c>
      <c r="S1871" s="4" t="str">
        <f>HYPERLINK("http://141.218.60.56/~jnz1568/getInfo.php?workbook=16_15.xlsx&amp;sheet=A0&amp;row=1871&amp;col=19&amp;number=&amp;sourceID=57","")</f>
        <v/>
      </c>
      <c r="T1871" s="4" t="str">
        <f>HYPERLINK("http://141.218.60.56/~jnz1568/getInfo.php?workbook=16_15.xlsx&amp;sheet=A0&amp;row=1871&amp;col=20&amp;number=&amp;sourceID=57","")</f>
        <v/>
      </c>
      <c r="U1871" s="4" t="str">
        <f>HYPERLINK("http://141.218.60.56/~jnz1568/getInfo.php?workbook=16_15.xlsx&amp;sheet=A0&amp;row=1871&amp;col=21&amp;number=&amp;sourceID=47","")</f>
        <v/>
      </c>
      <c r="V1871" s="4" t="str">
        <f>HYPERLINK("http://141.218.60.56/~jnz1568/getInfo.php?workbook=16_15.xlsx&amp;sheet=A0&amp;row=1871&amp;col=22&amp;number=&amp;sourceID=47","")</f>
        <v/>
      </c>
    </row>
    <row r="1872" spans="1:22">
      <c r="A1872" s="3">
        <v>16</v>
      </c>
      <c r="B1872" s="3">
        <v>15</v>
      </c>
      <c r="C1872" s="3">
        <v>70</v>
      </c>
      <c r="D1872" s="3">
        <v>55</v>
      </c>
      <c r="E1872" s="3">
        <f>((1/(INDEX(E0!J$4:J$73,C1872,1)-INDEX(E0!J$4:J$73,D1872,1))))*100000000</f>
        <v>0</v>
      </c>
      <c r="F1872" s="4" t="str">
        <f>HYPERLINK("http://141.218.60.56/~jnz1568/getInfo.php?workbook=16_15.xlsx&amp;sheet=A0&amp;row=1872&amp;col=6&amp;number=&amp;sourceID=54","")</f>
        <v/>
      </c>
      <c r="G1872" s="4" t="str">
        <f>HYPERLINK("http://141.218.60.56/~jnz1568/getInfo.php?workbook=16_15.xlsx&amp;sheet=A0&amp;row=1872&amp;col=7&amp;number=&amp;sourceID=54","")</f>
        <v/>
      </c>
      <c r="H1872" s="4" t="str">
        <f>HYPERLINK("http://141.218.60.56/~jnz1568/getInfo.php?workbook=16_15.xlsx&amp;sheet=A0&amp;row=1872&amp;col=8&amp;number=&amp;sourceID=54","")</f>
        <v/>
      </c>
      <c r="I1872" s="4" t="str">
        <f>HYPERLINK("http://141.218.60.56/~jnz1568/getInfo.php?workbook=16_15.xlsx&amp;sheet=A0&amp;row=1872&amp;col=9&amp;number=&amp;sourceID=54","")</f>
        <v/>
      </c>
      <c r="J1872" s="4" t="str">
        <f>HYPERLINK("http://141.218.60.56/~jnz1568/getInfo.php?workbook=16_15.xlsx&amp;sheet=A0&amp;row=1872&amp;col=10&amp;number=&amp;sourceID=54","")</f>
        <v/>
      </c>
      <c r="K1872" s="4" t="str">
        <f>HYPERLINK("http://141.218.60.56/~jnz1568/getInfo.php?workbook=16_15.xlsx&amp;sheet=A0&amp;row=1872&amp;col=11&amp;number=&amp;sourceID=54","")</f>
        <v/>
      </c>
      <c r="L1872" s="4" t="str">
        <f>HYPERLINK("http://141.218.60.56/~jnz1568/getInfo.php?workbook=16_15.xlsx&amp;sheet=A0&amp;row=1872&amp;col=12&amp;number=205998.576383&amp;sourceID=53","205998.576383")</f>
        <v>205998.576383</v>
      </c>
      <c r="M1872" s="4" t="str">
        <f>HYPERLINK("http://141.218.60.56/~jnz1568/getInfo.php?workbook=16_15.xlsx&amp;sheet=A0&amp;row=1872&amp;col=13&amp;number=&amp;sourceID=53","")</f>
        <v/>
      </c>
      <c r="N1872" s="4" t="str">
        <f>HYPERLINK("http://141.218.60.56/~jnz1568/getInfo.php?workbook=16_15.xlsx&amp;sheet=A0&amp;row=1872&amp;col=14&amp;number=&amp;sourceID=53","")</f>
        <v/>
      </c>
      <c r="O1872" s="4" t="str">
        <f>HYPERLINK("http://141.218.60.56/~jnz1568/getInfo.php?workbook=16_15.xlsx&amp;sheet=A0&amp;row=1872&amp;col=15&amp;number=&amp;sourceID=55","")</f>
        <v/>
      </c>
      <c r="P1872" s="4" t="str">
        <f>HYPERLINK("http://141.218.60.56/~jnz1568/getInfo.php?workbook=16_15.xlsx&amp;sheet=A0&amp;row=1872&amp;col=16&amp;number=&amp;sourceID=55","")</f>
        <v/>
      </c>
      <c r="Q1872" s="4" t="str">
        <f>HYPERLINK("http://141.218.60.56/~jnz1568/getInfo.php?workbook=16_15.xlsx&amp;sheet=A0&amp;row=1872&amp;col=17&amp;number=&amp;sourceID=56","")</f>
        <v/>
      </c>
      <c r="R1872" s="4" t="str">
        <f>HYPERLINK("http://141.218.60.56/~jnz1568/getInfo.php?workbook=16_15.xlsx&amp;sheet=A0&amp;row=1872&amp;col=18&amp;number=&amp;sourceID=56","")</f>
        <v/>
      </c>
      <c r="S1872" s="4" t="str">
        <f>HYPERLINK("http://141.218.60.56/~jnz1568/getInfo.php?workbook=16_15.xlsx&amp;sheet=A0&amp;row=1872&amp;col=19&amp;number=&amp;sourceID=57","")</f>
        <v/>
      </c>
      <c r="T1872" s="4" t="str">
        <f>HYPERLINK("http://141.218.60.56/~jnz1568/getInfo.php?workbook=16_15.xlsx&amp;sheet=A0&amp;row=1872&amp;col=20&amp;number=&amp;sourceID=57","")</f>
        <v/>
      </c>
      <c r="U1872" s="4" t="str">
        <f>HYPERLINK("http://141.218.60.56/~jnz1568/getInfo.php?workbook=16_15.xlsx&amp;sheet=A0&amp;row=1872&amp;col=21&amp;number=&amp;sourceID=47","")</f>
        <v/>
      </c>
      <c r="V1872" s="4" t="str">
        <f>HYPERLINK("http://141.218.60.56/~jnz1568/getInfo.php?workbook=16_15.xlsx&amp;sheet=A0&amp;row=1872&amp;col=22&amp;number=&amp;sourceID=47","")</f>
        <v/>
      </c>
    </row>
    <row r="1873" spans="1:22">
      <c r="A1873" s="3">
        <v>16</v>
      </c>
      <c r="B1873" s="3">
        <v>15</v>
      </c>
      <c r="C1873" s="3">
        <v>70</v>
      </c>
      <c r="D1873" s="3">
        <v>62</v>
      </c>
      <c r="E1873" s="3">
        <f>((1/(INDEX(E0!J$4:J$73,C1873,1)-INDEX(E0!J$4:J$73,D1873,1))))*100000000</f>
        <v>0</v>
      </c>
      <c r="F1873" s="4" t="str">
        <f>HYPERLINK("http://141.218.60.56/~jnz1568/getInfo.php?workbook=16_15.xlsx&amp;sheet=A0&amp;row=1873&amp;col=6&amp;number=&amp;sourceID=54","")</f>
        <v/>
      </c>
      <c r="G1873" s="4" t="str">
        <f>HYPERLINK("http://141.218.60.56/~jnz1568/getInfo.php?workbook=16_15.xlsx&amp;sheet=A0&amp;row=1873&amp;col=7&amp;number=&amp;sourceID=54","")</f>
        <v/>
      </c>
      <c r="H1873" s="4" t="str">
        <f>HYPERLINK("http://141.218.60.56/~jnz1568/getInfo.php?workbook=16_15.xlsx&amp;sheet=A0&amp;row=1873&amp;col=8&amp;number=&amp;sourceID=54","")</f>
        <v/>
      </c>
      <c r="I1873" s="4" t="str">
        <f>HYPERLINK("http://141.218.60.56/~jnz1568/getInfo.php?workbook=16_15.xlsx&amp;sheet=A0&amp;row=1873&amp;col=9&amp;number=&amp;sourceID=54","")</f>
        <v/>
      </c>
      <c r="J1873" s="4" t="str">
        <f>HYPERLINK("http://141.218.60.56/~jnz1568/getInfo.php?workbook=16_15.xlsx&amp;sheet=A0&amp;row=1873&amp;col=10&amp;number=&amp;sourceID=54","")</f>
        <v/>
      </c>
      <c r="K1873" s="4" t="str">
        <f>HYPERLINK("http://141.218.60.56/~jnz1568/getInfo.php?workbook=16_15.xlsx&amp;sheet=A0&amp;row=1873&amp;col=11&amp;number=&amp;sourceID=54","")</f>
        <v/>
      </c>
      <c r="L1873" s="4" t="str">
        <f>HYPERLINK("http://141.218.60.56/~jnz1568/getInfo.php?workbook=16_15.xlsx&amp;sheet=A0&amp;row=1873&amp;col=12&amp;number=6555160.21153&amp;sourceID=53","6555160.21153")</f>
        <v>6555160.21153</v>
      </c>
      <c r="M1873" s="4" t="str">
        <f>HYPERLINK("http://141.218.60.56/~jnz1568/getInfo.php?workbook=16_15.xlsx&amp;sheet=A0&amp;row=1873&amp;col=13&amp;number=&amp;sourceID=53","")</f>
        <v/>
      </c>
      <c r="N1873" s="4" t="str">
        <f>HYPERLINK("http://141.218.60.56/~jnz1568/getInfo.php?workbook=16_15.xlsx&amp;sheet=A0&amp;row=1873&amp;col=14&amp;number=&amp;sourceID=53","")</f>
        <v/>
      </c>
      <c r="O1873" s="4" t="str">
        <f>HYPERLINK("http://141.218.60.56/~jnz1568/getInfo.php?workbook=16_15.xlsx&amp;sheet=A0&amp;row=1873&amp;col=15&amp;number=&amp;sourceID=55","")</f>
        <v/>
      </c>
      <c r="P1873" s="4" t="str">
        <f>HYPERLINK("http://141.218.60.56/~jnz1568/getInfo.php?workbook=16_15.xlsx&amp;sheet=A0&amp;row=1873&amp;col=16&amp;number=&amp;sourceID=55","")</f>
        <v/>
      </c>
      <c r="Q1873" s="4" t="str">
        <f>HYPERLINK("http://141.218.60.56/~jnz1568/getInfo.php?workbook=16_15.xlsx&amp;sheet=A0&amp;row=1873&amp;col=17&amp;number=&amp;sourceID=56","")</f>
        <v/>
      </c>
      <c r="R1873" s="4" t="str">
        <f>HYPERLINK("http://141.218.60.56/~jnz1568/getInfo.php?workbook=16_15.xlsx&amp;sheet=A0&amp;row=1873&amp;col=18&amp;number=&amp;sourceID=56","")</f>
        <v/>
      </c>
      <c r="S1873" s="4" t="str">
        <f>HYPERLINK("http://141.218.60.56/~jnz1568/getInfo.php?workbook=16_15.xlsx&amp;sheet=A0&amp;row=1873&amp;col=19&amp;number=&amp;sourceID=57","")</f>
        <v/>
      </c>
      <c r="T1873" s="4" t="str">
        <f>HYPERLINK("http://141.218.60.56/~jnz1568/getInfo.php?workbook=16_15.xlsx&amp;sheet=A0&amp;row=1873&amp;col=20&amp;number=&amp;sourceID=57","")</f>
        <v/>
      </c>
      <c r="U1873" s="4" t="str">
        <f>HYPERLINK("http://141.218.60.56/~jnz1568/getInfo.php?workbook=16_15.xlsx&amp;sheet=A0&amp;row=1873&amp;col=21&amp;number=&amp;sourceID=47","")</f>
        <v/>
      </c>
      <c r="V1873" s="4" t="str">
        <f>HYPERLINK("http://141.218.60.56/~jnz1568/getInfo.php?workbook=16_15.xlsx&amp;sheet=A0&amp;row=1873&amp;col=22&amp;number=&amp;sourceID=47","")</f>
        <v/>
      </c>
    </row>
    <row r="1874" spans="1:22">
      <c r="A1874" s="3">
        <v>16</v>
      </c>
      <c r="B1874" s="3">
        <v>15</v>
      </c>
      <c r="C1874" s="3">
        <v>70</v>
      </c>
      <c r="D1874" s="3">
        <v>63</v>
      </c>
      <c r="E1874" s="3">
        <f>((1/(INDEX(E0!J$4:J$73,C1874,1)-INDEX(E0!J$4:J$73,D1874,1))))*100000000</f>
        <v>0</v>
      </c>
      <c r="F1874" s="4" t="str">
        <f>HYPERLINK("http://141.218.60.56/~jnz1568/getInfo.php?workbook=16_15.xlsx&amp;sheet=A0&amp;row=1874&amp;col=6&amp;number=&amp;sourceID=54","")</f>
        <v/>
      </c>
      <c r="G1874" s="4" t="str">
        <f>HYPERLINK("http://141.218.60.56/~jnz1568/getInfo.php?workbook=16_15.xlsx&amp;sheet=A0&amp;row=1874&amp;col=7&amp;number=&amp;sourceID=54","")</f>
        <v/>
      </c>
      <c r="H1874" s="4" t="str">
        <f>HYPERLINK("http://141.218.60.56/~jnz1568/getInfo.php?workbook=16_15.xlsx&amp;sheet=A0&amp;row=1874&amp;col=8&amp;number=&amp;sourceID=54","")</f>
        <v/>
      </c>
      <c r="I1874" s="4" t="str">
        <f>HYPERLINK("http://141.218.60.56/~jnz1568/getInfo.php?workbook=16_15.xlsx&amp;sheet=A0&amp;row=1874&amp;col=9&amp;number=&amp;sourceID=54","")</f>
        <v/>
      </c>
      <c r="J1874" s="4" t="str">
        <f>HYPERLINK("http://141.218.60.56/~jnz1568/getInfo.php?workbook=16_15.xlsx&amp;sheet=A0&amp;row=1874&amp;col=10&amp;number=&amp;sourceID=54","")</f>
        <v/>
      </c>
      <c r="K1874" s="4" t="str">
        <f>HYPERLINK("http://141.218.60.56/~jnz1568/getInfo.php?workbook=16_15.xlsx&amp;sheet=A0&amp;row=1874&amp;col=11&amp;number=&amp;sourceID=54","")</f>
        <v/>
      </c>
      <c r="L1874" s="4" t="str">
        <f>HYPERLINK("http://141.218.60.56/~jnz1568/getInfo.php?workbook=16_15.xlsx&amp;sheet=A0&amp;row=1874&amp;col=12&amp;number=475170.932082&amp;sourceID=53","475170.932082")</f>
        <v>475170.932082</v>
      </c>
      <c r="M1874" s="4" t="str">
        <f>HYPERLINK("http://141.218.60.56/~jnz1568/getInfo.php?workbook=16_15.xlsx&amp;sheet=A0&amp;row=1874&amp;col=13&amp;number=&amp;sourceID=53","")</f>
        <v/>
      </c>
      <c r="N1874" s="4" t="str">
        <f>HYPERLINK("http://141.218.60.56/~jnz1568/getInfo.php?workbook=16_15.xlsx&amp;sheet=A0&amp;row=1874&amp;col=14&amp;number=&amp;sourceID=53","")</f>
        <v/>
      </c>
      <c r="O1874" s="4" t="str">
        <f>HYPERLINK("http://141.218.60.56/~jnz1568/getInfo.php?workbook=16_15.xlsx&amp;sheet=A0&amp;row=1874&amp;col=15&amp;number=&amp;sourceID=55","")</f>
        <v/>
      </c>
      <c r="P1874" s="4" t="str">
        <f>HYPERLINK("http://141.218.60.56/~jnz1568/getInfo.php?workbook=16_15.xlsx&amp;sheet=A0&amp;row=1874&amp;col=16&amp;number=&amp;sourceID=55","")</f>
        <v/>
      </c>
      <c r="Q1874" s="4" t="str">
        <f>HYPERLINK("http://141.218.60.56/~jnz1568/getInfo.php?workbook=16_15.xlsx&amp;sheet=A0&amp;row=1874&amp;col=17&amp;number=&amp;sourceID=56","")</f>
        <v/>
      </c>
      <c r="R1874" s="4" t="str">
        <f>HYPERLINK("http://141.218.60.56/~jnz1568/getInfo.php?workbook=16_15.xlsx&amp;sheet=A0&amp;row=1874&amp;col=18&amp;number=&amp;sourceID=56","")</f>
        <v/>
      </c>
      <c r="S1874" s="4" t="str">
        <f>HYPERLINK("http://141.218.60.56/~jnz1568/getInfo.php?workbook=16_15.xlsx&amp;sheet=A0&amp;row=1874&amp;col=19&amp;number=&amp;sourceID=57","")</f>
        <v/>
      </c>
      <c r="T1874" s="4" t="str">
        <f>HYPERLINK("http://141.218.60.56/~jnz1568/getInfo.php?workbook=16_15.xlsx&amp;sheet=A0&amp;row=1874&amp;col=20&amp;number=&amp;sourceID=57","")</f>
        <v/>
      </c>
      <c r="U1874" s="4" t="str">
        <f>HYPERLINK("http://141.218.60.56/~jnz1568/getInfo.php?workbook=16_15.xlsx&amp;sheet=A0&amp;row=1874&amp;col=21&amp;number=&amp;sourceID=47","")</f>
        <v/>
      </c>
      <c r="V1874" s="4" t="str">
        <f>HYPERLINK("http://141.218.60.56/~jnz1568/getInfo.php?workbook=16_15.xlsx&amp;sheet=A0&amp;row=1874&amp;col=22&amp;number=&amp;sourceID=47","")</f>
        <v/>
      </c>
    </row>
    <row r="1875" spans="1:22">
      <c r="A1875" s="3">
        <v>16</v>
      </c>
      <c r="B1875" s="3">
        <v>15</v>
      </c>
      <c r="C1875" s="3">
        <v>70</v>
      </c>
      <c r="D1875" s="3">
        <v>64</v>
      </c>
      <c r="E1875" s="3">
        <f>((1/(INDEX(E0!J$4:J$73,C1875,1)-INDEX(E0!J$4:J$73,D1875,1))))*100000000</f>
        <v>0</v>
      </c>
      <c r="F1875" s="4" t="str">
        <f>HYPERLINK("http://141.218.60.56/~jnz1568/getInfo.php?workbook=16_15.xlsx&amp;sheet=A0&amp;row=1875&amp;col=6&amp;number=&amp;sourceID=54","")</f>
        <v/>
      </c>
      <c r="G1875" s="4" t="str">
        <f>HYPERLINK("http://141.218.60.56/~jnz1568/getInfo.php?workbook=16_15.xlsx&amp;sheet=A0&amp;row=1875&amp;col=7&amp;number=&amp;sourceID=54","")</f>
        <v/>
      </c>
      <c r="H1875" s="4" t="str">
        <f>HYPERLINK("http://141.218.60.56/~jnz1568/getInfo.php?workbook=16_15.xlsx&amp;sheet=A0&amp;row=1875&amp;col=8&amp;number=&amp;sourceID=54","")</f>
        <v/>
      </c>
      <c r="I1875" s="4" t="str">
        <f>HYPERLINK("http://141.218.60.56/~jnz1568/getInfo.php?workbook=16_15.xlsx&amp;sheet=A0&amp;row=1875&amp;col=9&amp;number=&amp;sourceID=54","")</f>
        <v/>
      </c>
      <c r="J1875" s="4" t="str">
        <f>HYPERLINK("http://141.218.60.56/~jnz1568/getInfo.php?workbook=16_15.xlsx&amp;sheet=A0&amp;row=1875&amp;col=10&amp;number=&amp;sourceID=54","")</f>
        <v/>
      </c>
      <c r="K1875" s="4" t="str">
        <f>HYPERLINK("http://141.218.60.56/~jnz1568/getInfo.php?workbook=16_15.xlsx&amp;sheet=A0&amp;row=1875&amp;col=11&amp;number=&amp;sourceID=54","")</f>
        <v/>
      </c>
      <c r="L1875" s="4" t="str">
        <f>HYPERLINK("http://141.218.60.56/~jnz1568/getInfo.php?workbook=16_15.xlsx&amp;sheet=A0&amp;row=1875&amp;col=12&amp;number=759568.352417&amp;sourceID=53","759568.352417")</f>
        <v>759568.352417</v>
      </c>
      <c r="M1875" s="4" t="str">
        <f>HYPERLINK("http://141.218.60.56/~jnz1568/getInfo.php?workbook=16_15.xlsx&amp;sheet=A0&amp;row=1875&amp;col=13&amp;number=&amp;sourceID=53","")</f>
        <v/>
      </c>
      <c r="N1875" s="4" t="str">
        <f>HYPERLINK("http://141.218.60.56/~jnz1568/getInfo.php?workbook=16_15.xlsx&amp;sheet=A0&amp;row=1875&amp;col=14&amp;number=&amp;sourceID=53","")</f>
        <v/>
      </c>
      <c r="O1875" s="4" t="str">
        <f>HYPERLINK("http://141.218.60.56/~jnz1568/getInfo.php?workbook=16_15.xlsx&amp;sheet=A0&amp;row=1875&amp;col=15&amp;number=&amp;sourceID=55","")</f>
        <v/>
      </c>
      <c r="P1875" s="4" t="str">
        <f>HYPERLINK("http://141.218.60.56/~jnz1568/getInfo.php?workbook=16_15.xlsx&amp;sheet=A0&amp;row=1875&amp;col=16&amp;number=&amp;sourceID=55","")</f>
        <v/>
      </c>
      <c r="Q1875" s="4" t="str">
        <f>HYPERLINK("http://141.218.60.56/~jnz1568/getInfo.php?workbook=16_15.xlsx&amp;sheet=A0&amp;row=1875&amp;col=17&amp;number=&amp;sourceID=56","")</f>
        <v/>
      </c>
      <c r="R1875" s="4" t="str">
        <f>HYPERLINK("http://141.218.60.56/~jnz1568/getInfo.php?workbook=16_15.xlsx&amp;sheet=A0&amp;row=1875&amp;col=18&amp;number=&amp;sourceID=56","")</f>
        <v/>
      </c>
      <c r="S1875" s="4" t="str">
        <f>HYPERLINK("http://141.218.60.56/~jnz1568/getInfo.php?workbook=16_15.xlsx&amp;sheet=A0&amp;row=1875&amp;col=19&amp;number=&amp;sourceID=57","")</f>
        <v/>
      </c>
      <c r="T1875" s="4" t="str">
        <f>HYPERLINK("http://141.218.60.56/~jnz1568/getInfo.php?workbook=16_15.xlsx&amp;sheet=A0&amp;row=1875&amp;col=20&amp;number=&amp;sourceID=57","")</f>
        <v/>
      </c>
      <c r="U1875" s="4" t="str">
        <f>HYPERLINK("http://141.218.60.56/~jnz1568/getInfo.php?workbook=16_15.xlsx&amp;sheet=A0&amp;row=1875&amp;col=21&amp;number=&amp;sourceID=47","")</f>
        <v/>
      </c>
      <c r="V1875" s="4" t="str">
        <f>HYPERLINK("http://141.218.60.56/~jnz1568/getInfo.php?workbook=16_15.xlsx&amp;sheet=A0&amp;row=1875&amp;col=22&amp;number=&amp;sourceID=47","")</f>
        <v/>
      </c>
    </row>
    <row r="1876" spans="1:22">
      <c r="A1876" s="3">
        <v>16</v>
      </c>
      <c r="B1876" s="3">
        <v>15</v>
      </c>
      <c r="C1876" s="3">
        <v>70</v>
      </c>
      <c r="D1876" s="3">
        <v>65</v>
      </c>
      <c r="E1876" s="3">
        <f>((1/(INDEX(E0!J$4:J$73,C1876,1)-INDEX(E0!J$4:J$73,D1876,1))))*100000000</f>
        <v>0</v>
      </c>
      <c r="F1876" s="4" t="str">
        <f>HYPERLINK("http://141.218.60.56/~jnz1568/getInfo.php?workbook=16_15.xlsx&amp;sheet=A0&amp;row=1876&amp;col=6&amp;number=&amp;sourceID=54","")</f>
        <v/>
      </c>
      <c r="G1876" s="4" t="str">
        <f>HYPERLINK("http://141.218.60.56/~jnz1568/getInfo.php?workbook=16_15.xlsx&amp;sheet=A0&amp;row=1876&amp;col=7&amp;number=&amp;sourceID=54","")</f>
        <v/>
      </c>
      <c r="H1876" s="4" t="str">
        <f>HYPERLINK("http://141.218.60.56/~jnz1568/getInfo.php?workbook=16_15.xlsx&amp;sheet=A0&amp;row=1876&amp;col=8&amp;number=&amp;sourceID=54","")</f>
        <v/>
      </c>
      <c r="I1876" s="4" t="str">
        <f>HYPERLINK("http://141.218.60.56/~jnz1568/getInfo.php?workbook=16_15.xlsx&amp;sheet=A0&amp;row=1876&amp;col=9&amp;number=&amp;sourceID=54","")</f>
        <v/>
      </c>
      <c r="J1876" s="4" t="str">
        <f>HYPERLINK("http://141.218.60.56/~jnz1568/getInfo.php?workbook=16_15.xlsx&amp;sheet=A0&amp;row=1876&amp;col=10&amp;number=&amp;sourceID=54","")</f>
        <v/>
      </c>
      <c r="K1876" s="4" t="str">
        <f>HYPERLINK("http://141.218.60.56/~jnz1568/getInfo.php?workbook=16_15.xlsx&amp;sheet=A0&amp;row=1876&amp;col=11&amp;number=&amp;sourceID=54","")</f>
        <v/>
      </c>
      <c r="L1876" s="4" t="str">
        <f>HYPERLINK("http://141.218.60.56/~jnz1568/getInfo.php?workbook=16_15.xlsx&amp;sheet=A0&amp;row=1876&amp;col=12&amp;number=172032.154255&amp;sourceID=53","172032.154255")</f>
        <v>172032.154255</v>
      </c>
      <c r="M1876" s="4" t="str">
        <f>HYPERLINK("http://141.218.60.56/~jnz1568/getInfo.php?workbook=16_15.xlsx&amp;sheet=A0&amp;row=1876&amp;col=13&amp;number=&amp;sourceID=53","")</f>
        <v/>
      </c>
      <c r="N1876" s="4" t="str">
        <f>HYPERLINK("http://141.218.60.56/~jnz1568/getInfo.php?workbook=16_15.xlsx&amp;sheet=A0&amp;row=1876&amp;col=14&amp;number=&amp;sourceID=53","")</f>
        <v/>
      </c>
      <c r="O1876" s="4" t="str">
        <f>HYPERLINK("http://141.218.60.56/~jnz1568/getInfo.php?workbook=16_15.xlsx&amp;sheet=A0&amp;row=1876&amp;col=15&amp;number=&amp;sourceID=55","")</f>
        <v/>
      </c>
      <c r="P1876" s="4" t="str">
        <f>HYPERLINK("http://141.218.60.56/~jnz1568/getInfo.php?workbook=16_15.xlsx&amp;sheet=A0&amp;row=1876&amp;col=16&amp;number=&amp;sourceID=55","")</f>
        <v/>
      </c>
      <c r="Q1876" s="4" t="str">
        <f>HYPERLINK("http://141.218.60.56/~jnz1568/getInfo.php?workbook=16_15.xlsx&amp;sheet=A0&amp;row=1876&amp;col=17&amp;number=&amp;sourceID=56","")</f>
        <v/>
      </c>
      <c r="R1876" s="4" t="str">
        <f>HYPERLINK("http://141.218.60.56/~jnz1568/getInfo.php?workbook=16_15.xlsx&amp;sheet=A0&amp;row=1876&amp;col=18&amp;number=&amp;sourceID=56","")</f>
        <v/>
      </c>
      <c r="S1876" s="4" t="str">
        <f>HYPERLINK("http://141.218.60.56/~jnz1568/getInfo.php?workbook=16_15.xlsx&amp;sheet=A0&amp;row=1876&amp;col=19&amp;number=&amp;sourceID=57","")</f>
        <v/>
      </c>
      <c r="T1876" s="4" t="str">
        <f>HYPERLINK("http://141.218.60.56/~jnz1568/getInfo.php?workbook=16_15.xlsx&amp;sheet=A0&amp;row=1876&amp;col=20&amp;number=&amp;sourceID=57","")</f>
        <v/>
      </c>
      <c r="U1876" s="4" t="str">
        <f>HYPERLINK("http://141.218.60.56/~jnz1568/getInfo.php?workbook=16_15.xlsx&amp;sheet=A0&amp;row=1876&amp;col=21&amp;number=&amp;sourceID=47","")</f>
        <v/>
      </c>
      <c r="V1876" s="4" t="str">
        <f>HYPERLINK("http://141.218.60.56/~jnz1568/getInfo.php?workbook=16_15.xlsx&amp;sheet=A0&amp;row=1876&amp;col=22&amp;number=&amp;sourceID=47","")</f>
        <v/>
      </c>
    </row>
    <row r="1877" spans="1:22">
      <c r="A1877" s="3">
        <v>16</v>
      </c>
      <c r="B1877" s="3">
        <v>15</v>
      </c>
      <c r="C1877" s="3">
        <v>70</v>
      </c>
      <c r="D1877" s="3">
        <v>66</v>
      </c>
      <c r="E1877" s="3">
        <f>((1/(INDEX(E0!J$4:J$73,C1877,1)-INDEX(E0!J$4:J$73,D1877,1))))*100000000</f>
        <v>0</v>
      </c>
      <c r="F1877" s="4" t="str">
        <f>HYPERLINK("http://141.218.60.56/~jnz1568/getInfo.php?workbook=16_15.xlsx&amp;sheet=A0&amp;row=1877&amp;col=6&amp;number=&amp;sourceID=54","")</f>
        <v/>
      </c>
      <c r="G1877" s="4" t="str">
        <f>HYPERLINK("http://141.218.60.56/~jnz1568/getInfo.php?workbook=16_15.xlsx&amp;sheet=A0&amp;row=1877&amp;col=7&amp;number=&amp;sourceID=54","")</f>
        <v/>
      </c>
      <c r="H1877" s="4" t="str">
        <f>HYPERLINK("http://141.218.60.56/~jnz1568/getInfo.php?workbook=16_15.xlsx&amp;sheet=A0&amp;row=1877&amp;col=8&amp;number=&amp;sourceID=54","")</f>
        <v/>
      </c>
      <c r="I1877" s="4" t="str">
        <f>HYPERLINK("http://141.218.60.56/~jnz1568/getInfo.php?workbook=16_15.xlsx&amp;sheet=A0&amp;row=1877&amp;col=9&amp;number=&amp;sourceID=54","")</f>
        <v/>
      </c>
      <c r="J1877" s="4" t="str">
        <f>HYPERLINK("http://141.218.60.56/~jnz1568/getInfo.php?workbook=16_15.xlsx&amp;sheet=A0&amp;row=1877&amp;col=10&amp;number=&amp;sourceID=54","")</f>
        <v/>
      </c>
      <c r="K1877" s="4" t="str">
        <f>HYPERLINK("http://141.218.60.56/~jnz1568/getInfo.php?workbook=16_15.xlsx&amp;sheet=A0&amp;row=1877&amp;col=11&amp;number=&amp;sourceID=54","")</f>
        <v/>
      </c>
      <c r="L1877" s="4" t="str">
        <f>HYPERLINK("http://141.218.60.56/~jnz1568/getInfo.php?workbook=16_15.xlsx&amp;sheet=A0&amp;row=1877&amp;col=12&amp;number=2289833.09095&amp;sourceID=53","2289833.09095")</f>
        <v>2289833.09095</v>
      </c>
      <c r="M1877" s="4" t="str">
        <f>HYPERLINK("http://141.218.60.56/~jnz1568/getInfo.php?workbook=16_15.xlsx&amp;sheet=A0&amp;row=1877&amp;col=13&amp;number=&amp;sourceID=53","")</f>
        <v/>
      </c>
      <c r="N1877" s="4" t="str">
        <f>HYPERLINK("http://141.218.60.56/~jnz1568/getInfo.php?workbook=16_15.xlsx&amp;sheet=A0&amp;row=1877&amp;col=14&amp;number=&amp;sourceID=53","")</f>
        <v/>
      </c>
      <c r="O1877" s="4" t="str">
        <f>HYPERLINK("http://141.218.60.56/~jnz1568/getInfo.php?workbook=16_15.xlsx&amp;sheet=A0&amp;row=1877&amp;col=15&amp;number=&amp;sourceID=55","")</f>
        <v/>
      </c>
      <c r="P1877" s="4" t="str">
        <f>HYPERLINK("http://141.218.60.56/~jnz1568/getInfo.php?workbook=16_15.xlsx&amp;sheet=A0&amp;row=1877&amp;col=16&amp;number=&amp;sourceID=55","")</f>
        <v/>
      </c>
      <c r="Q1877" s="4" t="str">
        <f>HYPERLINK("http://141.218.60.56/~jnz1568/getInfo.php?workbook=16_15.xlsx&amp;sheet=A0&amp;row=1877&amp;col=17&amp;number=&amp;sourceID=56","")</f>
        <v/>
      </c>
      <c r="R1877" s="4" t="str">
        <f>HYPERLINK("http://141.218.60.56/~jnz1568/getInfo.php?workbook=16_15.xlsx&amp;sheet=A0&amp;row=1877&amp;col=18&amp;number=&amp;sourceID=56","")</f>
        <v/>
      </c>
      <c r="S1877" s="4" t="str">
        <f>HYPERLINK("http://141.218.60.56/~jnz1568/getInfo.php?workbook=16_15.xlsx&amp;sheet=A0&amp;row=1877&amp;col=19&amp;number=&amp;sourceID=57","")</f>
        <v/>
      </c>
      <c r="T1877" s="4" t="str">
        <f>HYPERLINK("http://141.218.60.56/~jnz1568/getInfo.php?workbook=16_15.xlsx&amp;sheet=A0&amp;row=1877&amp;col=20&amp;number=&amp;sourceID=57","")</f>
        <v/>
      </c>
      <c r="U1877" s="4" t="str">
        <f>HYPERLINK("http://141.218.60.56/~jnz1568/getInfo.php?workbook=16_15.xlsx&amp;sheet=A0&amp;row=1877&amp;col=21&amp;number=&amp;sourceID=47","")</f>
        <v/>
      </c>
      <c r="V1877" s="4" t="str">
        <f>HYPERLINK("http://141.218.60.56/~jnz1568/getInfo.php?workbook=16_15.xlsx&amp;sheet=A0&amp;row=1877&amp;col=22&amp;number=&amp;sourceID=47","")</f>
        <v/>
      </c>
    </row>
    <row r="1878" spans="1:22">
      <c r="A1878" s="3">
        <v>16</v>
      </c>
      <c r="B1878" s="3">
        <v>15</v>
      </c>
      <c r="C1878" s="3">
        <v>70</v>
      </c>
      <c r="D1878" s="3">
        <v>67</v>
      </c>
      <c r="E1878" s="3">
        <f>((1/(INDEX(E0!J$4:J$73,C1878,1)-INDEX(E0!J$4:J$73,D1878,1))))*100000000</f>
        <v>0</v>
      </c>
      <c r="F1878" s="4" t="str">
        <f>HYPERLINK("http://141.218.60.56/~jnz1568/getInfo.php?workbook=16_15.xlsx&amp;sheet=A0&amp;row=1878&amp;col=6&amp;number=&amp;sourceID=54","")</f>
        <v/>
      </c>
      <c r="G1878" s="4" t="str">
        <f>HYPERLINK("http://141.218.60.56/~jnz1568/getInfo.php?workbook=16_15.xlsx&amp;sheet=A0&amp;row=1878&amp;col=7&amp;number=&amp;sourceID=54","")</f>
        <v/>
      </c>
      <c r="H1878" s="4" t="str">
        <f>HYPERLINK("http://141.218.60.56/~jnz1568/getInfo.php?workbook=16_15.xlsx&amp;sheet=A0&amp;row=1878&amp;col=8&amp;number=&amp;sourceID=54","")</f>
        <v/>
      </c>
      <c r="I1878" s="4" t="str">
        <f>HYPERLINK("http://141.218.60.56/~jnz1568/getInfo.php?workbook=16_15.xlsx&amp;sheet=A0&amp;row=1878&amp;col=9&amp;number=&amp;sourceID=54","")</f>
        <v/>
      </c>
      <c r="J1878" s="4" t="str">
        <f>HYPERLINK("http://141.218.60.56/~jnz1568/getInfo.php?workbook=16_15.xlsx&amp;sheet=A0&amp;row=1878&amp;col=10&amp;number=&amp;sourceID=54","")</f>
        <v/>
      </c>
      <c r="K1878" s="4" t="str">
        <f>HYPERLINK("http://141.218.60.56/~jnz1568/getInfo.php?workbook=16_15.xlsx&amp;sheet=A0&amp;row=1878&amp;col=11&amp;number=&amp;sourceID=54","")</f>
        <v/>
      </c>
      <c r="L1878" s="4" t="str">
        <f>HYPERLINK("http://141.218.60.56/~jnz1568/getInfo.php?workbook=16_15.xlsx&amp;sheet=A0&amp;row=1878&amp;col=12&amp;number=231718.172961&amp;sourceID=53","231718.172961")</f>
        <v>231718.172961</v>
      </c>
      <c r="M1878" s="4" t="str">
        <f>HYPERLINK("http://141.218.60.56/~jnz1568/getInfo.php?workbook=16_15.xlsx&amp;sheet=A0&amp;row=1878&amp;col=13&amp;number=&amp;sourceID=53","")</f>
        <v/>
      </c>
      <c r="N1878" s="4" t="str">
        <f>HYPERLINK("http://141.218.60.56/~jnz1568/getInfo.php?workbook=16_15.xlsx&amp;sheet=A0&amp;row=1878&amp;col=14&amp;number=&amp;sourceID=53","")</f>
        <v/>
      </c>
      <c r="O1878" s="4" t="str">
        <f>HYPERLINK("http://141.218.60.56/~jnz1568/getInfo.php?workbook=16_15.xlsx&amp;sheet=A0&amp;row=1878&amp;col=15&amp;number=&amp;sourceID=55","")</f>
        <v/>
      </c>
      <c r="P1878" s="4" t="str">
        <f>HYPERLINK("http://141.218.60.56/~jnz1568/getInfo.php?workbook=16_15.xlsx&amp;sheet=A0&amp;row=1878&amp;col=16&amp;number=&amp;sourceID=55","")</f>
        <v/>
      </c>
      <c r="Q1878" s="4" t="str">
        <f>HYPERLINK("http://141.218.60.56/~jnz1568/getInfo.php?workbook=16_15.xlsx&amp;sheet=A0&amp;row=1878&amp;col=17&amp;number=&amp;sourceID=56","")</f>
        <v/>
      </c>
      <c r="R1878" s="4" t="str">
        <f>HYPERLINK("http://141.218.60.56/~jnz1568/getInfo.php?workbook=16_15.xlsx&amp;sheet=A0&amp;row=1878&amp;col=18&amp;number=&amp;sourceID=56","")</f>
        <v/>
      </c>
      <c r="S1878" s="4" t="str">
        <f>HYPERLINK("http://141.218.60.56/~jnz1568/getInfo.php?workbook=16_15.xlsx&amp;sheet=A0&amp;row=1878&amp;col=19&amp;number=&amp;sourceID=57","")</f>
        <v/>
      </c>
      <c r="T1878" s="4" t="str">
        <f>HYPERLINK("http://141.218.60.56/~jnz1568/getInfo.php?workbook=16_15.xlsx&amp;sheet=A0&amp;row=1878&amp;col=20&amp;number=&amp;sourceID=57","")</f>
        <v/>
      </c>
      <c r="U1878" s="4" t="str">
        <f>HYPERLINK("http://141.218.60.56/~jnz1568/getInfo.php?workbook=16_15.xlsx&amp;sheet=A0&amp;row=1878&amp;col=21&amp;number=&amp;sourceID=47","")</f>
        <v/>
      </c>
      <c r="V1878" s="4" t="str">
        <f>HYPERLINK("http://141.218.60.56/~jnz1568/getInfo.php?workbook=16_15.xlsx&amp;sheet=A0&amp;row=1878&amp;col=22&amp;number=&amp;sourceID=47","")</f>
        <v/>
      </c>
    </row>
    <row r="1879" spans="1:22">
      <c r="A1879" s="3">
        <v>16</v>
      </c>
      <c r="B1879" s="3">
        <v>15</v>
      </c>
      <c r="C1879" s="3">
        <v>70</v>
      </c>
      <c r="D1879" s="3">
        <v>68</v>
      </c>
      <c r="E1879" s="3">
        <f>((1/(INDEX(E0!J$4:J$73,C1879,1)-INDEX(E0!J$4:J$73,D1879,1))))*100000000</f>
        <v>0</v>
      </c>
      <c r="F1879" s="4" t="str">
        <f>HYPERLINK("http://141.218.60.56/~jnz1568/getInfo.php?workbook=16_15.xlsx&amp;sheet=A0&amp;row=1879&amp;col=6&amp;number=&amp;sourceID=54","")</f>
        <v/>
      </c>
      <c r="G1879" s="4" t="str">
        <f>HYPERLINK("http://141.218.60.56/~jnz1568/getInfo.php?workbook=16_15.xlsx&amp;sheet=A0&amp;row=1879&amp;col=7&amp;number=&amp;sourceID=54","")</f>
        <v/>
      </c>
      <c r="H1879" s="4" t="str">
        <f>HYPERLINK("http://141.218.60.56/~jnz1568/getInfo.php?workbook=16_15.xlsx&amp;sheet=A0&amp;row=1879&amp;col=8&amp;number=&amp;sourceID=54","")</f>
        <v/>
      </c>
      <c r="I1879" s="4" t="str">
        <f>HYPERLINK("http://141.218.60.56/~jnz1568/getInfo.php?workbook=16_15.xlsx&amp;sheet=A0&amp;row=1879&amp;col=9&amp;number=&amp;sourceID=54","")</f>
        <v/>
      </c>
      <c r="J1879" s="4" t="str">
        <f>HYPERLINK("http://141.218.60.56/~jnz1568/getInfo.php?workbook=16_15.xlsx&amp;sheet=A0&amp;row=1879&amp;col=10&amp;number=&amp;sourceID=54","")</f>
        <v/>
      </c>
      <c r="K1879" s="4" t="str">
        <f>HYPERLINK("http://141.218.60.56/~jnz1568/getInfo.php?workbook=16_15.xlsx&amp;sheet=A0&amp;row=1879&amp;col=11&amp;number=&amp;sourceID=54","")</f>
        <v/>
      </c>
      <c r="L1879" s="4" t="str">
        <f>HYPERLINK("http://141.218.60.56/~jnz1568/getInfo.php?workbook=16_15.xlsx&amp;sheet=A0&amp;row=1879&amp;col=12&amp;number=298187.761856&amp;sourceID=53","298187.761856")</f>
        <v>298187.761856</v>
      </c>
      <c r="M1879" s="4" t="str">
        <f>HYPERLINK("http://141.218.60.56/~jnz1568/getInfo.php?workbook=16_15.xlsx&amp;sheet=A0&amp;row=1879&amp;col=13&amp;number=&amp;sourceID=53","")</f>
        <v/>
      </c>
      <c r="N1879" s="4" t="str">
        <f>HYPERLINK("http://141.218.60.56/~jnz1568/getInfo.php?workbook=16_15.xlsx&amp;sheet=A0&amp;row=1879&amp;col=14&amp;number=&amp;sourceID=53","")</f>
        <v/>
      </c>
      <c r="O1879" s="4" t="str">
        <f>HYPERLINK("http://141.218.60.56/~jnz1568/getInfo.php?workbook=16_15.xlsx&amp;sheet=A0&amp;row=1879&amp;col=15&amp;number=&amp;sourceID=55","")</f>
        <v/>
      </c>
      <c r="P1879" s="4" t="str">
        <f>HYPERLINK("http://141.218.60.56/~jnz1568/getInfo.php?workbook=16_15.xlsx&amp;sheet=A0&amp;row=1879&amp;col=16&amp;number=&amp;sourceID=55","")</f>
        <v/>
      </c>
      <c r="Q1879" s="4" t="str">
        <f>HYPERLINK("http://141.218.60.56/~jnz1568/getInfo.php?workbook=16_15.xlsx&amp;sheet=A0&amp;row=1879&amp;col=17&amp;number=&amp;sourceID=56","")</f>
        <v/>
      </c>
      <c r="R1879" s="4" t="str">
        <f>HYPERLINK("http://141.218.60.56/~jnz1568/getInfo.php?workbook=16_15.xlsx&amp;sheet=A0&amp;row=1879&amp;col=18&amp;number=&amp;sourceID=56","")</f>
        <v/>
      </c>
      <c r="S1879" s="4" t="str">
        <f>HYPERLINK("http://141.218.60.56/~jnz1568/getInfo.php?workbook=16_15.xlsx&amp;sheet=A0&amp;row=1879&amp;col=19&amp;number=&amp;sourceID=57","")</f>
        <v/>
      </c>
      <c r="T1879" s="4" t="str">
        <f>HYPERLINK("http://141.218.60.56/~jnz1568/getInfo.php?workbook=16_15.xlsx&amp;sheet=A0&amp;row=1879&amp;col=20&amp;number=&amp;sourceID=57","")</f>
        <v/>
      </c>
      <c r="U1879" s="4" t="str">
        <f>HYPERLINK("http://141.218.60.56/~jnz1568/getInfo.php?workbook=16_15.xlsx&amp;sheet=A0&amp;row=1879&amp;col=21&amp;number=&amp;sourceID=47","")</f>
        <v/>
      </c>
      <c r="V1879" s="4" t="str">
        <f>HYPERLINK("http://141.218.60.56/~jnz1568/getInfo.php?workbook=16_15.xlsx&amp;sheet=A0&amp;row=1879&amp;col=22&amp;number=&amp;sourceID=47","")</f>
        <v/>
      </c>
    </row>
  </sheetData>
  <mergeCells count="1">
    <mergeCell ref="A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2.7109375" customWidth="1"/>
    <col min="5" max="5" width="3.7109375" customWidth="1"/>
    <col min="6" max="6" width="14.7109375" customWidth="1"/>
    <col min="7" max="7" width="15.7109375" customWidth="1"/>
    <col min="8" max="8" width="9.7109375" customWidth="1"/>
    <col min="9" max="9" width="7.7109375" customWidth="1"/>
    <col min="10" max="10" width="9.7109375" customWidth="1"/>
    <col min="11" max="11" width="7.7109375" customWidth="1"/>
    <col min="12" max="12" width="9.7109375" customWidth="1"/>
    <col min="13" max="13" width="7.7109375" customWidth="1"/>
  </cols>
  <sheetData>
    <row r="1" spans="1:13">
      <c r="A1" s="1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/>
      <c r="B2" s="2"/>
      <c r="C2" s="2"/>
      <c r="D2" s="2"/>
      <c r="E2" s="2"/>
      <c r="F2" s="2" t="s">
        <v>51</v>
      </c>
      <c r="G2" s="2" t="s">
        <v>51</v>
      </c>
      <c r="H2" s="2" t="s">
        <v>2</v>
      </c>
      <c r="I2" s="2" t="s">
        <v>2</v>
      </c>
      <c r="J2" s="2" t="s">
        <v>52</v>
      </c>
      <c r="K2" s="2" t="s">
        <v>52</v>
      </c>
      <c r="L2" s="2" t="s">
        <v>53</v>
      </c>
      <c r="M2" s="2" t="s">
        <v>53</v>
      </c>
    </row>
    <row r="3" spans="1:13">
      <c r="A3" s="2" t="s">
        <v>4</v>
      </c>
      <c r="B3" s="2" t="s">
        <v>5</v>
      </c>
      <c r="C3" s="2" t="s">
        <v>45</v>
      </c>
      <c r="D3" s="2" t="s">
        <v>6</v>
      </c>
      <c r="E3" s="2" t="s">
        <v>54</v>
      </c>
      <c r="F3" s="2" t="s">
        <v>55</v>
      </c>
      <c r="G3" s="2" t="s">
        <v>56</v>
      </c>
      <c r="H3" s="2" t="s">
        <v>55</v>
      </c>
      <c r="I3" s="2" t="s">
        <v>56</v>
      </c>
      <c r="J3" s="2" t="s">
        <v>55</v>
      </c>
      <c r="K3" s="2" t="s">
        <v>56</v>
      </c>
      <c r="L3" s="2" t="s">
        <v>55</v>
      </c>
      <c r="M3" s="2" t="s">
        <v>56</v>
      </c>
    </row>
    <row r="4" spans="1:13">
      <c r="A4" s="3">
        <v>16</v>
      </c>
      <c r="B4" s="3">
        <v>15</v>
      </c>
      <c r="C4" s="3">
        <v>2</v>
      </c>
      <c r="D4" s="3">
        <v>1</v>
      </c>
      <c r="E4" s="3">
        <v>1</v>
      </c>
      <c r="F4" s="4" t="str">
        <f>HYPERLINK("http://141.218.60.56/~jnz1568/getInfo.php?workbook=16_15.xlsx&amp;sheet=U0&amp;row=4&amp;col=6&amp;number=3.69897000434&amp;sourceID=51","3.69897000434")</f>
        <v>3.69897000434</v>
      </c>
      <c r="G4" s="4" t="str">
        <f>HYPERLINK("http://141.218.60.56/~jnz1568/getInfo.php?workbook=16_15.xlsx&amp;sheet=U0&amp;row=4&amp;col=7&amp;number=2.82245562114&amp;sourceID=51","2.82245562114")</f>
        <v>2.82245562114</v>
      </c>
      <c r="H4" s="4" t="str">
        <f>HYPERLINK("http://141.218.60.56/~jnz1568/getInfo.php?workbook=16_15.xlsx&amp;sheet=U0&amp;row=4&amp;col=8&amp;number=3.699&amp;sourceID=53","3.699")</f>
        <v>3.699</v>
      </c>
      <c r="I4" s="4" t="str">
        <f>HYPERLINK("http://141.218.60.56/~jnz1568/getInfo.php?workbook=16_15.xlsx&amp;sheet=U0&amp;row=4&amp;col=9&amp;number=2.66&amp;sourceID=53","2.66")</f>
        <v>2.66</v>
      </c>
      <c r="J4" s="4" t="str">
        <f>HYPERLINK("http://141.218.60.56/~jnz1568/getInfo.php?workbook=16_15.xlsx&amp;sheet=U0&amp;row=4&amp;col=10&amp;number=3&amp;sourceID=58","3")</f>
        <v>3</v>
      </c>
      <c r="K4" s="4" t="str">
        <f>HYPERLINK("http://141.218.60.56/~jnz1568/getInfo.php?workbook=16_15.xlsx&amp;sheet=U0&amp;row=4&amp;col=11&amp;number=3.41&amp;sourceID=58","3.41")</f>
        <v>3.41</v>
      </c>
      <c r="L4" s="4" t="str">
        <f>HYPERLINK("http://141.218.60.56/~jnz1568/getInfo.php?workbook=16_15.xlsx&amp;sheet=U0&amp;row=4&amp;col=12&amp;number=3.5&amp;sourceID=59","3.5")</f>
        <v>3.5</v>
      </c>
      <c r="M4" s="4" t="str">
        <f>HYPERLINK("http://141.218.60.56/~jnz1568/getInfo.php?workbook=16_15.xlsx&amp;sheet=U0&amp;row=4&amp;col=13&amp;number=3.18&amp;sourceID=59","3.18")</f>
        <v>3.18</v>
      </c>
    </row>
    <row r="5" spans="1:13">
      <c r="A5" s="3"/>
      <c r="B5" s="3"/>
      <c r="C5" s="3"/>
      <c r="D5" s="3"/>
      <c r="E5" s="3">
        <v>2</v>
      </c>
      <c r="F5" s="4" t="str">
        <f>HYPERLINK("http://141.218.60.56/~jnz1568/getInfo.php?workbook=16_15.xlsx&amp;sheet=U0&amp;row=5&amp;col=6&amp;number=3.77815125038&amp;sourceID=51","3.77815125038")</f>
        <v>3.77815125038</v>
      </c>
      <c r="G5" s="4" t="str">
        <f>HYPERLINK("http://141.218.60.56/~jnz1568/getInfo.php?workbook=16_15.xlsx&amp;sheet=U0&amp;row=5&amp;col=7&amp;number=2.78914006019&amp;sourceID=51","2.78914006019")</f>
        <v>2.78914006019</v>
      </c>
      <c r="H5" s="4" t="str">
        <f>HYPERLINK("http://141.218.60.56/~jnz1568/getInfo.php?workbook=16_15.xlsx&amp;sheet=U0&amp;row=5&amp;col=8&amp;number=3.845&amp;sourceID=53","3.845")</f>
        <v>3.845</v>
      </c>
      <c r="I5" s="4" t="str">
        <f>HYPERLINK("http://141.218.60.56/~jnz1568/getInfo.php?workbook=16_15.xlsx&amp;sheet=U0&amp;row=5&amp;col=9&amp;number=2.62&amp;sourceID=53","2.62")</f>
        <v>2.62</v>
      </c>
      <c r="J5" s="4" t="str">
        <f>HYPERLINK("http://141.218.60.56/~jnz1568/getInfo.php?workbook=16_15.xlsx&amp;sheet=U0&amp;row=5&amp;col=10&amp;number=3.301&amp;sourceID=58","3.301")</f>
        <v>3.301</v>
      </c>
      <c r="K5" s="4" t="str">
        <f>HYPERLINK("http://141.218.60.56/~jnz1568/getInfo.php?workbook=16_15.xlsx&amp;sheet=U0&amp;row=5&amp;col=11&amp;number=3.36&amp;sourceID=58","3.36")</f>
        <v>3.36</v>
      </c>
      <c r="L5" s="4" t="str">
        <f>HYPERLINK("http://141.218.60.56/~jnz1568/getInfo.php?workbook=16_15.xlsx&amp;sheet=U0&amp;row=5&amp;col=12&amp;number=3.6&amp;sourceID=59","3.6")</f>
        <v>3.6</v>
      </c>
      <c r="M5" s="4" t="str">
        <f>HYPERLINK("http://141.218.60.56/~jnz1568/getInfo.php?workbook=16_15.xlsx&amp;sheet=U0&amp;row=5&amp;col=13&amp;number=3.13&amp;sourceID=59","3.13")</f>
        <v>3.13</v>
      </c>
    </row>
    <row r="6" spans="1:13">
      <c r="A6" s="3"/>
      <c r="B6" s="3"/>
      <c r="C6" s="3"/>
      <c r="D6" s="3"/>
      <c r="E6" s="3">
        <v>3</v>
      </c>
      <c r="F6" s="4" t="str">
        <f>HYPERLINK("http://141.218.60.56/~jnz1568/getInfo.php?workbook=16_15.xlsx&amp;sheet=U0&amp;row=6&amp;col=6&amp;number=3.84509804001&amp;sourceID=51","3.84509804001")</f>
        <v>3.84509804001</v>
      </c>
      <c r="G6" s="4" t="str">
        <f>HYPERLINK("http://141.218.60.56/~jnz1568/getInfo.php?workbook=16_15.xlsx&amp;sheet=U0&amp;row=6&amp;col=7&amp;number=2.7560056491&amp;sourceID=51","2.7560056491")</f>
        <v>2.7560056491</v>
      </c>
      <c r="H6" s="4" t="str">
        <f>HYPERLINK("http://141.218.60.56/~jnz1568/getInfo.php?workbook=16_15.xlsx&amp;sheet=U0&amp;row=6&amp;col=8&amp;number=4&amp;sourceID=53","4")</f>
        <v>4</v>
      </c>
      <c r="I6" s="4" t="str">
        <f>HYPERLINK("http://141.218.60.56/~jnz1568/getInfo.php?workbook=16_15.xlsx&amp;sheet=U0&amp;row=6&amp;col=9&amp;number=2.56&amp;sourceID=53","2.56")</f>
        <v>2.56</v>
      </c>
      <c r="J6" s="4" t="str">
        <f>HYPERLINK("http://141.218.60.56/~jnz1568/getInfo.php?workbook=16_15.xlsx&amp;sheet=U0&amp;row=6&amp;col=10&amp;number=3.477&amp;sourceID=58","3.477")</f>
        <v>3.477</v>
      </c>
      <c r="K6" s="4" t="str">
        <f>HYPERLINK("http://141.218.60.56/~jnz1568/getInfo.php?workbook=16_15.xlsx&amp;sheet=U0&amp;row=6&amp;col=11&amp;number=3.32&amp;sourceID=58","3.32")</f>
        <v>3.32</v>
      </c>
      <c r="L6" s="4" t="str">
        <f>HYPERLINK("http://141.218.60.56/~jnz1568/getInfo.php?workbook=16_15.xlsx&amp;sheet=U0&amp;row=6&amp;col=12&amp;number=3.7&amp;sourceID=59","3.7")</f>
        <v>3.7</v>
      </c>
      <c r="M6" s="4" t="str">
        <f>HYPERLINK("http://141.218.60.56/~jnz1568/getInfo.php?workbook=16_15.xlsx&amp;sheet=U0&amp;row=6&amp;col=13&amp;number=3.06&amp;sourceID=59","3.06")</f>
        <v>3.06</v>
      </c>
    </row>
    <row r="7" spans="1:13">
      <c r="A7" s="3"/>
      <c r="B7" s="3"/>
      <c r="C7" s="3"/>
      <c r="D7" s="3"/>
      <c r="E7" s="3">
        <v>4</v>
      </c>
      <c r="F7" s="4" t="str">
        <f>HYPERLINK("http://141.218.60.56/~jnz1568/getInfo.php?workbook=16_15.xlsx&amp;sheet=U0&amp;row=7&amp;col=6&amp;number=3.90308998699&amp;sourceID=51","3.90308998699")</f>
        <v>3.90308998699</v>
      </c>
      <c r="G7" s="4" t="str">
        <f>HYPERLINK("http://141.218.60.56/~jnz1568/getInfo.php?workbook=16_15.xlsx&amp;sheet=U0&amp;row=7&amp;col=7&amp;number=2.7235295559&amp;sourceID=51","2.7235295559")</f>
        <v>2.7235295559</v>
      </c>
      <c r="H7" s="4" t="str">
        <f>HYPERLINK("http://141.218.60.56/~jnz1568/getInfo.php?workbook=16_15.xlsx&amp;sheet=U0&amp;row=7&amp;col=8&amp;number=4.176&amp;sourceID=53","4.176")</f>
        <v>4.176</v>
      </c>
      <c r="I7" s="4" t="str">
        <f>HYPERLINK("http://141.218.60.56/~jnz1568/getInfo.php?workbook=16_15.xlsx&amp;sheet=U0&amp;row=7&amp;col=9&amp;number=2.48&amp;sourceID=53","2.48")</f>
        <v>2.48</v>
      </c>
      <c r="J7" s="4" t="str">
        <f>HYPERLINK("http://141.218.60.56/~jnz1568/getInfo.php?workbook=16_15.xlsx&amp;sheet=U0&amp;row=7&amp;col=10&amp;number=3.602&amp;sourceID=58","3.602")</f>
        <v>3.602</v>
      </c>
      <c r="K7" s="4" t="str">
        <f>HYPERLINK("http://141.218.60.56/~jnz1568/getInfo.php?workbook=16_15.xlsx&amp;sheet=U0&amp;row=7&amp;col=11&amp;number=3.3&amp;sourceID=58","3.3")</f>
        <v>3.3</v>
      </c>
      <c r="L7" s="4" t="str">
        <f>HYPERLINK("http://141.218.60.56/~jnz1568/getInfo.php?workbook=16_15.xlsx&amp;sheet=U0&amp;row=7&amp;col=12&amp;number=3.8&amp;sourceID=59","3.8")</f>
        <v>3.8</v>
      </c>
      <c r="M7" s="4" t="str">
        <f>HYPERLINK("http://141.218.60.56/~jnz1568/getInfo.php?workbook=16_15.xlsx&amp;sheet=U0&amp;row=7&amp;col=13&amp;number=2.97&amp;sourceID=59","2.97")</f>
        <v>2.97</v>
      </c>
    </row>
    <row r="8" spans="1:13">
      <c r="A8" s="3"/>
      <c r="B8" s="3"/>
      <c r="C8" s="3"/>
      <c r="D8" s="3"/>
      <c r="E8" s="3">
        <v>5</v>
      </c>
      <c r="F8" s="4" t="str">
        <f>HYPERLINK("http://141.218.60.56/~jnz1568/getInfo.php?workbook=16_15.xlsx&amp;sheet=U0&amp;row=8&amp;col=6&amp;number=3.95424250944&amp;sourceID=51","3.95424250944")</f>
        <v>3.95424250944</v>
      </c>
      <c r="G8" s="4" t="str">
        <f>HYPERLINK("http://141.218.60.56/~jnz1568/getInfo.php?workbook=16_15.xlsx&amp;sheet=U0&amp;row=8&amp;col=7&amp;number=2.69207977661&amp;sourceID=51","2.69207977661")</f>
        <v>2.69207977661</v>
      </c>
      <c r="H8" s="4" t="str">
        <f>HYPERLINK("http://141.218.60.56/~jnz1568/getInfo.php?workbook=16_15.xlsx&amp;sheet=U0&amp;row=8&amp;col=8&amp;number=4.301&amp;sourceID=53","4.301")</f>
        <v>4.301</v>
      </c>
      <c r="I8" s="4" t="str">
        <f>HYPERLINK("http://141.218.60.56/~jnz1568/getInfo.php?workbook=16_15.xlsx&amp;sheet=U0&amp;row=8&amp;col=9&amp;number=2.41&amp;sourceID=53","2.41")</f>
        <v>2.41</v>
      </c>
      <c r="J8" s="4" t="str">
        <f>HYPERLINK("http://141.218.60.56/~jnz1568/getInfo.php?workbook=16_15.xlsx&amp;sheet=U0&amp;row=8&amp;col=10&amp;number=3.699&amp;sourceID=58","3.699")</f>
        <v>3.699</v>
      </c>
      <c r="K8" s="4" t="str">
        <f>HYPERLINK("http://141.218.60.56/~jnz1568/getInfo.php?workbook=16_15.xlsx&amp;sheet=U0&amp;row=8&amp;col=11&amp;number=3.27&amp;sourceID=58","3.27")</f>
        <v>3.27</v>
      </c>
      <c r="L8" s="4" t="str">
        <f>HYPERLINK("http://141.218.60.56/~jnz1568/getInfo.php?workbook=16_15.xlsx&amp;sheet=U0&amp;row=8&amp;col=12&amp;number=3.9&amp;sourceID=59","3.9")</f>
        <v>3.9</v>
      </c>
      <c r="M8" s="4" t="str">
        <f>HYPERLINK("http://141.218.60.56/~jnz1568/getInfo.php?workbook=16_15.xlsx&amp;sheet=U0&amp;row=8&amp;col=13&amp;number=2.87&amp;sourceID=59","2.87")</f>
        <v>2.87</v>
      </c>
    </row>
    <row r="9" spans="1:13">
      <c r="A9" s="3"/>
      <c r="B9" s="3"/>
      <c r="C9" s="3"/>
      <c r="D9" s="3"/>
      <c r="E9" s="3">
        <v>6</v>
      </c>
      <c r="F9" s="4" t="str">
        <f>HYPERLINK("http://141.218.60.56/~jnz1568/getInfo.php?workbook=16_15.xlsx&amp;sheet=U0&amp;row=9&amp;col=6&amp;number=4&amp;sourceID=51","4")</f>
        <v>4</v>
      </c>
      <c r="G9" s="4" t="str">
        <f>HYPERLINK("http://141.218.60.56/~jnz1568/getInfo.php?workbook=16_15.xlsx&amp;sheet=U0&amp;row=9&amp;col=7&amp;number=2.66187992638&amp;sourceID=51","2.66187992638")</f>
        <v>2.66187992638</v>
      </c>
      <c r="H9" s="4" t="str">
        <f>HYPERLINK("http://141.218.60.56/~jnz1568/getInfo.php?workbook=16_15.xlsx&amp;sheet=U0&amp;row=9&amp;col=8&amp;number=4.398&amp;sourceID=53","4.398")</f>
        <v>4.398</v>
      </c>
      <c r="I9" s="4" t="str">
        <f>HYPERLINK("http://141.218.60.56/~jnz1568/getInfo.php?workbook=16_15.xlsx&amp;sheet=U0&amp;row=9&amp;col=9&amp;number=2.35&amp;sourceID=53","2.35")</f>
        <v>2.35</v>
      </c>
      <c r="J9" s="4" t="str">
        <f>HYPERLINK("http://141.218.60.56/~jnz1568/getInfo.php?workbook=16_15.xlsx&amp;sheet=U0&amp;row=9&amp;col=10&amp;number=3.778&amp;sourceID=58","3.778")</f>
        <v>3.778</v>
      </c>
      <c r="K9" s="4" t="str">
        <f>HYPERLINK("http://141.218.60.56/~jnz1568/getInfo.php?workbook=16_15.xlsx&amp;sheet=U0&amp;row=9&amp;col=11&amp;number=3.24&amp;sourceID=58","3.24")</f>
        <v>3.24</v>
      </c>
      <c r="L9" s="4" t="str">
        <f>HYPERLINK("http://141.218.60.56/~jnz1568/getInfo.php?workbook=16_15.xlsx&amp;sheet=U0&amp;row=9&amp;col=12&amp;number=4&amp;sourceID=59","4")</f>
        <v>4</v>
      </c>
      <c r="M9" s="4" t="str">
        <f>HYPERLINK("http://141.218.60.56/~jnz1568/getInfo.php?workbook=16_15.xlsx&amp;sheet=U0&amp;row=9&amp;col=13&amp;number=2.76&amp;sourceID=59","2.76")</f>
        <v>2.76</v>
      </c>
    </row>
    <row r="10" spans="1:13">
      <c r="A10" s="3"/>
      <c r="B10" s="3"/>
      <c r="C10" s="3"/>
      <c r="D10" s="3"/>
      <c r="E10" s="3">
        <v>7</v>
      </c>
      <c r="F10" s="4" t="str">
        <f>HYPERLINK("http://141.218.60.56/~jnz1568/getInfo.php?workbook=16_15.xlsx&amp;sheet=U0&amp;row=10&amp;col=6&amp;number=4.04139268516&amp;sourceID=51","4.04139268516")</f>
        <v>4.04139268516</v>
      </c>
      <c r="G10" s="4" t="str">
        <f>HYPERLINK("http://141.218.60.56/~jnz1568/getInfo.php?workbook=16_15.xlsx&amp;sheet=U0&amp;row=10&amp;col=7&amp;number=2.63303644428&amp;sourceID=51","2.63303644428")</f>
        <v>2.63303644428</v>
      </c>
      <c r="H10" s="4" t="str">
        <f>HYPERLINK("http://141.218.60.56/~jnz1568/getInfo.php?workbook=16_15.xlsx&amp;sheet=U0&amp;row=10&amp;col=8&amp;number=4.477&amp;sourceID=53","4.477")</f>
        <v>4.477</v>
      </c>
      <c r="I10" s="4" t="str">
        <f>HYPERLINK("http://141.218.60.56/~jnz1568/getInfo.php?workbook=16_15.xlsx&amp;sheet=U0&amp;row=10&amp;col=9&amp;number=2.3&amp;sourceID=53","2.3")</f>
        <v>2.3</v>
      </c>
      <c r="J10" s="4" t="str">
        <f>HYPERLINK("http://141.218.60.56/~jnz1568/getInfo.php?workbook=16_15.xlsx&amp;sheet=U0&amp;row=10&amp;col=10&amp;number=3.845&amp;sourceID=58","3.845")</f>
        <v>3.845</v>
      </c>
      <c r="K10" s="4" t="str">
        <f>HYPERLINK("http://141.218.60.56/~jnz1568/getInfo.php?workbook=16_15.xlsx&amp;sheet=U0&amp;row=10&amp;col=11&amp;number=3.21&amp;sourceID=58","3.21")</f>
        <v>3.21</v>
      </c>
      <c r="L10" s="4" t="str">
        <f>HYPERLINK("http://141.218.60.56/~jnz1568/getInfo.php?workbook=16_15.xlsx&amp;sheet=U0&amp;row=10&amp;col=12&amp;number=4.1&amp;sourceID=59","4.1")</f>
        <v>4.1</v>
      </c>
      <c r="M10" s="4" t="str">
        <f>HYPERLINK("http://141.218.60.56/~jnz1568/getInfo.php?workbook=16_15.xlsx&amp;sheet=U0&amp;row=10&amp;col=13&amp;number=2.65&amp;sourceID=59","2.65")</f>
        <v>2.65</v>
      </c>
    </row>
    <row r="11" spans="1:13">
      <c r="A11" s="3"/>
      <c r="B11" s="3"/>
      <c r="C11" s="3"/>
      <c r="D11" s="3"/>
      <c r="E11" s="3">
        <v>8</v>
      </c>
      <c r="F11" s="4" t="str">
        <f>HYPERLINK("http://141.218.60.56/~jnz1568/getInfo.php?workbook=16_15.xlsx&amp;sheet=U0&amp;row=11&amp;col=6&amp;number=4.07918124605&amp;sourceID=51","4.07918124605")</f>
        <v>4.07918124605</v>
      </c>
      <c r="G11" s="4" t="str">
        <f>HYPERLINK("http://141.218.60.56/~jnz1568/getInfo.php?workbook=16_15.xlsx&amp;sheet=U0&amp;row=11&amp;col=7&amp;number=2.60557396769&amp;sourceID=51","2.60557396769")</f>
        <v>2.60557396769</v>
      </c>
      <c r="H11" s="4" t="str">
        <f>HYPERLINK("http://141.218.60.56/~jnz1568/getInfo.php?workbook=16_15.xlsx&amp;sheet=U0&amp;row=11&amp;col=8&amp;number=4.602&amp;sourceID=53","4.602")</f>
        <v>4.602</v>
      </c>
      <c r="I11" s="4" t="str">
        <f>HYPERLINK("http://141.218.60.56/~jnz1568/getInfo.php?workbook=16_15.xlsx&amp;sheet=U0&amp;row=11&amp;col=9&amp;number=2.2&amp;sourceID=53","2.2")</f>
        <v>2.2</v>
      </c>
      <c r="J11" s="4" t="str">
        <f>HYPERLINK("http://141.218.60.56/~jnz1568/getInfo.php?workbook=16_15.xlsx&amp;sheet=U0&amp;row=11&amp;col=10&amp;number=3.903&amp;sourceID=58","3.903")</f>
        <v>3.903</v>
      </c>
      <c r="K11" s="4" t="str">
        <f>HYPERLINK("http://141.218.60.56/~jnz1568/getInfo.php?workbook=16_15.xlsx&amp;sheet=U0&amp;row=11&amp;col=11&amp;number=3.17&amp;sourceID=58","3.17")</f>
        <v>3.17</v>
      </c>
      <c r="L11" s="4" t="str">
        <f>HYPERLINK("http://141.218.60.56/~jnz1568/getInfo.php?workbook=16_15.xlsx&amp;sheet=U0&amp;row=11&amp;col=12&amp;number=4.2&amp;sourceID=59","4.2")</f>
        <v>4.2</v>
      </c>
      <c r="M11" s="4" t="str">
        <f>HYPERLINK("http://141.218.60.56/~jnz1568/getInfo.php?workbook=16_15.xlsx&amp;sheet=U0&amp;row=11&amp;col=13&amp;number=2.55&amp;sourceID=59","2.55")</f>
        <v>2.55</v>
      </c>
    </row>
    <row r="12" spans="1:13">
      <c r="A12" s="3"/>
      <c r="B12" s="3"/>
      <c r="C12" s="3"/>
      <c r="D12" s="3"/>
      <c r="E12" s="3">
        <v>9</v>
      </c>
      <c r="F12" s="4" t="str">
        <f>HYPERLINK("http://141.218.60.56/~jnz1568/getInfo.php?workbook=16_15.xlsx&amp;sheet=U0&amp;row=12&amp;col=6&amp;number=4.11394335231&amp;sourceID=51","4.11394335231")</f>
        <v>4.11394335231</v>
      </c>
      <c r="G12" s="4" t="str">
        <f>HYPERLINK("http://141.218.60.56/~jnz1568/getInfo.php?workbook=16_15.xlsx&amp;sheet=U0&amp;row=12&amp;col=7&amp;number=2.5794643567&amp;sourceID=51","2.5794643567")</f>
        <v>2.5794643567</v>
      </c>
      <c r="H12" s="4" t="str">
        <f>HYPERLINK("http://141.218.60.56/~jnz1568/getInfo.php?workbook=16_15.xlsx&amp;sheet=U0&amp;row=12&amp;col=8&amp;number=4.699&amp;sourceID=53","4.699")</f>
        <v>4.699</v>
      </c>
      <c r="I12" s="4" t="str">
        <f>HYPERLINK("http://141.218.60.56/~jnz1568/getInfo.php?workbook=16_15.xlsx&amp;sheet=U0&amp;row=12&amp;col=9&amp;number=2.1&amp;sourceID=53","2.1")</f>
        <v>2.1</v>
      </c>
      <c r="J12" s="4" t="str">
        <f>HYPERLINK("http://141.218.60.56/~jnz1568/getInfo.php?workbook=16_15.xlsx&amp;sheet=U0&amp;row=12&amp;col=10&amp;number=3.954&amp;sourceID=58","3.954")</f>
        <v>3.954</v>
      </c>
      <c r="K12" s="4" t="str">
        <f>HYPERLINK("http://141.218.60.56/~jnz1568/getInfo.php?workbook=16_15.xlsx&amp;sheet=U0&amp;row=12&amp;col=11&amp;number=3.14&amp;sourceID=58","3.14")</f>
        <v>3.14</v>
      </c>
      <c r="L12" s="4" t="str">
        <f>HYPERLINK("http://141.218.60.56/~jnz1568/getInfo.php?workbook=16_15.xlsx&amp;sheet=U0&amp;row=12&amp;col=12&amp;number=4.4&amp;sourceID=59","4.4")</f>
        <v>4.4</v>
      </c>
      <c r="M12" s="4" t="str">
        <f>HYPERLINK("http://141.218.60.56/~jnz1568/getInfo.php?workbook=16_15.xlsx&amp;sheet=U0&amp;row=12&amp;col=13&amp;number=2.36&amp;sourceID=59","2.36")</f>
        <v>2.36</v>
      </c>
    </row>
    <row r="13" spans="1:13">
      <c r="A13" s="3"/>
      <c r="B13" s="3"/>
      <c r="C13" s="3"/>
      <c r="D13" s="3"/>
      <c r="E13" s="3">
        <v>10</v>
      </c>
      <c r="F13" s="4" t="str">
        <f>HYPERLINK("http://141.218.60.56/~jnz1568/getInfo.php?workbook=16_15.xlsx&amp;sheet=U0&amp;row=13&amp;col=6&amp;number=4.14612803568&amp;sourceID=51","4.14612803568")</f>
        <v>4.14612803568</v>
      </c>
      <c r="G13" s="4" t="str">
        <f>HYPERLINK("http://141.218.60.56/~jnz1568/getInfo.php?workbook=16_15.xlsx&amp;sheet=U0&amp;row=13&amp;col=7&amp;number=2.55464741577&amp;sourceID=51","2.55464741577")</f>
        <v>2.55464741577</v>
      </c>
      <c r="H13" s="4" t="str">
        <f>HYPERLINK("http://141.218.60.56/~jnz1568/getInfo.php?workbook=16_15.xlsx&amp;sheet=U0&amp;row=13&amp;col=8&amp;number=4.845&amp;sourceID=53","4.845")</f>
        <v>4.845</v>
      </c>
      <c r="I13" s="4" t="str">
        <f>HYPERLINK("http://141.218.60.56/~jnz1568/getInfo.php?workbook=16_15.xlsx&amp;sheet=U0&amp;row=13&amp;col=9&amp;number=1.93&amp;sourceID=53","1.93")</f>
        <v>1.93</v>
      </c>
      <c r="J13" s="4" t="str">
        <f>HYPERLINK("http://141.218.60.56/~jnz1568/getInfo.php?workbook=16_15.xlsx&amp;sheet=U0&amp;row=13&amp;col=10&amp;number=4&amp;sourceID=58","4")</f>
        <v>4</v>
      </c>
      <c r="K13" s="4" t="str">
        <f>HYPERLINK("http://141.218.60.56/~jnz1568/getInfo.php?workbook=16_15.xlsx&amp;sheet=U0&amp;row=13&amp;col=11&amp;number=3.11&amp;sourceID=58","3.11")</f>
        <v>3.11</v>
      </c>
      <c r="L13" s="4" t="str">
        <f>HYPERLINK("http://141.218.60.56/~jnz1568/getInfo.php?workbook=16_15.xlsx&amp;sheet=U0&amp;row=13&amp;col=12&amp;number=4.6&amp;sourceID=59","4.6")</f>
        <v>4.6</v>
      </c>
      <c r="M13" s="4" t="str">
        <f>HYPERLINK("http://141.218.60.56/~jnz1568/getInfo.php?workbook=16_15.xlsx&amp;sheet=U0&amp;row=13&amp;col=13&amp;number=2.18&amp;sourceID=59","2.18")</f>
        <v>2.18</v>
      </c>
    </row>
    <row r="14" spans="1:13">
      <c r="A14" s="3"/>
      <c r="B14" s="3"/>
      <c r="C14" s="3"/>
      <c r="D14" s="3"/>
      <c r="E14" s="3">
        <v>11</v>
      </c>
      <c r="F14" s="4" t="str">
        <f>HYPERLINK("http://141.218.60.56/~jnz1568/getInfo.php?workbook=16_15.xlsx&amp;sheet=U0&amp;row=14&amp;col=6&amp;number=4.17609125906&amp;sourceID=51","4.17609125906")</f>
        <v>4.17609125906</v>
      </c>
      <c r="G14" s="4" t="str">
        <f>HYPERLINK("http://141.218.60.56/~jnz1568/getInfo.php?workbook=16_15.xlsx&amp;sheet=U0&amp;row=14&amp;col=7&amp;number=2.5310448089&amp;sourceID=51","2.5310448089")</f>
        <v>2.5310448089</v>
      </c>
      <c r="H14" s="4" t="str">
        <f>HYPERLINK("http://141.218.60.56/~jnz1568/getInfo.php?workbook=16_15.xlsx&amp;sheet=U0&amp;row=14&amp;col=8&amp;number=5&amp;sourceID=53","5")</f>
        <v>5</v>
      </c>
      <c r="I14" s="4" t="str">
        <f>HYPERLINK("http://141.218.60.56/~jnz1568/getInfo.php?workbook=16_15.xlsx&amp;sheet=U0&amp;row=14&amp;col=9&amp;number=1.71&amp;sourceID=53","1.71")</f>
        <v>1.71</v>
      </c>
      <c r="J14" s="4" t="str">
        <f>HYPERLINK("http://141.218.60.56/~jnz1568/getInfo.php?workbook=16_15.xlsx&amp;sheet=U0&amp;row=14&amp;col=10&amp;number=4.079&amp;sourceID=58","4.079")</f>
        <v>4.079</v>
      </c>
      <c r="K14" s="4" t="str">
        <f>HYPERLINK("http://141.218.60.56/~jnz1568/getInfo.php?workbook=16_15.xlsx&amp;sheet=U0&amp;row=14&amp;col=11&amp;number=3.05&amp;sourceID=58","3.05")</f>
        <v>3.05</v>
      </c>
      <c r="L14" s="4" t="str">
        <f>HYPERLINK("http://141.218.60.56/~jnz1568/getInfo.php?workbook=16_15.xlsx&amp;sheet=U0&amp;row=14&amp;col=12&amp;number=4.8&amp;sourceID=59","4.8")</f>
        <v>4.8</v>
      </c>
      <c r="M14" s="4" t="str">
        <f>HYPERLINK("http://141.218.60.56/~jnz1568/getInfo.php?workbook=16_15.xlsx&amp;sheet=U0&amp;row=14&amp;col=13&amp;number=1.96&amp;sourceID=59","1.96")</f>
        <v>1.96</v>
      </c>
    </row>
    <row r="15" spans="1:13">
      <c r="A15" s="3"/>
      <c r="B15" s="3"/>
      <c r="C15" s="3"/>
      <c r="D15" s="3"/>
      <c r="E15" s="3">
        <v>12</v>
      </c>
      <c r="F15" s="4" t="str">
        <f>HYPERLINK("http://141.218.60.56/~jnz1568/getInfo.php?workbook=16_15.xlsx&amp;sheet=U0&amp;row=15&amp;col=6&amp;number=4.20411998266&amp;sourceID=51","4.20411998266")</f>
        <v>4.20411998266</v>
      </c>
      <c r="G15" s="4" t="str">
        <f>HYPERLINK("http://141.218.60.56/~jnz1568/getInfo.php?workbook=16_15.xlsx&amp;sheet=U0&amp;row=15&amp;col=7&amp;number=2.5085691387&amp;sourceID=51","2.5085691387")</f>
        <v>2.5085691387</v>
      </c>
      <c r="H15" s="4" t="str">
        <f>HYPERLINK("http://141.218.60.56/~jnz1568/getInfo.php?workbook=16_15.xlsx&amp;sheet=U0&amp;row=15&amp;col=8&amp;number=&amp;sourceID=53","")</f>
        <v/>
      </c>
      <c r="I15" s="4" t="str">
        <f>HYPERLINK("http://141.218.60.56/~jnz1568/getInfo.php?workbook=16_15.xlsx&amp;sheet=U0&amp;row=15&amp;col=9&amp;number=&amp;sourceID=53","")</f>
        <v/>
      </c>
      <c r="J15" s="4" t="str">
        <f>HYPERLINK("http://141.218.60.56/~jnz1568/getInfo.php?workbook=16_15.xlsx&amp;sheet=U0&amp;row=15&amp;col=10&amp;number=4.146&amp;sourceID=58","4.146")</f>
        <v>4.146</v>
      </c>
      <c r="K15" s="4" t="str">
        <f>HYPERLINK("http://141.218.60.56/~jnz1568/getInfo.php?workbook=16_15.xlsx&amp;sheet=U0&amp;row=15&amp;col=11&amp;number=2.99&amp;sourceID=58","2.99")</f>
        <v>2.99</v>
      </c>
      <c r="L15" s="4" t="str">
        <f>HYPERLINK("http://141.218.60.56/~jnz1568/getInfo.php?workbook=16_15.xlsx&amp;sheet=U0&amp;row=15&amp;col=12&amp;number=5&amp;sourceID=59","5")</f>
        <v>5</v>
      </c>
      <c r="M15" s="4" t="str">
        <f>HYPERLINK("http://141.218.60.56/~jnz1568/getInfo.php?workbook=16_15.xlsx&amp;sheet=U0&amp;row=15&amp;col=13&amp;number=1.69&amp;sourceID=59","1.69")</f>
        <v>1.69</v>
      </c>
    </row>
    <row r="16" spans="1:13">
      <c r="A16" s="3"/>
      <c r="B16" s="3"/>
      <c r="C16" s="3"/>
      <c r="D16" s="3"/>
      <c r="E16" s="3">
        <v>13</v>
      </c>
      <c r="F16" s="4" t="str">
        <f>HYPERLINK("http://141.218.60.56/~jnz1568/getInfo.php?workbook=16_15.xlsx&amp;sheet=U0&amp;row=16&amp;col=6&amp;number=4.23044892138&amp;sourceID=51","4.23044892138")</f>
        <v>4.23044892138</v>
      </c>
      <c r="G16" s="4" t="str">
        <f>HYPERLINK("http://141.218.60.56/~jnz1568/getInfo.php?workbook=16_15.xlsx&amp;sheet=U0&amp;row=16&amp;col=7&amp;number=2.4871297959&amp;sourceID=51","2.4871297959")</f>
        <v>2.4871297959</v>
      </c>
      <c r="H16" s="4" t="str">
        <f>HYPERLINK("http://141.218.60.56/~jnz1568/getInfo.php?workbook=16_15.xlsx&amp;sheet=U0&amp;row=16&amp;col=8&amp;number=&amp;sourceID=53","")</f>
        <v/>
      </c>
      <c r="I16" s="4" t="str">
        <f>HYPERLINK("http://141.218.60.56/~jnz1568/getInfo.php?workbook=16_15.xlsx&amp;sheet=U0&amp;row=16&amp;col=9&amp;number=&amp;sourceID=53","")</f>
        <v/>
      </c>
      <c r="J16" s="4" t="str">
        <f>HYPERLINK("http://141.218.60.56/~jnz1568/getInfo.php?workbook=16_15.xlsx&amp;sheet=U0&amp;row=16&amp;col=10&amp;number=4.204&amp;sourceID=58","4.204")</f>
        <v>4.204</v>
      </c>
      <c r="K16" s="4" t="str">
        <f>HYPERLINK("http://141.218.60.56/~jnz1568/getInfo.php?workbook=16_15.xlsx&amp;sheet=U0&amp;row=16&amp;col=11&amp;number=2.94&amp;sourceID=58","2.94")</f>
        <v>2.94</v>
      </c>
      <c r="L16" s="4" t="str">
        <f>HYPERLINK("http://141.218.60.56/~jnz1568/getInfo.php?workbook=16_15.xlsx&amp;sheet=U0&amp;row=16&amp;col=12&amp;number=&amp;sourceID=59","")</f>
        <v/>
      </c>
      <c r="M16" s="4" t="str">
        <f>HYPERLINK("http://141.218.60.56/~jnz1568/getInfo.php?workbook=16_15.xlsx&amp;sheet=U0&amp;row=16&amp;col=13&amp;number=&amp;sourceID=59","")</f>
        <v/>
      </c>
    </row>
    <row r="17" spans="1:13">
      <c r="A17" s="3"/>
      <c r="B17" s="3"/>
      <c r="C17" s="3"/>
      <c r="D17" s="3"/>
      <c r="E17" s="3">
        <v>14</v>
      </c>
      <c r="F17" s="4" t="str">
        <f>HYPERLINK("http://141.218.60.56/~jnz1568/getInfo.php?workbook=16_15.xlsx&amp;sheet=U0&amp;row=17&amp;col=6&amp;number=4.2552725051&amp;sourceID=51","4.2552725051")</f>
        <v>4.2552725051</v>
      </c>
      <c r="G17" s="4" t="str">
        <f>HYPERLINK("http://141.218.60.56/~jnz1568/getInfo.php?workbook=16_15.xlsx&amp;sheet=U0&amp;row=17&amp;col=7&amp;number=2.46663670644&amp;sourceID=51","2.46663670644")</f>
        <v>2.46663670644</v>
      </c>
      <c r="H17" s="4" t="str">
        <f>HYPERLINK("http://141.218.60.56/~jnz1568/getInfo.php?workbook=16_15.xlsx&amp;sheet=U0&amp;row=17&amp;col=8&amp;number=&amp;sourceID=53","")</f>
        <v/>
      </c>
      <c r="I17" s="4" t="str">
        <f>HYPERLINK("http://141.218.60.56/~jnz1568/getInfo.php?workbook=16_15.xlsx&amp;sheet=U0&amp;row=17&amp;col=9&amp;number=&amp;sourceID=53","")</f>
        <v/>
      </c>
      <c r="J17" s="4" t="str">
        <f>HYPERLINK("http://141.218.60.56/~jnz1568/getInfo.php?workbook=16_15.xlsx&amp;sheet=U0&amp;row=17&amp;col=10&amp;number=4.255&amp;sourceID=58","4.255")</f>
        <v>4.255</v>
      </c>
      <c r="K17" s="4" t="str">
        <f>HYPERLINK("http://141.218.60.56/~jnz1568/getInfo.php?workbook=16_15.xlsx&amp;sheet=U0&amp;row=17&amp;col=11&amp;number=2.89&amp;sourceID=58","2.89")</f>
        <v>2.89</v>
      </c>
      <c r="L17" s="4" t="str">
        <f>HYPERLINK("http://141.218.60.56/~jnz1568/getInfo.php?workbook=16_15.xlsx&amp;sheet=U0&amp;row=17&amp;col=12&amp;number=&amp;sourceID=59","")</f>
        <v/>
      </c>
      <c r="M17" s="4" t="str">
        <f>HYPERLINK("http://141.218.60.56/~jnz1568/getInfo.php?workbook=16_15.xlsx&amp;sheet=U0&amp;row=17&amp;col=13&amp;number=&amp;sourceID=59","")</f>
        <v/>
      </c>
    </row>
    <row r="18" spans="1:13">
      <c r="A18" s="3"/>
      <c r="B18" s="3"/>
      <c r="C18" s="3"/>
      <c r="D18" s="3"/>
      <c r="E18" s="3">
        <v>15</v>
      </c>
      <c r="F18" s="4" t="str">
        <f>HYPERLINK("http://141.218.60.56/~jnz1568/getInfo.php?workbook=16_15.xlsx&amp;sheet=U0&amp;row=18&amp;col=6&amp;number=4.27875360095&amp;sourceID=51","4.27875360095")</f>
        <v>4.27875360095</v>
      </c>
      <c r="G18" s="4" t="str">
        <f>HYPERLINK("http://141.218.60.56/~jnz1568/getInfo.php?workbook=16_15.xlsx&amp;sheet=U0&amp;row=18&amp;col=7&amp;number=2.44700271391&amp;sourceID=51","2.44700271391")</f>
        <v>2.44700271391</v>
      </c>
      <c r="H18" s="4" t="str">
        <f>HYPERLINK("http://141.218.60.56/~jnz1568/getInfo.php?workbook=16_15.xlsx&amp;sheet=U0&amp;row=18&amp;col=8&amp;number=&amp;sourceID=53","")</f>
        <v/>
      </c>
      <c r="I18" s="4" t="str">
        <f>HYPERLINK("http://141.218.60.56/~jnz1568/getInfo.php?workbook=16_15.xlsx&amp;sheet=U0&amp;row=18&amp;col=9&amp;number=&amp;sourceID=53","")</f>
        <v/>
      </c>
      <c r="J18" s="4" t="str">
        <f>HYPERLINK("http://141.218.60.56/~jnz1568/getInfo.php?workbook=16_15.xlsx&amp;sheet=U0&amp;row=18&amp;col=10&amp;number=4.301&amp;sourceID=58","4.301")</f>
        <v>4.301</v>
      </c>
      <c r="K18" s="4" t="str">
        <f>HYPERLINK("http://141.218.60.56/~jnz1568/getInfo.php?workbook=16_15.xlsx&amp;sheet=U0&amp;row=18&amp;col=11&amp;number=2.84&amp;sourceID=58","2.84")</f>
        <v>2.84</v>
      </c>
      <c r="L18" s="4" t="str">
        <f>HYPERLINK("http://141.218.60.56/~jnz1568/getInfo.php?workbook=16_15.xlsx&amp;sheet=U0&amp;row=18&amp;col=12&amp;number=&amp;sourceID=59","")</f>
        <v/>
      </c>
      <c r="M18" s="4" t="str">
        <f>HYPERLINK("http://141.218.60.56/~jnz1568/getInfo.php?workbook=16_15.xlsx&amp;sheet=U0&amp;row=18&amp;col=13&amp;number=&amp;sourceID=59","")</f>
        <v/>
      </c>
    </row>
    <row r="19" spans="1:13">
      <c r="A19" s="3"/>
      <c r="B19" s="3"/>
      <c r="C19" s="3"/>
      <c r="D19" s="3"/>
      <c r="E19" s="3">
        <v>16</v>
      </c>
      <c r="F19" s="4" t="str">
        <f>HYPERLINK("http://141.218.60.56/~jnz1568/getInfo.php?workbook=16_15.xlsx&amp;sheet=U0&amp;row=19&amp;col=6&amp;number=4.30102999566&amp;sourceID=51","4.30102999566")</f>
        <v>4.30102999566</v>
      </c>
      <c r="G19" s="4" t="str">
        <f>HYPERLINK("http://141.218.60.56/~jnz1568/getInfo.php?workbook=16_15.xlsx&amp;sheet=U0&amp;row=19&amp;col=7&amp;number=2.42814506667&amp;sourceID=51","2.42814506667")</f>
        <v>2.42814506667</v>
      </c>
      <c r="H19" s="4" t="str">
        <f>HYPERLINK("http://141.218.60.56/~jnz1568/getInfo.php?workbook=16_15.xlsx&amp;sheet=U0&amp;row=19&amp;col=8&amp;number=&amp;sourceID=53","")</f>
        <v/>
      </c>
      <c r="I19" s="4" t="str">
        <f>HYPERLINK("http://141.218.60.56/~jnz1568/getInfo.php?workbook=16_15.xlsx&amp;sheet=U0&amp;row=19&amp;col=9&amp;number=&amp;sourceID=53","")</f>
        <v/>
      </c>
      <c r="J19" s="4" t="str">
        <f>HYPERLINK("http://141.218.60.56/~jnz1568/getInfo.php?workbook=16_15.xlsx&amp;sheet=U0&amp;row=19&amp;col=10&amp;number=&amp;sourceID=58","")</f>
        <v/>
      </c>
      <c r="K19" s="4" t="str">
        <f>HYPERLINK("http://141.218.60.56/~jnz1568/getInfo.php?workbook=16_15.xlsx&amp;sheet=U0&amp;row=19&amp;col=11&amp;number=&amp;sourceID=58","")</f>
        <v/>
      </c>
      <c r="L19" s="4" t="str">
        <f>HYPERLINK("http://141.218.60.56/~jnz1568/getInfo.php?workbook=16_15.xlsx&amp;sheet=U0&amp;row=19&amp;col=12&amp;number=&amp;sourceID=59","")</f>
        <v/>
      </c>
      <c r="M19" s="4" t="str">
        <f>HYPERLINK("http://141.218.60.56/~jnz1568/getInfo.php?workbook=16_15.xlsx&amp;sheet=U0&amp;row=19&amp;col=13&amp;number=&amp;sourceID=59","")</f>
        <v/>
      </c>
    </row>
    <row r="20" spans="1:13">
      <c r="A20" s="3">
        <v>16</v>
      </c>
      <c r="B20" s="3">
        <v>15</v>
      </c>
      <c r="C20" s="3">
        <v>3</v>
      </c>
      <c r="D20" s="3">
        <v>1</v>
      </c>
      <c r="E20" s="3">
        <v>1</v>
      </c>
      <c r="F20" s="4" t="str">
        <f>HYPERLINK("http://141.218.60.56/~jnz1568/getInfo.php?workbook=16_15.xlsx&amp;sheet=U0&amp;row=20&amp;col=6&amp;number=3.69897000434&amp;sourceID=51","3.69897000434")</f>
        <v>3.69897000434</v>
      </c>
      <c r="G20" s="4" t="str">
        <f>HYPERLINK("http://141.218.60.56/~jnz1568/getInfo.php?workbook=16_15.xlsx&amp;sheet=U0&amp;row=20&amp;col=7&amp;number=4.23367377794&amp;sourceID=51","4.23367377794")</f>
        <v>4.23367377794</v>
      </c>
      <c r="H20" s="4" t="str">
        <f>HYPERLINK("http://141.218.60.56/~jnz1568/getInfo.php?workbook=16_15.xlsx&amp;sheet=U0&amp;row=20&amp;col=8&amp;number=3.699&amp;sourceID=53","3.699")</f>
        <v>3.699</v>
      </c>
      <c r="I20" s="4" t="str">
        <f>HYPERLINK("http://141.218.60.56/~jnz1568/getInfo.php?workbook=16_15.xlsx&amp;sheet=U0&amp;row=20&amp;col=9&amp;number=3.98&amp;sourceID=53","3.98")</f>
        <v>3.98</v>
      </c>
      <c r="J20" s="4" t="str">
        <f>HYPERLINK("http://141.218.60.56/~jnz1568/getInfo.php?workbook=16_15.xlsx&amp;sheet=U0&amp;row=20&amp;col=10&amp;number=3&amp;sourceID=58","3")</f>
        <v>3</v>
      </c>
      <c r="K20" s="4" t="str">
        <f>HYPERLINK("http://141.218.60.56/~jnz1568/getInfo.php?workbook=16_15.xlsx&amp;sheet=U0&amp;row=20&amp;col=11&amp;number=5.11&amp;sourceID=58","5.11")</f>
        <v>5.11</v>
      </c>
      <c r="L20" s="4" t="str">
        <f>HYPERLINK("http://141.218.60.56/~jnz1568/getInfo.php?workbook=16_15.xlsx&amp;sheet=U0&amp;row=20&amp;col=12&amp;number=3.5&amp;sourceID=59","3.5")</f>
        <v>3.5</v>
      </c>
      <c r="M20" s="4" t="str">
        <f>HYPERLINK("http://141.218.60.56/~jnz1568/getInfo.php?workbook=16_15.xlsx&amp;sheet=U0&amp;row=20&amp;col=13&amp;number=4.77&amp;sourceID=59","4.77")</f>
        <v>4.77</v>
      </c>
    </row>
    <row r="21" spans="1:13">
      <c r="A21" s="3"/>
      <c r="B21" s="3"/>
      <c r="C21" s="3"/>
      <c r="D21" s="3"/>
      <c r="E21" s="3">
        <v>2</v>
      </c>
      <c r="F21" s="4" t="str">
        <f>HYPERLINK("http://141.218.60.56/~jnz1568/getInfo.php?workbook=16_15.xlsx&amp;sheet=U0&amp;row=21&amp;col=6&amp;number=3.77815125038&amp;sourceID=51","3.77815125038")</f>
        <v>3.77815125038</v>
      </c>
      <c r="G21" s="4" t="str">
        <f>HYPERLINK("http://141.218.60.56/~jnz1568/getInfo.php?workbook=16_15.xlsx&amp;sheet=U0&amp;row=21&amp;col=7&amp;number=4.18370223538&amp;sourceID=51","4.18370223538")</f>
        <v>4.18370223538</v>
      </c>
      <c r="H21" s="4" t="str">
        <f>HYPERLINK("http://141.218.60.56/~jnz1568/getInfo.php?workbook=16_15.xlsx&amp;sheet=U0&amp;row=21&amp;col=8&amp;number=3.845&amp;sourceID=53","3.845")</f>
        <v>3.845</v>
      </c>
      <c r="I21" s="4" t="str">
        <f>HYPERLINK("http://141.218.60.56/~jnz1568/getInfo.php?workbook=16_15.xlsx&amp;sheet=U0&amp;row=21&amp;col=9&amp;number=3.91&amp;sourceID=53","3.91")</f>
        <v>3.91</v>
      </c>
      <c r="J21" s="4" t="str">
        <f>HYPERLINK("http://141.218.60.56/~jnz1568/getInfo.php?workbook=16_15.xlsx&amp;sheet=U0&amp;row=21&amp;col=10&amp;number=3.301&amp;sourceID=58","3.301")</f>
        <v>3.301</v>
      </c>
      <c r="K21" s="4" t="str">
        <f>HYPERLINK("http://141.218.60.56/~jnz1568/getInfo.php?workbook=16_15.xlsx&amp;sheet=U0&amp;row=21&amp;col=11&amp;number=5.03&amp;sourceID=58","5.03")</f>
        <v>5.03</v>
      </c>
      <c r="L21" s="4" t="str">
        <f>HYPERLINK("http://141.218.60.56/~jnz1568/getInfo.php?workbook=16_15.xlsx&amp;sheet=U0&amp;row=21&amp;col=12&amp;number=3.6&amp;sourceID=59","3.6")</f>
        <v>3.6</v>
      </c>
      <c r="M21" s="4" t="str">
        <f>HYPERLINK("http://141.218.60.56/~jnz1568/getInfo.php?workbook=16_15.xlsx&amp;sheet=U0&amp;row=21&amp;col=13&amp;number=4.69&amp;sourceID=59","4.69")</f>
        <v>4.69</v>
      </c>
    </row>
    <row r="22" spans="1:13">
      <c r="A22" s="3"/>
      <c r="B22" s="3"/>
      <c r="C22" s="3"/>
      <c r="D22" s="3"/>
      <c r="E22" s="3">
        <v>3</v>
      </c>
      <c r="F22" s="4" t="str">
        <f>HYPERLINK("http://141.218.60.56/~jnz1568/getInfo.php?workbook=16_15.xlsx&amp;sheet=U0&amp;row=22&amp;col=6&amp;number=3.84509804001&amp;sourceID=51","3.84509804001")</f>
        <v>3.84509804001</v>
      </c>
      <c r="G22" s="4" t="str">
        <f>HYPERLINK("http://141.218.60.56/~jnz1568/getInfo.php?workbook=16_15.xlsx&amp;sheet=U0&amp;row=22&amp;col=7&amp;number=4.1340017677&amp;sourceID=51","4.1340017677")</f>
        <v>4.1340017677</v>
      </c>
      <c r="H22" s="4" t="str">
        <f>HYPERLINK("http://141.218.60.56/~jnz1568/getInfo.php?workbook=16_15.xlsx&amp;sheet=U0&amp;row=22&amp;col=8&amp;number=4&amp;sourceID=53","4")</f>
        <v>4</v>
      </c>
      <c r="I22" s="4" t="str">
        <f>HYPERLINK("http://141.218.60.56/~jnz1568/getInfo.php?workbook=16_15.xlsx&amp;sheet=U0&amp;row=22&amp;col=9&amp;number=3.83&amp;sourceID=53","3.83")</f>
        <v>3.83</v>
      </c>
      <c r="J22" s="4" t="str">
        <f>HYPERLINK("http://141.218.60.56/~jnz1568/getInfo.php?workbook=16_15.xlsx&amp;sheet=U0&amp;row=22&amp;col=10&amp;number=3.477&amp;sourceID=58","3.477")</f>
        <v>3.477</v>
      </c>
      <c r="K22" s="4" t="str">
        <f>HYPERLINK("http://141.218.60.56/~jnz1568/getInfo.php?workbook=16_15.xlsx&amp;sheet=U0&amp;row=22&amp;col=11&amp;number=4.99&amp;sourceID=58","4.99")</f>
        <v>4.99</v>
      </c>
      <c r="L22" s="4" t="str">
        <f>HYPERLINK("http://141.218.60.56/~jnz1568/getInfo.php?workbook=16_15.xlsx&amp;sheet=U0&amp;row=22&amp;col=12&amp;number=3.7&amp;sourceID=59","3.7")</f>
        <v>3.7</v>
      </c>
      <c r="M22" s="4" t="str">
        <f>HYPERLINK("http://141.218.60.56/~jnz1568/getInfo.php?workbook=16_15.xlsx&amp;sheet=U0&amp;row=22&amp;col=13&amp;number=4.58&amp;sourceID=59","4.58")</f>
        <v>4.58</v>
      </c>
    </row>
    <row r="23" spans="1:13">
      <c r="A23" s="3"/>
      <c r="B23" s="3"/>
      <c r="C23" s="3"/>
      <c r="D23" s="3"/>
      <c r="E23" s="3">
        <v>4</v>
      </c>
      <c r="F23" s="4" t="str">
        <f>HYPERLINK("http://141.218.60.56/~jnz1568/getInfo.php?workbook=16_15.xlsx&amp;sheet=U0&amp;row=23&amp;col=6&amp;number=3.90308998699&amp;sourceID=51","3.90308998699")</f>
        <v>3.90308998699</v>
      </c>
      <c r="G23" s="4" t="str">
        <f>HYPERLINK("http://141.218.60.56/~jnz1568/getInfo.php?workbook=16_15.xlsx&amp;sheet=U0&amp;row=23&amp;col=7&amp;number=4.0852883668&amp;sourceID=51","4.0852883668")</f>
        <v>4.0852883668</v>
      </c>
      <c r="H23" s="4" t="str">
        <f>HYPERLINK("http://141.218.60.56/~jnz1568/getInfo.php?workbook=16_15.xlsx&amp;sheet=U0&amp;row=23&amp;col=8&amp;number=4.176&amp;sourceID=53","4.176")</f>
        <v>4.176</v>
      </c>
      <c r="I23" s="4" t="str">
        <f>HYPERLINK("http://141.218.60.56/~jnz1568/getInfo.php?workbook=16_15.xlsx&amp;sheet=U0&amp;row=23&amp;col=9&amp;number=3.71&amp;sourceID=53","3.71")</f>
        <v>3.71</v>
      </c>
      <c r="J23" s="4" t="str">
        <f>HYPERLINK("http://141.218.60.56/~jnz1568/getInfo.php?workbook=16_15.xlsx&amp;sheet=U0&amp;row=23&amp;col=10&amp;number=3.602&amp;sourceID=58","3.602")</f>
        <v>3.602</v>
      </c>
      <c r="K23" s="4" t="str">
        <f>HYPERLINK("http://141.218.60.56/~jnz1568/getInfo.php?workbook=16_15.xlsx&amp;sheet=U0&amp;row=23&amp;col=11&amp;number=4.95&amp;sourceID=58","4.95")</f>
        <v>4.95</v>
      </c>
      <c r="L23" s="4" t="str">
        <f>HYPERLINK("http://141.218.60.56/~jnz1568/getInfo.php?workbook=16_15.xlsx&amp;sheet=U0&amp;row=23&amp;col=12&amp;number=3.8&amp;sourceID=59","3.8")</f>
        <v>3.8</v>
      </c>
      <c r="M23" s="4" t="str">
        <f>HYPERLINK("http://141.218.60.56/~jnz1568/getInfo.php?workbook=16_15.xlsx&amp;sheet=U0&amp;row=23&amp;col=13&amp;number=4.45&amp;sourceID=59","4.45")</f>
        <v>4.45</v>
      </c>
    </row>
    <row r="24" spans="1:13">
      <c r="A24" s="3"/>
      <c r="B24" s="3"/>
      <c r="C24" s="3"/>
      <c r="D24" s="3"/>
      <c r="E24" s="3">
        <v>5</v>
      </c>
      <c r="F24" s="4" t="str">
        <f>HYPERLINK("http://141.218.60.56/~jnz1568/getInfo.php?workbook=16_15.xlsx&amp;sheet=U0&amp;row=24&amp;col=6&amp;number=3.95424250944&amp;sourceID=51","3.95424250944")</f>
        <v>3.95424250944</v>
      </c>
      <c r="G24" s="4" t="str">
        <f>HYPERLINK("http://141.218.60.56/~jnz1568/getInfo.php?workbook=16_15.xlsx&amp;sheet=U0&amp;row=24&amp;col=7&amp;number=4.03811418682&amp;sourceID=51","4.03811418682")</f>
        <v>4.03811418682</v>
      </c>
      <c r="H24" s="4" t="str">
        <f>HYPERLINK("http://141.218.60.56/~jnz1568/getInfo.php?workbook=16_15.xlsx&amp;sheet=U0&amp;row=24&amp;col=8&amp;number=4.301&amp;sourceID=53","4.301")</f>
        <v>4.301</v>
      </c>
      <c r="I24" s="4" t="str">
        <f>HYPERLINK("http://141.218.60.56/~jnz1568/getInfo.php?workbook=16_15.xlsx&amp;sheet=U0&amp;row=24&amp;col=9&amp;number=3.61&amp;sourceID=53","3.61")</f>
        <v>3.61</v>
      </c>
      <c r="J24" s="4" t="str">
        <f>HYPERLINK("http://141.218.60.56/~jnz1568/getInfo.php?workbook=16_15.xlsx&amp;sheet=U0&amp;row=24&amp;col=10&amp;number=3.699&amp;sourceID=58","3.699")</f>
        <v>3.699</v>
      </c>
      <c r="K24" s="4" t="str">
        <f>HYPERLINK("http://141.218.60.56/~jnz1568/getInfo.php?workbook=16_15.xlsx&amp;sheet=U0&amp;row=24&amp;col=11&amp;number=4.9&amp;sourceID=58","4.9")</f>
        <v>4.9</v>
      </c>
      <c r="L24" s="4" t="str">
        <f>HYPERLINK("http://141.218.60.56/~jnz1568/getInfo.php?workbook=16_15.xlsx&amp;sheet=U0&amp;row=24&amp;col=12&amp;number=3.9&amp;sourceID=59","3.9")</f>
        <v>3.9</v>
      </c>
      <c r="M24" s="4" t="str">
        <f>HYPERLINK("http://141.218.60.56/~jnz1568/getInfo.php?workbook=16_15.xlsx&amp;sheet=U0&amp;row=24&amp;col=13&amp;number=4.3&amp;sourceID=59","4.3")</f>
        <v>4.3</v>
      </c>
    </row>
    <row r="25" spans="1:13">
      <c r="A25" s="3"/>
      <c r="B25" s="3"/>
      <c r="C25" s="3"/>
      <c r="D25" s="3"/>
      <c r="E25" s="3">
        <v>6</v>
      </c>
      <c r="F25" s="4" t="str">
        <f>HYPERLINK("http://141.218.60.56/~jnz1568/getInfo.php?workbook=16_15.xlsx&amp;sheet=U0&amp;row=25&amp;col=6&amp;number=4&amp;sourceID=51","4")</f>
        <v>4</v>
      </c>
      <c r="G25" s="4" t="str">
        <f>HYPERLINK("http://141.218.60.56/~jnz1568/getInfo.php?workbook=16_15.xlsx&amp;sheet=U0&amp;row=25&amp;col=7&amp;number=3.9928147497&amp;sourceID=51","3.9928147497")</f>
        <v>3.9928147497</v>
      </c>
      <c r="H25" s="4" t="str">
        <f>HYPERLINK("http://141.218.60.56/~jnz1568/getInfo.php?workbook=16_15.xlsx&amp;sheet=U0&amp;row=25&amp;col=8&amp;number=4.398&amp;sourceID=53","4.398")</f>
        <v>4.398</v>
      </c>
      <c r="I25" s="4" t="str">
        <f>HYPERLINK("http://141.218.60.56/~jnz1568/getInfo.php?workbook=16_15.xlsx&amp;sheet=U0&amp;row=25&amp;col=9&amp;number=3.52&amp;sourceID=53","3.52")</f>
        <v>3.52</v>
      </c>
      <c r="J25" s="4" t="str">
        <f>HYPERLINK("http://141.218.60.56/~jnz1568/getInfo.php?workbook=16_15.xlsx&amp;sheet=U0&amp;row=25&amp;col=10&amp;number=3.778&amp;sourceID=58","3.778")</f>
        <v>3.778</v>
      </c>
      <c r="K25" s="4" t="str">
        <f>HYPERLINK("http://141.218.60.56/~jnz1568/getInfo.php?workbook=16_15.xlsx&amp;sheet=U0&amp;row=25&amp;col=11&amp;number=4.86&amp;sourceID=58","4.86")</f>
        <v>4.86</v>
      </c>
      <c r="L25" s="4" t="str">
        <f>HYPERLINK("http://141.218.60.56/~jnz1568/getInfo.php?workbook=16_15.xlsx&amp;sheet=U0&amp;row=25&amp;col=12&amp;number=4&amp;sourceID=59","4")</f>
        <v>4</v>
      </c>
      <c r="M25" s="4" t="str">
        <f>HYPERLINK("http://141.218.60.56/~jnz1568/getInfo.php?workbook=16_15.xlsx&amp;sheet=U0&amp;row=25&amp;col=13&amp;number=4.14&amp;sourceID=59","4.14")</f>
        <v>4.14</v>
      </c>
    </row>
    <row r="26" spans="1:13">
      <c r="A26" s="3"/>
      <c r="B26" s="3"/>
      <c r="C26" s="3"/>
      <c r="D26" s="3"/>
      <c r="E26" s="3">
        <v>7</v>
      </c>
      <c r="F26" s="4" t="str">
        <f>HYPERLINK("http://141.218.60.56/~jnz1568/getInfo.php?workbook=16_15.xlsx&amp;sheet=U0&amp;row=26&amp;col=6&amp;number=4.04139268516&amp;sourceID=51","4.04139268516")</f>
        <v>4.04139268516</v>
      </c>
      <c r="G26" s="4" t="str">
        <f>HYPERLINK("http://141.218.60.56/~jnz1568/getInfo.php?workbook=16_15.xlsx&amp;sheet=U0&amp;row=26&amp;col=7&amp;number=3.94954977345&amp;sourceID=51","3.94954977345")</f>
        <v>3.94954977345</v>
      </c>
      <c r="H26" s="4" t="str">
        <f>HYPERLINK("http://141.218.60.56/~jnz1568/getInfo.php?workbook=16_15.xlsx&amp;sheet=U0&amp;row=26&amp;col=8&amp;number=4.477&amp;sourceID=53","4.477")</f>
        <v>4.477</v>
      </c>
      <c r="I26" s="4" t="str">
        <f>HYPERLINK("http://141.218.60.56/~jnz1568/getInfo.php?workbook=16_15.xlsx&amp;sheet=U0&amp;row=26&amp;col=9&amp;number=3.44&amp;sourceID=53","3.44")</f>
        <v>3.44</v>
      </c>
      <c r="J26" s="4" t="str">
        <f>HYPERLINK("http://141.218.60.56/~jnz1568/getInfo.php?workbook=16_15.xlsx&amp;sheet=U0&amp;row=26&amp;col=10&amp;number=3.845&amp;sourceID=58","3.845")</f>
        <v>3.845</v>
      </c>
      <c r="K26" s="4" t="str">
        <f>HYPERLINK("http://141.218.60.56/~jnz1568/getInfo.php?workbook=16_15.xlsx&amp;sheet=U0&amp;row=26&amp;col=11&amp;number=4.81&amp;sourceID=58","4.81")</f>
        <v>4.81</v>
      </c>
      <c r="L26" s="4" t="str">
        <f>HYPERLINK("http://141.218.60.56/~jnz1568/getInfo.php?workbook=16_15.xlsx&amp;sheet=U0&amp;row=26&amp;col=12&amp;number=4.1&amp;sourceID=59","4.1")</f>
        <v>4.1</v>
      </c>
      <c r="M26" s="4" t="str">
        <f>HYPERLINK("http://141.218.60.56/~jnz1568/getInfo.php?workbook=16_15.xlsx&amp;sheet=U0&amp;row=26&amp;col=13&amp;number=3.98&amp;sourceID=59","3.98")</f>
        <v>3.98</v>
      </c>
    </row>
    <row r="27" spans="1:13">
      <c r="A27" s="3"/>
      <c r="B27" s="3"/>
      <c r="C27" s="3"/>
      <c r="D27" s="3"/>
      <c r="E27" s="3">
        <v>8</v>
      </c>
      <c r="F27" s="4" t="str">
        <f>HYPERLINK("http://141.218.60.56/~jnz1568/getInfo.php?workbook=16_15.xlsx&amp;sheet=U0&amp;row=27&amp;col=6&amp;number=4.07918124605&amp;sourceID=51","4.07918124605")</f>
        <v>4.07918124605</v>
      </c>
      <c r="G27" s="4" t="str">
        <f>HYPERLINK("http://141.218.60.56/~jnz1568/getInfo.php?workbook=16_15.xlsx&amp;sheet=U0&amp;row=27&amp;col=7&amp;number=3.90835624918&amp;sourceID=51","3.90835624918")</f>
        <v>3.90835624918</v>
      </c>
      <c r="H27" s="4" t="str">
        <f>HYPERLINK("http://141.218.60.56/~jnz1568/getInfo.php?workbook=16_15.xlsx&amp;sheet=U0&amp;row=27&amp;col=8&amp;number=4.602&amp;sourceID=53","4.602")</f>
        <v>4.602</v>
      </c>
      <c r="I27" s="4" t="str">
        <f>HYPERLINK("http://141.218.60.56/~jnz1568/getInfo.php?workbook=16_15.xlsx&amp;sheet=U0&amp;row=27&amp;col=9&amp;number=3.3&amp;sourceID=53","3.3")</f>
        <v>3.3</v>
      </c>
      <c r="J27" s="4" t="str">
        <f>HYPERLINK("http://141.218.60.56/~jnz1568/getInfo.php?workbook=16_15.xlsx&amp;sheet=U0&amp;row=27&amp;col=10&amp;number=3.903&amp;sourceID=58","3.903")</f>
        <v>3.903</v>
      </c>
      <c r="K27" s="4" t="str">
        <f>HYPERLINK("http://141.218.60.56/~jnz1568/getInfo.php?workbook=16_15.xlsx&amp;sheet=U0&amp;row=27&amp;col=11&amp;number=4.76&amp;sourceID=58","4.76")</f>
        <v>4.76</v>
      </c>
      <c r="L27" s="4" t="str">
        <f>HYPERLINK("http://141.218.60.56/~jnz1568/getInfo.php?workbook=16_15.xlsx&amp;sheet=U0&amp;row=27&amp;col=12&amp;number=4.2&amp;sourceID=59","4.2")</f>
        <v>4.2</v>
      </c>
      <c r="M27" s="4" t="str">
        <f>HYPERLINK("http://141.218.60.56/~jnz1568/getInfo.php?workbook=16_15.xlsx&amp;sheet=U0&amp;row=27&amp;col=13&amp;number=3.82&amp;sourceID=59","3.82")</f>
        <v>3.82</v>
      </c>
    </row>
    <row r="28" spans="1:13">
      <c r="A28" s="3"/>
      <c r="B28" s="3"/>
      <c r="C28" s="3"/>
      <c r="D28" s="3"/>
      <c r="E28" s="3">
        <v>9</v>
      </c>
      <c r="F28" s="4" t="str">
        <f>HYPERLINK("http://141.218.60.56/~jnz1568/getInfo.php?workbook=16_15.xlsx&amp;sheet=U0&amp;row=28&amp;col=6&amp;number=4.11394335231&amp;sourceID=51","4.11394335231")</f>
        <v>4.11394335231</v>
      </c>
      <c r="G28" s="4" t="str">
        <f>HYPERLINK("http://141.218.60.56/~jnz1568/getInfo.php?workbook=16_15.xlsx&amp;sheet=U0&amp;row=28&amp;col=7&amp;number=3.8691919875&amp;sourceID=51","3.8691919875")</f>
        <v>3.8691919875</v>
      </c>
      <c r="H28" s="4" t="str">
        <f>HYPERLINK("http://141.218.60.56/~jnz1568/getInfo.php?workbook=16_15.xlsx&amp;sheet=U0&amp;row=28&amp;col=8&amp;number=4.699&amp;sourceID=53","4.699")</f>
        <v>4.699</v>
      </c>
      <c r="I28" s="4" t="str">
        <f>HYPERLINK("http://141.218.60.56/~jnz1568/getInfo.php?workbook=16_15.xlsx&amp;sheet=U0&amp;row=28&amp;col=9&amp;number=3.16&amp;sourceID=53","3.16")</f>
        <v>3.16</v>
      </c>
      <c r="J28" s="4" t="str">
        <f>HYPERLINK("http://141.218.60.56/~jnz1568/getInfo.php?workbook=16_15.xlsx&amp;sheet=U0&amp;row=28&amp;col=10&amp;number=3.954&amp;sourceID=58","3.954")</f>
        <v>3.954</v>
      </c>
      <c r="K28" s="4" t="str">
        <f>HYPERLINK("http://141.218.60.56/~jnz1568/getInfo.php?workbook=16_15.xlsx&amp;sheet=U0&amp;row=28&amp;col=11&amp;number=4.71&amp;sourceID=58","4.71")</f>
        <v>4.71</v>
      </c>
      <c r="L28" s="4" t="str">
        <f>HYPERLINK("http://141.218.60.56/~jnz1568/getInfo.php?workbook=16_15.xlsx&amp;sheet=U0&amp;row=28&amp;col=12&amp;number=4.4&amp;sourceID=59","4.4")</f>
        <v>4.4</v>
      </c>
      <c r="M28" s="4" t="str">
        <f>HYPERLINK("http://141.218.60.56/~jnz1568/getInfo.php?workbook=16_15.xlsx&amp;sheet=U0&amp;row=28&amp;col=13&amp;number=3.54&amp;sourceID=59","3.54")</f>
        <v>3.54</v>
      </c>
    </row>
    <row r="29" spans="1:13">
      <c r="A29" s="3"/>
      <c r="B29" s="3"/>
      <c r="C29" s="3"/>
      <c r="D29" s="3"/>
      <c r="E29" s="3">
        <v>10</v>
      </c>
      <c r="F29" s="4" t="str">
        <f>HYPERLINK("http://141.218.60.56/~jnz1568/getInfo.php?workbook=16_15.xlsx&amp;sheet=U0&amp;row=29&amp;col=6&amp;number=4.14612803568&amp;sourceID=51","4.14612803568")</f>
        <v>4.14612803568</v>
      </c>
      <c r="G29" s="4" t="str">
        <f>HYPERLINK("http://141.218.60.56/~jnz1568/getInfo.php?workbook=16_15.xlsx&amp;sheet=U0&amp;row=29&amp;col=7&amp;number=3.83196670696&amp;sourceID=51","3.83196670696")</f>
        <v>3.83196670696</v>
      </c>
      <c r="H29" s="4" t="str">
        <f>HYPERLINK("http://141.218.60.56/~jnz1568/getInfo.php?workbook=16_15.xlsx&amp;sheet=U0&amp;row=29&amp;col=8&amp;number=4.845&amp;sourceID=53","4.845")</f>
        <v>4.845</v>
      </c>
      <c r="I29" s="4" t="str">
        <f>HYPERLINK("http://141.218.60.56/~jnz1568/getInfo.php?workbook=16_15.xlsx&amp;sheet=U0&amp;row=29&amp;col=9&amp;number=2.9&amp;sourceID=53","2.9")</f>
        <v>2.9</v>
      </c>
      <c r="J29" s="4" t="str">
        <f>HYPERLINK("http://141.218.60.56/~jnz1568/getInfo.php?workbook=16_15.xlsx&amp;sheet=U0&amp;row=29&amp;col=10&amp;number=4&amp;sourceID=58","4")</f>
        <v>4</v>
      </c>
      <c r="K29" s="4" t="str">
        <f>HYPERLINK("http://141.218.60.56/~jnz1568/getInfo.php?workbook=16_15.xlsx&amp;sheet=U0&amp;row=29&amp;col=11&amp;number=4.66&amp;sourceID=58","4.66")</f>
        <v>4.66</v>
      </c>
      <c r="L29" s="4" t="str">
        <f>HYPERLINK("http://141.218.60.56/~jnz1568/getInfo.php?workbook=16_15.xlsx&amp;sheet=U0&amp;row=29&amp;col=12&amp;number=4.6&amp;sourceID=59","4.6")</f>
        <v>4.6</v>
      </c>
      <c r="M29" s="4" t="str">
        <f>HYPERLINK("http://141.218.60.56/~jnz1568/getInfo.php?workbook=16_15.xlsx&amp;sheet=U0&amp;row=29&amp;col=13&amp;number=3.27&amp;sourceID=59","3.27")</f>
        <v>3.27</v>
      </c>
    </row>
    <row r="30" spans="1:13">
      <c r="A30" s="3"/>
      <c r="B30" s="3"/>
      <c r="C30" s="3"/>
      <c r="D30" s="3"/>
      <c r="E30" s="3">
        <v>11</v>
      </c>
      <c r="F30" s="4" t="str">
        <f>HYPERLINK("http://141.218.60.56/~jnz1568/getInfo.php?workbook=16_15.xlsx&amp;sheet=U0&amp;row=30&amp;col=6&amp;number=4.17609125906&amp;sourceID=51","4.17609125906")</f>
        <v>4.17609125906</v>
      </c>
      <c r="G30" s="4" t="str">
        <f>HYPERLINK("http://141.218.60.56/~jnz1568/getInfo.php?workbook=16_15.xlsx&amp;sheet=U0&amp;row=30&amp;col=7&amp;number=3.79656291056&amp;sourceID=51","3.79656291056")</f>
        <v>3.79656291056</v>
      </c>
      <c r="H30" s="4" t="str">
        <f>HYPERLINK("http://141.218.60.56/~jnz1568/getInfo.php?workbook=16_15.xlsx&amp;sheet=U0&amp;row=30&amp;col=8&amp;number=5&amp;sourceID=53","5")</f>
        <v>5</v>
      </c>
      <c r="I30" s="4" t="str">
        <f>HYPERLINK("http://141.218.60.56/~jnz1568/getInfo.php?workbook=16_15.xlsx&amp;sheet=U0&amp;row=30&amp;col=9&amp;number=2.58&amp;sourceID=53","2.58")</f>
        <v>2.58</v>
      </c>
      <c r="J30" s="4" t="str">
        <f>HYPERLINK("http://141.218.60.56/~jnz1568/getInfo.php?workbook=16_15.xlsx&amp;sheet=U0&amp;row=30&amp;col=10&amp;number=4.079&amp;sourceID=58","4.079")</f>
        <v>4.079</v>
      </c>
      <c r="K30" s="4" t="str">
        <f>HYPERLINK("http://141.218.60.56/~jnz1568/getInfo.php?workbook=16_15.xlsx&amp;sheet=U0&amp;row=30&amp;col=11&amp;number=4.57&amp;sourceID=58","4.57")</f>
        <v>4.57</v>
      </c>
      <c r="L30" s="4" t="str">
        <f>HYPERLINK("http://141.218.60.56/~jnz1568/getInfo.php?workbook=16_15.xlsx&amp;sheet=U0&amp;row=30&amp;col=12&amp;number=4.8&amp;sourceID=59","4.8")</f>
        <v>4.8</v>
      </c>
      <c r="M30" s="4" t="str">
        <f>HYPERLINK("http://141.218.60.56/~jnz1568/getInfo.php?workbook=16_15.xlsx&amp;sheet=U0&amp;row=30&amp;col=13&amp;number=2.94&amp;sourceID=59","2.94")</f>
        <v>2.94</v>
      </c>
    </row>
    <row r="31" spans="1:13">
      <c r="A31" s="3"/>
      <c r="B31" s="3"/>
      <c r="C31" s="3"/>
      <c r="D31" s="3"/>
      <c r="E31" s="3">
        <v>12</v>
      </c>
      <c r="F31" s="4" t="str">
        <f>HYPERLINK("http://141.218.60.56/~jnz1568/getInfo.php?workbook=16_15.xlsx&amp;sheet=U0&amp;row=31&amp;col=6&amp;number=4.20411998266&amp;sourceID=51","4.20411998266")</f>
        <v>4.20411998266</v>
      </c>
      <c r="G31" s="4" t="str">
        <f>HYPERLINK("http://141.218.60.56/~jnz1568/getInfo.php?workbook=16_15.xlsx&amp;sheet=U0&amp;row=31&amp;col=7&amp;number=3.7628495063&amp;sourceID=51","3.7628495063")</f>
        <v>3.7628495063</v>
      </c>
      <c r="H31" s="4" t="str">
        <f>HYPERLINK("http://141.218.60.56/~jnz1568/getInfo.php?workbook=16_15.xlsx&amp;sheet=U0&amp;row=31&amp;col=8&amp;number=&amp;sourceID=53","")</f>
        <v/>
      </c>
      <c r="I31" s="4" t="str">
        <f>HYPERLINK("http://141.218.60.56/~jnz1568/getInfo.php?workbook=16_15.xlsx&amp;sheet=U0&amp;row=31&amp;col=9&amp;number=&amp;sourceID=53","")</f>
        <v/>
      </c>
      <c r="J31" s="4" t="str">
        <f>HYPERLINK("http://141.218.60.56/~jnz1568/getInfo.php?workbook=16_15.xlsx&amp;sheet=U0&amp;row=31&amp;col=10&amp;number=4.146&amp;sourceID=58","4.146")</f>
        <v>4.146</v>
      </c>
      <c r="K31" s="4" t="str">
        <f>HYPERLINK("http://141.218.60.56/~jnz1568/getInfo.php?workbook=16_15.xlsx&amp;sheet=U0&amp;row=31&amp;col=11&amp;number=4.48&amp;sourceID=58","4.48")</f>
        <v>4.48</v>
      </c>
      <c r="L31" s="4" t="str">
        <f>HYPERLINK("http://141.218.60.56/~jnz1568/getInfo.php?workbook=16_15.xlsx&amp;sheet=U0&amp;row=31&amp;col=12&amp;number=5&amp;sourceID=59","5")</f>
        <v>5</v>
      </c>
      <c r="M31" s="4" t="str">
        <f>HYPERLINK("http://141.218.60.56/~jnz1568/getInfo.php?workbook=16_15.xlsx&amp;sheet=U0&amp;row=31&amp;col=13&amp;number=2.54&amp;sourceID=59","2.54")</f>
        <v>2.54</v>
      </c>
    </row>
    <row r="32" spans="1:13">
      <c r="A32" s="3"/>
      <c r="B32" s="3"/>
      <c r="C32" s="3"/>
      <c r="D32" s="3"/>
      <c r="E32" s="3">
        <v>13</v>
      </c>
      <c r="F32" s="4" t="str">
        <f>HYPERLINK("http://141.218.60.56/~jnz1568/getInfo.php?workbook=16_15.xlsx&amp;sheet=U0&amp;row=32&amp;col=6&amp;number=4.23044892138&amp;sourceID=51","4.23044892138")</f>
        <v>4.23044892138</v>
      </c>
      <c r="G32" s="4" t="str">
        <f>HYPERLINK("http://141.218.60.56/~jnz1568/getInfo.php?workbook=16_15.xlsx&amp;sheet=U0&amp;row=32&amp;col=7&amp;number=3.7306905828&amp;sourceID=51","3.7306905828")</f>
        <v>3.7306905828</v>
      </c>
      <c r="H32" s="4" t="str">
        <f>HYPERLINK("http://141.218.60.56/~jnz1568/getInfo.php?workbook=16_15.xlsx&amp;sheet=U0&amp;row=32&amp;col=8&amp;number=&amp;sourceID=53","")</f>
        <v/>
      </c>
      <c r="I32" s="4" t="str">
        <f>HYPERLINK("http://141.218.60.56/~jnz1568/getInfo.php?workbook=16_15.xlsx&amp;sheet=U0&amp;row=32&amp;col=9&amp;number=&amp;sourceID=53","")</f>
        <v/>
      </c>
      <c r="J32" s="4" t="str">
        <f>HYPERLINK("http://141.218.60.56/~jnz1568/getInfo.php?workbook=16_15.xlsx&amp;sheet=U0&amp;row=32&amp;col=10&amp;number=4.204&amp;sourceID=58","4.204")</f>
        <v>4.204</v>
      </c>
      <c r="K32" s="4" t="str">
        <f>HYPERLINK("http://141.218.60.56/~jnz1568/getInfo.php?workbook=16_15.xlsx&amp;sheet=U0&amp;row=32&amp;col=11&amp;number=4.4&amp;sourceID=58","4.4")</f>
        <v>4.4</v>
      </c>
      <c r="L32" s="4" t="str">
        <f>HYPERLINK("http://141.218.60.56/~jnz1568/getInfo.php?workbook=16_15.xlsx&amp;sheet=U0&amp;row=32&amp;col=12&amp;number=&amp;sourceID=59","")</f>
        <v/>
      </c>
      <c r="M32" s="4" t="str">
        <f>HYPERLINK("http://141.218.60.56/~jnz1568/getInfo.php?workbook=16_15.xlsx&amp;sheet=U0&amp;row=32&amp;col=13&amp;number=&amp;sourceID=59","")</f>
        <v/>
      </c>
    </row>
    <row r="33" spans="1:13">
      <c r="A33" s="3"/>
      <c r="B33" s="3"/>
      <c r="C33" s="3"/>
      <c r="D33" s="3"/>
      <c r="E33" s="3">
        <v>14</v>
      </c>
      <c r="F33" s="4" t="str">
        <f>HYPERLINK("http://141.218.60.56/~jnz1568/getInfo.php?workbook=16_15.xlsx&amp;sheet=U0&amp;row=33&amp;col=6&amp;number=4.2552725051&amp;sourceID=51","4.2552725051")</f>
        <v>4.2552725051</v>
      </c>
      <c r="G33" s="4" t="str">
        <f>HYPERLINK("http://141.218.60.56/~jnz1568/getInfo.php?workbook=16_15.xlsx&amp;sheet=U0&amp;row=33&amp;col=7&amp;number=3.69995103027&amp;sourceID=51","3.69995103027")</f>
        <v>3.69995103027</v>
      </c>
      <c r="H33" s="4" t="str">
        <f>HYPERLINK("http://141.218.60.56/~jnz1568/getInfo.php?workbook=16_15.xlsx&amp;sheet=U0&amp;row=33&amp;col=8&amp;number=&amp;sourceID=53","")</f>
        <v/>
      </c>
      <c r="I33" s="4" t="str">
        <f>HYPERLINK("http://141.218.60.56/~jnz1568/getInfo.php?workbook=16_15.xlsx&amp;sheet=U0&amp;row=33&amp;col=9&amp;number=&amp;sourceID=53","")</f>
        <v/>
      </c>
      <c r="J33" s="4" t="str">
        <f>HYPERLINK("http://141.218.60.56/~jnz1568/getInfo.php?workbook=16_15.xlsx&amp;sheet=U0&amp;row=33&amp;col=10&amp;number=4.255&amp;sourceID=58","4.255")</f>
        <v>4.255</v>
      </c>
      <c r="K33" s="4" t="str">
        <f>HYPERLINK("http://141.218.60.56/~jnz1568/getInfo.php?workbook=16_15.xlsx&amp;sheet=U0&amp;row=33&amp;col=11&amp;number=4.33&amp;sourceID=58","4.33")</f>
        <v>4.33</v>
      </c>
      <c r="L33" s="4" t="str">
        <f>HYPERLINK("http://141.218.60.56/~jnz1568/getInfo.php?workbook=16_15.xlsx&amp;sheet=U0&amp;row=33&amp;col=12&amp;number=&amp;sourceID=59","")</f>
        <v/>
      </c>
      <c r="M33" s="4" t="str">
        <f>HYPERLINK("http://141.218.60.56/~jnz1568/getInfo.php?workbook=16_15.xlsx&amp;sheet=U0&amp;row=33&amp;col=13&amp;number=&amp;sourceID=59","")</f>
        <v/>
      </c>
    </row>
    <row r="34" spans="1:13">
      <c r="A34" s="3"/>
      <c r="B34" s="3"/>
      <c r="C34" s="3"/>
      <c r="D34" s="3"/>
      <c r="E34" s="3">
        <v>15</v>
      </c>
      <c r="F34" s="4" t="str">
        <f>HYPERLINK("http://141.218.60.56/~jnz1568/getInfo.php?workbook=16_15.xlsx&amp;sheet=U0&amp;row=34&amp;col=6&amp;number=4.27875360095&amp;sourceID=51","4.27875360095")</f>
        <v>4.27875360095</v>
      </c>
      <c r="G34" s="4" t="str">
        <f>HYPERLINK("http://141.218.60.56/~jnz1568/getInfo.php?workbook=16_15.xlsx&amp;sheet=U0&amp;row=34&amp;col=7&amp;number=3.67050011545&amp;sourceID=51","3.67050011545")</f>
        <v>3.67050011545</v>
      </c>
      <c r="H34" s="4" t="str">
        <f>HYPERLINK("http://141.218.60.56/~jnz1568/getInfo.php?workbook=16_15.xlsx&amp;sheet=U0&amp;row=34&amp;col=8&amp;number=&amp;sourceID=53","")</f>
        <v/>
      </c>
      <c r="I34" s="4" t="str">
        <f>HYPERLINK("http://141.218.60.56/~jnz1568/getInfo.php?workbook=16_15.xlsx&amp;sheet=U0&amp;row=34&amp;col=9&amp;number=&amp;sourceID=53","")</f>
        <v/>
      </c>
      <c r="J34" s="4" t="str">
        <f>HYPERLINK("http://141.218.60.56/~jnz1568/getInfo.php?workbook=16_15.xlsx&amp;sheet=U0&amp;row=34&amp;col=10&amp;number=4.301&amp;sourceID=58","4.301")</f>
        <v>4.301</v>
      </c>
      <c r="K34" s="4" t="str">
        <f>HYPERLINK("http://141.218.60.56/~jnz1568/getInfo.php?workbook=16_15.xlsx&amp;sheet=U0&amp;row=34&amp;col=11&amp;number=4.26&amp;sourceID=58","4.26")</f>
        <v>4.26</v>
      </c>
      <c r="L34" s="4" t="str">
        <f>HYPERLINK("http://141.218.60.56/~jnz1568/getInfo.php?workbook=16_15.xlsx&amp;sheet=U0&amp;row=34&amp;col=12&amp;number=&amp;sourceID=59","")</f>
        <v/>
      </c>
      <c r="M34" s="4" t="str">
        <f>HYPERLINK("http://141.218.60.56/~jnz1568/getInfo.php?workbook=16_15.xlsx&amp;sheet=U0&amp;row=34&amp;col=13&amp;number=&amp;sourceID=59","")</f>
        <v/>
      </c>
    </row>
    <row r="35" spans="1:13">
      <c r="A35" s="3"/>
      <c r="B35" s="3"/>
      <c r="C35" s="3"/>
      <c r="D35" s="3"/>
      <c r="E35" s="3">
        <v>16</v>
      </c>
      <c r="F35" s="4" t="str">
        <f>HYPERLINK("http://141.218.60.56/~jnz1568/getInfo.php?workbook=16_15.xlsx&amp;sheet=U0&amp;row=35&amp;col=6&amp;number=4.30102999566&amp;sourceID=51","4.30102999566")</f>
        <v>4.30102999566</v>
      </c>
      <c r="G35" s="4" t="str">
        <f>HYPERLINK("http://141.218.60.56/~jnz1568/getInfo.php?workbook=16_15.xlsx&amp;sheet=U0&amp;row=35&amp;col=7&amp;number=3.64221371159&amp;sourceID=51","3.64221371159")</f>
        <v>3.64221371159</v>
      </c>
      <c r="H35" s="4" t="str">
        <f>HYPERLINK("http://141.218.60.56/~jnz1568/getInfo.php?workbook=16_15.xlsx&amp;sheet=U0&amp;row=35&amp;col=8&amp;number=&amp;sourceID=53","")</f>
        <v/>
      </c>
      <c r="I35" s="4" t="str">
        <f>HYPERLINK("http://141.218.60.56/~jnz1568/getInfo.php?workbook=16_15.xlsx&amp;sheet=U0&amp;row=35&amp;col=9&amp;number=&amp;sourceID=53","")</f>
        <v/>
      </c>
      <c r="J35" s="4" t="str">
        <f>HYPERLINK("http://141.218.60.56/~jnz1568/getInfo.php?workbook=16_15.xlsx&amp;sheet=U0&amp;row=35&amp;col=10&amp;number=&amp;sourceID=58","")</f>
        <v/>
      </c>
      <c r="K35" s="4" t="str">
        <f>HYPERLINK("http://141.218.60.56/~jnz1568/getInfo.php?workbook=16_15.xlsx&amp;sheet=U0&amp;row=35&amp;col=11&amp;number=&amp;sourceID=58","")</f>
        <v/>
      </c>
      <c r="L35" s="4" t="str">
        <f>HYPERLINK("http://141.218.60.56/~jnz1568/getInfo.php?workbook=16_15.xlsx&amp;sheet=U0&amp;row=35&amp;col=12&amp;number=&amp;sourceID=59","")</f>
        <v/>
      </c>
      <c r="M35" s="4" t="str">
        <f>HYPERLINK("http://141.218.60.56/~jnz1568/getInfo.php?workbook=16_15.xlsx&amp;sheet=U0&amp;row=35&amp;col=13&amp;number=&amp;sourceID=59","")</f>
        <v/>
      </c>
    </row>
    <row r="36" spans="1:13">
      <c r="A36" s="3">
        <v>16</v>
      </c>
      <c r="B36" s="3">
        <v>15</v>
      </c>
      <c r="C36" s="3">
        <v>3</v>
      </c>
      <c r="D36" s="3">
        <v>2</v>
      </c>
      <c r="E36" s="3">
        <v>1</v>
      </c>
      <c r="F36" s="4" t="str">
        <f>HYPERLINK("http://141.218.60.56/~jnz1568/getInfo.php?workbook=16_15.xlsx&amp;sheet=U0&amp;row=36&amp;col=6&amp;number=3.69897000434&amp;sourceID=51","3.69897000434")</f>
        <v>3.69897000434</v>
      </c>
      <c r="G36" s="4" t="str">
        <f>HYPERLINK("http://141.218.60.56/~jnz1568/getInfo.php?workbook=16_15.xlsx&amp;sheet=U0&amp;row=36&amp;col=7&amp;number=6.93721147135&amp;sourceID=51","6.93721147135")</f>
        <v>6.93721147135</v>
      </c>
      <c r="H36" s="4" t="str">
        <f>HYPERLINK("http://141.218.60.56/~jnz1568/getInfo.php?workbook=16_15.xlsx&amp;sheet=U0&amp;row=36&amp;col=8&amp;number=3.699&amp;sourceID=53","3.699")</f>
        <v>3.699</v>
      </c>
      <c r="I36" s="4" t="str">
        <f>HYPERLINK("http://141.218.60.56/~jnz1568/getInfo.php?workbook=16_15.xlsx&amp;sheet=U0&amp;row=36&amp;col=9&amp;number=7.32&amp;sourceID=53","7.32")</f>
        <v>7.32</v>
      </c>
      <c r="J36" s="4" t="str">
        <f>HYPERLINK("http://141.218.60.56/~jnz1568/getInfo.php?workbook=16_15.xlsx&amp;sheet=U0&amp;row=36&amp;col=10&amp;number=3&amp;sourceID=58","3")</f>
        <v>3</v>
      </c>
      <c r="K36" s="4" t="str">
        <f>HYPERLINK("http://141.218.60.56/~jnz1568/getInfo.php?workbook=16_15.xlsx&amp;sheet=U0&amp;row=36&amp;col=11&amp;number=8.27&amp;sourceID=58","8.27")</f>
        <v>8.27</v>
      </c>
      <c r="L36" s="4" t="str">
        <f>HYPERLINK("http://141.218.60.56/~jnz1568/getInfo.php?workbook=16_15.xlsx&amp;sheet=U0&amp;row=36&amp;col=12&amp;number=3.5&amp;sourceID=59","3.5")</f>
        <v>3.5</v>
      </c>
      <c r="M36" s="4" t="str">
        <f>HYPERLINK("http://141.218.60.56/~jnz1568/getInfo.php?workbook=16_15.xlsx&amp;sheet=U0&amp;row=36&amp;col=13&amp;number=7.99&amp;sourceID=59","7.99")</f>
        <v>7.99</v>
      </c>
    </row>
    <row r="37" spans="1:13">
      <c r="A37" s="3"/>
      <c r="B37" s="3"/>
      <c r="C37" s="3"/>
      <c r="D37" s="3"/>
      <c r="E37" s="3">
        <v>2</v>
      </c>
      <c r="F37" s="4" t="str">
        <f>HYPERLINK("http://141.218.60.56/~jnz1568/getInfo.php?workbook=16_15.xlsx&amp;sheet=U0&amp;row=37&amp;col=6&amp;number=3.77815125038&amp;sourceID=51","3.77815125038")</f>
        <v>3.77815125038</v>
      </c>
      <c r="G37" s="4" t="str">
        <f>HYPERLINK("http://141.218.60.56/~jnz1568/getInfo.php?workbook=16_15.xlsx&amp;sheet=U0&amp;row=37&amp;col=7&amp;number=6.87568760128&amp;sourceID=51","6.87568760128")</f>
        <v>6.87568760128</v>
      </c>
      <c r="H37" s="4" t="str">
        <f>HYPERLINK("http://141.218.60.56/~jnz1568/getInfo.php?workbook=16_15.xlsx&amp;sheet=U0&amp;row=37&amp;col=8&amp;number=3.845&amp;sourceID=53","3.845")</f>
        <v>3.845</v>
      </c>
      <c r="I37" s="4" t="str">
        <f>HYPERLINK("http://141.218.60.56/~jnz1568/getInfo.php?workbook=16_15.xlsx&amp;sheet=U0&amp;row=37&amp;col=9&amp;number=7.13&amp;sourceID=53","7.13")</f>
        <v>7.13</v>
      </c>
      <c r="J37" s="4" t="str">
        <f>HYPERLINK("http://141.218.60.56/~jnz1568/getInfo.php?workbook=16_15.xlsx&amp;sheet=U0&amp;row=37&amp;col=10&amp;number=3.301&amp;sourceID=58","3.301")</f>
        <v>3.301</v>
      </c>
      <c r="K37" s="4" t="str">
        <f>HYPERLINK("http://141.218.60.56/~jnz1568/getInfo.php?workbook=16_15.xlsx&amp;sheet=U0&amp;row=37&amp;col=11&amp;number=8.1&amp;sourceID=58","8.1")</f>
        <v>8.1</v>
      </c>
      <c r="L37" s="4" t="str">
        <f>HYPERLINK("http://141.218.60.56/~jnz1568/getInfo.php?workbook=16_15.xlsx&amp;sheet=U0&amp;row=37&amp;col=12&amp;number=3.6&amp;sourceID=59","3.6")</f>
        <v>3.6</v>
      </c>
      <c r="M37" s="4" t="str">
        <f>HYPERLINK("http://141.218.60.56/~jnz1568/getInfo.php?workbook=16_15.xlsx&amp;sheet=U0&amp;row=37&amp;col=13&amp;number=8.01&amp;sourceID=59","8.01")</f>
        <v>8.01</v>
      </c>
    </row>
    <row r="38" spans="1:13">
      <c r="A38" s="3"/>
      <c r="B38" s="3"/>
      <c r="C38" s="3"/>
      <c r="D38" s="3"/>
      <c r="E38" s="3">
        <v>3</v>
      </c>
      <c r="F38" s="4" t="str">
        <f>HYPERLINK("http://141.218.60.56/~jnz1568/getInfo.php?workbook=16_15.xlsx&amp;sheet=U0&amp;row=38&amp;col=6&amp;number=3.84509804001&amp;sourceID=51","3.84509804001")</f>
        <v>3.84509804001</v>
      </c>
      <c r="G38" s="4" t="str">
        <f>HYPERLINK("http://141.218.60.56/~jnz1568/getInfo.php?workbook=16_15.xlsx&amp;sheet=U0&amp;row=38&amp;col=7&amp;number=6.80793725574&amp;sourceID=51","6.80793725574")</f>
        <v>6.80793725574</v>
      </c>
      <c r="H38" s="4" t="str">
        <f>HYPERLINK("http://141.218.60.56/~jnz1568/getInfo.php?workbook=16_15.xlsx&amp;sheet=U0&amp;row=38&amp;col=8&amp;number=4&amp;sourceID=53","4")</f>
        <v>4</v>
      </c>
      <c r="I38" s="4" t="str">
        <f>HYPERLINK("http://141.218.60.56/~jnz1568/getInfo.php?workbook=16_15.xlsx&amp;sheet=U0&amp;row=38&amp;col=9&amp;number=6.89&amp;sourceID=53","6.89")</f>
        <v>6.89</v>
      </c>
      <c r="J38" s="4" t="str">
        <f>HYPERLINK("http://141.218.60.56/~jnz1568/getInfo.php?workbook=16_15.xlsx&amp;sheet=U0&amp;row=38&amp;col=10&amp;number=3.477&amp;sourceID=58","3.477")</f>
        <v>3.477</v>
      </c>
      <c r="K38" s="4" t="str">
        <f>HYPERLINK("http://141.218.60.56/~jnz1568/getInfo.php?workbook=16_15.xlsx&amp;sheet=U0&amp;row=38&amp;col=11&amp;number=8.03&amp;sourceID=58","8.03")</f>
        <v>8.03</v>
      </c>
      <c r="L38" s="4" t="str">
        <f>HYPERLINK("http://141.218.60.56/~jnz1568/getInfo.php?workbook=16_15.xlsx&amp;sheet=U0&amp;row=38&amp;col=12&amp;number=3.7&amp;sourceID=59","3.7")</f>
        <v>3.7</v>
      </c>
      <c r="M38" s="4" t="str">
        <f>HYPERLINK("http://141.218.60.56/~jnz1568/getInfo.php?workbook=16_15.xlsx&amp;sheet=U0&amp;row=38&amp;col=13&amp;number=7.98&amp;sourceID=59","7.98")</f>
        <v>7.98</v>
      </c>
    </row>
    <row r="39" spans="1:13">
      <c r="A39" s="3"/>
      <c r="B39" s="3"/>
      <c r="C39" s="3"/>
      <c r="D39" s="3"/>
      <c r="E39" s="3">
        <v>4</v>
      </c>
      <c r="F39" s="4" t="str">
        <f>HYPERLINK("http://141.218.60.56/~jnz1568/getInfo.php?workbook=16_15.xlsx&amp;sheet=U0&amp;row=39&amp;col=6&amp;number=3.90308998699&amp;sourceID=51","3.90308998699")</f>
        <v>3.90308998699</v>
      </c>
      <c r="G39" s="4" t="str">
        <f>HYPERLINK("http://141.218.60.56/~jnz1568/getInfo.php?workbook=16_15.xlsx&amp;sheet=U0&amp;row=39&amp;col=7&amp;number=6.73801438111&amp;sourceID=51","6.73801438111")</f>
        <v>6.73801438111</v>
      </c>
      <c r="H39" s="4" t="str">
        <f>HYPERLINK("http://141.218.60.56/~jnz1568/getInfo.php?workbook=16_15.xlsx&amp;sheet=U0&amp;row=39&amp;col=8&amp;number=4.176&amp;sourceID=53","4.176")</f>
        <v>4.176</v>
      </c>
      <c r="I39" s="4" t="str">
        <f>HYPERLINK("http://141.218.60.56/~jnz1568/getInfo.php?workbook=16_15.xlsx&amp;sheet=U0&amp;row=39&amp;col=9&amp;number=6.58&amp;sourceID=53","6.58")</f>
        <v>6.58</v>
      </c>
      <c r="J39" s="4" t="str">
        <f>HYPERLINK("http://141.218.60.56/~jnz1568/getInfo.php?workbook=16_15.xlsx&amp;sheet=U0&amp;row=39&amp;col=10&amp;number=3.602&amp;sourceID=58","3.602")</f>
        <v>3.602</v>
      </c>
      <c r="K39" s="4" t="str">
        <f>HYPERLINK("http://141.218.60.56/~jnz1568/getInfo.php?workbook=16_15.xlsx&amp;sheet=U0&amp;row=39&amp;col=11&amp;number=7.97&amp;sourceID=58","7.97")</f>
        <v>7.97</v>
      </c>
      <c r="L39" s="4" t="str">
        <f>HYPERLINK("http://141.218.60.56/~jnz1568/getInfo.php?workbook=16_15.xlsx&amp;sheet=U0&amp;row=39&amp;col=12&amp;number=3.8&amp;sourceID=59","3.8")</f>
        <v>3.8</v>
      </c>
      <c r="M39" s="4" t="str">
        <f>HYPERLINK("http://141.218.60.56/~jnz1568/getInfo.php?workbook=16_15.xlsx&amp;sheet=U0&amp;row=39&amp;col=13&amp;number=7.87&amp;sourceID=59","7.87")</f>
        <v>7.87</v>
      </c>
    </row>
    <row r="40" spans="1:13">
      <c r="A40" s="3"/>
      <c r="B40" s="3"/>
      <c r="C40" s="3"/>
      <c r="D40" s="3"/>
      <c r="E40" s="3">
        <v>5</v>
      </c>
      <c r="F40" s="4" t="str">
        <f>HYPERLINK("http://141.218.60.56/~jnz1568/getInfo.php?workbook=16_15.xlsx&amp;sheet=U0&amp;row=40&amp;col=6&amp;number=3.95424250944&amp;sourceID=51","3.95424250944")</f>
        <v>3.95424250944</v>
      </c>
      <c r="G40" s="4" t="str">
        <f>HYPERLINK("http://141.218.60.56/~jnz1568/getInfo.php?workbook=16_15.xlsx&amp;sheet=U0&amp;row=40&amp;col=7&amp;number=6.66857901928&amp;sourceID=51","6.66857901928")</f>
        <v>6.66857901928</v>
      </c>
      <c r="H40" s="4" t="str">
        <f>HYPERLINK("http://141.218.60.56/~jnz1568/getInfo.php?workbook=16_15.xlsx&amp;sheet=U0&amp;row=40&amp;col=8&amp;number=4.301&amp;sourceID=53","4.301")</f>
        <v>4.301</v>
      </c>
      <c r="I40" s="4" t="str">
        <f>HYPERLINK("http://141.218.60.56/~jnz1568/getInfo.php?workbook=16_15.xlsx&amp;sheet=U0&amp;row=40&amp;col=9&amp;number=6.35&amp;sourceID=53","6.35")</f>
        <v>6.35</v>
      </c>
      <c r="J40" s="4" t="str">
        <f>HYPERLINK("http://141.218.60.56/~jnz1568/getInfo.php?workbook=16_15.xlsx&amp;sheet=U0&amp;row=40&amp;col=10&amp;number=3.699&amp;sourceID=58","3.699")</f>
        <v>3.699</v>
      </c>
      <c r="K40" s="4" t="str">
        <f>HYPERLINK("http://141.218.60.56/~jnz1568/getInfo.php?workbook=16_15.xlsx&amp;sheet=U0&amp;row=40&amp;col=11&amp;number=7.9&amp;sourceID=58","7.9")</f>
        <v>7.9</v>
      </c>
      <c r="L40" s="4" t="str">
        <f>HYPERLINK("http://141.218.60.56/~jnz1568/getInfo.php?workbook=16_15.xlsx&amp;sheet=U0&amp;row=40&amp;col=12&amp;number=3.9&amp;sourceID=59","3.9")</f>
        <v>3.9</v>
      </c>
      <c r="M40" s="4" t="str">
        <f>HYPERLINK("http://141.218.60.56/~jnz1568/getInfo.php?workbook=16_15.xlsx&amp;sheet=U0&amp;row=40&amp;col=13&amp;number=7.69&amp;sourceID=59","7.69")</f>
        <v>7.69</v>
      </c>
    </row>
    <row r="41" spans="1:13">
      <c r="A41" s="3"/>
      <c r="B41" s="3"/>
      <c r="C41" s="3"/>
      <c r="D41" s="3"/>
      <c r="E41" s="3">
        <v>6</v>
      </c>
      <c r="F41" s="4" t="str">
        <f>HYPERLINK("http://141.218.60.56/~jnz1568/getInfo.php?workbook=16_15.xlsx&amp;sheet=U0&amp;row=41&amp;col=6&amp;number=4&amp;sourceID=51","4")</f>
        <v>4</v>
      </c>
      <c r="G41" s="4" t="str">
        <f>HYPERLINK("http://141.218.60.56/~jnz1568/getInfo.php?workbook=16_15.xlsx&amp;sheet=U0&amp;row=41&amp;col=7&amp;number=6.60121158383&amp;sourceID=51","6.60121158383")</f>
        <v>6.60121158383</v>
      </c>
      <c r="H41" s="4" t="str">
        <f>HYPERLINK("http://141.218.60.56/~jnz1568/getInfo.php?workbook=16_15.xlsx&amp;sheet=U0&amp;row=41&amp;col=8&amp;number=4.398&amp;sourceID=53","4.398")</f>
        <v>4.398</v>
      </c>
      <c r="I41" s="4" t="str">
        <f>HYPERLINK("http://141.218.60.56/~jnz1568/getInfo.php?workbook=16_15.xlsx&amp;sheet=U0&amp;row=41&amp;col=9&amp;number=6.17&amp;sourceID=53","6.17")</f>
        <v>6.17</v>
      </c>
      <c r="J41" s="4" t="str">
        <f>HYPERLINK("http://141.218.60.56/~jnz1568/getInfo.php?workbook=16_15.xlsx&amp;sheet=U0&amp;row=41&amp;col=10&amp;number=3.778&amp;sourceID=58","3.778")</f>
        <v>3.778</v>
      </c>
      <c r="K41" s="4" t="str">
        <f>HYPERLINK("http://141.218.60.56/~jnz1568/getInfo.php?workbook=16_15.xlsx&amp;sheet=U0&amp;row=41&amp;col=11&amp;number=7.81&amp;sourceID=58","7.81")</f>
        <v>7.81</v>
      </c>
      <c r="L41" s="4" t="str">
        <f>HYPERLINK("http://141.218.60.56/~jnz1568/getInfo.php?workbook=16_15.xlsx&amp;sheet=U0&amp;row=41&amp;col=12&amp;number=4&amp;sourceID=59","4")</f>
        <v>4</v>
      </c>
      <c r="M41" s="4" t="str">
        <f>HYPERLINK("http://141.218.60.56/~jnz1568/getInfo.php?workbook=16_15.xlsx&amp;sheet=U0&amp;row=41&amp;col=13&amp;number=7.47&amp;sourceID=59","7.47")</f>
        <v>7.47</v>
      </c>
    </row>
    <row r="42" spans="1:13">
      <c r="A42" s="3"/>
      <c r="B42" s="3"/>
      <c r="C42" s="3"/>
      <c r="D42" s="3"/>
      <c r="E42" s="3">
        <v>7</v>
      </c>
      <c r="F42" s="4" t="str">
        <f>HYPERLINK("http://141.218.60.56/~jnz1568/getInfo.php?workbook=16_15.xlsx&amp;sheet=U0&amp;row=42&amp;col=6&amp;number=4.04139268516&amp;sourceID=51","4.04139268516")</f>
        <v>4.04139268516</v>
      </c>
      <c r="G42" s="4" t="str">
        <f>HYPERLINK("http://141.218.60.56/~jnz1568/getInfo.php?workbook=16_15.xlsx&amp;sheet=U0&amp;row=42&amp;col=7&amp;number=6.53675933296&amp;sourceID=51","6.53675933296")</f>
        <v>6.53675933296</v>
      </c>
      <c r="H42" s="4" t="str">
        <f>HYPERLINK("http://141.218.60.56/~jnz1568/getInfo.php?workbook=16_15.xlsx&amp;sheet=U0&amp;row=42&amp;col=8&amp;number=4.477&amp;sourceID=53","4.477")</f>
        <v>4.477</v>
      </c>
      <c r="I42" s="4" t="str">
        <f>HYPERLINK("http://141.218.60.56/~jnz1568/getInfo.php?workbook=16_15.xlsx&amp;sheet=U0&amp;row=42&amp;col=9&amp;number=6.02&amp;sourceID=53","6.02")</f>
        <v>6.02</v>
      </c>
      <c r="J42" s="4" t="str">
        <f>HYPERLINK("http://141.218.60.56/~jnz1568/getInfo.php?workbook=16_15.xlsx&amp;sheet=U0&amp;row=42&amp;col=10&amp;number=3.845&amp;sourceID=58","3.845")</f>
        <v>3.845</v>
      </c>
      <c r="K42" s="4" t="str">
        <f>HYPERLINK("http://141.218.60.56/~jnz1568/getInfo.php?workbook=16_15.xlsx&amp;sheet=U0&amp;row=42&amp;col=11&amp;number=7.72&amp;sourceID=58","7.72")</f>
        <v>7.72</v>
      </c>
      <c r="L42" s="4" t="str">
        <f>HYPERLINK("http://141.218.60.56/~jnz1568/getInfo.php?workbook=16_15.xlsx&amp;sheet=U0&amp;row=42&amp;col=12&amp;number=4.1&amp;sourceID=59","4.1")</f>
        <v>4.1</v>
      </c>
      <c r="M42" s="4" t="str">
        <f>HYPERLINK("http://141.218.60.56/~jnz1568/getInfo.php?workbook=16_15.xlsx&amp;sheet=U0&amp;row=42&amp;col=13&amp;number=7.22&amp;sourceID=59","7.22")</f>
        <v>7.22</v>
      </c>
    </row>
    <row r="43" spans="1:13">
      <c r="A43" s="3"/>
      <c r="B43" s="3"/>
      <c r="C43" s="3"/>
      <c r="D43" s="3"/>
      <c r="E43" s="3">
        <v>8</v>
      </c>
      <c r="F43" s="4" t="str">
        <f>HYPERLINK("http://141.218.60.56/~jnz1568/getInfo.php?workbook=16_15.xlsx&amp;sheet=U0&amp;row=43&amp;col=6&amp;number=4.07918124605&amp;sourceID=51","4.07918124605")</f>
        <v>4.07918124605</v>
      </c>
      <c r="G43" s="4" t="str">
        <f>HYPERLINK("http://141.218.60.56/~jnz1568/getInfo.php?workbook=16_15.xlsx&amp;sheet=U0&amp;row=43&amp;col=7&amp;number=6.47560037712&amp;sourceID=51","6.47560037712")</f>
        <v>6.47560037712</v>
      </c>
      <c r="H43" s="4" t="str">
        <f>HYPERLINK("http://141.218.60.56/~jnz1568/getInfo.php?workbook=16_15.xlsx&amp;sheet=U0&amp;row=43&amp;col=8&amp;number=4.602&amp;sourceID=53","4.602")</f>
        <v>4.602</v>
      </c>
      <c r="I43" s="4" t="str">
        <f>HYPERLINK("http://141.218.60.56/~jnz1568/getInfo.php?workbook=16_15.xlsx&amp;sheet=U0&amp;row=43&amp;col=9&amp;number=5.76&amp;sourceID=53","5.76")</f>
        <v>5.76</v>
      </c>
      <c r="J43" s="4" t="str">
        <f>HYPERLINK("http://141.218.60.56/~jnz1568/getInfo.php?workbook=16_15.xlsx&amp;sheet=U0&amp;row=43&amp;col=10&amp;number=3.903&amp;sourceID=58","3.903")</f>
        <v>3.903</v>
      </c>
      <c r="K43" s="4" t="str">
        <f>HYPERLINK("http://141.218.60.56/~jnz1568/getInfo.php?workbook=16_15.xlsx&amp;sheet=U0&amp;row=43&amp;col=11&amp;number=7.63&amp;sourceID=58","7.63")</f>
        <v>7.63</v>
      </c>
      <c r="L43" s="4" t="str">
        <f>HYPERLINK("http://141.218.60.56/~jnz1568/getInfo.php?workbook=16_15.xlsx&amp;sheet=U0&amp;row=43&amp;col=12&amp;number=4.2&amp;sourceID=59","4.2")</f>
        <v>4.2</v>
      </c>
      <c r="M43" s="4" t="str">
        <f>HYPERLINK("http://141.218.60.56/~jnz1568/getInfo.php?workbook=16_15.xlsx&amp;sheet=U0&amp;row=43&amp;col=13&amp;number=6.95&amp;sourceID=59","6.95")</f>
        <v>6.95</v>
      </c>
    </row>
    <row r="44" spans="1:13">
      <c r="A44" s="3"/>
      <c r="B44" s="3"/>
      <c r="C44" s="3"/>
      <c r="D44" s="3"/>
      <c r="E44" s="3">
        <v>9</v>
      </c>
      <c r="F44" s="4" t="str">
        <f>HYPERLINK("http://141.218.60.56/~jnz1568/getInfo.php?workbook=16_15.xlsx&amp;sheet=U0&amp;row=44&amp;col=6&amp;number=4.11394335231&amp;sourceID=51","4.11394335231")</f>
        <v>4.11394335231</v>
      </c>
      <c r="G44" s="4" t="str">
        <f>HYPERLINK("http://141.218.60.56/~jnz1568/getInfo.php?workbook=16_15.xlsx&amp;sheet=U0&amp;row=44&amp;col=7&amp;number=6.4178232432&amp;sourceID=51","6.4178232432")</f>
        <v>6.4178232432</v>
      </c>
      <c r="H44" s="4" t="str">
        <f>HYPERLINK("http://141.218.60.56/~jnz1568/getInfo.php?workbook=16_15.xlsx&amp;sheet=U0&amp;row=44&amp;col=8&amp;number=4.699&amp;sourceID=53","4.699")</f>
        <v>4.699</v>
      </c>
      <c r="I44" s="4" t="str">
        <f>HYPERLINK("http://141.218.60.56/~jnz1568/getInfo.php?workbook=16_15.xlsx&amp;sheet=U0&amp;row=44&amp;col=9&amp;number=5.51&amp;sourceID=53","5.51")</f>
        <v>5.51</v>
      </c>
      <c r="J44" s="4" t="str">
        <f>HYPERLINK("http://141.218.60.56/~jnz1568/getInfo.php?workbook=16_15.xlsx&amp;sheet=U0&amp;row=44&amp;col=10&amp;number=3.954&amp;sourceID=58","3.954")</f>
        <v>3.954</v>
      </c>
      <c r="K44" s="4" t="str">
        <f>HYPERLINK("http://141.218.60.56/~jnz1568/getInfo.php?workbook=16_15.xlsx&amp;sheet=U0&amp;row=44&amp;col=11&amp;number=7.54&amp;sourceID=58","7.54")</f>
        <v>7.54</v>
      </c>
      <c r="L44" s="4" t="str">
        <f>HYPERLINK("http://141.218.60.56/~jnz1568/getInfo.php?workbook=16_15.xlsx&amp;sheet=U0&amp;row=44&amp;col=12&amp;number=4.4&amp;sourceID=59","4.4")</f>
        <v>4.4</v>
      </c>
      <c r="M44" s="4" t="str">
        <f>HYPERLINK("http://141.218.60.56/~jnz1568/getInfo.php?workbook=16_15.xlsx&amp;sheet=U0&amp;row=44&amp;col=13&amp;number=6.42&amp;sourceID=59","6.42")</f>
        <v>6.42</v>
      </c>
    </row>
    <row r="45" spans="1:13">
      <c r="A45" s="3"/>
      <c r="B45" s="3"/>
      <c r="C45" s="3"/>
      <c r="D45" s="3"/>
      <c r="E45" s="3">
        <v>10</v>
      </c>
      <c r="F45" s="4" t="str">
        <f>HYPERLINK("http://141.218.60.56/~jnz1568/getInfo.php?workbook=16_15.xlsx&amp;sheet=U0&amp;row=45&amp;col=6&amp;number=4.14612803568&amp;sourceID=51","4.14612803568")</f>
        <v>4.14612803568</v>
      </c>
      <c r="G45" s="4" t="str">
        <f>HYPERLINK("http://141.218.60.56/~jnz1568/getInfo.php?workbook=16_15.xlsx&amp;sheet=U0&amp;row=45&amp;col=7&amp;number=6.36334339244&amp;sourceID=51","6.36334339244")</f>
        <v>6.36334339244</v>
      </c>
      <c r="H45" s="4" t="str">
        <f>HYPERLINK("http://141.218.60.56/~jnz1568/getInfo.php?workbook=16_15.xlsx&amp;sheet=U0&amp;row=45&amp;col=8&amp;number=4.845&amp;sourceID=53","4.845")</f>
        <v>4.845</v>
      </c>
      <c r="I45" s="4" t="str">
        <f>HYPERLINK("http://141.218.60.56/~jnz1568/getInfo.php?workbook=16_15.xlsx&amp;sheet=U0&amp;row=45&amp;col=9&amp;number=5.06&amp;sourceID=53","5.06")</f>
        <v>5.06</v>
      </c>
      <c r="J45" s="4" t="str">
        <f>HYPERLINK("http://141.218.60.56/~jnz1568/getInfo.php?workbook=16_15.xlsx&amp;sheet=U0&amp;row=45&amp;col=10&amp;number=4&amp;sourceID=58","4")</f>
        <v>4</v>
      </c>
      <c r="K45" s="4" t="str">
        <f>HYPERLINK("http://141.218.60.56/~jnz1568/getInfo.php?workbook=16_15.xlsx&amp;sheet=U0&amp;row=45&amp;col=11&amp;number=7.46&amp;sourceID=58","7.46")</f>
        <v>7.46</v>
      </c>
      <c r="L45" s="4" t="str">
        <f>HYPERLINK("http://141.218.60.56/~jnz1568/getInfo.php?workbook=16_15.xlsx&amp;sheet=U0&amp;row=45&amp;col=12&amp;number=4.6&amp;sourceID=59","4.6")</f>
        <v>4.6</v>
      </c>
      <c r="M45" s="4" t="str">
        <f>HYPERLINK("http://141.218.60.56/~jnz1568/getInfo.php?workbook=16_15.xlsx&amp;sheet=U0&amp;row=45&amp;col=13&amp;number=5.92&amp;sourceID=59","5.92")</f>
        <v>5.92</v>
      </c>
    </row>
    <row r="46" spans="1:13">
      <c r="A46" s="3"/>
      <c r="B46" s="3"/>
      <c r="C46" s="3"/>
      <c r="D46" s="3"/>
      <c r="E46" s="3">
        <v>11</v>
      </c>
      <c r="F46" s="4" t="str">
        <f>HYPERLINK("http://141.218.60.56/~jnz1568/getInfo.php?workbook=16_15.xlsx&amp;sheet=U0&amp;row=46&amp;col=6&amp;number=4.17609125906&amp;sourceID=51","4.17609125906")</f>
        <v>4.17609125906</v>
      </c>
      <c r="G46" s="4" t="str">
        <f>HYPERLINK("http://141.218.60.56/~jnz1568/getInfo.php?workbook=16_15.xlsx&amp;sheet=U0&amp;row=46&amp;col=7&amp;number=6.31197726567&amp;sourceID=51","6.31197726567")</f>
        <v>6.31197726567</v>
      </c>
      <c r="H46" s="4" t="str">
        <f>HYPERLINK("http://141.218.60.56/~jnz1568/getInfo.php?workbook=16_15.xlsx&amp;sheet=U0&amp;row=46&amp;col=8&amp;number=5&amp;sourceID=53","5")</f>
        <v>5</v>
      </c>
      <c r="I46" s="4" t="str">
        <f>HYPERLINK("http://141.218.60.56/~jnz1568/getInfo.php?workbook=16_15.xlsx&amp;sheet=U0&amp;row=46&amp;col=9&amp;number=4.48&amp;sourceID=53","4.48")</f>
        <v>4.48</v>
      </c>
      <c r="J46" s="4" t="str">
        <f>HYPERLINK("http://141.218.60.56/~jnz1568/getInfo.php?workbook=16_15.xlsx&amp;sheet=U0&amp;row=46&amp;col=10&amp;number=4.079&amp;sourceID=58","4.079")</f>
        <v>4.079</v>
      </c>
      <c r="K46" s="4" t="str">
        <f>HYPERLINK("http://141.218.60.56/~jnz1568/getInfo.php?workbook=16_15.xlsx&amp;sheet=U0&amp;row=46&amp;col=11&amp;number=7.3&amp;sourceID=58","7.3")</f>
        <v>7.3</v>
      </c>
      <c r="L46" s="4" t="str">
        <f>HYPERLINK("http://141.218.60.56/~jnz1568/getInfo.php?workbook=16_15.xlsx&amp;sheet=U0&amp;row=46&amp;col=12&amp;number=4.8&amp;sourceID=59","4.8")</f>
        <v>4.8</v>
      </c>
      <c r="M46" s="4" t="str">
        <f>HYPERLINK("http://141.218.60.56/~jnz1568/getInfo.php?workbook=16_15.xlsx&amp;sheet=U0&amp;row=46&amp;col=13&amp;number=5.39&amp;sourceID=59","5.39")</f>
        <v>5.39</v>
      </c>
    </row>
    <row r="47" spans="1:13">
      <c r="A47" s="3"/>
      <c r="B47" s="3"/>
      <c r="C47" s="3"/>
      <c r="D47" s="3"/>
      <c r="E47" s="3">
        <v>12</v>
      </c>
      <c r="F47" s="4" t="str">
        <f>HYPERLINK("http://141.218.60.56/~jnz1568/getInfo.php?workbook=16_15.xlsx&amp;sheet=U0&amp;row=47&amp;col=6&amp;number=4.20411998266&amp;sourceID=51","4.20411998266")</f>
        <v>4.20411998266</v>
      </c>
      <c r="G47" s="4" t="str">
        <f>HYPERLINK("http://141.218.60.56/~jnz1568/getInfo.php?workbook=16_15.xlsx&amp;sheet=U0&amp;row=47&amp;col=7&amp;number=6.2634889207&amp;sourceID=51","6.2634889207")</f>
        <v>6.2634889207</v>
      </c>
      <c r="H47" s="4" t="str">
        <f>HYPERLINK("http://141.218.60.56/~jnz1568/getInfo.php?workbook=16_15.xlsx&amp;sheet=U0&amp;row=47&amp;col=8&amp;number=&amp;sourceID=53","")</f>
        <v/>
      </c>
      <c r="I47" s="4" t="str">
        <f>HYPERLINK("http://141.218.60.56/~jnz1568/getInfo.php?workbook=16_15.xlsx&amp;sheet=U0&amp;row=47&amp;col=9&amp;number=&amp;sourceID=53","")</f>
        <v/>
      </c>
      <c r="J47" s="4" t="str">
        <f>HYPERLINK("http://141.218.60.56/~jnz1568/getInfo.php?workbook=16_15.xlsx&amp;sheet=U0&amp;row=47&amp;col=10&amp;number=4.146&amp;sourceID=58","4.146")</f>
        <v>4.146</v>
      </c>
      <c r="K47" s="4" t="str">
        <f>HYPERLINK("http://141.218.60.56/~jnz1568/getInfo.php?workbook=16_15.xlsx&amp;sheet=U0&amp;row=47&amp;col=11&amp;number=7.17&amp;sourceID=58","7.17")</f>
        <v>7.17</v>
      </c>
      <c r="L47" s="4" t="str">
        <f>HYPERLINK("http://141.218.60.56/~jnz1568/getInfo.php?workbook=16_15.xlsx&amp;sheet=U0&amp;row=47&amp;col=12&amp;number=5&amp;sourceID=59","5")</f>
        <v>5</v>
      </c>
      <c r="M47" s="4" t="str">
        <f>HYPERLINK("http://141.218.60.56/~jnz1568/getInfo.php?workbook=16_15.xlsx&amp;sheet=U0&amp;row=47&amp;col=13&amp;number=4.79&amp;sourceID=59","4.79")</f>
        <v>4.79</v>
      </c>
    </row>
    <row r="48" spans="1:13">
      <c r="A48" s="3"/>
      <c r="B48" s="3"/>
      <c r="C48" s="3"/>
      <c r="D48" s="3"/>
      <c r="E48" s="3">
        <v>13</v>
      </c>
      <c r="F48" s="4" t="str">
        <f>HYPERLINK("http://141.218.60.56/~jnz1568/getInfo.php?workbook=16_15.xlsx&amp;sheet=U0&amp;row=48&amp;col=6&amp;number=4.23044892138&amp;sourceID=51","4.23044892138")</f>
        <v>4.23044892138</v>
      </c>
      <c r="G48" s="4" t="str">
        <f>HYPERLINK("http://141.218.60.56/~jnz1568/getInfo.php?workbook=16_15.xlsx&amp;sheet=U0&amp;row=48&amp;col=7&amp;number=6.217619283&amp;sourceID=51","6.217619283")</f>
        <v>6.217619283</v>
      </c>
      <c r="H48" s="4" t="str">
        <f>HYPERLINK("http://141.218.60.56/~jnz1568/getInfo.php?workbook=16_15.xlsx&amp;sheet=U0&amp;row=48&amp;col=8&amp;number=&amp;sourceID=53","")</f>
        <v/>
      </c>
      <c r="I48" s="4" t="str">
        <f>HYPERLINK("http://141.218.60.56/~jnz1568/getInfo.php?workbook=16_15.xlsx&amp;sheet=U0&amp;row=48&amp;col=9&amp;number=&amp;sourceID=53","")</f>
        <v/>
      </c>
      <c r="J48" s="4" t="str">
        <f>HYPERLINK("http://141.218.60.56/~jnz1568/getInfo.php?workbook=16_15.xlsx&amp;sheet=U0&amp;row=48&amp;col=10&amp;number=4.204&amp;sourceID=58","4.204")</f>
        <v>4.204</v>
      </c>
      <c r="K48" s="4" t="str">
        <f>HYPERLINK("http://141.218.60.56/~jnz1568/getInfo.php?workbook=16_15.xlsx&amp;sheet=U0&amp;row=48&amp;col=11&amp;number=7.05&amp;sourceID=58","7.05")</f>
        <v>7.05</v>
      </c>
      <c r="L48" s="4" t="str">
        <f>HYPERLINK("http://141.218.60.56/~jnz1568/getInfo.php?workbook=16_15.xlsx&amp;sheet=U0&amp;row=48&amp;col=12&amp;number=&amp;sourceID=59","")</f>
        <v/>
      </c>
      <c r="M48" s="4" t="str">
        <f>HYPERLINK("http://141.218.60.56/~jnz1568/getInfo.php?workbook=16_15.xlsx&amp;sheet=U0&amp;row=48&amp;col=13&amp;number=&amp;sourceID=59","")</f>
        <v/>
      </c>
    </row>
    <row r="49" spans="1:13">
      <c r="A49" s="3"/>
      <c r="B49" s="3"/>
      <c r="C49" s="3"/>
      <c r="D49" s="3"/>
      <c r="E49" s="3">
        <v>14</v>
      </c>
      <c r="F49" s="4" t="str">
        <f>HYPERLINK("http://141.218.60.56/~jnz1568/getInfo.php?workbook=16_15.xlsx&amp;sheet=U0&amp;row=49&amp;col=6&amp;number=4.2552725051&amp;sourceID=51","4.2552725051")</f>
        <v>4.2552725051</v>
      </c>
      <c r="G49" s="4" t="str">
        <f>HYPERLINK("http://141.218.60.56/~jnz1568/getInfo.php?workbook=16_15.xlsx&amp;sheet=U0&amp;row=49&amp;col=7&amp;number=6.17410440168&amp;sourceID=51","6.17410440168")</f>
        <v>6.17410440168</v>
      </c>
      <c r="H49" s="4" t="str">
        <f>HYPERLINK("http://141.218.60.56/~jnz1568/getInfo.php?workbook=16_15.xlsx&amp;sheet=U0&amp;row=49&amp;col=8&amp;number=&amp;sourceID=53","")</f>
        <v/>
      </c>
      <c r="I49" s="4" t="str">
        <f>HYPERLINK("http://141.218.60.56/~jnz1568/getInfo.php?workbook=16_15.xlsx&amp;sheet=U0&amp;row=49&amp;col=9&amp;number=&amp;sourceID=53","")</f>
        <v/>
      </c>
      <c r="J49" s="4" t="str">
        <f>HYPERLINK("http://141.218.60.56/~jnz1568/getInfo.php?workbook=16_15.xlsx&amp;sheet=U0&amp;row=49&amp;col=10&amp;number=4.255&amp;sourceID=58","4.255")</f>
        <v>4.255</v>
      </c>
      <c r="K49" s="4" t="str">
        <f>HYPERLINK("http://141.218.60.56/~jnz1568/getInfo.php?workbook=16_15.xlsx&amp;sheet=U0&amp;row=49&amp;col=11&amp;number=6.94&amp;sourceID=58","6.94")</f>
        <v>6.94</v>
      </c>
      <c r="L49" s="4" t="str">
        <f>HYPERLINK("http://141.218.60.56/~jnz1568/getInfo.php?workbook=16_15.xlsx&amp;sheet=U0&amp;row=49&amp;col=12&amp;number=&amp;sourceID=59","")</f>
        <v/>
      </c>
      <c r="M49" s="4" t="str">
        <f>HYPERLINK("http://141.218.60.56/~jnz1568/getInfo.php?workbook=16_15.xlsx&amp;sheet=U0&amp;row=49&amp;col=13&amp;number=&amp;sourceID=59","")</f>
        <v/>
      </c>
    </row>
    <row r="50" spans="1:13">
      <c r="A50" s="3"/>
      <c r="B50" s="3"/>
      <c r="C50" s="3"/>
      <c r="D50" s="3"/>
      <c r="E50" s="3">
        <v>15</v>
      </c>
      <c r="F50" s="4" t="str">
        <f>HYPERLINK("http://141.218.60.56/~jnz1568/getInfo.php?workbook=16_15.xlsx&amp;sheet=U0&amp;row=50&amp;col=6&amp;number=4.27875360095&amp;sourceID=51","4.27875360095")</f>
        <v>4.27875360095</v>
      </c>
      <c r="G50" s="4" t="str">
        <f>HYPERLINK("http://141.218.60.56/~jnz1568/getInfo.php?workbook=16_15.xlsx&amp;sheet=U0&amp;row=50&amp;col=7&amp;number=6.13268671455&amp;sourceID=51","6.13268671455")</f>
        <v>6.13268671455</v>
      </c>
      <c r="H50" s="4" t="str">
        <f>HYPERLINK("http://141.218.60.56/~jnz1568/getInfo.php?workbook=16_15.xlsx&amp;sheet=U0&amp;row=50&amp;col=8&amp;number=&amp;sourceID=53","")</f>
        <v/>
      </c>
      <c r="I50" s="4" t="str">
        <f>HYPERLINK("http://141.218.60.56/~jnz1568/getInfo.php?workbook=16_15.xlsx&amp;sheet=U0&amp;row=50&amp;col=9&amp;number=&amp;sourceID=53","")</f>
        <v/>
      </c>
      <c r="J50" s="4" t="str">
        <f>HYPERLINK("http://141.218.60.56/~jnz1568/getInfo.php?workbook=16_15.xlsx&amp;sheet=U0&amp;row=50&amp;col=10&amp;number=4.301&amp;sourceID=58","4.301")</f>
        <v>4.301</v>
      </c>
      <c r="K50" s="4" t="str">
        <f>HYPERLINK("http://141.218.60.56/~jnz1568/getInfo.php?workbook=16_15.xlsx&amp;sheet=U0&amp;row=50&amp;col=11&amp;number=6.85&amp;sourceID=58","6.85")</f>
        <v>6.85</v>
      </c>
      <c r="L50" s="4" t="str">
        <f>HYPERLINK("http://141.218.60.56/~jnz1568/getInfo.php?workbook=16_15.xlsx&amp;sheet=U0&amp;row=50&amp;col=12&amp;number=&amp;sourceID=59","")</f>
        <v/>
      </c>
      <c r="M50" s="4" t="str">
        <f>HYPERLINK("http://141.218.60.56/~jnz1568/getInfo.php?workbook=16_15.xlsx&amp;sheet=U0&amp;row=50&amp;col=13&amp;number=&amp;sourceID=59","")</f>
        <v/>
      </c>
    </row>
    <row r="51" spans="1:13">
      <c r="A51" s="3"/>
      <c r="B51" s="3"/>
      <c r="C51" s="3"/>
      <c r="D51" s="3"/>
      <c r="E51" s="3">
        <v>16</v>
      </c>
      <c r="F51" s="4" t="str">
        <f>HYPERLINK("http://141.218.60.56/~jnz1568/getInfo.php?workbook=16_15.xlsx&amp;sheet=U0&amp;row=51&amp;col=6&amp;number=4.30102999566&amp;sourceID=51","4.30102999566")</f>
        <v>4.30102999566</v>
      </c>
      <c r="G51" s="4" t="str">
        <f>HYPERLINK("http://141.218.60.56/~jnz1568/getInfo.php?workbook=16_15.xlsx&amp;sheet=U0&amp;row=51&amp;col=7&amp;number=6.09312182124&amp;sourceID=51","6.09312182124")</f>
        <v>6.09312182124</v>
      </c>
      <c r="H51" s="4" t="str">
        <f>HYPERLINK("http://141.218.60.56/~jnz1568/getInfo.php?workbook=16_15.xlsx&amp;sheet=U0&amp;row=51&amp;col=8&amp;number=&amp;sourceID=53","")</f>
        <v/>
      </c>
      <c r="I51" s="4" t="str">
        <f>HYPERLINK("http://141.218.60.56/~jnz1568/getInfo.php?workbook=16_15.xlsx&amp;sheet=U0&amp;row=51&amp;col=9&amp;number=&amp;sourceID=53","")</f>
        <v/>
      </c>
      <c r="J51" s="4" t="str">
        <f>HYPERLINK("http://141.218.60.56/~jnz1568/getInfo.php?workbook=16_15.xlsx&amp;sheet=U0&amp;row=51&amp;col=10&amp;number=&amp;sourceID=58","")</f>
        <v/>
      </c>
      <c r="K51" s="4" t="str">
        <f>HYPERLINK("http://141.218.60.56/~jnz1568/getInfo.php?workbook=16_15.xlsx&amp;sheet=U0&amp;row=51&amp;col=11&amp;number=&amp;sourceID=58","")</f>
        <v/>
      </c>
      <c r="L51" s="4" t="str">
        <f>HYPERLINK("http://141.218.60.56/~jnz1568/getInfo.php?workbook=16_15.xlsx&amp;sheet=U0&amp;row=51&amp;col=12&amp;number=&amp;sourceID=59","")</f>
        <v/>
      </c>
      <c r="M51" s="4" t="str">
        <f>HYPERLINK("http://141.218.60.56/~jnz1568/getInfo.php?workbook=16_15.xlsx&amp;sheet=U0&amp;row=51&amp;col=13&amp;number=&amp;sourceID=59","")</f>
        <v/>
      </c>
    </row>
    <row r="52" spans="1:13">
      <c r="A52" s="3">
        <v>16</v>
      </c>
      <c r="B52" s="3">
        <v>15</v>
      </c>
      <c r="C52" s="3">
        <v>4</v>
      </c>
      <c r="D52" s="3">
        <v>1</v>
      </c>
      <c r="E52" s="3">
        <v>1</v>
      </c>
      <c r="F52" s="4" t="str">
        <f>HYPERLINK("http://141.218.60.56/~jnz1568/getInfo.php?workbook=16_15.xlsx&amp;sheet=U0&amp;row=52&amp;col=6&amp;number=3.69897000434&amp;sourceID=51","3.69897000434")</f>
        <v>3.69897000434</v>
      </c>
      <c r="G52" s="4" t="str">
        <f>HYPERLINK("http://141.218.60.56/~jnz1568/getInfo.php?workbook=16_15.xlsx&amp;sheet=U0&amp;row=52&amp;col=7&amp;number=0.67959799551&amp;sourceID=51","0.67959799551")</f>
        <v>0.67959799551</v>
      </c>
      <c r="H52" s="4" t="str">
        <f>HYPERLINK("http://141.218.60.56/~jnz1568/getInfo.php?workbook=16_15.xlsx&amp;sheet=U0&amp;row=52&amp;col=8&amp;number=3.699&amp;sourceID=53","3.699")</f>
        <v>3.699</v>
      </c>
      <c r="I52" s="4" t="str">
        <f>HYPERLINK("http://141.218.60.56/~jnz1568/getInfo.php?workbook=16_15.xlsx&amp;sheet=U0&amp;row=52&amp;col=9&amp;number=0.686&amp;sourceID=53","0.686")</f>
        <v>0.686</v>
      </c>
      <c r="J52" s="4" t="str">
        <f>HYPERLINK("http://141.218.60.56/~jnz1568/getInfo.php?workbook=16_15.xlsx&amp;sheet=U0&amp;row=52&amp;col=10&amp;number=3&amp;sourceID=58","3")</f>
        <v>3</v>
      </c>
      <c r="K52" s="4" t="str">
        <f>HYPERLINK("http://141.218.60.56/~jnz1568/getInfo.php?workbook=16_15.xlsx&amp;sheet=U0&amp;row=52&amp;col=11&amp;number=0.38&amp;sourceID=58","0.38")</f>
        <v>0.38</v>
      </c>
      <c r="L52" s="4" t="str">
        <f>HYPERLINK("http://141.218.60.56/~jnz1568/getInfo.php?workbook=16_15.xlsx&amp;sheet=U0&amp;row=52&amp;col=12&amp;number=3.5&amp;sourceID=59","3.5")</f>
        <v>3.5</v>
      </c>
      <c r="M52" s="4" t="str">
        <f>HYPERLINK("http://141.218.60.56/~jnz1568/getInfo.php?workbook=16_15.xlsx&amp;sheet=U0&amp;row=52&amp;col=13&amp;number=1.23&amp;sourceID=59","1.23")</f>
        <v>1.23</v>
      </c>
    </row>
    <row r="53" spans="1:13">
      <c r="A53" s="3"/>
      <c r="B53" s="3"/>
      <c r="C53" s="3"/>
      <c r="D53" s="3"/>
      <c r="E53" s="3">
        <v>2</v>
      </c>
      <c r="F53" s="4" t="str">
        <f>HYPERLINK("http://141.218.60.56/~jnz1568/getInfo.php?workbook=16_15.xlsx&amp;sheet=U0&amp;row=53&amp;col=6&amp;number=3.77815125038&amp;sourceID=51","3.77815125038")</f>
        <v>3.77815125038</v>
      </c>
      <c r="G53" s="4" t="str">
        <f>HYPERLINK("http://141.218.60.56/~jnz1568/getInfo.php?workbook=16_15.xlsx&amp;sheet=U0&amp;row=53&amp;col=7&amp;number=0.699264023501&amp;sourceID=51","0.699264023501")</f>
        <v>0.699264023501</v>
      </c>
      <c r="H53" s="4" t="str">
        <f>HYPERLINK("http://141.218.60.56/~jnz1568/getInfo.php?workbook=16_15.xlsx&amp;sheet=U0&amp;row=53&amp;col=8&amp;number=3.845&amp;sourceID=53","3.845")</f>
        <v>3.845</v>
      </c>
      <c r="I53" s="4" t="str">
        <f>HYPERLINK("http://141.218.60.56/~jnz1568/getInfo.php?workbook=16_15.xlsx&amp;sheet=U0&amp;row=53&amp;col=9&amp;number=0.694&amp;sourceID=53","0.694")</f>
        <v>0.694</v>
      </c>
      <c r="J53" s="4" t="str">
        <f>HYPERLINK("http://141.218.60.56/~jnz1568/getInfo.php?workbook=16_15.xlsx&amp;sheet=U0&amp;row=53&amp;col=10&amp;number=3.301&amp;sourceID=58","3.301")</f>
        <v>3.301</v>
      </c>
      <c r="K53" s="4" t="str">
        <f>HYPERLINK("http://141.218.60.56/~jnz1568/getInfo.php?workbook=16_15.xlsx&amp;sheet=U0&amp;row=53&amp;col=11&amp;number=0.425&amp;sourceID=58","0.425")</f>
        <v>0.425</v>
      </c>
      <c r="L53" s="4" t="str">
        <f>HYPERLINK("http://141.218.60.56/~jnz1568/getInfo.php?workbook=16_15.xlsx&amp;sheet=U0&amp;row=53&amp;col=12&amp;number=3.6&amp;sourceID=59","3.6")</f>
        <v>3.6</v>
      </c>
      <c r="M53" s="4" t="str">
        <f>HYPERLINK("http://141.218.60.56/~jnz1568/getInfo.php?workbook=16_15.xlsx&amp;sheet=U0&amp;row=53&amp;col=13&amp;number=1.23&amp;sourceID=59","1.23")</f>
        <v>1.23</v>
      </c>
    </row>
    <row r="54" spans="1:13">
      <c r="A54" s="3"/>
      <c r="B54" s="3"/>
      <c r="C54" s="3"/>
      <c r="D54" s="3"/>
      <c r="E54" s="3">
        <v>3</v>
      </c>
      <c r="F54" s="4" t="str">
        <f>HYPERLINK("http://141.218.60.56/~jnz1568/getInfo.php?workbook=16_15.xlsx&amp;sheet=U0&amp;row=54&amp;col=6&amp;number=3.84509804001&amp;sourceID=51","3.84509804001")</f>
        <v>3.84509804001</v>
      </c>
      <c r="G54" s="4" t="str">
        <f>HYPERLINK("http://141.218.60.56/~jnz1568/getInfo.php?workbook=16_15.xlsx&amp;sheet=U0&amp;row=54&amp;col=7&amp;number=0.71722049742&amp;sourceID=51","0.71722049742")</f>
        <v>0.71722049742</v>
      </c>
      <c r="H54" s="4" t="str">
        <f>HYPERLINK("http://141.218.60.56/~jnz1568/getInfo.php?workbook=16_15.xlsx&amp;sheet=U0&amp;row=54&amp;col=8&amp;number=4&amp;sourceID=53","4")</f>
        <v>4</v>
      </c>
      <c r="I54" s="4" t="str">
        <f>HYPERLINK("http://141.218.60.56/~jnz1568/getInfo.php?workbook=16_15.xlsx&amp;sheet=U0&amp;row=54&amp;col=9&amp;number=0.704&amp;sourceID=53","0.704")</f>
        <v>0.704</v>
      </c>
      <c r="J54" s="4" t="str">
        <f>HYPERLINK("http://141.218.60.56/~jnz1568/getInfo.php?workbook=16_15.xlsx&amp;sheet=U0&amp;row=54&amp;col=10&amp;number=3.477&amp;sourceID=58","3.477")</f>
        <v>3.477</v>
      </c>
      <c r="K54" s="4" t="str">
        <f>HYPERLINK("http://141.218.60.56/~jnz1568/getInfo.php?workbook=16_15.xlsx&amp;sheet=U0&amp;row=54&amp;col=11&amp;number=0.471&amp;sourceID=58","0.471")</f>
        <v>0.471</v>
      </c>
      <c r="L54" s="4" t="str">
        <f>HYPERLINK("http://141.218.60.56/~jnz1568/getInfo.php?workbook=16_15.xlsx&amp;sheet=U0&amp;row=54&amp;col=12&amp;number=3.7&amp;sourceID=59","3.7")</f>
        <v>3.7</v>
      </c>
      <c r="M54" s="4" t="str">
        <f>HYPERLINK("http://141.218.60.56/~jnz1568/getInfo.php?workbook=16_15.xlsx&amp;sheet=U0&amp;row=54&amp;col=13&amp;number=1.23&amp;sourceID=59","1.23")</f>
        <v>1.23</v>
      </c>
    </row>
    <row r="55" spans="1:13">
      <c r="A55" s="3"/>
      <c r="B55" s="3"/>
      <c r="C55" s="3"/>
      <c r="D55" s="3"/>
      <c r="E55" s="3">
        <v>4</v>
      </c>
      <c r="F55" s="4" t="str">
        <f>HYPERLINK("http://141.218.60.56/~jnz1568/getInfo.php?workbook=16_15.xlsx&amp;sheet=U0&amp;row=55&amp;col=6&amp;number=3.90308998699&amp;sourceID=51","3.90308998699")</f>
        <v>3.90308998699</v>
      </c>
      <c r="G55" s="4" t="str">
        <f>HYPERLINK("http://141.218.60.56/~jnz1568/getInfo.php?workbook=16_15.xlsx&amp;sheet=U0&amp;row=55&amp;col=7&amp;number=0.73366514866&amp;sourceID=51","0.73366514866")</f>
        <v>0.73366514866</v>
      </c>
      <c r="H55" s="4" t="str">
        <f>HYPERLINK("http://141.218.60.56/~jnz1568/getInfo.php?workbook=16_15.xlsx&amp;sheet=U0&amp;row=55&amp;col=8&amp;number=4.176&amp;sourceID=53","4.176")</f>
        <v>4.176</v>
      </c>
      <c r="I55" s="4" t="str">
        <f>HYPERLINK("http://141.218.60.56/~jnz1568/getInfo.php?workbook=16_15.xlsx&amp;sheet=U0&amp;row=55&amp;col=9&amp;number=0.717&amp;sourceID=53","0.717")</f>
        <v>0.717</v>
      </c>
      <c r="J55" s="4" t="str">
        <f>HYPERLINK("http://141.218.60.56/~jnz1568/getInfo.php?workbook=16_15.xlsx&amp;sheet=U0&amp;row=55&amp;col=10&amp;number=3.602&amp;sourceID=58","3.602")</f>
        <v>3.602</v>
      </c>
      <c r="K55" s="4" t="str">
        <f>HYPERLINK("http://141.218.60.56/~jnz1568/getInfo.php?workbook=16_15.xlsx&amp;sheet=U0&amp;row=55&amp;col=11&amp;number=0.515&amp;sourceID=58","0.515")</f>
        <v>0.515</v>
      </c>
      <c r="L55" s="4" t="str">
        <f>HYPERLINK("http://141.218.60.56/~jnz1568/getInfo.php?workbook=16_15.xlsx&amp;sheet=U0&amp;row=55&amp;col=12&amp;number=3.8&amp;sourceID=59","3.8")</f>
        <v>3.8</v>
      </c>
      <c r="M55" s="4" t="str">
        <f>HYPERLINK("http://141.218.60.56/~jnz1568/getInfo.php?workbook=16_15.xlsx&amp;sheet=U0&amp;row=55&amp;col=13&amp;number=1.22&amp;sourceID=59","1.22")</f>
        <v>1.22</v>
      </c>
    </row>
    <row r="56" spans="1:13">
      <c r="A56" s="3"/>
      <c r="B56" s="3"/>
      <c r="C56" s="3"/>
      <c r="D56" s="3"/>
      <c r="E56" s="3">
        <v>5</v>
      </c>
      <c r="F56" s="4" t="str">
        <f>HYPERLINK("http://141.218.60.56/~jnz1568/getInfo.php?workbook=16_15.xlsx&amp;sheet=U0&amp;row=56&amp;col=6&amp;number=3.95424250944&amp;sourceID=51","3.95424250944")</f>
        <v>3.95424250944</v>
      </c>
      <c r="G56" s="4" t="str">
        <f>HYPERLINK("http://141.218.60.56/~jnz1568/getInfo.php?workbook=16_15.xlsx&amp;sheet=U0&amp;row=56&amp;col=7&amp;number=0.74875735847&amp;sourceID=51","0.74875735847")</f>
        <v>0.74875735847</v>
      </c>
      <c r="H56" s="4" t="str">
        <f>HYPERLINK("http://141.218.60.56/~jnz1568/getInfo.php?workbook=16_15.xlsx&amp;sheet=U0&amp;row=56&amp;col=8&amp;number=4.301&amp;sourceID=53","4.301")</f>
        <v>4.301</v>
      </c>
      <c r="I56" s="4" t="str">
        <f>HYPERLINK("http://141.218.60.56/~jnz1568/getInfo.php?workbook=16_15.xlsx&amp;sheet=U0&amp;row=56&amp;col=9&amp;number=0.727&amp;sourceID=53","0.727")</f>
        <v>0.727</v>
      </c>
      <c r="J56" s="4" t="str">
        <f>HYPERLINK("http://141.218.60.56/~jnz1568/getInfo.php?workbook=16_15.xlsx&amp;sheet=U0&amp;row=56&amp;col=10&amp;number=3.699&amp;sourceID=58","3.699")</f>
        <v>3.699</v>
      </c>
      <c r="K56" s="4" t="str">
        <f>HYPERLINK("http://141.218.60.56/~jnz1568/getInfo.php?workbook=16_15.xlsx&amp;sheet=U0&amp;row=56&amp;col=11&amp;number=0.554&amp;sourceID=58","0.554")</f>
        <v>0.554</v>
      </c>
      <c r="L56" s="4" t="str">
        <f>HYPERLINK("http://141.218.60.56/~jnz1568/getInfo.php?workbook=16_15.xlsx&amp;sheet=U0&amp;row=56&amp;col=12&amp;number=3.9&amp;sourceID=59","3.9")</f>
        <v>3.9</v>
      </c>
      <c r="M56" s="4" t="str">
        <f>HYPERLINK("http://141.218.60.56/~jnz1568/getInfo.php?workbook=16_15.xlsx&amp;sheet=U0&amp;row=56&amp;col=13&amp;number=1.2&amp;sourceID=59","1.2")</f>
        <v>1.2</v>
      </c>
    </row>
    <row r="57" spans="1:13">
      <c r="A57" s="3"/>
      <c r="B57" s="3"/>
      <c r="C57" s="3"/>
      <c r="D57" s="3"/>
      <c r="E57" s="3">
        <v>6</v>
      </c>
      <c r="F57" s="4" t="str">
        <f>HYPERLINK("http://141.218.60.56/~jnz1568/getInfo.php?workbook=16_15.xlsx&amp;sheet=U0&amp;row=57&amp;col=6&amp;number=4&amp;sourceID=51","4")</f>
        <v>4</v>
      </c>
      <c r="G57" s="4" t="str">
        <f>HYPERLINK("http://141.218.60.56/~jnz1568/getInfo.php?workbook=16_15.xlsx&amp;sheet=U0&amp;row=57&amp;col=7&amp;number=0.76262868181&amp;sourceID=51","0.76262868181")</f>
        <v>0.76262868181</v>
      </c>
      <c r="H57" s="4" t="str">
        <f>HYPERLINK("http://141.218.60.56/~jnz1568/getInfo.php?workbook=16_15.xlsx&amp;sheet=U0&amp;row=57&amp;col=8&amp;number=4.398&amp;sourceID=53","4.398")</f>
        <v>4.398</v>
      </c>
      <c r="I57" s="4" t="str">
        <f>HYPERLINK("http://141.218.60.56/~jnz1568/getInfo.php?workbook=16_15.xlsx&amp;sheet=U0&amp;row=57&amp;col=9&amp;number=0.733&amp;sourceID=53","0.733")</f>
        <v>0.733</v>
      </c>
      <c r="J57" s="4" t="str">
        <f>HYPERLINK("http://141.218.60.56/~jnz1568/getInfo.php?workbook=16_15.xlsx&amp;sheet=U0&amp;row=57&amp;col=10&amp;number=3.778&amp;sourceID=58","3.778")</f>
        <v>3.778</v>
      </c>
      <c r="K57" s="4" t="str">
        <f>HYPERLINK("http://141.218.60.56/~jnz1568/getInfo.php?workbook=16_15.xlsx&amp;sheet=U0&amp;row=57&amp;col=11&amp;number=0.589&amp;sourceID=58","0.589")</f>
        <v>0.589</v>
      </c>
      <c r="L57" s="4" t="str">
        <f>HYPERLINK("http://141.218.60.56/~jnz1568/getInfo.php?workbook=16_15.xlsx&amp;sheet=U0&amp;row=57&amp;col=12&amp;number=4&amp;sourceID=59","4")</f>
        <v>4</v>
      </c>
      <c r="M57" s="4" t="str">
        <f>HYPERLINK("http://141.218.60.56/~jnz1568/getInfo.php?workbook=16_15.xlsx&amp;sheet=U0&amp;row=57&amp;col=13&amp;number=1.17&amp;sourceID=59","1.17")</f>
        <v>1.17</v>
      </c>
    </row>
    <row r="58" spans="1:13">
      <c r="A58" s="3"/>
      <c r="B58" s="3"/>
      <c r="C58" s="3"/>
      <c r="D58" s="3"/>
      <c r="E58" s="3">
        <v>7</v>
      </c>
      <c r="F58" s="4" t="str">
        <f>HYPERLINK("http://141.218.60.56/~jnz1568/getInfo.php?workbook=16_15.xlsx&amp;sheet=U0&amp;row=58&amp;col=6&amp;number=4.04139268516&amp;sourceID=51","4.04139268516")</f>
        <v>4.04139268516</v>
      </c>
      <c r="G58" s="4" t="str">
        <f>HYPERLINK("http://141.218.60.56/~jnz1568/getInfo.php?workbook=16_15.xlsx&amp;sheet=U0&amp;row=58&amp;col=7&amp;number=0.77538984274&amp;sourceID=51","0.77538984274")</f>
        <v>0.77538984274</v>
      </c>
      <c r="H58" s="4" t="str">
        <f>HYPERLINK("http://141.218.60.56/~jnz1568/getInfo.php?workbook=16_15.xlsx&amp;sheet=U0&amp;row=58&amp;col=8&amp;number=4.477&amp;sourceID=53","4.477")</f>
        <v>4.477</v>
      </c>
      <c r="I58" s="4" t="str">
        <f>HYPERLINK("http://141.218.60.56/~jnz1568/getInfo.php?workbook=16_15.xlsx&amp;sheet=U0&amp;row=58&amp;col=9&amp;number=0.736&amp;sourceID=53","0.736")</f>
        <v>0.736</v>
      </c>
      <c r="J58" s="4" t="str">
        <f>HYPERLINK("http://141.218.60.56/~jnz1568/getInfo.php?workbook=16_15.xlsx&amp;sheet=U0&amp;row=58&amp;col=10&amp;number=3.845&amp;sourceID=58","3.845")</f>
        <v>3.845</v>
      </c>
      <c r="K58" s="4" t="str">
        <f>HYPERLINK("http://141.218.60.56/~jnz1568/getInfo.php?workbook=16_15.xlsx&amp;sheet=U0&amp;row=58&amp;col=11&amp;number=0.62&amp;sourceID=58","0.62")</f>
        <v>0.62</v>
      </c>
      <c r="L58" s="4" t="str">
        <f>HYPERLINK("http://141.218.60.56/~jnz1568/getInfo.php?workbook=16_15.xlsx&amp;sheet=U0&amp;row=58&amp;col=12&amp;number=4.1&amp;sourceID=59","4.1")</f>
        <v>4.1</v>
      </c>
      <c r="M58" s="4" t="str">
        <f>HYPERLINK("http://141.218.60.56/~jnz1568/getInfo.php?workbook=16_15.xlsx&amp;sheet=U0&amp;row=58&amp;col=13&amp;number=1.14&amp;sourceID=59","1.14")</f>
        <v>1.14</v>
      </c>
    </row>
    <row r="59" spans="1:13">
      <c r="A59" s="3"/>
      <c r="B59" s="3"/>
      <c r="C59" s="3"/>
      <c r="D59" s="3"/>
      <c r="E59" s="3">
        <v>8</v>
      </c>
      <c r="F59" s="4" t="str">
        <f>HYPERLINK("http://141.218.60.56/~jnz1568/getInfo.php?workbook=16_15.xlsx&amp;sheet=U0&amp;row=59&amp;col=6&amp;number=4.07918124605&amp;sourceID=51","4.07918124605")</f>
        <v>4.07918124605</v>
      </c>
      <c r="G59" s="4" t="str">
        <f>HYPERLINK("http://141.218.60.56/~jnz1568/getInfo.php?workbook=16_15.xlsx&amp;sheet=U0&amp;row=59&amp;col=7&amp;number=0.78713503994&amp;sourceID=51","0.78713503994")</f>
        <v>0.78713503994</v>
      </c>
      <c r="H59" s="4" t="str">
        <f>HYPERLINK("http://141.218.60.56/~jnz1568/getInfo.php?workbook=16_15.xlsx&amp;sheet=U0&amp;row=59&amp;col=8&amp;number=4.602&amp;sourceID=53","4.602")</f>
        <v>4.602</v>
      </c>
      <c r="I59" s="4" t="str">
        <f>HYPERLINK("http://141.218.60.56/~jnz1568/getInfo.php?workbook=16_15.xlsx&amp;sheet=U0&amp;row=59&amp;col=9&amp;number=0.73&amp;sourceID=53","0.73")</f>
        <v>0.73</v>
      </c>
      <c r="J59" s="4" t="str">
        <f>HYPERLINK("http://141.218.60.56/~jnz1568/getInfo.php?workbook=16_15.xlsx&amp;sheet=U0&amp;row=59&amp;col=10&amp;number=3.903&amp;sourceID=58","3.903")</f>
        <v>3.903</v>
      </c>
      <c r="K59" s="4" t="str">
        <f>HYPERLINK("http://141.218.60.56/~jnz1568/getInfo.php?workbook=16_15.xlsx&amp;sheet=U0&amp;row=59&amp;col=11&amp;number=0.647&amp;sourceID=58","0.647")</f>
        <v>0.647</v>
      </c>
      <c r="L59" s="4" t="str">
        <f>HYPERLINK("http://141.218.60.56/~jnz1568/getInfo.php?workbook=16_15.xlsx&amp;sheet=U0&amp;row=59&amp;col=12&amp;number=4.2&amp;sourceID=59","4.2")</f>
        <v>4.2</v>
      </c>
      <c r="M59" s="4" t="str">
        <f>HYPERLINK("http://141.218.60.56/~jnz1568/getInfo.php?workbook=16_15.xlsx&amp;sheet=U0&amp;row=59&amp;col=13&amp;number=1.11&amp;sourceID=59","1.11")</f>
        <v>1.11</v>
      </c>
    </row>
    <row r="60" spans="1:13">
      <c r="A60" s="3"/>
      <c r="B60" s="3"/>
      <c r="C60" s="3"/>
      <c r="D60" s="3"/>
      <c r="E60" s="3">
        <v>9</v>
      </c>
      <c r="F60" s="4" t="str">
        <f>HYPERLINK("http://141.218.60.56/~jnz1568/getInfo.php?workbook=16_15.xlsx&amp;sheet=U0&amp;row=60&amp;col=6&amp;number=4.11394335231&amp;sourceID=51","4.11394335231")</f>
        <v>4.11394335231</v>
      </c>
      <c r="G60" s="4" t="str">
        <f>HYPERLINK("http://141.218.60.56/~jnz1568/getInfo.php?workbook=16_15.xlsx&amp;sheet=U0&amp;row=60&amp;col=7&amp;number=0.7979447608&amp;sourceID=51","0.7979447608")</f>
        <v>0.7979447608</v>
      </c>
      <c r="H60" s="4" t="str">
        <f>HYPERLINK("http://141.218.60.56/~jnz1568/getInfo.php?workbook=16_15.xlsx&amp;sheet=U0&amp;row=60&amp;col=8&amp;number=4.699&amp;sourceID=53","4.699")</f>
        <v>4.699</v>
      </c>
      <c r="I60" s="4" t="str">
        <f>HYPERLINK("http://141.218.60.56/~jnz1568/getInfo.php?workbook=16_15.xlsx&amp;sheet=U0&amp;row=60&amp;col=9&amp;number=0.715&amp;sourceID=53","0.715")</f>
        <v>0.715</v>
      </c>
      <c r="J60" s="4" t="str">
        <f>HYPERLINK("http://141.218.60.56/~jnz1568/getInfo.php?workbook=16_15.xlsx&amp;sheet=U0&amp;row=60&amp;col=10&amp;number=3.954&amp;sourceID=58","3.954")</f>
        <v>3.954</v>
      </c>
      <c r="K60" s="4" t="str">
        <f>HYPERLINK("http://141.218.60.56/~jnz1568/getInfo.php?workbook=16_15.xlsx&amp;sheet=U0&amp;row=60&amp;col=11&amp;number=0.67&amp;sourceID=58","0.67")</f>
        <v>0.67</v>
      </c>
      <c r="L60" s="4" t="str">
        <f>HYPERLINK("http://141.218.60.56/~jnz1568/getInfo.php?workbook=16_15.xlsx&amp;sheet=U0&amp;row=60&amp;col=12&amp;number=4.4&amp;sourceID=59","4.4")</f>
        <v>4.4</v>
      </c>
      <c r="M60" s="4" t="str">
        <f>HYPERLINK("http://141.218.60.56/~jnz1568/getInfo.php?workbook=16_15.xlsx&amp;sheet=U0&amp;row=60&amp;col=13&amp;number=1.04&amp;sourceID=59","1.04")</f>
        <v>1.04</v>
      </c>
    </row>
    <row r="61" spans="1:13">
      <c r="A61" s="3"/>
      <c r="B61" s="3"/>
      <c r="C61" s="3"/>
      <c r="D61" s="3"/>
      <c r="E61" s="3">
        <v>10</v>
      </c>
      <c r="F61" s="4" t="str">
        <f>HYPERLINK("http://141.218.60.56/~jnz1568/getInfo.php?workbook=16_15.xlsx&amp;sheet=U0&amp;row=61&amp;col=6&amp;number=4.14612803568&amp;sourceID=51","4.14612803568")</f>
        <v>4.14612803568</v>
      </c>
      <c r="G61" s="4" t="str">
        <f>HYPERLINK("http://141.218.60.56/~jnz1568/getInfo.php?workbook=16_15.xlsx&amp;sheet=U0&amp;row=61&amp;col=7&amp;number=0.80788789761&amp;sourceID=51","0.80788789761")</f>
        <v>0.80788789761</v>
      </c>
      <c r="H61" s="4" t="str">
        <f>HYPERLINK("http://141.218.60.56/~jnz1568/getInfo.php?workbook=16_15.xlsx&amp;sheet=U0&amp;row=61&amp;col=8&amp;number=4.845&amp;sourceID=53","4.845")</f>
        <v>4.845</v>
      </c>
      <c r="I61" s="4" t="str">
        <f>HYPERLINK("http://141.218.60.56/~jnz1568/getInfo.php?workbook=16_15.xlsx&amp;sheet=U0&amp;row=61&amp;col=9&amp;number=0.67&amp;sourceID=53","0.67")</f>
        <v>0.67</v>
      </c>
      <c r="J61" s="4" t="str">
        <f>HYPERLINK("http://141.218.60.56/~jnz1568/getInfo.php?workbook=16_15.xlsx&amp;sheet=U0&amp;row=61&amp;col=10&amp;number=4&amp;sourceID=58","4")</f>
        <v>4</v>
      </c>
      <c r="K61" s="4" t="str">
        <f>HYPERLINK("http://141.218.60.56/~jnz1568/getInfo.php?workbook=16_15.xlsx&amp;sheet=U0&amp;row=61&amp;col=11&amp;number=0.69&amp;sourceID=58","0.69")</f>
        <v>0.69</v>
      </c>
      <c r="L61" s="4" t="str">
        <f>HYPERLINK("http://141.218.60.56/~jnz1568/getInfo.php?workbook=16_15.xlsx&amp;sheet=U0&amp;row=61&amp;col=12&amp;number=4.6&amp;sourceID=59","4.6")</f>
        <v>4.6</v>
      </c>
      <c r="M61" s="4" t="str">
        <f>HYPERLINK("http://141.218.60.56/~jnz1568/getInfo.php?workbook=16_15.xlsx&amp;sheet=U0&amp;row=61&amp;col=13&amp;number=0.965&amp;sourceID=59","0.965")</f>
        <v>0.965</v>
      </c>
    </row>
    <row r="62" spans="1:13">
      <c r="A62" s="3"/>
      <c r="B62" s="3"/>
      <c r="C62" s="3"/>
      <c r="D62" s="3"/>
      <c r="E62" s="3">
        <v>11</v>
      </c>
      <c r="F62" s="4" t="str">
        <f>HYPERLINK("http://141.218.60.56/~jnz1568/getInfo.php?workbook=16_15.xlsx&amp;sheet=U0&amp;row=62&amp;col=6&amp;number=4.17609125906&amp;sourceID=51","4.17609125906")</f>
        <v>4.17609125906</v>
      </c>
      <c r="G62" s="4" t="str">
        <f>HYPERLINK("http://141.218.60.56/~jnz1568/getInfo.php?workbook=16_15.xlsx&amp;sheet=U0&amp;row=62&amp;col=7&amp;number=0.81702355784&amp;sourceID=51","0.81702355784")</f>
        <v>0.81702355784</v>
      </c>
      <c r="H62" s="4" t="str">
        <f>HYPERLINK("http://141.218.60.56/~jnz1568/getInfo.php?workbook=16_15.xlsx&amp;sheet=U0&amp;row=62&amp;col=8&amp;number=5&amp;sourceID=53","5")</f>
        <v>5</v>
      </c>
      <c r="I62" s="4" t="str">
        <f>HYPERLINK("http://141.218.60.56/~jnz1568/getInfo.php?workbook=16_15.xlsx&amp;sheet=U0&amp;row=62&amp;col=9&amp;number=0.597&amp;sourceID=53","0.597")</f>
        <v>0.597</v>
      </c>
      <c r="J62" s="4" t="str">
        <f>HYPERLINK("http://141.218.60.56/~jnz1568/getInfo.php?workbook=16_15.xlsx&amp;sheet=U0&amp;row=62&amp;col=10&amp;number=4.079&amp;sourceID=58","4.079")</f>
        <v>4.079</v>
      </c>
      <c r="K62" s="4" t="str">
        <f>HYPERLINK("http://141.218.60.56/~jnz1568/getInfo.php?workbook=16_15.xlsx&amp;sheet=U0&amp;row=62&amp;col=11&amp;number=0.724&amp;sourceID=58","0.724")</f>
        <v>0.724</v>
      </c>
      <c r="L62" s="4" t="str">
        <f>HYPERLINK("http://141.218.60.56/~jnz1568/getInfo.php?workbook=16_15.xlsx&amp;sheet=U0&amp;row=62&amp;col=12&amp;number=4.8&amp;sourceID=59","4.8")</f>
        <v>4.8</v>
      </c>
      <c r="M62" s="4" t="str">
        <f>HYPERLINK("http://141.218.60.56/~jnz1568/getInfo.php?workbook=16_15.xlsx&amp;sheet=U0&amp;row=62&amp;col=13&amp;number=0.859&amp;sourceID=59","0.859")</f>
        <v>0.859</v>
      </c>
    </row>
    <row r="63" spans="1:13">
      <c r="A63" s="3"/>
      <c r="B63" s="3"/>
      <c r="C63" s="3"/>
      <c r="D63" s="3"/>
      <c r="E63" s="3">
        <v>12</v>
      </c>
      <c r="F63" s="4" t="str">
        <f>HYPERLINK("http://141.218.60.56/~jnz1568/getInfo.php?workbook=16_15.xlsx&amp;sheet=U0&amp;row=63&amp;col=6&amp;number=4.20411998266&amp;sourceID=51","4.20411998266")</f>
        <v>4.20411998266</v>
      </c>
      <c r="G63" s="4" t="str">
        <f>HYPERLINK("http://141.218.60.56/~jnz1568/getInfo.php?workbook=16_15.xlsx&amp;sheet=U0&amp;row=63&amp;col=7&amp;number=0.8254027108&amp;sourceID=51","0.8254027108")</f>
        <v>0.8254027108</v>
      </c>
      <c r="H63" s="4" t="str">
        <f>HYPERLINK("http://141.218.60.56/~jnz1568/getInfo.php?workbook=16_15.xlsx&amp;sheet=U0&amp;row=63&amp;col=8&amp;number=&amp;sourceID=53","")</f>
        <v/>
      </c>
      <c r="I63" s="4" t="str">
        <f>HYPERLINK("http://141.218.60.56/~jnz1568/getInfo.php?workbook=16_15.xlsx&amp;sheet=U0&amp;row=63&amp;col=9&amp;number=&amp;sourceID=53","")</f>
        <v/>
      </c>
      <c r="J63" s="4" t="str">
        <f>HYPERLINK("http://141.218.60.56/~jnz1568/getInfo.php?workbook=16_15.xlsx&amp;sheet=U0&amp;row=63&amp;col=10&amp;number=4.146&amp;sourceID=58","4.146")</f>
        <v>4.146</v>
      </c>
      <c r="K63" s="4" t="str">
        <f>HYPERLINK("http://141.218.60.56/~jnz1568/getInfo.php?workbook=16_15.xlsx&amp;sheet=U0&amp;row=63&amp;col=11&amp;number=0.749&amp;sourceID=58","0.749")</f>
        <v>0.749</v>
      </c>
      <c r="L63" s="4" t="str">
        <f>HYPERLINK("http://141.218.60.56/~jnz1568/getInfo.php?workbook=16_15.xlsx&amp;sheet=U0&amp;row=63&amp;col=12&amp;number=5&amp;sourceID=59","5")</f>
        <v>5</v>
      </c>
      <c r="M63" s="4" t="str">
        <f>HYPERLINK("http://141.218.60.56/~jnz1568/getInfo.php?workbook=16_15.xlsx&amp;sheet=U0&amp;row=63&amp;col=13&amp;number=0.72&amp;sourceID=59","0.72")</f>
        <v>0.72</v>
      </c>
    </row>
    <row r="64" spans="1:13">
      <c r="A64" s="3"/>
      <c r="B64" s="3"/>
      <c r="C64" s="3"/>
      <c r="D64" s="3"/>
      <c r="E64" s="3">
        <v>13</v>
      </c>
      <c r="F64" s="4" t="str">
        <f>HYPERLINK("http://141.218.60.56/~jnz1568/getInfo.php?workbook=16_15.xlsx&amp;sheet=U0&amp;row=64&amp;col=6&amp;number=4.23044892138&amp;sourceID=51","4.23044892138")</f>
        <v>4.23044892138</v>
      </c>
      <c r="G64" s="4" t="str">
        <f>HYPERLINK("http://141.218.60.56/~jnz1568/getInfo.php?workbook=16_15.xlsx&amp;sheet=U0&amp;row=64&amp;col=7&amp;number=0.8330696897&amp;sourceID=51","0.8330696897")</f>
        <v>0.8330696897</v>
      </c>
      <c r="H64" s="4" t="str">
        <f>HYPERLINK("http://141.218.60.56/~jnz1568/getInfo.php?workbook=16_15.xlsx&amp;sheet=U0&amp;row=64&amp;col=8&amp;number=&amp;sourceID=53","")</f>
        <v/>
      </c>
      <c r="I64" s="4" t="str">
        <f>HYPERLINK("http://141.218.60.56/~jnz1568/getInfo.php?workbook=16_15.xlsx&amp;sheet=U0&amp;row=64&amp;col=9&amp;number=&amp;sourceID=53","")</f>
        <v/>
      </c>
      <c r="J64" s="4" t="str">
        <f>HYPERLINK("http://141.218.60.56/~jnz1568/getInfo.php?workbook=16_15.xlsx&amp;sheet=U0&amp;row=64&amp;col=10&amp;number=4.204&amp;sourceID=58","4.204")</f>
        <v>4.204</v>
      </c>
      <c r="K64" s="4" t="str">
        <f>HYPERLINK("http://141.218.60.56/~jnz1568/getInfo.php?workbook=16_15.xlsx&amp;sheet=U0&amp;row=64&amp;col=11&amp;number=0.768&amp;sourceID=58","0.768")</f>
        <v>0.768</v>
      </c>
      <c r="L64" s="4" t="str">
        <f>HYPERLINK("http://141.218.60.56/~jnz1568/getInfo.php?workbook=16_15.xlsx&amp;sheet=U0&amp;row=64&amp;col=12&amp;number=&amp;sourceID=59","")</f>
        <v/>
      </c>
      <c r="M64" s="4" t="str">
        <f>HYPERLINK("http://141.218.60.56/~jnz1568/getInfo.php?workbook=16_15.xlsx&amp;sheet=U0&amp;row=64&amp;col=13&amp;number=&amp;sourceID=59","")</f>
        <v/>
      </c>
    </row>
    <row r="65" spans="1:13">
      <c r="A65" s="3"/>
      <c r="B65" s="3"/>
      <c r="C65" s="3"/>
      <c r="D65" s="3"/>
      <c r="E65" s="3">
        <v>14</v>
      </c>
      <c r="F65" s="4" t="str">
        <f>HYPERLINK("http://141.218.60.56/~jnz1568/getInfo.php?workbook=16_15.xlsx&amp;sheet=U0&amp;row=65&amp;col=6&amp;number=4.2552725051&amp;sourceID=51","4.2552725051")</f>
        <v>4.2552725051</v>
      </c>
      <c r="G65" s="4" t="str">
        <f>HYPERLINK("http://141.218.60.56/~jnz1568/getInfo.php?workbook=16_15.xlsx&amp;sheet=U0&amp;row=65&amp;col=7&amp;number=0.84006352639&amp;sourceID=51","0.84006352639")</f>
        <v>0.84006352639</v>
      </c>
      <c r="H65" s="4" t="str">
        <f>HYPERLINK("http://141.218.60.56/~jnz1568/getInfo.php?workbook=16_15.xlsx&amp;sheet=U0&amp;row=65&amp;col=8&amp;number=&amp;sourceID=53","")</f>
        <v/>
      </c>
      <c r="I65" s="4" t="str">
        <f>HYPERLINK("http://141.218.60.56/~jnz1568/getInfo.php?workbook=16_15.xlsx&amp;sheet=U0&amp;row=65&amp;col=9&amp;number=&amp;sourceID=53","")</f>
        <v/>
      </c>
      <c r="J65" s="4" t="str">
        <f>HYPERLINK("http://141.218.60.56/~jnz1568/getInfo.php?workbook=16_15.xlsx&amp;sheet=U0&amp;row=65&amp;col=10&amp;number=4.255&amp;sourceID=58","4.255")</f>
        <v>4.255</v>
      </c>
      <c r="K65" s="4" t="str">
        <f>HYPERLINK("http://141.218.60.56/~jnz1568/getInfo.php?workbook=16_15.xlsx&amp;sheet=U0&amp;row=65&amp;col=11&amp;number=0.783&amp;sourceID=58","0.783")</f>
        <v>0.783</v>
      </c>
      <c r="L65" s="4" t="str">
        <f>HYPERLINK("http://141.218.60.56/~jnz1568/getInfo.php?workbook=16_15.xlsx&amp;sheet=U0&amp;row=65&amp;col=12&amp;number=&amp;sourceID=59","")</f>
        <v/>
      </c>
      <c r="M65" s="4" t="str">
        <f>HYPERLINK("http://141.218.60.56/~jnz1568/getInfo.php?workbook=16_15.xlsx&amp;sheet=U0&amp;row=65&amp;col=13&amp;number=&amp;sourceID=59","")</f>
        <v/>
      </c>
    </row>
    <row r="66" spans="1:13">
      <c r="A66" s="3"/>
      <c r="B66" s="3"/>
      <c r="C66" s="3"/>
      <c r="D66" s="3"/>
      <c r="E66" s="3">
        <v>15</v>
      </c>
      <c r="F66" s="4" t="str">
        <f>HYPERLINK("http://141.218.60.56/~jnz1568/getInfo.php?workbook=16_15.xlsx&amp;sheet=U0&amp;row=66&amp;col=6&amp;number=4.27875360095&amp;sourceID=51","4.27875360095")</f>
        <v>4.27875360095</v>
      </c>
      <c r="G66" s="4" t="str">
        <f>HYPERLINK("http://141.218.60.56/~jnz1568/getInfo.php?workbook=16_15.xlsx&amp;sheet=U0&amp;row=66&amp;col=7&amp;number=0.84641909789&amp;sourceID=51","0.84641909789")</f>
        <v>0.84641909789</v>
      </c>
      <c r="H66" s="4" t="str">
        <f>HYPERLINK("http://141.218.60.56/~jnz1568/getInfo.php?workbook=16_15.xlsx&amp;sheet=U0&amp;row=66&amp;col=8&amp;number=&amp;sourceID=53","")</f>
        <v/>
      </c>
      <c r="I66" s="4" t="str">
        <f>HYPERLINK("http://141.218.60.56/~jnz1568/getInfo.php?workbook=16_15.xlsx&amp;sheet=U0&amp;row=66&amp;col=9&amp;number=&amp;sourceID=53","")</f>
        <v/>
      </c>
      <c r="J66" s="4" t="str">
        <f>HYPERLINK("http://141.218.60.56/~jnz1568/getInfo.php?workbook=16_15.xlsx&amp;sheet=U0&amp;row=66&amp;col=10&amp;number=4.301&amp;sourceID=58","4.301")</f>
        <v>4.301</v>
      </c>
      <c r="K66" s="4" t="str">
        <f>HYPERLINK("http://141.218.60.56/~jnz1568/getInfo.php?workbook=16_15.xlsx&amp;sheet=U0&amp;row=66&amp;col=11&amp;number=0.794&amp;sourceID=58","0.794")</f>
        <v>0.794</v>
      </c>
      <c r="L66" s="4" t="str">
        <f>HYPERLINK("http://141.218.60.56/~jnz1568/getInfo.php?workbook=16_15.xlsx&amp;sheet=U0&amp;row=66&amp;col=12&amp;number=&amp;sourceID=59","")</f>
        <v/>
      </c>
      <c r="M66" s="4" t="str">
        <f>HYPERLINK("http://141.218.60.56/~jnz1568/getInfo.php?workbook=16_15.xlsx&amp;sheet=U0&amp;row=66&amp;col=13&amp;number=&amp;sourceID=59","")</f>
        <v/>
      </c>
    </row>
    <row r="67" spans="1:13">
      <c r="A67" s="3"/>
      <c r="B67" s="3"/>
      <c r="C67" s="3"/>
      <c r="D67" s="3"/>
      <c r="E67" s="3">
        <v>16</v>
      </c>
      <c r="F67" s="4" t="str">
        <f>HYPERLINK("http://141.218.60.56/~jnz1568/getInfo.php?workbook=16_15.xlsx&amp;sheet=U0&amp;row=67&amp;col=6&amp;number=4.30102999566&amp;sourceID=51","4.30102999566")</f>
        <v>4.30102999566</v>
      </c>
      <c r="G67" s="4" t="str">
        <f>HYPERLINK("http://141.218.60.56/~jnz1568/getInfo.php?workbook=16_15.xlsx&amp;sheet=U0&amp;row=67&amp;col=7&amp;number=0.8521680742&amp;sourceID=51","0.8521680742")</f>
        <v>0.8521680742</v>
      </c>
      <c r="H67" s="4" t="str">
        <f>HYPERLINK("http://141.218.60.56/~jnz1568/getInfo.php?workbook=16_15.xlsx&amp;sheet=U0&amp;row=67&amp;col=8&amp;number=&amp;sourceID=53","")</f>
        <v/>
      </c>
      <c r="I67" s="4" t="str">
        <f>HYPERLINK("http://141.218.60.56/~jnz1568/getInfo.php?workbook=16_15.xlsx&amp;sheet=U0&amp;row=67&amp;col=9&amp;number=&amp;sourceID=53","")</f>
        <v/>
      </c>
      <c r="J67" s="4" t="str">
        <f>HYPERLINK("http://141.218.60.56/~jnz1568/getInfo.php?workbook=16_15.xlsx&amp;sheet=U0&amp;row=67&amp;col=10&amp;number=&amp;sourceID=58","")</f>
        <v/>
      </c>
      <c r="K67" s="4" t="str">
        <f>HYPERLINK("http://141.218.60.56/~jnz1568/getInfo.php?workbook=16_15.xlsx&amp;sheet=U0&amp;row=67&amp;col=11&amp;number=&amp;sourceID=58","")</f>
        <v/>
      </c>
      <c r="L67" s="4" t="str">
        <f>HYPERLINK("http://141.218.60.56/~jnz1568/getInfo.php?workbook=16_15.xlsx&amp;sheet=U0&amp;row=67&amp;col=12&amp;number=&amp;sourceID=59","")</f>
        <v/>
      </c>
      <c r="M67" s="4" t="str">
        <f>HYPERLINK("http://141.218.60.56/~jnz1568/getInfo.php?workbook=16_15.xlsx&amp;sheet=U0&amp;row=67&amp;col=13&amp;number=&amp;sourceID=59","")</f>
        <v/>
      </c>
    </row>
    <row r="68" spans="1:13">
      <c r="A68" s="3">
        <v>16</v>
      </c>
      <c r="B68" s="3">
        <v>15</v>
      </c>
      <c r="C68" s="3">
        <v>4</v>
      </c>
      <c r="D68" s="3">
        <v>2</v>
      </c>
      <c r="E68" s="3">
        <v>1</v>
      </c>
      <c r="F68" s="4" t="str">
        <f>HYPERLINK("http://141.218.60.56/~jnz1568/getInfo.php?workbook=16_15.xlsx&amp;sheet=U0&amp;row=68&amp;col=6&amp;number=3.69897000434&amp;sourceID=51","3.69897000434")</f>
        <v>3.69897000434</v>
      </c>
      <c r="G68" s="4" t="str">
        <f>HYPERLINK("http://141.218.60.56/~jnz1568/getInfo.php?workbook=16_15.xlsx&amp;sheet=U0&amp;row=68&amp;col=7&amp;number=1.86305977733&amp;sourceID=51","1.86305977733")</f>
        <v>1.86305977733</v>
      </c>
      <c r="H68" s="4" t="str">
        <f>HYPERLINK("http://141.218.60.56/~jnz1568/getInfo.php?workbook=16_15.xlsx&amp;sheet=U0&amp;row=68&amp;col=8&amp;number=3.699&amp;sourceID=53","3.699")</f>
        <v>3.699</v>
      </c>
      <c r="I68" s="4" t="str">
        <f>HYPERLINK("http://141.218.60.56/~jnz1568/getInfo.php?workbook=16_15.xlsx&amp;sheet=U0&amp;row=68&amp;col=9&amp;number=1.48&amp;sourceID=53","1.48")</f>
        <v>1.48</v>
      </c>
      <c r="J68" s="4" t="str">
        <f>HYPERLINK("http://141.218.60.56/~jnz1568/getInfo.php?workbook=16_15.xlsx&amp;sheet=U0&amp;row=68&amp;col=10&amp;number=3&amp;sourceID=58","3")</f>
        <v>3</v>
      </c>
      <c r="K68" s="4" t="str">
        <f>HYPERLINK("http://141.218.60.56/~jnz1568/getInfo.php?workbook=16_15.xlsx&amp;sheet=U0&amp;row=68&amp;col=11&amp;number=1.44&amp;sourceID=58","1.44")</f>
        <v>1.44</v>
      </c>
      <c r="L68" s="4" t="str">
        <f>HYPERLINK("http://141.218.60.56/~jnz1568/getInfo.php?workbook=16_15.xlsx&amp;sheet=U0&amp;row=68&amp;col=12&amp;number=3.5&amp;sourceID=59","3.5")</f>
        <v>3.5</v>
      </c>
      <c r="M68" s="4" t="str">
        <f>HYPERLINK("http://141.218.60.56/~jnz1568/getInfo.php?workbook=16_15.xlsx&amp;sheet=U0&amp;row=68&amp;col=13&amp;number=2.14&amp;sourceID=59","2.14")</f>
        <v>2.14</v>
      </c>
    </row>
    <row r="69" spans="1:13">
      <c r="A69" s="3"/>
      <c r="B69" s="3"/>
      <c r="C69" s="3"/>
      <c r="D69" s="3"/>
      <c r="E69" s="3">
        <v>2</v>
      </c>
      <c r="F69" s="4" t="str">
        <f>HYPERLINK("http://141.218.60.56/~jnz1568/getInfo.php?workbook=16_15.xlsx&amp;sheet=U0&amp;row=69&amp;col=6&amp;number=3.77815125038&amp;sourceID=51","3.77815125038")</f>
        <v>3.77815125038</v>
      </c>
      <c r="G69" s="4" t="str">
        <f>HYPERLINK("http://141.218.60.56/~jnz1568/getInfo.php?workbook=16_15.xlsx&amp;sheet=U0&amp;row=69&amp;col=7&amp;number=1.87472361332&amp;sourceID=51","1.87472361332")</f>
        <v>1.87472361332</v>
      </c>
      <c r="H69" s="4" t="str">
        <f>HYPERLINK("http://141.218.60.56/~jnz1568/getInfo.php?workbook=16_15.xlsx&amp;sheet=U0&amp;row=69&amp;col=8&amp;number=3.845&amp;sourceID=53","3.845")</f>
        <v>3.845</v>
      </c>
      <c r="I69" s="4" t="str">
        <f>HYPERLINK("http://141.218.60.56/~jnz1568/getInfo.php?workbook=16_15.xlsx&amp;sheet=U0&amp;row=69&amp;col=9&amp;number=1.48&amp;sourceID=53","1.48")</f>
        <v>1.48</v>
      </c>
      <c r="J69" s="4" t="str">
        <f>HYPERLINK("http://141.218.60.56/~jnz1568/getInfo.php?workbook=16_15.xlsx&amp;sheet=U0&amp;row=69&amp;col=10&amp;number=3.301&amp;sourceID=58","3.301")</f>
        <v>3.301</v>
      </c>
      <c r="K69" s="4" t="str">
        <f>HYPERLINK("http://141.218.60.56/~jnz1568/getInfo.php?workbook=16_15.xlsx&amp;sheet=U0&amp;row=69&amp;col=11&amp;number=1.53&amp;sourceID=58","1.53")</f>
        <v>1.53</v>
      </c>
      <c r="L69" s="4" t="str">
        <f>HYPERLINK("http://141.218.60.56/~jnz1568/getInfo.php?workbook=16_15.xlsx&amp;sheet=U0&amp;row=69&amp;col=12&amp;number=3.6&amp;sourceID=59","3.6")</f>
        <v>3.6</v>
      </c>
      <c r="M69" s="4" t="str">
        <f>HYPERLINK("http://141.218.60.56/~jnz1568/getInfo.php?workbook=16_15.xlsx&amp;sheet=U0&amp;row=69&amp;col=13&amp;number=2.08&amp;sourceID=59","2.08")</f>
        <v>2.08</v>
      </c>
    </row>
    <row r="70" spans="1:13">
      <c r="A70" s="3"/>
      <c r="B70" s="3"/>
      <c r="C70" s="3"/>
      <c r="D70" s="3"/>
      <c r="E70" s="3">
        <v>3</v>
      </c>
      <c r="F70" s="4" t="str">
        <f>HYPERLINK("http://141.218.60.56/~jnz1568/getInfo.php?workbook=16_15.xlsx&amp;sheet=U0&amp;row=70&amp;col=6&amp;number=3.84509804001&amp;sourceID=51","3.84509804001")</f>
        <v>3.84509804001</v>
      </c>
      <c r="G70" s="4" t="str">
        <f>HYPERLINK("http://141.218.60.56/~jnz1568/getInfo.php?workbook=16_15.xlsx&amp;sheet=U0&amp;row=70&amp;col=7&amp;number=1.88459714244&amp;sourceID=51","1.88459714244")</f>
        <v>1.88459714244</v>
      </c>
      <c r="H70" s="4" t="str">
        <f>HYPERLINK("http://141.218.60.56/~jnz1568/getInfo.php?workbook=16_15.xlsx&amp;sheet=U0&amp;row=70&amp;col=8&amp;number=4&amp;sourceID=53","4")</f>
        <v>4</v>
      </c>
      <c r="I70" s="4" t="str">
        <f>HYPERLINK("http://141.218.60.56/~jnz1568/getInfo.php?workbook=16_15.xlsx&amp;sheet=U0&amp;row=70&amp;col=9&amp;number=1.47&amp;sourceID=53","1.47")</f>
        <v>1.47</v>
      </c>
      <c r="J70" s="4" t="str">
        <f>HYPERLINK("http://141.218.60.56/~jnz1568/getInfo.php?workbook=16_15.xlsx&amp;sheet=U0&amp;row=70&amp;col=10&amp;number=3.477&amp;sourceID=58","3.477")</f>
        <v>3.477</v>
      </c>
      <c r="K70" s="4" t="str">
        <f>HYPERLINK("http://141.218.60.56/~jnz1568/getInfo.php?workbook=16_15.xlsx&amp;sheet=U0&amp;row=70&amp;col=11&amp;number=1.6&amp;sourceID=58","1.6")</f>
        <v>1.6</v>
      </c>
      <c r="L70" s="4" t="str">
        <f>HYPERLINK("http://141.218.60.56/~jnz1568/getInfo.php?workbook=16_15.xlsx&amp;sheet=U0&amp;row=70&amp;col=12&amp;number=3.7&amp;sourceID=59","3.7")</f>
        <v>3.7</v>
      </c>
      <c r="M70" s="4" t="str">
        <f>HYPERLINK("http://141.218.60.56/~jnz1568/getInfo.php?workbook=16_15.xlsx&amp;sheet=U0&amp;row=70&amp;col=13&amp;number=2.01&amp;sourceID=59","2.01")</f>
        <v>2.01</v>
      </c>
    </row>
    <row r="71" spans="1:13">
      <c r="A71" s="3"/>
      <c r="B71" s="3"/>
      <c r="C71" s="3"/>
      <c r="D71" s="3"/>
      <c r="E71" s="3">
        <v>4</v>
      </c>
      <c r="F71" s="4" t="str">
        <f>HYPERLINK("http://141.218.60.56/~jnz1568/getInfo.php?workbook=16_15.xlsx&amp;sheet=U0&amp;row=71&amp;col=6&amp;number=3.90308998699&amp;sourceID=51","3.90308998699")</f>
        <v>3.90308998699</v>
      </c>
      <c r="G71" s="4" t="str">
        <f>HYPERLINK("http://141.218.60.56/~jnz1568/getInfo.php?workbook=16_15.xlsx&amp;sheet=U0&amp;row=71&amp;col=7&amp;number=1.89300057979&amp;sourceID=51","1.89300057979")</f>
        <v>1.89300057979</v>
      </c>
      <c r="H71" s="4" t="str">
        <f>HYPERLINK("http://141.218.60.56/~jnz1568/getInfo.php?workbook=16_15.xlsx&amp;sheet=U0&amp;row=71&amp;col=8&amp;number=4.176&amp;sourceID=53","4.176")</f>
        <v>4.176</v>
      </c>
      <c r="I71" s="4" t="str">
        <f>HYPERLINK("http://141.218.60.56/~jnz1568/getInfo.php?workbook=16_15.xlsx&amp;sheet=U0&amp;row=71&amp;col=9&amp;number=1.48&amp;sourceID=53","1.48")</f>
        <v>1.48</v>
      </c>
      <c r="J71" s="4" t="str">
        <f>HYPERLINK("http://141.218.60.56/~jnz1568/getInfo.php?workbook=16_15.xlsx&amp;sheet=U0&amp;row=71&amp;col=10&amp;number=3.602&amp;sourceID=58","3.602")</f>
        <v>3.602</v>
      </c>
      <c r="K71" s="4" t="str">
        <f>HYPERLINK("http://141.218.60.56/~jnz1568/getInfo.php?workbook=16_15.xlsx&amp;sheet=U0&amp;row=71&amp;col=11&amp;number=1.65&amp;sourceID=58","1.65")</f>
        <v>1.65</v>
      </c>
      <c r="L71" s="4" t="str">
        <f>HYPERLINK("http://141.218.60.56/~jnz1568/getInfo.php?workbook=16_15.xlsx&amp;sheet=U0&amp;row=71&amp;col=12&amp;number=3.8&amp;sourceID=59","3.8")</f>
        <v>3.8</v>
      </c>
      <c r="M71" s="4" t="str">
        <f>HYPERLINK("http://141.218.60.56/~jnz1568/getInfo.php?workbook=16_15.xlsx&amp;sheet=U0&amp;row=71&amp;col=13&amp;number=1.94&amp;sourceID=59","1.94")</f>
        <v>1.94</v>
      </c>
    </row>
    <row r="72" spans="1:13">
      <c r="A72" s="3"/>
      <c r="B72" s="3"/>
      <c r="C72" s="3"/>
      <c r="D72" s="3"/>
      <c r="E72" s="3">
        <v>5</v>
      </c>
      <c r="F72" s="4" t="str">
        <f>HYPERLINK("http://141.218.60.56/~jnz1568/getInfo.php?workbook=16_15.xlsx&amp;sheet=U0&amp;row=72&amp;col=6&amp;number=3.95424250944&amp;sourceID=51","3.95424250944")</f>
        <v>3.95424250944</v>
      </c>
      <c r="G72" s="4" t="str">
        <f>HYPERLINK("http://141.218.60.56/~jnz1568/getInfo.php?workbook=16_15.xlsx&amp;sheet=U0&amp;row=72&amp;col=7&amp;number=1.90012459699&amp;sourceID=51","1.90012459699")</f>
        <v>1.90012459699</v>
      </c>
      <c r="H72" s="4" t="str">
        <f>HYPERLINK("http://141.218.60.56/~jnz1568/getInfo.php?workbook=16_15.xlsx&amp;sheet=U0&amp;row=72&amp;col=8&amp;number=4.301&amp;sourceID=53","4.301")</f>
        <v>4.301</v>
      </c>
      <c r="I72" s="4" t="str">
        <f>HYPERLINK("http://141.218.60.56/~jnz1568/getInfo.php?workbook=16_15.xlsx&amp;sheet=U0&amp;row=72&amp;col=9&amp;number=1.48&amp;sourceID=53","1.48")</f>
        <v>1.48</v>
      </c>
      <c r="J72" s="4" t="str">
        <f>HYPERLINK("http://141.218.60.56/~jnz1568/getInfo.php?workbook=16_15.xlsx&amp;sheet=U0&amp;row=72&amp;col=10&amp;number=3.699&amp;sourceID=58","3.699")</f>
        <v>3.699</v>
      </c>
      <c r="K72" s="4" t="str">
        <f>HYPERLINK("http://141.218.60.56/~jnz1568/getInfo.php?workbook=16_15.xlsx&amp;sheet=U0&amp;row=72&amp;col=11&amp;number=1.69&amp;sourceID=58","1.69")</f>
        <v>1.69</v>
      </c>
      <c r="L72" s="4" t="str">
        <f>HYPERLINK("http://141.218.60.56/~jnz1568/getInfo.php?workbook=16_15.xlsx&amp;sheet=U0&amp;row=72&amp;col=12&amp;number=3.9&amp;sourceID=59","3.9")</f>
        <v>3.9</v>
      </c>
      <c r="M72" s="4" t="str">
        <f>HYPERLINK("http://141.218.60.56/~jnz1568/getInfo.php?workbook=16_15.xlsx&amp;sheet=U0&amp;row=72&amp;col=13&amp;number=1.87&amp;sourceID=59","1.87")</f>
        <v>1.87</v>
      </c>
    </row>
    <row r="73" spans="1:13">
      <c r="A73" s="3"/>
      <c r="B73" s="3"/>
      <c r="C73" s="3"/>
      <c r="D73" s="3"/>
      <c r="E73" s="3">
        <v>6</v>
      </c>
      <c r="F73" s="4" t="str">
        <f>HYPERLINK("http://141.218.60.56/~jnz1568/getInfo.php?workbook=16_15.xlsx&amp;sheet=U0&amp;row=73&amp;col=6&amp;number=4&amp;sourceID=51","4")</f>
        <v>4</v>
      </c>
      <c r="G73" s="4" t="str">
        <f>HYPERLINK("http://141.218.60.56/~jnz1568/getInfo.php?workbook=16_15.xlsx&amp;sheet=U0&amp;row=73&amp;col=7&amp;number=1.90610963261&amp;sourceID=51","1.90610963261")</f>
        <v>1.90610963261</v>
      </c>
      <c r="H73" s="4" t="str">
        <f>HYPERLINK("http://141.218.60.56/~jnz1568/getInfo.php?workbook=16_15.xlsx&amp;sheet=U0&amp;row=73&amp;col=8&amp;number=4.398&amp;sourceID=53","4.398")</f>
        <v>4.398</v>
      </c>
      <c r="I73" s="4" t="str">
        <f>HYPERLINK("http://141.218.60.56/~jnz1568/getInfo.php?workbook=16_15.xlsx&amp;sheet=U0&amp;row=73&amp;col=9&amp;number=1.49&amp;sourceID=53","1.49")</f>
        <v>1.49</v>
      </c>
      <c r="J73" s="4" t="str">
        <f>HYPERLINK("http://141.218.60.56/~jnz1568/getInfo.php?workbook=16_15.xlsx&amp;sheet=U0&amp;row=73&amp;col=10&amp;number=3.778&amp;sourceID=58","3.778")</f>
        <v>3.778</v>
      </c>
      <c r="K73" s="4" t="str">
        <f>HYPERLINK("http://141.218.60.56/~jnz1568/getInfo.php?workbook=16_15.xlsx&amp;sheet=U0&amp;row=73&amp;col=11&amp;number=1.72&amp;sourceID=58","1.72")</f>
        <v>1.72</v>
      </c>
      <c r="L73" s="4" t="str">
        <f>HYPERLINK("http://141.218.60.56/~jnz1568/getInfo.php?workbook=16_15.xlsx&amp;sheet=U0&amp;row=73&amp;col=12&amp;number=4&amp;sourceID=59","4")</f>
        <v>4</v>
      </c>
      <c r="M73" s="4" t="str">
        <f>HYPERLINK("http://141.218.60.56/~jnz1568/getInfo.php?workbook=16_15.xlsx&amp;sheet=U0&amp;row=73&amp;col=13&amp;number=1.79&amp;sourceID=59","1.79")</f>
        <v>1.79</v>
      </c>
    </row>
    <row r="74" spans="1:13">
      <c r="A74" s="3"/>
      <c r="B74" s="3"/>
      <c r="C74" s="3"/>
      <c r="D74" s="3"/>
      <c r="E74" s="3">
        <v>7</v>
      </c>
      <c r="F74" s="4" t="str">
        <f>HYPERLINK("http://141.218.60.56/~jnz1568/getInfo.php?workbook=16_15.xlsx&amp;sheet=U0&amp;row=74&amp;col=6&amp;number=4.04139268516&amp;sourceID=51","4.04139268516")</f>
        <v>4.04139268516</v>
      </c>
      <c r="G74" s="4" t="str">
        <f>HYPERLINK("http://141.218.60.56/~jnz1568/getInfo.php?workbook=16_15.xlsx&amp;sheet=U0&amp;row=74&amp;col=7&amp;number=1.91107387163&amp;sourceID=51","1.91107387163")</f>
        <v>1.91107387163</v>
      </c>
      <c r="H74" s="4" t="str">
        <f>HYPERLINK("http://141.218.60.56/~jnz1568/getInfo.php?workbook=16_15.xlsx&amp;sheet=U0&amp;row=74&amp;col=8&amp;number=4.477&amp;sourceID=53","4.477")</f>
        <v>4.477</v>
      </c>
      <c r="I74" s="4" t="str">
        <f>HYPERLINK("http://141.218.60.56/~jnz1568/getInfo.php?workbook=16_15.xlsx&amp;sheet=U0&amp;row=74&amp;col=9&amp;number=1.5&amp;sourceID=53","1.5")</f>
        <v>1.5</v>
      </c>
      <c r="J74" s="4" t="str">
        <f>HYPERLINK("http://141.218.60.56/~jnz1568/getInfo.php?workbook=16_15.xlsx&amp;sheet=U0&amp;row=74&amp;col=10&amp;number=3.845&amp;sourceID=58","3.845")</f>
        <v>3.845</v>
      </c>
      <c r="K74" s="4" t="str">
        <f>HYPERLINK("http://141.218.60.56/~jnz1568/getInfo.php?workbook=16_15.xlsx&amp;sheet=U0&amp;row=74&amp;col=11&amp;number=1.74&amp;sourceID=58","1.74")</f>
        <v>1.74</v>
      </c>
      <c r="L74" s="4" t="str">
        <f>HYPERLINK("http://141.218.60.56/~jnz1568/getInfo.php?workbook=16_15.xlsx&amp;sheet=U0&amp;row=74&amp;col=12&amp;number=4.1&amp;sourceID=59","4.1")</f>
        <v>4.1</v>
      </c>
      <c r="M74" s="4" t="str">
        <f>HYPERLINK("http://141.218.60.56/~jnz1568/getInfo.php?workbook=16_15.xlsx&amp;sheet=U0&amp;row=74&amp;col=13&amp;number=1.72&amp;sourceID=59","1.72")</f>
        <v>1.72</v>
      </c>
    </row>
    <row r="75" spans="1:13">
      <c r="A75" s="3"/>
      <c r="B75" s="3"/>
      <c r="C75" s="3"/>
      <c r="D75" s="3"/>
      <c r="E75" s="3">
        <v>8</v>
      </c>
      <c r="F75" s="4" t="str">
        <f>HYPERLINK("http://141.218.60.56/~jnz1568/getInfo.php?workbook=16_15.xlsx&amp;sheet=U0&amp;row=75&amp;col=6&amp;number=4.07918124605&amp;sourceID=51","4.07918124605")</f>
        <v>4.07918124605</v>
      </c>
      <c r="G75" s="4" t="str">
        <f>HYPERLINK("http://141.218.60.56/~jnz1568/getInfo.php?workbook=16_15.xlsx&amp;sheet=U0&amp;row=75&amp;col=7&amp;number=1.91512115582&amp;sourceID=51","1.91512115582")</f>
        <v>1.91512115582</v>
      </c>
      <c r="H75" s="4" t="str">
        <f>HYPERLINK("http://141.218.60.56/~jnz1568/getInfo.php?workbook=16_15.xlsx&amp;sheet=U0&amp;row=75&amp;col=8&amp;number=4.602&amp;sourceID=53","4.602")</f>
        <v>4.602</v>
      </c>
      <c r="I75" s="4" t="str">
        <f>HYPERLINK("http://141.218.60.56/~jnz1568/getInfo.php?workbook=16_15.xlsx&amp;sheet=U0&amp;row=75&amp;col=9&amp;number=1.5&amp;sourceID=53","1.5")</f>
        <v>1.5</v>
      </c>
      <c r="J75" s="4" t="str">
        <f>HYPERLINK("http://141.218.60.56/~jnz1568/getInfo.php?workbook=16_15.xlsx&amp;sheet=U0&amp;row=75&amp;col=10&amp;number=3.903&amp;sourceID=58","3.903")</f>
        <v>3.903</v>
      </c>
      <c r="K75" s="4" t="str">
        <f>HYPERLINK("http://141.218.60.56/~jnz1568/getInfo.php?workbook=16_15.xlsx&amp;sheet=U0&amp;row=75&amp;col=11&amp;number=1.75&amp;sourceID=58","1.75")</f>
        <v>1.75</v>
      </c>
      <c r="L75" s="4" t="str">
        <f>HYPERLINK("http://141.218.60.56/~jnz1568/getInfo.php?workbook=16_15.xlsx&amp;sheet=U0&amp;row=75&amp;col=12&amp;number=4.2&amp;sourceID=59","4.2")</f>
        <v>4.2</v>
      </c>
      <c r="M75" s="4" t="str">
        <f>HYPERLINK("http://141.218.60.56/~jnz1568/getInfo.php?workbook=16_15.xlsx&amp;sheet=U0&amp;row=75&amp;col=13&amp;number=1.66&amp;sourceID=59","1.66")</f>
        <v>1.66</v>
      </c>
    </row>
    <row r="76" spans="1:13">
      <c r="A76" s="3"/>
      <c r="B76" s="3"/>
      <c r="C76" s="3"/>
      <c r="D76" s="3"/>
      <c r="E76" s="3">
        <v>9</v>
      </c>
      <c r="F76" s="4" t="str">
        <f>HYPERLINK("http://141.218.60.56/~jnz1568/getInfo.php?workbook=16_15.xlsx&amp;sheet=U0&amp;row=76&amp;col=6&amp;number=4.11394335231&amp;sourceID=51","4.11394335231")</f>
        <v>4.11394335231</v>
      </c>
      <c r="G76" s="4" t="str">
        <f>HYPERLINK("http://141.218.60.56/~jnz1568/getInfo.php?workbook=16_15.xlsx&amp;sheet=U0&amp;row=76&amp;col=7&amp;number=1.9183423456&amp;sourceID=51","1.9183423456")</f>
        <v>1.9183423456</v>
      </c>
      <c r="H76" s="4" t="str">
        <f>HYPERLINK("http://141.218.60.56/~jnz1568/getInfo.php?workbook=16_15.xlsx&amp;sheet=U0&amp;row=76&amp;col=8&amp;number=4.699&amp;sourceID=53","4.699")</f>
        <v>4.699</v>
      </c>
      <c r="I76" s="4" t="str">
        <f>HYPERLINK("http://141.218.60.56/~jnz1568/getInfo.php?workbook=16_15.xlsx&amp;sheet=U0&amp;row=76&amp;col=9&amp;number=1.5&amp;sourceID=53","1.5")</f>
        <v>1.5</v>
      </c>
      <c r="J76" s="4" t="str">
        <f>HYPERLINK("http://141.218.60.56/~jnz1568/getInfo.php?workbook=16_15.xlsx&amp;sheet=U0&amp;row=76&amp;col=10&amp;number=3.954&amp;sourceID=58","3.954")</f>
        <v>3.954</v>
      </c>
      <c r="K76" s="4" t="str">
        <f>HYPERLINK("http://141.218.60.56/~jnz1568/getInfo.php?workbook=16_15.xlsx&amp;sheet=U0&amp;row=76&amp;col=11&amp;number=1.76&amp;sourceID=58","1.76")</f>
        <v>1.76</v>
      </c>
      <c r="L76" s="4" t="str">
        <f>HYPERLINK("http://141.218.60.56/~jnz1568/getInfo.php?workbook=16_15.xlsx&amp;sheet=U0&amp;row=76&amp;col=12&amp;number=4.4&amp;sourceID=59","4.4")</f>
        <v>4.4</v>
      </c>
      <c r="M76" s="4" t="str">
        <f>HYPERLINK("http://141.218.60.56/~jnz1568/getInfo.php?workbook=16_15.xlsx&amp;sheet=U0&amp;row=76&amp;col=13&amp;number=1.57&amp;sourceID=59","1.57")</f>
        <v>1.57</v>
      </c>
    </row>
    <row r="77" spans="1:13">
      <c r="A77" s="3"/>
      <c r="B77" s="3"/>
      <c r="C77" s="3"/>
      <c r="D77" s="3"/>
      <c r="E77" s="3">
        <v>10</v>
      </c>
      <c r="F77" s="4" t="str">
        <f>HYPERLINK("http://141.218.60.56/~jnz1568/getInfo.php?workbook=16_15.xlsx&amp;sheet=U0&amp;row=77&amp;col=6&amp;number=4.14612803568&amp;sourceID=51","4.14612803568")</f>
        <v>4.14612803568</v>
      </c>
      <c r="G77" s="4" t="str">
        <f>HYPERLINK("http://141.218.60.56/~jnz1568/getInfo.php?workbook=16_15.xlsx&amp;sheet=U0&amp;row=77&amp;col=7&amp;number=1.92081533911&amp;sourceID=51","1.92081533911")</f>
        <v>1.92081533911</v>
      </c>
      <c r="H77" s="4" t="str">
        <f>HYPERLINK("http://141.218.60.56/~jnz1568/getInfo.php?workbook=16_15.xlsx&amp;sheet=U0&amp;row=77&amp;col=8&amp;number=4.845&amp;sourceID=53","4.845")</f>
        <v>4.845</v>
      </c>
      <c r="I77" s="4" t="str">
        <f>HYPERLINK("http://141.218.60.56/~jnz1568/getInfo.php?workbook=16_15.xlsx&amp;sheet=U0&amp;row=77&amp;col=9&amp;number=1.49&amp;sourceID=53","1.49")</f>
        <v>1.49</v>
      </c>
      <c r="J77" s="4" t="str">
        <f>HYPERLINK("http://141.218.60.56/~jnz1568/getInfo.php?workbook=16_15.xlsx&amp;sheet=U0&amp;row=77&amp;col=10&amp;number=4&amp;sourceID=58","4")</f>
        <v>4</v>
      </c>
      <c r="K77" s="4" t="str">
        <f>HYPERLINK("http://141.218.60.56/~jnz1568/getInfo.php?workbook=16_15.xlsx&amp;sheet=U0&amp;row=77&amp;col=11&amp;number=1.76&amp;sourceID=58","1.76")</f>
        <v>1.76</v>
      </c>
      <c r="L77" s="4" t="str">
        <f>HYPERLINK("http://141.218.60.56/~jnz1568/getInfo.php?workbook=16_15.xlsx&amp;sheet=U0&amp;row=77&amp;col=12&amp;number=4.6&amp;sourceID=59","4.6")</f>
        <v>4.6</v>
      </c>
      <c r="M77" s="4" t="str">
        <f>HYPERLINK("http://141.218.60.56/~jnz1568/getInfo.php?workbook=16_15.xlsx&amp;sheet=U0&amp;row=77&amp;col=13&amp;number=1.51&amp;sourceID=59","1.51")</f>
        <v>1.51</v>
      </c>
    </row>
    <row r="78" spans="1:13">
      <c r="A78" s="3"/>
      <c r="B78" s="3"/>
      <c r="C78" s="3"/>
      <c r="D78" s="3"/>
      <c r="E78" s="3">
        <v>11</v>
      </c>
      <c r="F78" s="4" t="str">
        <f>HYPERLINK("http://141.218.60.56/~jnz1568/getInfo.php?workbook=16_15.xlsx&amp;sheet=U0&amp;row=78&amp;col=6&amp;number=4.17609125906&amp;sourceID=51","4.17609125906")</f>
        <v>4.17609125906</v>
      </c>
      <c r="G78" s="4" t="str">
        <f>HYPERLINK("http://141.218.60.56/~jnz1568/getInfo.php?workbook=16_15.xlsx&amp;sheet=U0&amp;row=78&amp;col=7&amp;number=1.92260544235&amp;sourceID=51","1.92260544235")</f>
        <v>1.92260544235</v>
      </c>
      <c r="H78" s="4" t="str">
        <f>HYPERLINK("http://141.218.60.56/~jnz1568/getInfo.php?workbook=16_15.xlsx&amp;sheet=U0&amp;row=78&amp;col=8&amp;number=5&amp;sourceID=53","5")</f>
        <v>5</v>
      </c>
      <c r="I78" s="4" t="str">
        <f>HYPERLINK("http://141.218.60.56/~jnz1568/getInfo.php?workbook=16_15.xlsx&amp;sheet=U0&amp;row=78&amp;col=9&amp;number=1.45&amp;sourceID=53","1.45")</f>
        <v>1.45</v>
      </c>
      <c r="J78" s="4" t="str">
        <f>HYPERLINK("http://141.218.60.56/~jnz1568/getInfo.php?workbook=16_15.xlsx&amp;sheet=U0&amp;row=78&amp;col=10&amp;number=4.079&amp;sourceID=58","4.079")</f>
        <v>4.079</v>
      </c>
      <c r="K78" s="4" t="str">
        <f>HYPERLINK("http://141.218.60.56/~jnz1568/getInfo.php?workbook=16_15.xlsx&amp;sheet=U0&amp;row=78&amp;col=11&amp;number=1.77&amp;sourceID=58","1.77")</f>
        <v>1.77</v>
      </c>
      <c r="L78" s="4" t="str">
        <f>HYPERLINK("http://141.218.60.56/~jnz1568/getInfo.php?workbook=16_15.xlsx&amp;sheet=U0&amp;row=78&amp;col=12&amp;number=4.8&amp;sourceID=59","4.8")</f>
        <v>4.8</v>
      </c>
      <c r="M78" s="4" t="str">
        <f>HYPERLINK("http://141.218.60.56/~jnz1568/getInfo.php?workbook=16_15.xlsx&amp;sheet=U0&amp;row=78&amp;col=13&amp;number=1.46&amp;sourceID=59","1.46")</f>
        <v>1.46</v>
      </c>
    </row>
    <row r="79" spans="1:13">
      <c r="A79" s="3"/>
      <c r="B79" s="3"/>
      <c r="C79" s="3"/>
      <c r="D79" s="3"/>
      <c r="E79" s="3">
        <v>12</v>
      </c>
      <c r="F79" s="4" t="str">
        <f>HYPERLINK("http://141.218.60.56/~jnz1568/getInfo.php?workbook=16_15.xlsx&amp;sheet=U0&amp;row=79&amp;col=6&amp;number=4.20411998266&amp;sourceID=51","4.20411998266")</f>
        <v>4.20411998266</v>
      </c>
      <c r="G79" s="4" t="str">
        <f>HYPERLINK("http://141.218.60.56/~jnz1568/getInfo.php?workbook=16_15.xlsx&amp;sheet=U0&amp;row=79&amp;col=7&amp;number=1.9237664041&amp;sourceID=51","1.9237664041")</f>
        <v>1.9237664041</v>
      </c>
      <c r="H79" s="4" t="str">
        <f>HYPERLINK("http://141.218.60.56/~jnz1568/getInfo.php?workbook=16_15.xlsx&amp;sheet=U0&amp;row=79&amp;col=8&amp;number=&amp;sourceID=53","")</f>
        <v/>
      </c>
      <c r="I79" s="4" t="str">
        <f>HYPERLINK("http://141.218.60.56/~jnz1568/getInfo.php?workbook=16_15.xlsx&amp;sheet=U0&amp;row=79&amp;col=9&amp;number=&amp;sourceID=53","")</f>
        <v/>
      </c>
      <c r="J79" s="4" t="str">
        <f>HYPERLINK("http://141.218.60.56/~jnz1568/getInfo.php?workbook=16_15.xlsx&amp;sheet=U0&amp;row=79&amp;col=10&amp;number=4.146&amp;sourceID=58","4.146")</f>
        <v>4.146</v>
      </c>
      <c r="K79" s="4" t="str">
        <f>HYPERLINK("http://141.218.60.56/~jnz1568/getInfo.php?workbook=16_15.xlsx&amp;sheet=U0&amp;row=79&amp;col=11&amp;number=1.76&amp;sourceID=58","1.76")</f>
        <v>1.76</v>
      </c>
      <c r="L79" s="4" t="str">
        <f>HYPERLINK("http://141.218.60.56/~jnz1568/getInfo.php?workbook=16_15.xlsx&amp;sheet=U0&amp;row=79&amp;col=12&amp;number=5&amp;sourceID=59","5")</f>
        <v>5</v>
      </c>
      <c r="M79" s="4" t="str">
        <f>HYPERLINK("http://141.218.60.56/~jnz1568/getInfo.php?workbook=16_15.xlsx&amp;sheet=U0&amp;row=79&amp;col=13&amp;number=1.42&amp;sourceID=59","1.42")</f>
        <v>1.42</v>
      </c>
    </row>
    <row r="80" spans="1:13">
      <c r="A80" s="3"/>
      <c r="B80" s="3"/>
      <c r="C80" s="3"/>
      <c r="D80" s="3"/>
      <c r="E80" s="3">
        <v>13</v>
      </c>
      <c r="F80" s="4" t="str">
        <f>HYPERLINK("http://141.218.60.56/~jnz1568/getInfo.php?workbook=16_15.xlsx&amp;sheet=U0&amp;row=80&amp;col=6&amp;number=4.23044892138&amp;sourceID=51","4.23044892138")</f>
        <v>4.23044892138</v>
      </c>
      <c r="G80" s="4" t="str">
        <f>HYPERLINK("http://141.218.60.56/~jnz1568/getInfo.php?workbook=16_15.xlsx&amp;sheet=U0&amp;row=80&amp;col=7&amp;number=1.9243419505&amp;sourceID=51","1.9243419505")</f>
        <v>1.9243419505</v>
      </c>
      <c r="H80" s="4" t="str">
        <f>HYPERLINK("http://141.218.60.56/~jnz1568/getInfo.php?workbook=16_15.xlsx&amp;sheet=U0&amp;row=80&amp;col=8&amp;number=&amp;sourceID=53","")</f>
        <v/>
      </c>
      <c r="I80" s="4" t="str">
        <f>HYPERLINK("http://141.218.60.56/~jnz1568/getInfo.php?workbook=16_15.xlsx&amp;sheet=U0&amp;row=80&amp;col=9&amp;number=&amp;sourceID=53","")</f>
        <v/>
      </c>
      <c r="J80" s="4" t="str">
        <f>HYPERLINK("http://141.218.60.56/~jnz1568/getInfo.php?workbook=16_15.xlsx&amp;sheet=U0&amp;row=80&amp;col=10&amp;number=4.204&amp;sourceID=58","4.204")</f>
        <v>4.204</v>
      </c>
      <c r="K80" s="4" t="str">
        <f>HYPERLINK("http://141.218.60.56/~jnz1568/getInfo.php?workbook=16_15.xlsx&amp;sheet=U0&amp;row=80&amp;col=11&amp;number=1.75&amp;sourceID=58","1.75")</f>
        <v>1.75</v>
      </c>
      <c r="L80" s="4" t="str">
        <f>HYPERLINK("http://141.218.60.56/~jnz1568/getInfo.php?workbook=16_15.xlsx&amp;sheet=U0&amp;row=80&amp;col=12&amp;number=&amp;sourceID=59","")</f>
        <v/>
      </c>
      <c r="M80" s="4" t="str">
        <f>HYPERLINK("http://141.218.60.56/~jnz1568/getInfo.php?workbook=16_15.xlsx&amp;sheet=U0&amp;row=80&amp;col=13&amp;number=&amp;sourceID=59","")</f>
        <v/>
      </c>
    </row>
    <row r="81" spans="1:13">
      <c r="A81" s="3"/>
      <c r="B81" s="3"/>
      <c r="C81" s="3"/>
      <c r="D81" s="3"/>
      <c r="E81" s="3">
        <v>14</v>
      </c>
      <c r="F81" s="4" t="str">
        <f>HYPERLINK("http://141.218.60.56/~jnz1568/getInfo.php?workbook=16_15.xlsx&amp;sheet=U0&amp;row=81&amp;col=6&amp;number=4.2552725051&amp;sourceID=51","4.2552725051")</f>
        <v>4.2552725051</v>
      </c>
      <c r="G81" s="4" t="str">
        <f>HYPERLINK("http://141.218.60.56/~jnz1568/getInfo.php?workbook=16_15.xlsx&amp;sheet=U0&amp;row=81&amp;col=7&amp;number=1.92436755335&amp;sourceID=51","1.92436755335")</f>
        <v>1.92436755335</v>
      </c>
      <c r="H81" s="4" t="str">
        <f>HYPERLINK("http://141.218.60.56/~jnz1568/getInfo.php?workbook=16_15.xlsx&amp;sheet=U0&amp;row=81&amp;col=8&amp;number=&amp;sourceID=53","")</f>
        <v/>
      </c>
      <c r="I81" s="4" t="str">
        <f>HYPERLINK("http://141.218.60.56/~jnz1568/getInfo.php?workbook=16_15.xlsx&amp;sheet=U0&amp;row=81&amp;col=9&amp;number=&amp;sourceID=53","")</f>
        <v/>
      </c>
      <c r="J81" s="4" t="str">
        <f>HYPERLINK("http://141.218.60.56/~jnz1568/getInfo.php?workbook=16_15.xlsx&amp;sheet=U0&amp;row=81&amp;col=10&amp;number=4.255&amp;sourceID=58","4.255")</f>
        <v>4.255</v>
      </c>
      <c r="K81" s="4" t="str">
        <f>HYPERLINK("http://141.218.60.56/~jnz1568/getInfo.php?workbook=16_15.xlsx&amp;sheet=U0&amp;row=81&amp;col=11&amp;number=1.74&amp;sourceID=58","1.74")</f>
        <v>1.74</v>
      </c>
      <c r="L81" s="4" t="str">
        <f>HYPERLINK("http://141.218.60.56/~jnz1568/getInfo.php?workbook=16_15.xlsx&amp;sheet=U0&amp;row=81&amp;col=12&amp;number=&amp;sourceID=59","")</f>
        <v/>
      </c>
      <c r="M81" s="4" t="str">
        <f>HYPERLINK("http://141.218.60.56/~jnz1568/getInfo.php?workbook=16_15.xlsx&amp;sheet=U0&amp;row=81&amp;col=13&amp;number=&amp;sourceID=59","")</f>
        <v/>
      </c>
    </row>
    <row r="82" spans="1:13">
      <c r="A82" s="3"/>
      <c r="B82" s="3"/>
      <c r="C82" s="3"/>
      <c r="D82" s="3"/>
      <c r="E82" s="3">
        <v>15</v>
      </c>
      <c r="F82" s="4" t="str">
        <f>HYPERLINK("http://141.218.60.56/~jnz1568/getInfo.php?workbook=16_15.xlsx&amp;sheet=U0&amp;row=82&amp;col=6&amp;number=4.27875360095&amp;sourceID=51","4.27875360095")</f>
        <v>4.27875360095</v>
      </c>
      <c r="G82" s="4" t="str">
        <f>HYPERLINK("http://141.218.60.56/~jnz1568/getInfo.php?workbook=16_15.xlsx&amp;sheet=U0&amp;row=82&amp;col=7&amp;number=1.92387220189&amp;sourceID=51","1.92387220189")</f>
        <v>1.92387220189</v>
      </c>
      <c r="H82" s="4" t="str">
        <f>HYPERLINK("http://141.218.60.56/~jnz1568/getInfo.php?workbook=16_15.xlsx&amp;sheet=U0&amp;row=82&amp;col=8&amp;number=&amp;sourceID=53","")</f>
        <v/>
      </c>
      <c r="I82" s="4" t="str">
        <f>HYPERLINK("http://141.218.60.56/~jnz1568/getInfo.php?workbook=16_15.xlsx&amp;sheet=U0&amp;row=82&amp;col=9&amp;number=&amp;sourceID=53","")</f>
        <v/>
      </c>
      <c r="J82" s="4" t="str">
        <f>HYPERLINK("http://141.218.60.56/~jnz1568/getInfo.php?workbook=16_15.xlsx&amp;sheet=U0&amp;row=82&amp;col=10&amp;number=4.301&amp;sourceID=58","4.301")</f>
        <v>4.301</v>
      </c>
      <c r="K82" s="4" t="str">
        <f>HYPERLINK("http://141.218.60.56/~jnz1568/getInfo.php?workbook=16_15.xlsx&amp;sheet=U0&amp;row=82&amp;col=11&amp;number=1.73&amp;sourceID=58","1.73")</f>
        <v>1.73</v>
      </c>
      <c r="L82" s="4" t="str">
        <f>HYPERLINK("http://141.218.60.56/~jnz1568/getInfo.php?workbook=16_15.xlsx&amp;sheet=U0&amp;row=82&amp;col=12&amp;number=&amp;sourceID=59","")</f>
        <v/>
      </c>
      <c r="M82" s="4" t="str">
        <f>HYPERLINK("http://141.218.60.56/~jnz1568/getInfo.php?workbook=16_15.xlsx&amp;sheet=U0&amp;row=82&amp;col=13&amp;number=&amp;sourceID=59","")</f>
        <v/>
      </c>
    </row>
    <row r="83" spans="1:13">
      <c r="A83" s="3"/>
      <c r="B83" s="3"/>
      <c r="C83" s="3"/>
      <c r="D83" s="3"/>
      <c r="E83" s="3">
        <v>16</v>
      </c>
      <c r="F83" s="4" t="str">
        <f>HYPERLINK("http://141.218.60.56/~jnz1568/getInfo.php?workbook=16_15.xlsx&amp;sheet=U0&amp;row=83&amp;col=6&amp;number=4.30102999566&amp;sourceID=51","4.30102999566")</f>
        <v>4.30102999566</v>
      </c>
      <c r="G83" s="4" t="str">
        <f>HYPERLINK("http://141.218.60.56/~jnz1568/getInfo.php?workbook=16_15.xlsx&amp;sheet=U0&amp;row=83&amp;col=7&amp;number=1.92288002555&amp;sourceID=51","1.92288002555")</f>
        <v>1.92288002555</v>
      </c>
      <c r="H83" s="4" t="str">
        <f>HYPERLINK("http://141.218.60.56/~jnz1568/getInfo.php?workbook=16_15.xlsx&amp;sheet=U0&amp;row=83&amp;col=8&amp;number=&amp;sourceID=53","")</f>
        <v/>
      </c>
      <c r="I83" s="4" t="str">
        <f>HYPERLINK("http://141.218.60.56/~jnz1568/getInfo.php?workbook=16_15.xlsx&amp;sheet=U0&amp;row=83&amp;col=9&amp;number=&amp;sourceID=53","")</f>
        <v/>
      </c>
      <c r="J83" s="4" t="str">
        <f>HYPERLINK("http://141.218.60.56/~jnz1568/getInfo.php?workbook=16_15.xlsx&amp;sheet=U0&amp;row=83&amp;col=10&amp;number=&amp;sourceID=58","")</f>
        <v/>
      </c>
      <c r="K83" s="4" t="str">
        <f>HYPERLINK("http://141.218.60.56/~jnz1568/getInfo.php?workbook=16_15.xlsx&amp;sheet=U0&amp;row=83&amp;col=11&amp;number=&amp;sourceID=58","")</f>
        <v/>
      </c>
      <c r="L83" s="4" t="str">
        <f>HYPERLINK("http://141.218.60.56/~jnz1568/getInfo.php?workbook=16_15.xlsx&amp;sheet=U0&amp;row=83&amp;col=12&amp;number=&amp;sourceID=59","")</f>
        <v/>
      </c>
      <c r="M83" s="4" t="str">
        <f>HYPERLINK("http://141.218.60.56/~jnz1568/getInfo.php?workbook=16_15.xlsx&amp;sheet=U0&amp;row=83&amp;col=13&amp;number=&amp;sourceID=59","")</f>
        <v/>
      </c>
    </row>
    <row r="84" spans="1:13">
      <c r="A84" s="3">
        <v>16</v>
      </c>
      <c r="B84" s="3">
        <v>15</v>
      </c>
      <c r="C84" s="3">
        <v>4</v>
      </c>
      <c r="D84" s="3">
        <v>3</v>
      </c>
      <c r="E84" s="3">
        <v>1</v>
      </c>
      <c r="F84" s="4" t="str">
        <f>HYPERLINK("http://141.218.60.56/~jnz1568/getInfo.php?workbook=16_15.xlsx&amp;sheet=U0&amp;row=84&amp;col=6&amp;number=3.69897000434&amp;sourceID=51","3.69897000434")</f>
        <v>3.69897000434</v>
      </c>
      <c r="G84" s="4" t="str">
        <f>HYPERLINK("http://141.218.60.56/~jnz1568/getInfo.php?workbook=16_15.xlsx&amp;sheet=U0&amp;row=84&amp;col=7&amp;number=1.94891226765&amp;sourceID=51","1.94891226765")</f>
        <v>1.94891226765</v>
      </c>
      <c r="H84" s="4" t="str">
        <f>HYPERLINK("http://141.218.60.56/~jnz1568/getInfo.php?workbook=16_15.xlsx&amp;sheet=U0&amp;row=84&amp;col=8&amp;number=3.699&amp;sourceID=53","3.699")</f>
        <v>3.699</v>
      </c>
      <c r="I84" s="4" t="str">
        <f>HYPERLINK("http://141.218.60.56/~jnz1568/getInfo.php?workbook=16_15.xlsx&amp;sheet=U0&amp;row=84&amp;col=9&amp;number=1.79&amp;sourceID=53","1.79")</f>
        <v>1.79</v>
      </c>
      <c r="J84" s="4" t="str">
        <f>HYPERLINK("http://141.218.60.56/~jnz1568/getInfo.php?workbook=16_15.xlsx&amp;sheet=U0&amp;row=84&amp;col=10&amp;number=3&amp;sourceID=58","3")</f>
        <v>3</v>
      </c>
      <c r="K84" s="4" t="str">
        <f>HYPERLINK("http://141.218.60.56/~jnz1568/getInfo.php?workbook=16_15.xlsx&amp;sheet=U0&amp;row=84&amp;col=11&amp;number=1.61&amp;sourceID=58","1.61")</f>
        <v>1.61</v>
      </c>
      <c r="L84" s="4" t="str">
        <f>HYPERLINK("http://141.218.60.56/~jnz1568/getInfo.php?workbook=16_15.xlsx&amp;sheet=U0&amp;row=84&amp;col=12&amp;number=3.5&amp;sourceID=59","3.5")</f>
        <v>3.5</v>
      </c>
      <c r="M84" s="4" t="str">
        <f>HYPERLINK("http://141.218.60.56/~jnz1568/getInfo.php?workbook=16_15.xlsx&amp;sheet=U0&amp;row=84&amp;col=13&amp;number=2.46&amp;sourceID=59","2.46")</f>
        <v>2.46</v>
      </c>
    </row>
    <row r="85" spans="1:13">
      <c r="A85" s="3"/>
      <c r="B85" s="3"/>
      <c r="C85" s="3"/>
      <c r="D85" s="3"/>
      <c r="E85" s="3">
        <v>2</v>
      </c>
      <c r="F85" s="4" t="str">
        <f>HYPERLINK("http://141.218.60.56/~jnz1568/getInfo.php?workbook=16_15.xlsx&amp;sheet=U0&amp;row=85&amp;col=6&amp;number=3.77815125038&amp;sourceID=51","3.77815125038")</f>
        <v>3.77815125038</v>
      </c>
      <c r="G85" s="4" t="str">
        <f>HYPERLINK("http://141.218.60.56/~jnz1568/getInfo.php?workbook=16_15.xlsx&amp;sheet=U0&amp;row=85&amp;col=7&amp;number=1.96249405595&amp;sourceID=51","1.96249405595")</f>
        <v>1.96249405595</v>
      </c>
      <c r="H85" s="4" t="str">
        <f>HYPERLINK("http://141.218.60.56/~jnz1568/getInfo.php?workbook=16_15.xlsx&amp;sheet=U0&amp;row=85&amp;col=8&amp;number=3.845&amp;sourceID=53","3.845")</f>
        <v>3.845</v>
      </c>
      <c r="I85" s="4" t="str">
        <f>HYPERLINK("http://141.218.60.56/~jnz1568/getInfo.php?workbook=16_15.xlsx&amp;sheet=U0&amp;row=85&amp;col=9&amp;number=1.78&amp;sourceID=53","1.78")</f>
        <v>1.78</v>
      </c>
      <c r="J85" s="4" t="str">
        <f>HYPERLINK("http://141.218.60.56/~jnz1568/getInfo.php?workbook=16_15.xlsx&amp;sheet=U0&amp;row=85&amp;col=10&amp;number=3.301&amp;sourceID=58","3.301")</f>
        <v>3.301</v>
      </c>
      <c r="K85" s="4" t="str">
        <f>HYPERLINK("http://141.218.60.56/~jnz1568/getInfo.php?workbook=16_15.xlsx&amp;sheet=U0&amp;row=85&amp;col=11&amp;number=1.71&amp;sourceID=58","1.71")</f>
        <v>1.71</v>
      </c>
      <c r="L85" s="4" t="str">
        <f>HYPERLINK("http://141.218.60.56/~jnz1568/getInfo.php?workbook=16_15.xlsx&amp;sheet=U0&amp;row=85&amp;col=12&amp;number=3.6&amp;sourceID=59","3.6")</f>
        <v>3.6</v>
      </c>
      <c r="M85" s="4" t="str">
        <f>HYPERLINK("http://141.218.60.56/~jnz1568/getInfo.php?workbook=16_15.xlsx&amp;sheet=U0&amp;row=85&amp;col=13&amp;number=2.42&amp;sourceID=59","2.42")</f>
        <v>2.42</v>
      </c>
    </row>
    <row r="86" spans="1:13">
      <c r="A86" s="3"/>
      <c r="B86" s="3"/>
      <c r="C86" s="3"/>
      <c r="D86" s="3"/>
      <c r="E86" s="3">
        <v>3</v>
      </c>
      <c r="F86" s="4" t="str">
        <f>HYPERLINK("http://141.218.60.56/~jnz1568/getInfo.php?workbook=16_15.xlsx&amp;sheet=U0&amp;row=86&amp;col=6&amp;number=3.84509804001&amp;sourceID=51","3.84509804001")</f>
        <v>3.84509804001</v>
      </c>
      <c r="G86" s="4" t="str">
        <f>HYPERLINK("http://141.218.60.56/~jnz1568/getInfo.php?workbook=16_15.xlsx&amp;sheet=U0&amp;row=86&amp;col=7&amp;number=1.97394053313&amp;sourceID=51","1.97394053313")</f>
        <v>1.97394053313</v>
      </c>
      <c r="H86" s="4" t="str">
        <f>HYPERLINK("http://141.218.60.56/~jnz1568/getInfo.php?workbook=16_15.xlsx&amp;sheet=U0&amp;row=86&amp;col=8&amp;number=4&amp;sourceID=53","4")</f>
        <v>4</v>
      </c>
      <c r="I86" s="4" t="str">
        <f>HYPERLINK("http://141.218.60.56/~jnz1568/getInfo.php?workbook=16_15.xlsx&amp;sheet=U0&amp;row=86&amp;col=9&amp;number=1.78&amp;sourceID=53","1.78")</f>
        <v>1.78</v>
      </c>
      <c r="J86" s="4" t="str">
        <f>HYPERLINK("http://141.218.60.56/~jnz1568/getInfo.php?workbook=16_15.xlsx&amp;sheet=U0&amp;row=86&amp;col=10&amp;number=3.477&amp;sourceID=58","3.477")</f>
        <v>3.477</v>
      </c>
      <c r="K86" s="4" t="str">
        <f>HYPERLINK("http://141.218.60.56/~jnz1568/getInfo.php?workbook=16_15.xlsx&amp;sheet=U0&amp;row=86&amp;col=11&amp;number=1.79&amp;sourceID=58","1.79")</f>
        <v>1.79</v>
      </c>
      <c r="L86" s="4" t="str">
        <f>HYPERLINK("http://141.218.60.56/~jnz1568/getInfo.php?workbook=16_15.xlsx&amp;sheet=U0&amp;row=86&amp;col=12&amp;number=3.7&amp;sourceID=59","3.7")</f>
        <v>3.7</v>
      </c>
      <c r="M86" s="4" t="str">
        <f>HYPERLINK("http://141.218.60.56/~jnz1568/getInfo.php?workbook=16_15.xlsx&amp;sheet=U0&amp;row=86&amp;col=13&amp;number=2.37&amp;sourceID=59","2.37")</f>
        <v>2.37</v>
      </c>
    </row>
    <row r="87" spans="1:13">
      <c r="A87" s="3"/>
      <c r="B87" s="3"/>
      <c r="C87" s="3"/>
      <c r="D87" s="3"/>
      <c r="E87" s="3">
        <v>4</v>
      </c>
      <c r="F87" s="4" t="str">
        <f>HYPERLINK("http://141.218.60.56/~jnz1568/getInfo.php?workbook=16_15.xlsx&amp;sheet=U0&amp;row=87&amp;col=6&amp;number=3.90308998699&amp;sourceID=51","3.90308998699")</f>
        <v>3.90308998699</v>
      </c>
      <c r="G87" s="4" t="str">
        <f>HYPERLINK("http://141.218.60.56/~jnz1568/getInfo.php?workbook=16_15.xlsx&amp;sheet=U0&amp;row=87&amp;col=7&amp;number=1.98366534825&amp;sourceID=51","1.98366534825")</f>
        <v>1.98366534825</v>
      </c>
      <c r="H87" s="4" t="str">
        <f>HYPERLINK("http://141.218.60.56/~jnz1568/getInfo.php?workbook=16_15.xlsx&amp;sheet=U0&amp;row=87&amp;col=8&amp;number=4.176&amp;sourceID=53","4.176")</f>
        <v>4.176</v>
      </c>
      <c r="I87" s="4" t="str">
        <f>HYPERLINK("http://141.218.60.56/~jnz1568/getInfo.php?workbook=16_15.xlsx&amp;sheet=U0&amp;row=87&amp;col=9&amp;number=1.77&amp;sourceID=53","1.77")</f>
        <v>1.77</v>
      </c>
      <c r="J87" s="4" t="str">
        <f>HYPERLINK("http://141.218.60.56/~jnz1568/getInfo.php?workbook=16_15.xlsx&amp;sheet=U0&amp;row=87&amp;col=10&amp;number=3.602&amp;sourceID=58","3.602")</f>
        <v>3.602</v>
      </c>
      <c r="K87" s="4" t="str">
        <f>HYPERLINK("http://141.218.60.56/~jnz1568/getInfo.php?workbook=16_15.xlsx&amp;sheet=U0&amp;row=87&amp;col=11&amp;number=1.85&amp;sourceID=58","1.85")</f>
        <v>1.85</v>
      </c>
      <c r="L87" s="4" t="str">
        <f>HYPERLINK("http://141.218.60.56/~jnz1568/getInfo.php?workbook=16_15.xlsx&amp;sheet=U0&amp;row=87&amp;col=12&amp;number=3.8&amp;sourceID=59","3.8")</f>
        <v>3.8</v>
      </c>
      <c r="M87" s="4" t="str">
        <f>HYPERLINK("http://141.218.60.56/~jnz1568/getInfo.php?workbook=16_15.xlsx&amp;sheet=U0&amp;row=87&amp;col=13&amp;number=2.32&amp;sourceID=59","2.32")</f>
        <v>2.32</v>
      </c>
    </row>
    <row r="88" spans="1:13">
      <c r="A88" s="3"/>
      <c r="B88" s="3"/>
      <c r="C88" s="3"/>
      <c r="D88" s="3"/>
      <c r="E88" s="3">
        <v>5</v>
      </c>
      <c r="F88" s="4" t="str">
        <f>HYPERLINK("http://141.218.60.56/~jnz1568/getInfo.php?workbook=16_15.xlsx&amp;sheet=U0&amp;row=88&amp;col=6&amp;number=3.95424250944&amp;sourceID=51","3.95424250944")</f>
        <v>3.95424250944</v>
      </c>
      <c r="G88" s="4" t="str">
        <f>HYPERLINK("http://141.218.60.56/~jnz1568/getInfo.php?workbook=16_15.xlsx&amp;sheet=U0&amp;row=88&amp;col=7&amp;number=1.9919465321&amp;sourceID=51","1.9919465321")</f>
        <v>1.9919465321</v>
      </c>
      <c r="H88" s="4" t="str">
        <f>HYPERLINK("http://141.218.60.56/~jnz1568/getInfo.php?workbook=16_15.xlsx&amp;sheet=U0&amp;row=88&amp;col=8&amp;number=4.301&amp;sourceID=53","4.301")</f>
        <v>4.301</v>
      </c>
      <c r="I88" s="4" t="str">
        <f>HYPERLINK("http://141.218.60.56/~jnz1568/getInfo.php?workbook=16_15.xlsx&amp;sheet=U0&amp;row=88&amp;col=9&amp;number=1.76&amp;sourceID=53","1.76")</f>
        <v>1.76</v>
      </c>
      <c r="J88" s="4" t="str">
        <f>HYPERLINK("http://141.218.60.56/~jnz1568/getInfo.php?workbook=16_15.xlsx&amp;sheet=U0&amp;row=88&amp;col=10&amp;number=3.699&amp;sourceID=58","3.699")</f>
        <v>3.699</v>
      </c>
      <c r="K88" s="4" t="str">
        <f>HYPERLINK("http://141.218.60.56/~jnz1568/getInfo.php?workbook=16_15.xlsx&amp;sheet=U0&amp;row=88&amp;col=11&amp;number=1.9&amp;sourceID=58","1.9")</f>
        <v>1.9</v>
      </c>
      <c r="L88" s="4" t="str">
        <f>HYPERLINK("http://141.218.60.56/~jnz1568/getInfo.php?workbook=16_15.xlsx&amp;sheet=U0&amp;row=88&amp;col=12&amp;number=3.9&amp;sourceID=59","3.9")</f>
        <v>3.9</v>
      </c>
      <c r="M88" s="4" t="str">
        <f>HYPERLINK("http://141.218.60.56/~jnz1568/getInfo.php?workbook=16_15.xlsx&amp;sheet=U0&amp;row=88&amp;col=13&amp;number=2.26&amp;sourceID=59","2.26")</f>
        <v>2.26</v>
      </c>
    </row>
    <row r="89" spans="1:13">
      <c r="A89" s="3"/>
      <c r="B89" s="3"/>
      <c r="C89" s="3"/>
      <c r="D89" s="3"/>
      <c r="E89" s="3">
        <v>6</v>
      </c>
      <c r="F89" s="4" t="str">
        <f>HYPERLINK("http://141.218.60.56/~jnz1568/getInfo.php?workbook=16_15.xlsx&amp;sheet=U0&amp;row=89&amp;col=6&amp;number=4&amp;sourceID=51","4")</f>
        <v>4</v>
      </c>
      <c r="G89" s="4" t="str">
        <f>HYPERLINK("http://141.218.60.56/~jnz1568/getInfo.php?workbook=16_15.xlsx&amp;sheet=U0&amp;row=89&amp;col=7&amp;number=1.99899234575&amp;sourceID=51","1.99899234575")</f>
        <v>1.99899234575</v>
      </c>
      <c r="H89" s="4" t="str">
        <f>HYPERLINK("http://141.218.60.56/~jnz1568/getInfo.php?workbook=16_15.xlsx&amp;sheet=U0&amp;row=89&amp;col=8&amp;number=4.398&amp;sourceID=53","4.398")</f>
        <v>4.398</v>
      </c>
      <c r="I89" s="4" t="str">
        <f>HYPERLINK("http://141.218.60.56/~jnz1568/getInfo.php?workbook=16_15.xlsx&amp;sheet=U0&amp;row=89&amp;col=9&amp;number=1.76&amp;sourceID=53","1.76")</f>
        <v>1.76</v>
      </c>
      <c r="J89" s="4" t="str">
        <f>HYPERLINK("http://141.218.60.56/~jnz1568/getInfo.php?workbook=16_15.xlsx&amp;sheet=U0&amp;row=89&amp;col=10&amp;number=3.778&amp;sourceID=58","3.778")</f>
        <v>3.778</v>
      </c>
      <c r="K89" s="4" t="str">
        <f>HYPERLINK("http://141.218.60.56/~jnz1568/getInfo.php?workbook=16_15.xlsx&amp;sheet=U0&amp;row=89&amp;col=11&amp;number=1.93&amp;sourceID=58","1.93")</f>
        <v>1.93</v>
      </c>
      <c r="L89" s="4" t="str">
        <f>HYPERLINK("http://141.218.60.56/~jnz1568/getInfo.php?workbook=16_15.xlsx&amp;sheet=U0&amp;row=89&amp;col=12&amp;number=4&amp;sourceID=59","4")</f>
        <v>4</v>
      </c>
      <c r="M89" s="4" t="str">
        <f>HYPERLINK("http://141.218.60.56/~jnz1568/getInfo.php?workbook=16_15.xlsx&amp;sheet=U0&amp;row=89&amp;col=13&amp;number=2.2&amp;sourceID=59","2.2")</f>
        <v>2.2</v>
      </c>
    </row>
    <row r="90" spans="1:13">
      <c r="A90" s="3"/>
      <c r="B90" s="3"/>
      <c r="C90" s="3"/>
      <c r="D90" s="3"/>
      <c r="E90" s="3">
        <v>7</v>
      </c>
      <c r="F90" s="4" t="str">
        <f>HYPERLINK("http://141.218.60.56/~jnz1568/getInfo.php?workbook=16_15.xlsx&amp;sheet=U0&amp;row=90&amp;col=6&amp;number=4.04139268516&amp;sourceID=51","4.04139268516")</f>
        <v>4.04139268516</v>
      </c>
      <c r="G90" s="4" t="str">
        <f>HYPERLINK("http://141.218.60.56/~jnz1568/getInfo.php?workbook=16_15.xlsx&amp;sheet=U0&amp;row=90&amp;col=7&amp;number=2.00496778231&amp;sourceID=51","2.00496778231")</f>
        <v>2.00496778231</v>
      </c>
      <c r="H90" s="4" t="str">
        <f>HYPERLINK("http://141.218.60.56/~jnz1568/getInfo.php?workbook=16_15.xlsx&amp;sheet=U0&amp;row=90&amp;col=8&amp;number=4.477&amp;sourceID=53","4.477")</f>
        <v>4.477</v>
      </c>
      <c r="I90" s="4" t="str">
        <f>HYPERLINK("http://141.218.60.56/~jnz1568/getInfo.php?workbook=16_15.xlsx&amp;sheet=U0&amp;row=90&amp;col=9&amp;number=1.75&amp;sourceID=53","1.75")</f>
        <v>1.75</v>
      </c>
      <c r="J90" s="4" t="str">
        <f>HYPERLINK("http://141.218.60.56/~jnz1568/getInfo.php?workbook=16_15.xlsx&amp;sheet=U0&amp;row=90&amp;col=10&amp;number=3.845&amp;sourceID=58","3.845")</f>
        <v>3.845</v>
      </c>
      <c r="K90" s="4" t="str">
        <f>HYPERLINK("http://141.218.60.56/~jnz1568/getInfo.php?workbook=16_15.xlsx&amp;sheet=U0&amp;row=90&amp;col=11&amp;number=1.95&amp;sourceID=58","1.95")</f>
        <v>1.95</v>
      </c>
      <c r="L90" s="4" t="str">
        <f>HYPERLINK("http://141.218.60.56/~jnz1568/getInfo.php?workbook=16_15.xlsx&amp;sheet=U0&amp;row=90&amp;col=12&amp;number=4.1&amp;sourceID=59","4.1")</f>
        <v>4.1</v>
      </c>
      <c r="M90" s="4" t="str">
        <f>HYPERLINK("http://141.218.60.56/~jnz1568/getInfo.php?workbook=16_15.xlsx&amp;sheet=U0&amp;row=90&amp;col=13&amp;number=2.14&amp;sourceID=59","2.14")</f>
        <v>2.14</v>
      </c>
    </row>
    <row r="91" spans="1:13">
      <c r="A91" s="3"/>
      <c r="B91" s="3"/>
      <c r="C91" s="3"/>
      <c r="D91" s="3"/>
      <c r="E91" s="3">
        <v>8</v>
      </c>
      <c r="F91" s="4" t="str">
        <f>HYPERLINK("http://141.218.60.56/~jnz1568/getInfo.php?workbook=16_15.xlsx&amp;sheet=U0&amp;row=91&amp;col=6&amp;number=4.07918124605&amp;sourceID=51","4.07918124605")</f>
        <v>4.07918124605</v>
      </c>
      <c r="G91" s="4" t="str">
        <f>HYPERLINK("http://141.218.60.56/~jnz1568/getInfo.php?workbook=16_15.xlsx&amp;sheet=U0&amp;row=91&amp;col=7&amp;number=2.01000554426&amp;sourceID=51","2.01000554426")</f>
        <v>2.01000554426</v>
      </c>
      <c r="H91" s="4" t="str">
        <f>HYPERLINK("http://141.218.60.56/~jnz1568/getInfo.php?workbook=16_15.xlsx&amp;sheet=U0&amp;row=91&amp;col=8&amp;number=4.602&amp;sourceID=53","4.602")</f>
        <v>4.602</v>
      </c>
      <c r="I91" s="4" t="str">
        <f>HYPERLINK("http://141.218.60.56/~jnz1568/getInfo.php?workbook=16_15.xlsx&amp;sheet=U0&amp;row=91&amp;col=9&amp;number=1.73&amp;sourceID=53","1.73")</f>
        <v>1.73</v>
      </c>
      <c r="J91" s="4" t="str">
        <f>HYPERLINK("http://141.218.60.56/~jnz1568/getInfo.php?workbook=16_15.xlsx&amp;sheet=U0&amp;row=91&amp;col=10&amp;number=3.903&amp;sourceID=58","3.903")</f>
        <v>3.903</v>
      </c>
      <c r="K91" s="4" t="str">
        <f>HYPERLINK("http://141.218.60.56/~jnz1568/getInfo.php?workbook=16_15.xlsx&amp;sheet=U0&amp;row=91&amp;col=11&amp;number=1.97&amp;sourceID=58","1.97")</f>
        <v>1.97</v>
      </c>
      <c r="L91" s="4" t="str">
        <f>HYPERLINK("http://141.218.60.56/~jnz1568/getInfo.php?workbook=16_15.xlsx&amp;sheet=U0&amp;row=91&amp;col=12&amp;number=4.2&amp;sourceID=59","4.2")</f>
        <v>4.2</v>
      </c>
      <c r="M91" s="4" t="str">
        <f>HYPERLINK("http://141.218.60.56/~jnz1568/getInfo.php?workbook=16_15.xlsx&amp;sheet=U0&amp;row=91&amp;col=13&amp;number=2.08&amp;sourceID=59","2.08")</f>
        <v>2.08</v>
      </c>
    </row>
    <row r="92" spans="1:13">
      <c r="A92" s="3"/>
      <c r="B92" s="3"/>
      <c r="C92" s="3"/>
      <c r="D92" s="3"/>
      <c r="E92" s="3">
        <v>9</v>
      </c>
      <c r="F92" s="4" t="str">
        <f>HYPERLINK("http://141.218.60.56/~jnz1568/getInfo.php?workbook=16_15.xlsx&amp;sheet=U0&amp;row=92&amp;col=6&amp;number=4.11394335231&amp;sourceID=51","4.11394335231")</f>
        <v>4.11394335231</v>
      </c>
      <c r="G92" s="4" t="str">
        <f>HYPERLINK("http://141.218.60.56/~jnz1568/getInfo.php?workbook=16_15.xlsx&amp;sheet=U0&amp;row=92&amp;col=7&amp;number=2.0142116246&amp;sourceID=51","2.0142116246")</f>
        <v>2.0142116246</v>
      </c>
      <c r="H92" s="4" t="str">
        <f>HYPERLINK("http://141.218.60.56/~jnz1568/getInfo.php?workbook=16_15.xlsx&amp;sheet=U0&amp;row=92&amp;col=8&amp;number=4.699&amp;sourceID=53","4.699")</f>
        <v>4.699</v>
      </c>
      <c r="I92" s="4" t="str">
        <f>HYPERLINK("http://141.218.60.56/~jnz1568/getInfo.php?workbook=16_15.xlsx&amp;sheet=U0&amp;row=92&amp;col=9&amp;number=1.7&amp;sourceID=53","1.7")</f>
        <v>1.7</v>
      </c>
      <c r="J92" s="4" t="str">
        <f>HYPERLINK("http://141.218.60.56/~jnz1568/getInfo.php?workbook=16_15.xlsx&amp;sheet=U0&amp;row=92&amp;col=10&amp;number=3.954&amp;sourceID=58","3.954")</f>
        <v>3.954</v>
      </c>
      <c r="K92" s="4" t="str">
        <f>HYPERLINK("http://141.218.60.56/~jnz1568/getInfo.php?workbook=16_15.xlsx&amp;sheet=U0&amp;row=92&amp;col=11&amp;number=1.98&amp;sourceID=58","1.98")</f>
        <v>1.98</v>
      </c>
      <c r="L92" s="4" t="str">
        <f>HYPERLINK("http://141.218.60.56/~jnz1568/getInfo.php?workbook=16_15.xlsx&amp;sheet=U0&amp;row=92&amp;col=12&amp;number=4.4&amp;sourceID=59","4.4")</f>
        <v>4.4</v>
      </c>
      <c r="M92" s="4" t="str">
        <f>HYPERLINK("http://141.218.60.56/~jnz1568/getInfo.php?workbook=16_15.xlsx&amp;sheet=U0&amp;row=92&amp;col=13&amp;number=1.97&amp;sourceID=59","1.97")</f>
        <v>1.97</v>
      </c>
    </row>
    <row r="93" spans="1:13">
      <c r="A93" s="3"/>
      <c r="B93" s="3"/>
      <c r="C93" s="3"/>
      <c r="D93" s="3"/>
      <c r="E93" s="3">
        <v>10</v>
      </c>
      <c r="F93" s="4" t="str">
        <f>HYPERLINK("http://141.218.60.56/~jnz1568/getInfo.php?workbook=16_15.xlsx&amp;sheet=U0&amp;row=93&amp;col=6&amp;number=4.14612803568&amp;sourceID=51","4.14612803568")</f>
        <v>4.14612803568</v>
      </c>
      <c r="G93" s="4" t="str">
        <f>HYPERLINK("http://141.218.60.56/~jnz1568/getInfo.php?workbook=16_15.xlsx&amp;sheet=U0&amp;row=93&amp;col=7&amp;number=2.01766932927&amp;sourceID=51","2.01766932927")</f>
        <v>2.01766932927</v>
      </c>
      <c r="H93" s="4" t="str">
        <f>HYPERLINK("http://141.218.60.56/~jnz1568/getInfo.php?workbook=16_15.xlsx&amp;sheet=U0&amp;row=93&amp;col=8&amp;number=4.845&amp;sourceID=53","4.845")</f>
        <v>4.845</v>
      </c>
      <c r="I93" s="4" t="str">
        <f>HYPERLINK("http://141.218.60.56/~jnz1568/getInfo.php?workbook=16_15.xlsx&amp;sheet=U0&amp;row=93&amp;col=9&amp;number=1.63&amp;sourceID=53","1.63")</f>
        <v>1.63</v>
      </c>
      <c r="J93" s="4" t="str">
        <f>HYPERLINK("http://141.218.60.56/~jnz1568/getInfo.php?workbook=16_15.xlsx&amp;sheet=U0&amp;row=93&amp;col=10&amp;number=4&amp;sourceID=58","4")</f>
        <v>4</v>
      </c>
      <c r="K93" s="4" t="str">
        <f>HYPERLINK("http://141.218.60.56/~jnz1568/getInfo.php?workbook=16_15.xlsx&amp;sheet=U0&amp;row=93&amp;col=11&amp;number=1.99&amp;sourceID=58","1.99")</f>
        <v>1.99</v>
      </c>
      <c r="L93" s="4" t="str">
        <f>HYPERLINK("http://141.218.60.56/~jnz1568/getInfo.php?workbook=16_15.xlsx&amp;sheet=U0&amp;row=93&amp;col=12&amp;number=4.6&amp;sourceID=59","4.6")</f>
        <v>4.6</v>
      </c>
      <c r="M93" s="4" t="str">
        <f>HYPERLINK("http://141.218.60.56/~jnz1568/getInfo.php?workbook=16_15.xlsx&amp;sheet=U0&amp;row=93&amp;col=13&amp;number=1.88&amp;sourceID=59","1.88")</f>
        <v>1.88</v>
      </c>
    </row>
    <row r="94" spans="1:13">
      <c r="A94" s="3"/>
      <c r="B94" s="3"/>
      <c r="C94" s="3"/>
      <c r="D94" s="3"/>
      <c r="E94" s="3">
        <v>11</v>
      </c>
      <c r="F94" s="4" t="str">
        <f>HYPERLINK("http://141.218.60.56/~jnz1568/getInfo.php?workbook=16_15.xlsx&amp;sheet=U0&amp;row=94&amp;col=6&amp;number=4.17609125906&amp;sourceID=51","4.17609125906")</f>
        <v>4.17609125906</v>
      </c>
      <c r="G94" s="4" t="str">
        <f>HYPERLINK("http://141.218.60.56/~jnz1568/getInfo.php?workbook=16_15.xlsx&amp;sheet=U0&amp;row=94&amp;col=7&amp;number=2.02044296626&amp;sourceID=51","2.02044296626")</f>
        <v>2.02044296626</v>
      </c>
      <c r="H94" s="4" t="str">
        <f>HYPERLINK("http://141.218.60.56/~jnz1568/getInfo.php?workbook=16_15.xlsx&amp;sheet=U0&amp;row=94&amp;col=8&amp;number=5&amp;sourceID=53","5")</f>
        <v>5</v>
      </c>
      <c r="I94" s="4" t="str">
        <f>HYPERLINK("http://141.218.60.56/~jnz1568/getInfo.php?workbook=16_15.xlsx&amp;sheet=U0&amp;row=94&amp;col=9&amp;number=1.53&amp;sourceID=53","1.53")</f>
        <v>1.53</v>
      </c>
      <c r="J94" s="4" t="str">
        <f>HYPERLINK("http://141.218.60.56/~jnz1568/getInfo.php?workbook=16_15.xlsx&amp;sheet=U0&amp;row=94&amp;col=10&amp;number=4.079&amp;sourceID=58","4.079")</f>
        <v>4.079</v>
      </c>
      <c r="K94" s="4" t="str">
        <f>HYPERLINK("http://141.218.60.56/~jnz1568/getInfo.php?workbook=16_15.xlsx&amp;sheet=U0&amp;row=94&amp;col=11&amp;number=1.99&amp;sourceID=58","1.99")</f>
        <v>1.99</v>
      </c>
      <c r="L94" s="4" t="str">
        <f>HYPERLINK("http://141.218.60.56/~jnz1568/getInfo.php?workbook=16_15.xlsx&amp;sheet=U0&amp;row=94&amp;col=12&amp;number=4.8&amp;sourceID=59","4.8")</f>
        <v>4.8</v>
      </c>
      <c r="M94" s="4" t="str">
        <f>HYPERLINK("http://141.218.60.56/~jnz1568/getInfo.php?workbook=16_15.xlsx&amp;sheet=U0&amp;row=94&amp;col=13&amp;number=1.76&amp;sourceID=59","1.76")</f>
        <v>1.76</v>
      </c>
    </row>
    <row r="95" spans="1:13">
      <c r="A95" s="3"/>
      <c r="B95" s="3"/>
      <c r="C95" s="3"/>
      <c r="D95" s="3"/>
      <c r="E95" s="3">
        <v>12</v>
      </c>
      <c r="F95" s="4" t="str">
        <f>HYPERLINK("http://141.218.60.56/~jnz1568/getInfo.php?workbook=16_15.xlsx&amp;sheet=U0&amp;row=95&amp;col=6&amp;number=4.20411998266&amp;sourceID=51","4.20411998266")</f>
        <v>4.20411998266</v>
      </c>
      <c r="G95" s="4" t="str">
        <f>HYPERLINK("http://141.218.60.56/~jnz1568/getInfo.php?workbook=16_15.xlsx&amp;sheet=U0&amp;row=95&amp;col=7&amp;number=2.0225814302&amp;sourceID=51","2.0225814302")</f>
        <v>2.0225814302</v>
      </c>
      <c r="H95" s="4" t="str">
        <f>HYPERLINK("http://141.218.60.56/~jnz1568/getInfo.php?workbook=16_15.xlsx&amp;sheet=U0&amp;row=95&amp;col=8&amp;number=&amp;sourceID=53","")</f>
        <v/>
      </c>
      <c r="I95" s="4" t="str">
        <f>HYPERLINK("http://141.218.60.56/~jnz1568/getInfo.php?workbook=16_15.xlsx&amp;sheet=U0&amp;row=95&amp;col=9&amp;number=&amp;sourceID=53","")</f>
        <v/>
      </c>
      <c r="J95" s="4" t="str">
        <f>HYPERLINK("http://141.218.60.56/~jnz1568/getInfo.php?workbook=16_15.xlsx&amp;sheet=U0&amp;row=95&amp;col=10&amp;number=4.146&amp;sourceID=58","4.146")</f>
        <v>4.146</v>
      </c>
      <c r="K95" s="4" t="str">
        <f>HYPERLINK("http://141.218.60.56/~jnz1568/getInfo.php?workbook=16_15.xlsx&amp;sheet=U0&amp;row=95&amp;col=11&amp;number=1.99&amp;sourceID=58","1.99")</f>
        <v>1.99</v>
      </c>
      <c r="L95" s="4" t="str">
        <f>HYPERLINK("http://141.218.60.56/~jnz1568/getInfo.php?workbook=16_15.xlsx&amp;sheet=U0&amp;row=95&amp;col=12&amp;number=5&amp;sourceID=59","5")</f>
        <v>5</v>
      </c>
      <c r="M95" s="4" t="str">
        <f>HYPERLINK("http://141.218.60.56/~jnz1568/getInfo.php?workbook=16_15.xlsx&amp;sheet=U0&amp;row=95&amp;col=13&amp;number=1.64&amp;sourceID=59","1.64")</f>
        <v>1.64</v>
      </c>
    </row>
    <row r="96" spans="1:13">
      <c r="A96" s="3"/>
      <c r="B96" s="3"/>
      <c r="C96" s="3"/>
      <c r="D96" s="3"/>
      <c r="E96" s="3">
        <v>13</v>
      </c>
      <c r="F96" s="4" t="str">
        <f>HYPERLINK("http://141.218.60.56/~jnz1568/getInfo.php?workbook=16_15.xlsx&amp;sheet=U0&amp;row=96&amp;col=6&amp;number=4.23044892138&amp;sourceID=51","4.23044892138")</f>
        <v>4.23044892138</v>
      </c>
      <c r="G96" s="4" t="str">
        <f>HYPERLINK("http://141.218.60.56/~jnz1568/getInfo.php?workbook=16_15.xlsx&amp;sheet=U0&amp;row=96&amp;col=7&amp;number=2.0241215911&amp;sourceID=51","2.0241215911")</f>
        <v>2.0241215911</v>
      </c>
      <c r="H96" s="4" t="str">
        <f>HYPERLINK("http://141.218.60.56/~jnz1568/getInfo.php?workbook=16_15.xlsx&amp;sheet=U0&amp;row=96&amp;col=8&amp;number=&amp;sourceID=53","")</f>
        <v/>
      </c>
      <c r="I96" s="4" t="str">
        <f>HYPERLINK("http://141.218.60.56/~jnz1568/getInfo.php?workbook=16_15.xlsx&amp;sheet=U0&amp;row=96&amp;col=9&amp;number=&amp;sourceID=53","")</f>
        <v/>
      </c>
      <c r="J96" s="4" t="str">
        <f>HYPERLINK("http://141.218.60.56/~jnz1568/getInfo.php?workbook=16_15.xlsx&amp;sheet=U0&amp;row=96&amp;col=10&amp;number=4.204&amp;sourceID=58","4.204")</f>
        <v>4.204</v>
      </c>
      <c r="K96" s="4" t="str">
        <f>HYPERLINK("http://141.218.60.56/~jnz1568/getInfo.php?workbook=16_15.xlsx&amp;sheet=U0&amp;row=96&amp;col=11&amp;number=1.99&amp;sourceID=58","1.99")</f>
        <v>1.99</v>
      </c>
      <c r="L96" s="4" t="str">
        <f>HYPERLINK("http://141.218.60.56/~jnz1568/getInfo.php?workbook=16_15.xlsx&amp;sheet=U0&amp;row=96&amp;col=12&amp;number=&amp;sourceID=59","")</f>
        <v/>
      </c>
      <c r="M96" s="4" t="str">
        <f>HYPERLINK("http://141.218.60.56/~jnz1568/getInfo.php?workbook=16_15.xlsx&amp;sheet=U0&amp;row=96&amp;col=13&amp;number=&amp;sourceID=59","")</f>
        <v/>
      </c>
    </row>
    <row r="97" spans="1:13">
      <c r="A97" s="3"/>
      <c r="B97" s="3"/>
      <c r="C97" s="3"/>
      <c r="D97" s="3"/>
      <c r="E97" s="3">
        <v>14</v>
      </c>
      <c r="F97" s="4" t="str">
        <f>HYPERLINK("http://141.218.60.56/~jnz1568/getInfo.php?workbook=16_15.xlsx&amp;sheet=U0&amp;row=97&amp;col=6&amp;number=4.2552725051&amp;sourceID=51","4.2552725051")</f>
        <v>4.2552725051</v>
      </c>
      <c r="G97" s="4" t="str">
        <f>HYPERLINK("http://141.218.60.56/~jnz1568/getInfo.php?workbook=16_15.xlsx&amp;sheet=U0&amp;row=97&amp;col=7&amp;number=2.02509134406&amp;sourceID=51","2.02509134406")</f>
        <v>2.02509134406</v>
      </c>
      <c r="H97" s="4" t="str">
        <f>HYPERLINK("http://141.218.60.56/~jnz1568/getInfo.php?workbook=16_15.xlsx&amp;sheet=U0&amp;row=97&amp;col=8&amp;number=&amp;sourceID=53","")</f>
        <v/>
      </c>
      <c r="I97" s="4" t="str">
        <f>HYPERLINK("http://141.218.60.56/~jnz1568/getInfo.php?workbook=16_15.xlsx&amp;sheet=U0&amp;row=97&amp;col=9&amp;number=&amp;sourceID=53","")</f>
        <v/>
      </c>
      <c r="J97" s="4" t="str">
        <f>HYPERLINK("http://141.218.60.56/~jnz1568/getInfo.php?workbook=16_15.xlsx&amp;sheet=U0&amp;row=97&amp;col=10&amp;number=4.255&amp;sourceID=58","4.255")</f>
        <v>4.255</v>
      </c>
      <c r="K97" s="4" t="str">
        <f>HYPERLINK("http://141.218.60.56/~jnz1568/getInfo.php?workbook=16_15.xlsx&amp;sheet=U0&amp;row=97&amp;col=11&amp;number=1.98&amp;sourceID=58","1.98")</f>
        <v>1.98</v>
      </c>
      <c r="L97" s="4" t="str">
        <f>HYPERLINK("http://141.218.60.56/~jnz1568/getInfo.php?workbook=16_15.xlsx&amp;sheet=U0&amp;row=97&amp;col=12&amp;number=&amp;sourceID=59","")</f>
        <v/>
      </c>
      <c r="M97" s="4" t="str">
        <f>HYPERLINK("http://141.218.60.56/~jnz1568/getInfo.php?workbook=16_15.xlsx&amp;sheet=U0&amp;row=97&amp;col=13&amp;number=&amp;sourceID=59","")</f>
        <v/>
      </c>
    </row>
    <row r="98" spans="1:13">
      <c r="A98" s="3"/>
      <c r="B98" s="3"/>
      <c r="C98" s="3"/>
      <c r="D98" s="3"/>
      <c r="E98" s="3">
        <v>15</v>
      </c>
      <c r="F98" s="4" t="str">
        <f>HYPERLINK("http://141.218.60.56/~jnz1568/getInfo.php?workbook=16_15.xlsx&amp;sheet=U0&amp;row=98&amp;col=6&amp;number=4.27875360095&amp;sourceID=51","4.27875360095")</f>
        <v>4.27875360095</v>
      </c>
      <c r="G98" s="4" t="str">
        <f>HYPERLINK("http://141.218.60.56/~jnz1568/getInfo.php?workbook=16_15.xlsx&amp;sheet=U0&amp;row=98&amp;col=7&amp;number=2.02551222189&amp;sourceID=51","2.02551222189")</f>
        <v>2.02551222189</v>
      </c>
      <c r="H98" s="4" t="str">
        <f>HYPERLINK("http://141.218.60.56/~jnz1568/getInfo.php?workbook=16_15.xlsx&amp;sheet=U0&amp;row=98&amp;col=8&amp;number=&amp;sourceID=53","")</f>
        <v/>
      </c>
      <c r="I98" s="4" t="str">
        <f>HYPERLINK("http://141.218.60.56/~jnz1568/getInfo.php?workbook=16_15.xlsx&amp;sheet=U0&amp;row=98&amp;col=9&amp;number=&amp;sourceID=53","")</f>
        <v/>
      </c>
      <c r="J98" s="4" t="str">
        <f>HYPERLINK("http://141.218.60.56/~jnz1568/getInfo.php?workbook=16_15.xlsx&amp;sheet=U0&amp;row=98&amp;col=10&amp;number=4.301&amp;sourceID=58","4.301")</f>
        <v>4.301</v>
      </c>
      <c r="K98" s="4" t="str">
        <f>HYPERLINK("http://141.218.60.56/~jnz1568/getInfo.php?workbook=16_15.xlsx&amp;sheet=U0&amp;row=98&amp;col=11&amp;number=1.97&amp;sourceID=58","1.97")</f>
        <v>1.97</v>
      </c>
      <c r="L98" s="4" t="str">
        <f>HYPERLINK("http://141.218.60.56/~jnz1568/getInfo.php?workbook=16_15.xlsx&amp;sheet=U0&amp;row=98&amp;col=12&amp;number=&amp;sourceID=59","")</f>
        <v/>
      </c>
      <c r="M98" s="4" t="str">
        <f>HYPERLINK("http://141.218.60.56/~jnz1568/getInfo.php?workbook=16_15.xlsx&amp;sheet=U0&amp;row=98&amp;col=13&amp;number=&amp;sourceID=59","")</f>
        <v/>
      </c>
    </row>
    <row r="99" spans="1:13">
      <c r="A99" s="3"/>
      <c r="B99" s="3"/>
      <c r="C99" s="3"/>
      <c r="D99" s="3"/>
      <c r="E99" s="3">
        <v>16</v>
      </c>
      <c r="F99" s="4" t="str">
        <f>HYPERLINK("http://141.218.60.56/~jnz1568/getInfo.php?workbook=16_15.xlsx&amp;sheet=U0&amp;row=99&amp;col=6&amp;number=4.30102999566&amp;sourceID=51","4.30102999566")</f>
        <v>4.30102999566</v>
      </c>
      <c r="G99" s="4" t="str">
        <f>HYPERLINK("http://141.218.60.56/~jnz1568/getInfo.php?workbook=16_15.xlsx&amp;sheet=U0&amp;row=99&amp;col=7&amp;number=2.02540153055&amp;sourceID=51","2.02540153055")</f>
        <v>2.02540153055</v>
      </c>
      <c r="H99" s="4" t="str">
        <f>HYPERLINK("http://141.218.60.56/~jnz1568/getInfo.php?workbook=16_15.xlsx&amp;sheet=U0&amp;row=99&amp;col=8&amp;number=&amp;sourceID=53","")</f>
        <v/>
      </c>
      <c r="I99" s="4" t="str">
        <f>HYPERLINK("http://141.218.60.56/~jnz1568/getInfo.php?workbook=16_15.xlsx&amp;sheet=U0&amp;row=99&amp;col=9&amp;number=&amp;sourceID=53","")</f>
        <v/>
      </c>
      <c r="J99" s="4" t="str">
        <f>HYPERLINK("http://141.218.60.56/~jnz1568/getInfo.php?workbook=16_15.xlsx&amp;sheet=U0&amp;row=99&amp;col=10&amp;number=&amp;sourceID=58","")</f>
        <v/>
      </c>
      <c r="K99" s="4" t="str">
        <f>HYPERLINK("http://141.218.60.56/~jnz1568/getInfo.php?workbook=16_15.xlsx&amp;sheet=U0&amp;row=99&amp;col=11&amp;number=&amp;sourceID=58","")</f>
        <v/>
      </c>
      <c r="L99" s="4" t="str">
        <f>HYPERLINK("http://141.218.60.56/~jnz1568/getInfo.php?workbook=16_15.xlsx&amp;sheet=U0&amp;row=99&amp;col=12&amp;number=&amp;sourceID=59","")</f>
        <v/>
      </c>
      <c r="M99" s="4" t="str">
        <f>HYPERLINK("http://141.218.60.56/~jnz1568/getInfo.php?workbook=16_15.xlsx&amp;sheet=U0&amp;row=99&amp;col=13&amp;number=&amp;sourceID=59","")</f>
        <v/>
      </c>
    </row>
    <row r="100" spans="1:13">
      <c r="A100" s="3">
        <v>16</v>
      </c>
      <c r="B100" s="3">
        <v>15</v>
      </c>
      <c r="C100" s="3">
        <v>5</v>
      </c>
      <c r="D100" s="3">
        <v>1</v>
      </c>
      <c r="E100" s="3">
        <v>1</v>
      </c>
      <c r="F100" s="4" t="str">
        <f>HYPERLINK("http://141.218.60.56/~jnz1568/getInfo.php?workbook=16_15.xlsx&amp;sheet=U0&amp;row=100&amp;col=6&amp;number=3.69897000434&amp;sourceID=51","3.69897000434")</f>
        <v>3.69897000434</v>
      </c>
      <c r="G100" s="4" t="str">
        <f>HYPERLINK("http://141.218.60.56/~jnz1568/getInfo.php?workbook=16_15.xlsx&amp;sheet=U0&amp;row=100&amp;col=7&amp;number=1.35921052698&amp;sourceID=51","1.35921052698")</f>
        <v>1.35921052698</v>
      </c>
      <c r="H100" s="4" t="str">
        <f>HYPERLINK("http://141.218.60.56/~jnz1568/getInfo.php?workbook=16_15.xlsx&amp;sheet=U0&amp;row=100&amp;col=8&amp;number=3.699&amp;sourceID=53","3.699")</f>
        <v>3.699</v>
      </c>
      <c r="I100" s="4" t="str">
        <f>HYPERLINK("http://141.218.60.56/~jnz1568/getInfo.php?workbook=16_15.xlsx&amp;sheet=U0&amp;row=100&amp;col=9&amp;number=1.38&amp;sourceID=53","1.38")</f>
        <v>1.38</v>
      </c>
      <c r="J100" s="4" t="str">
        <f>HYPERLINK("http://141.218.60.56/~jnz1568/getInfo.php?workbook=16_15.xlsx&amp;sheet=U0&amp;row=100&amp;col=10&amp;number=3&amp;sourceID=58","3")</f>
        <v>3</v>
      </c>
      <c r="K100" s="4" t="str">
        <f>HYPERLINK("http://141.218.60.56/~jnz1568/getInfo.php?workbook=16_15.xlsx&amp;sheet=U0&amp;row=100&amp;col=11&amp;number=0.76&amp;sourceID=58","0.76")</f>
        <v>0.76</v>
      </c>
      <c r="L100" s="4" t="str">
        <f>HYPERLINK("http://141.218.60.56/~jnz1568/getInfo.php?workbook=16_15.xlsx&amp;sheet=U0&amp;row=100&amp;col=12&amp;number=3.5&amp;sourceID=59","3.5")</f>
        <v>3.5</v>
      </c>
      <c r="M100" s="4" t="str">
        <f>HYPERLINK("http://141.218.60.56/~jnz1568/getInfo.php?workbook=16_15.xlsx&amp;sheet=U0&amp;row=100&amp;col=13&amp;number=2.46&amp;sourceID=59","2.46")</f>
        <v>2.46</v>
      </c>
    </row>
    <row r="101" spans="1:13">
      <c r="A101" s="3"/>
      <c r="B101" s="3"/>
      <c r="C101" s="3"/>
      <c r="D101" s="3"/>
      <c r="E101" s="3">
        <v>2</v>
      </c>
      <c r="F101" s="4" t="str">
        <f>HYPERLINK("http://141.218.60.56/~jnz1568/getInfo.php?workbook=16_15.xlsx&amp;sheet=U0&amp;row=101&amp;col=6&amp;number=3.77815125038&amp;sourceID=51","3.77815125038")</f>
        <v>3.77815125038</v>
      </c>
      <c r="G101" s="4" t="str">
        <f>HYPERLINK("http://141.218.60.56/~jnz1568/getInfo.php?workbook=16_15.xlsx&amp;sheet=U0&amp;row=101&amp;col=7&amp;number=1.39854021162&amp;sourceID=51","1.39854021162")</f>
        <v>1.39854021162</v>
      </c>
      <c r="H101" s="4" t="str">
        <f>HYPERLINK("http://141.218.60.56/~jnz1568/getInfo.php?workbook=16_15.xlsx&amp;sheet=U0&amp;row=101&amp;col=8&amp;number=3.845&amp;sourceID=53","3.845")</f>
        <v>3.845</v>
      </c>
      <c r="I101" s="4" t="str">
        <f>HYPERLINK("http://141.218.60.56/~jnz1568/getInfo.php?workbook=16_15.xlsx&amp;sheet=U0&amp;row=101&amp;col=9&amp;number=1.39&amp;sourceID=53","1.39")</f>
        <v>1.39</v>
      </c>
      <c r="J101" s="4" t="str">
        <f>HYPERLINK("http://141.218.60.56/~jnz1568/getInfo.php?workbook=16_15.xlsx&amp;sheet=U0&amp;row=101&amp;col=10&amp;number=3.301&amp;sourceID=58","3.301")</f>
        <v>3.301</v>
      </c>
      <c r="K101" s="4" t="str">
        <f>HYPERLINK("http://141.218.60.56/~jnz1568/getInfo.php?workbook=16_15.xlsx&amp;sheet=U0&amp;row=101&amp;col=11&amp;number=0.85&amp;sourceID=58","0.85")</f>
        <v>0.85</v>
      </c>
      <c r="L101" s="4" t="str">
        <f>HYPERLINK("http://141.218.60.56/~jnz1568/getInfo.php?workbook=16_15.xlsx&amp;sheet=U0&amp;row=101&amp;col=12&amp;number=3.6&amp;sourceID=59","3.6")</f>
        <v>3.6</v>
      </c>
      <c r="M101" s="4" t="str">
        <f>HYPERLINK("http://141.218.60.56/~jnz1568/getInfo.php?workbook=16_15.xlsx&amp;sheet=U0&amp;row=101&amp;col=13&amp;number=2.47&amp;sourceID=59","2.47")</f>
        <v>2.47</v>
      </c>
    </row>
    <row r="102" spans="1:13">
      <c r="A102" s="3"/>
      <c r="B102" s="3"/>
      <c r="C102" s="3"/>
      <c r="D102" s="3"/>
      <c r="E102" s="3">
        <v>3</v>
      </c>
      <c r="F102" s="4" t="str">
        <f>HYPERLINK("http://141.218.60.56/~jnz1568/getInfo.php?workbook=16_15.xlsx&amp;sheet=U0&amp;row=102&amp;col=6&amp;number=3.84509804001&amp;sourceID=51","3.84509804001")</f>
        <v>3.84509804001</v>
      </c>
      <c r="G102" s="4" t="str">
        <f>HYPERLINK("http://141.218.60.56/~jnz1568/getInfo.php?workbook=16_15.xlsx&amp;sheet=U0&amp;row=102&amp;col=7&amp;number=1.43445146329&amp;sourceID=51","1.43445146329")</f>
        <v>1.43445146329</v>
      </c>
      <c r="H102" s="4" t="str">
        <f>HYPERLINK("http://141.218.60.56/~jnz1568/getInfo.php?workbook=16_15.xlsx&amp;sheet=U0&amp;row=102&amp;col=8&amp;number=4&amp;sourceID=53","4")</f>
        <v>4</v>
      </c>
      <c r="I102" s="4" t="str">
        <f>HYPERLINK("http://141.218.60.56/~jnz1568/getInfo.php?workbook=16_15.xlsx&amp;sheet=U0&amp;row=102&amp;col=9&amp;number=1.42&amp;sourceID=53","1.42")</f>
        <v>1.42</v>
      </c>
      <c r="J102" s="4" t="str">
        <f>HYPERLINK("http://141.218.60.56/~jnz1568/getInfo.php?workbook=16_15.xlsx&amp;sheet=U0&amp;row=102&amp;col=10&amp;number=3.477&amp;sourceID=58","3.477")</f>
        <v>3.477</v>
      </c>
      <c r="K102" s="4" t="str">
        <f>HYPERLINK("http://141.218.60.56/~jnz1568/getInfo.php?workbook=16_15.xlsx&amp;sheet=U0&amp;row=102&amp;col=11&amp;number=0.942&amp;sourceID=58","0.942")</f>
        <v>0.942</v>
      </c>
      <c r="L102" s="4" t="str">
        <f>HYPERLINK("http://141.218.60.56/~jnz1568/getInfo.php?workbook=16_15.xlsx&amp;sheet=U0&amp;row=102&amp;col=12&amp;number=3.7&amp;sourceID=59","3.7")</f>
        <v>3.7</v>
      </c>
      <c r="M102" s="4" t="str">
        <f>HYPERLINK("http://141.218.60.56/~jnz1568/getInfo.php?workbook=16_15.xlsx&amp;sheet=U0&amp;row=102&amp;col=13&amp;number=2.46&amp;sourceID=59","2.46")</f>
        <v>2.46</v>
      </c>
    </row>
    <row r="103" spans="1:13">
      <c r="A103" s="3"/>
      <c r="B103" s="3"/>
      <c r="C103" s="3"/>
      <c r="D103" s="3"/>
      <c r="E103" s="3">
        <v>4</v>
      </c>
      <c r="F103" s="4" t="str">
        <f>HYPERLINK("http://141.218.60.56/~jnz1568/getInfo.php?workbook=16_15.xlsx&amp;sheet=U0&amp;row=103&amp;col=6&amp;number=3.90308998699&amp;sourceID=51","3.90308998699")</f>
        <v>3.90308998699</v>
      </c>
      <c r="G103" s="4" t="str">
        <f>HYPERLINK("http://141.218.60.56/~jnz1568/getInfo.php?workbook=16_15.xlsx&amp;sheet=U0&amp;row=103&amp;col=7&amp;number=1.46733951753&amp;sourceID=51","1.46733951753")</f>
        <v>1.46733951753</v>
      </c>
      <c r="H103" s="4" t="str">
        <f>HYPERLINK("http://141.218.60.56/~jnz1568/getInfo.php?workbook=16_15.xlsx&amp;sheet=U0&amp;row=103&amp;col=8&amp;number=4.176&amp;sourceID=53","4.176")</f>
        <v>4.176</v>
      </c>
      <c r="I103" s="4" t="str">
        <f>HYPERLINK("http://141.218.60.56/~jnz1568/getInfo.php?workbook=16_15.xlsx&amp;sheet=U0&amp;row=103&amp;col=9&amp;number=1.44&amp;sourceID=53","1.44")</f>
        <v>1.44</v>
      </c>
      <c r="J103" s="4" t="str">
        <f>HYPERLINK("http://141.218.60.56/~jnz1568/getInfo.php?workbook=16_15.xlsx&amp;sheet=U0&amp;row=103&amp;col=10&amp;number=3.602&amp;sourceID=58","3.602")</f>
        <v>3.602</v>
      </c>
      <c r="K103" s="4" t="str">
        <f>HYPERLINK("http://141.218.60.56/~jnz1568/getInfo.php?workbook=16_15.xlsx&amp;sheet=U0&amp;row=103&amp;col=11&amp;number=1.03&amp;sourceID=58","1.03")</f>
        <v>1.03</v>
      </c>
      <c r="L103" s="4" t="str">
        <f>HYPERLINK("http://141.218.60.56/~jnz1568/getInfo.php?workbook=16_15.xlsx&amp;sheet=U0&amp;row=103&amp;col=12&amp;number=3.8&amp;sourceID=59","3.8")</f>
        <v>3.8</v>
      </c>
      <c r="M103" s="4" t="str">
        <f>HYPERLINK("http://141.218.60.56/~jnz1568/getInfo.php?workbook=16_15.xlsx&amp;sheet=U0&amp;row=103&amp;col=13&amp;number=2.44&amp;sourceID=59","2.44")</f>
        <v>2.44</v>
      </c>
    </row>
    <row r="104" spans="1:13">
      <c r="A104" s="3"/>
      <c r="B104" s="3"/>
      <c r="C104" s="3"/>
      <c r="D104" s="3"/>
      <c r="E104" s="3">
        <v>5</v>
      </c>
      <c r="F104" s="4" t="str">
        <f>HYPERLINK("http://141.218.60.56/~jnz1568/getInfo.php?workbook=16_15.xlsx&amp;sheet=U0&amp;row=104&amp;col=6&amp;number=3.95424250944&amp;sourceID=51","3.95424250944")</f>
        <v>3.95424250944</v>
      </c>
      <c r="G104" s="4" t="str">
        <f>HYPERLINK("http://141.218.60.56/~jnz1568/getInfo.php?workbook=16_15.xlsx&amp;sheet=U0&amp;row=104&amp;col=7&amp;number=1.49752299294&amp;sourceID=51","1.49752299294")</f>
        <v>1.49752299294</v>
      </c>
      <c r="H104" s="4" t="str">
        <f>HYPERLINK("http://141.218.60.56/~jnz1568/getInfo.php?workbook=16_15.xlsx&amp;sheet=U0&amp;row=104&amp;col=8&amp;number=4.301&amp;sourceID=53","4.301")</f>
        <v>4.301</v>
      </c>
      <c r="I104" s="4" t="str">
        <f>HYPERLINK("http://141.218.60.56/~jnz1568/getInfo.php?workbook=16_15.xlsx&amp;sheet=U0&amp;row=104&amp;col=9&amp;number=1.46&amp;sourceID=53","1.46")</f>
        <v>1.46</v>
      </c>
      <c r="J104" s="4" t="str">
        <f>HYPERLINK("http://141.218.60.56/~jnz1568/getInfo.php?workbook=16_15.xlsx&amp;sheet=U0&amp;row=104&amp;col=10&amp;number=3.699&amp;sourceID=58","3.699")</f>
        <v>3.699</v>
      </c>
      <c r="K104" s="4" t="str">
        <f>HYPERLINK("http://141.218.60.56/~jnz1568/getInfo.php?workbook=16_15.xlsx&amp;sheet=U0&amp;row=104&amp;col=11&amp;number=1.11&amp;sourceID=58","1.11")</f>
        <v>1.11</v>
      </c>
      <c r="L104" s="4" t="str">
        <f>HYPERLINK("http://141.218.60.56/~jnz1568/getInfo.php?workbook=16_15.xlsx&amp;sheet=U0&amp;row=104&amp;col=12&amp;number=3.9&amp;sourceID=59","3.9")</f>
        <v>3.9</v>
      </c>
      <c r="M104" s="4" t="str">
        <f>HYPERLINK("http://141.218.60.56/~jnz1568/getInfo.php?workbook=16_15.xlsx&amp;sheet=U0&amp;row=104&amp;col=13&amp;number=2.4&amp;sourceID=59","2.4")</f>
        <v>2.4</v>
      </c>
    </row>
    <row r="105" spans="1:13">
      <c r="A105" s="3"/>
      <c r="B105" s="3"/>
      <c r="C105" s="3"/>
      <c r="D105" s="3"/>
      <c r="E105" s="3">
        <v>6</v>
      </c>
      <c r="F105" s="4" t="str">
        <f>HYPERLINK("http://141.218.60.56/~jnz1568/getInfo.php?workbook=16_15.xlsx&amp;sheet=U0&amp;row=105&amp;col=6&amp;number=4&amp;sourceID=51","4")</f>
        <v>4</v>
      </c>
      <c r="G105" s="4" t="str">
        <f>HYPERLINK("http://141.218.60.56/~jnz1568/getInfo.php?workbook=16_15.xlsx&amp;sheet=U0&amp;row=105&amp;col=7&amp;number=1.52526490496&amp;sourceID=51","1.52526490496")</f>
        <v>1.52526490496</v>
      </c>
      <c r="H105" s="4" t="str">
        <f>HYPERLINK("http://141.218.60.56/~jnz1568/getInfo.php?workbook=16_15.xlsx&amp;sheet=U0&amp;row=105&amp;col=8&amp;number=4.398&amp;sourceID=53","4.398")</f>
        <v>4.398</v>
      </c>
      <c r="I105" s="4" t="str">
        <f>HYPERLINK("http://141.218.60.56/~jnz1568/getInfo.php?workbook=16_15.xlsx&amp;sheet=U0&amp;row=105&amp;col=9&amp;number=1.47&amp;sourceID=53","1.47")</f>
        <v>1.47</v>
      </c>
      <c r="J105" s="4" t="str">
        <f>HYPERLINK("http://141.218.60.56/~jnz1568/getInfo.php?workbook=16_15.xlsx&amp;sheet=U0&amp;row=105&amp;col=10&amp;number=3.778&amp;sourceID=58","3.778")</f>
        <v>3.778</v>
      </c>
      <c r="K105" s="4" t="str">
        <f>HYPERLINK("http://141.218.60.56/~jnz1568/getInfo.php?workbook=16_15.xlsx&amp;sheet=U0&amp;row=105&amp;col=11&amp;number=1.18&amp;sourceID=58","1.18")</f>
        <v>1.18</v>
      </c>
      <c r="L105" s="4" t="str">
        <f>HYPERLINK("http://141.218.60.56/~jnz1568/getInfo.php?workbook=16_15.xlsx&amp;sheet=U0&amp;row=105&amp;col=12&amp;number=4&amp;sourceID=59","4")</f>
        <v>4</v>
      </c>
      <c r="M105" s="4" t="str">
        <f>HYPERLINK("http://141.218.60.56/~jnz1568/getInfo.php?workbook=16_15.xlsx&amp;sheet=U0&amp;row=105&amp;col=13&amp;number=2.35&amp;sourceID=59","2.35")</f>
        <v>2.35</v>
      </c>
    </row>
    <row r="106" spans="1:13">
      <c r="A106" s="3"/>
      <c r="B106" s="3"/>
      <c r="C106" s="3"/>
      <c r="D106" s="3"/>
      <c r="E106" s="3">
        <v>7</v>
      </c>
      <c r="F106" s="4" t="str">
        <f>HYPERLINK("http://141.218.60.56/~jnz1568/getInfo.php?workbook=16_15.xlsx&amp;sheet=U0&amp;row=106&amp;col=6&amp;number=4.04139268516&amp;sourceID=51","4.04139268516")</f>
        <v>4.04139268516</v>
      </c>
      <c r="G106" s="4" t="str">
        <f>HYPERLINK("http://141.218.60.56/~jnz1568/getInfo.php?workbook=16_15.xlsx&amp;sheet=U0&amp;row=106&amp;col=7&amp;number=1.55078663856&amp;sourceID=51","1.55078663856")</f>
        <v>1.55078663856</v>
      </c>
      <c r="H106" s="4" t="str">
        <f>HYPERLINK("http://141.218.60.56/~jnz1568/getInfo.php?workbook=16_15.xlsx&amp;sheet=U0&amp;row=106&amp;col=8&amp;number=4.477&amp;sourceID=53","4.477")</f>
        <v>4.477</v>
      </c>
      <c r="I106" s="4" t="str">
        <f>HYPERLINK("http://141.218.60.56/~jnz1568/getInfo.php?workbook=16_15.xlsx&amp;sheet=U0&amp;row=106&amp;col=9&amp;number=1.48&amp;sourceID=53","1.48")</f>
        <v>1.48</v>
      </c>
      <c r="J106" s="4" t="str">
        <f>HYPERLINK("http://141.218.60.56/~jnz1568/getInfo.php?workbook=16_15.xlsx&amp;sheet=U0&amp;row=106&amp;col=10&amp;number=3.845&amp;sourceID=58","3.845")</f>
        <v>3.845</v>
      </c>
      <c r="K106" s="4" t="str">
        <f>HYPERLINK("http://141.218.60.56/~jnz1568/getInfo.php?workbook=16_15.xlsx&amp;sheet=U0&amp;row=106&amp;col=11&amp;number=1.24&amp;sourceID=58","1.24")</f>
        <v>1.24</v>
      </c>
      <c r="L106" s="4" t="str">
        <f>HYPERLINK("http://141.218.60.56/~jnz1568/getInfo.php?workbook=16_15.xlsx&amp;sheet=U0&amp;row=106&amp;col=12&amp;number=4.1&amp;sourceID=59","4.1")</f>
        <v>4.1</v>
      </c>
      <c r="M106" s="4" t="str">
        <f>HYPERLINK("http://141.218.60.56/~jnz1568/getInfo.php?workbook=16_15.xlsx&amp;sheet=U0&amp;row=106&amp;col=13&amp;number=2.29&amp;sourceID=59","2.29")</f>
        <v>2.29</v>
      </c>
    </row>
    <row r="107" spans="1:13">
      <c r="A107" s="3"/>
      <c r="B107" s="3"/>
      <c r="C107" s="3"/>
      <c r="D107" s="3"/>
      <c r="E107" s="3">
        <v>8</v>
      </c>
      <c r="F107" s="4" t="str">
        <f>HYPERLINK("http://141.218.60.56/~jnz1568/getInfo.php?workbook=16_15.xlsx&amp;sheet=U0&amp;row=107&amp;col=6&amp;number=4.07918124605&amp;sourceID=51","4.07918124605")</f>
        <v>4.07918124605</v>
      </c>
      <c r="G107" s="4" t="str">
        <f>HYPERLINK("http://141.218.60.56/~jnz1568/getInfo.php?workbook=16_15.xlsx&amp;sheet=U0&amp;row=107&amp;col=7&amp;number=1.57427654834&amp;sourceID=51","1.57427654834")</f>
        <v>1.57427654834</v>
      </c>
      <c r="H107" s="4" t="str">
        <f>HYPERLINK("http://141.218.60.56/~jnz1568/getInfo.php?workbook=16_15.xlsx&amp;sheet=U0&amp;row=107&amp;col=8&amp;number=4.602&amp;sourceID=53","4.602")</f>
        <v>4.602</v>
      </c>
      <c r="I107" s="4" t="str">
        <f>HYPERLINK("http://141.218.60.56/~jnz1568/getInfo.php?workbook=16_15.xlsx&amp;sheet=U0&amp;row=107&amp;col=9&amp;number=1.47&amp;sourceID=53","1.47")</f>
        <v>1.47</v>
      </c>
      <c r="J107" s="4" t="str">
        <f>HYPERLINK("http://141.218.60.56/~jnz1568/getInfo.php?workbook=16_15.xlsx&amp;sheet=U0&amp;row=107&amp;col=10&amp;number=3.903&amp;sourceID=58","3.903")</f>
        <v>3.903</v>
      </c>
      <c r="K107" s="4" t="str">
        <f>HYPERLINK("http://141.218.60.56/~jnz1568/getInfo.php?workbook=16_15.xlsx&amp;sheet=U0&amp;row=107&amp;col=11&amp;number=1.29&amp;sourceID=58","1.29")</f>
        <v>1.29</v>
      </c>
      <c r="L107" s="4" t="str">
        <f>HYPERLINK("http://141.218.60.56/~jnz1568/getInfo.php?workbook=16_15.xlsx&amp;sheet=U0&amp;row=107&amp;col=12&amp;number=4.2&amp;sourceID=59","4.2")</f>
        <v>4.2</v>
      </c>
      <c r="M107" s="4" t="str">
        <f>HYPERLINK("http://141.218.60.56/~jnz1568/getInfo.php?workbook=16_15.xlsx&amp;sheet=U0&amp;row=107&amp;col=13&amp;number=2.22&amp;sourceID=59","2.22")</f>
        <v>2.22</v>
      </c>
    </row>
    <row r="108" spans="1:13">
      <c r="A108" s="3"/>
      <c r="B108" s="3"/>
      <c r="C108" s="3"/>
      <c r="D108" s="3"/>
      <c r="E108" s="3">
        <v>9</v>
      </c>
      <c r="F108" s="4" t="str">
        <f>HYPERLINK("http://141.218.60.56/~jnz1568/getInfo.php?workbook=16_15.xlsx&amp;sheet=U0&amp;row=108&amp;col=6&amp;number=4.11394335231&amp;sourceID=51","4.11394335231")</f>
        <v>4.11394335231</v>
      </c>
      <c r="G108" s="4" t="str">
        <f>HYPERLINK("http://141.218.60.56/~jnz1568/getInfo.php?workbook=16_15.xlsx&amp;sheet=U0&amp;row=108&amp;col=7&amp;number=1.5958955799&amp;sourceID=51","1.5958955799")</f>
        <v>1.5958955799</v>
      </c>
      <c r="H108" s="4" t="str">
        <f>HYPERLINK("http://141.218.60.56/~jnz1568/getInfo.php?workbook=16_15.xlsx&amp;sheet=U0&amp;row=108&amp;col=8&amp;number=4.699&amp;sourceID=53","4.699")</f>
        <v>4.699</v>
      </c>
      <c r="I108" s="4" t="str">
        <f>HYPERLINK("http://141.218.60.56/~jnz1568/getInfo.php?workbook=16_15.xlsx&amp;sheet=U0&amp;row=108&amp;col=9&amp;number=1.43&amp;sourceID=53","1.43")</f>
        <v>1.43</v>
      </c>
      <c r="J108" s="4" t="str">
        <f>HYPERLINK("http://141.218.60.56/~jnz1568/getInfo.php?workbook=16_15.xlsx&amp;sheet=U0&amp;row=108&amp;col=10&amp;number=3.954&amp;sourceID=58","3.954")</f>
        <v>3.954</v>
      </c>
      <c r="K108" s="4" t="str">
        <f>HYPERLINK("http://141.218.60.56/~jnz1568/getInfo.php?workbook=16_15.xlsx&amp;sheet=U0&amp;row=108&amp;col=11&amp;number=1.34&amp;sourceID=58","1.34")</f>
        <v>1.34</v>
      </c>
      <c r="L108" s="4" t="str">
        <f>HYPERLINK("http://141.218.60.56/~jnz1568/getInfo.php?workbook=16_15.xlsx&amp;sheet=U0&amp;row=108&amp;col=12&amp;number=4.4&amp;sourceID=59","4.4")</f>
        <v>4.4</v>
      </c>
      <c r="M108" s="4" t="str">
        <f>HYPERLINK("http://141.218.60.56/~jnz1568/getInfo.php?workbook=16_15.xlsx&amp;sheet=U0&amp;row=108&amp;col=13&amp;number=2.09&amp;sourceID=59","2.09")</f>
        <v>2.09</v>
      </c>
    </row>
    <row r="109" spans="1:13">
      <c r="A109" s="3"/>
      <c r="B109" s="3"/>
      <c r="C109" s="3"/>
      <c r="D109" s="3"/>
      <c r="E109" s="3">
        <v>10</v>
      </c>
      <c r="F109" s="4" t="str">
        <f>HYPERLINK("http://141.218.60.56/~jnz1568/getInfo.php?workbook=16_15.xlsx&amp;sheet=U0&amp;row=109&amp;col=6&amp;number=4.14612803568&amp;sourceID=51","4.14612803568")</f>
        <v>4.14612803568</v>
      </c>
      <c r="G109" s="4" t="str">
        <f>HYPERLINK("http://141.218.60.56/~jnz1568/getInfo.php?workbook=16_15.xlsx&amp;sheet=U0&amp;row=109&amp;col=7&amp;number=1.61578149757&amp;sourceID=51","1.61578149757")</f>
        <v>1.61578149757</v>
      </c>
      <c r="H109" s="4" t="str">
        <f>HYPERLINK("http://141.218.60.56/~jnz1568/getInfo.php?workbook=16_15.xlsx&amp;sheet=U0&amp;row=109&amp;col=8&amp;number=4.845&amp;sourceID=53","4.845")</f>
        <v>4.845</v>
      </c>
      <c r="I109" s="4" t="str">
        <f>HYPERLINK("http://141.218.60.56/~jnz1568/getInfo.php?workbook=16_15.xlsx&amp;sheet=U0&amp;row=109&amp;col=9&amp;number=1.34&amp;sourceID=53","1.34")</f>
        <v>1.34</v>
      </c>
      <c r="J109" s="4" t="str">
        <f>HYPERLINK("http://141.218.60.56/~jnz1568/getInfo.php?workbook=16_15.xlsx&amp;sheet=U0&amp;row=109&amp;col=10&amp;number=4&amp;sourceID=58","4")</f>
        <v>4</v>
      </c>
      <c r="K109" s="4" t="str">
        <f>HYPERLINK("http://141.218.60.56/~jnz1568/getInfo.php?workbook=16_15.xlsx&amp;sheet=U0&amp;row=109&amp;col=11&amp;number=1.38&amp;sourceID=58","1.38")</f>
        <v>1.38</v>
      </c>
      <c r="L109" s="4" t="str">
        <f>HYPERLINK("http://141.218.60.56/~jnz1568/getInfo.php?workbook=16_15.xlsx&amp;sheet=U0&amp;row=109&amp;col=12&amp;number=4.6&amp;sourceID=59","4.6")</f>
        <v>4.6</v>
      </c>
      <c r="M109" s="4" t="str">
        <f>HYPERLINK("http://141.218.60.56/~jnz1568/getInfo.php?workbook=16_15.xlsx&amp;sheet=U0&amp;row=109&amp;col=13&amp;number=1.93&amp;sourceID=59","1.93")</f>
        <v>1.93</v>
      </c>
    </row>
    <row r="110" spans="1:13">
      <c r="A110" s="3"/>
      <c r="B110" s="3"/>
      <c r="C110" s="3"/>
      <c r="D110" s="3"/>
      <c r="E110" s="3">
        <v>11</v>
      </c>
      <c r="F110" s="4" t="str">
        <f>HYPERLINK("http://141.218.60.56/~jnz1568/getInfo.php?workbook=16_15.xlsx&amp;sheet=U0&amp;row=110&amp;col=6&amp;number=4.17609125906&amp;sourceID=51","4.17609125906")</f>
        <v>4.17609125906</v>
      </c>
      <c r="G110" s="4" t="str">
        <f>HYPERLINK("http://141.218.60.56/~jnz1568/getInfo.php?workbook=16_15.xlsx&amp;sheet=U0&amp;row=110&amp;col=7&amp;number=1.63405250244&amp;sourceID=51","1.63405250244")</f>
        <v>1.63405250244</v>
      </c>
      <c r="H110" s="4" t="str">
        <f>HYPERLINK("http://141.218.60.56/~jnz1568/getInfo.php?workbook=16_15.xlsx&amp;sheet=U0&amp;row=110&amp;col=8&amp;number=5&amp;sourceID=53","5")</f>
        <v>5</v>
      </c>
      <c r="I110" s="4" t="str">
        <f>HYPERLINK("http://141.218.60.56/~jnz1568/getInfo.php?workbook=16_15.xlsx&amp;sheet=U0&amp;row=110&amp;col=9&amp;number=1.19&amp;sourceID=53","1.19")</f>
        <v>1.19</v>
      </c>
      <c r="J110" s="4" t="str">
        <f>HYPERLINK("http://141.218.60.56/~jnz1568/getInfo.php?workbook=16_15.xlsx&amp;sheet=U0&amp;row=110&amp;col=10&amp;number=4.079&amp;sourceID=58","4.079")</f>
        <v>4.079</v>
      </c>
      <c r="K110" s="4" t="str">
        <f>HYPERLINK("http://141.218.60.56/~jnz1568/getInfo.php?workbook=16_15.xlsx&amp;sheet=U0&amp;row=110&amp;col=11&amp;number=1.45&amp;sourceID=58","1.45")</f>
        <v>1.45</v>
      </c>
      <c r="L110" s="4" t="str">
        <f>HYPERLINK("http://141.218.60.56/~jnz1568/getInfo.php?workbook=16_15.xlsx&amp;sheet=U0&amp;row=110&amp;col=12&amp;number=4.8&amp;sourceID=59","4.8")</f>
        <v>4.8</v>
      </c>
      <c r="M110" s="4" t="str">
        <f>HYPERLINK("http://141.218.60.56/~jnz1568/getInfo.php?workbook=16_15.xlsx&amp;sheet=U0&amp;row=110&amp;col=13&amp;number=1.72&amp;sourceID=59","1.72")</f>
        <v>1.72</v>
      </c>
    </row>
    <row r="111" spans="1:13">
      <c r="A111" s="3"/>
      <c r="B111" s="3"/>
      <c r="C111" s="3"/>
      <c r="D111" s="3"/>
      <c r="E111" s="3">
        <v>12</v>
      </c>
      <c r="F111" s="4" t="str">
        <f>HYPERLINK("http://141.218.60.56/~jnz1568/getInfo.php?workbook=16_15.xlsx&amp;sheet=U0&amp;row=111&amp;col=6&amp;number=4.20411998266&amp;sourceID=51","4.20411998266")</f>
        <v>4.20411998266</v>
      </c>
      <c r="G111" s="4" t="str">
        <f>HYPERLINK("http://141.218.60.56/~jnz1568/getInfo.php?workbook=16_15.xlsx&amp;sheet=U0&amp;row=111&amp;col=7&amp;number=1.6508105234&amp;sourceID=51","1.6508105234")</f>
        <v>1.6508105234</v>
      </c>
      <c r="H111" s="4" t="str">
        <f>HYPERLINK("http://141.218.60.56/~jnz1568/getInfo.php?workbook=16_15.xlsx&amp;sheet=U0&amp;row=111&amp;col=8&amp;number=&amp;sourceID=53","")</f>
        <v/>
      </c>
      <c r="I111" s="4" t="str">
        <f>HYPERLINK("http://141.218.60.56/~jnz1568/getInfo.php?workbook=16_15.xlsx&amp;sheet=U0&amp;row=111&amp;col=9&amp;number=&amp;sourceID=53","")</f>
        <v/>
      </c>
      <c r="J111" s="4" t="str">
        <f>HYPERLINK("http://141.218.60.56/~jnz1568/getInfo.php?workbook=16_15.xlsx&amp;sheet=U0&amp;row=111&amp;col=10&amp;number=4.146&amp;sourceID=58","4.146")</f>
        <v>4.146</v>
      </c>
      <c r="K111" s="4" t="str">
        <f>HYPERLINK("http://141.218.60.56/~jnz1568/getInfo.php?workbook=16_15.xlsx&amp;sheet=U0&amp;row=111&amp;col=11&amp;number=1.5&amp;sourceID=58","1.5")</f>
        <v>1.5</v>
      </c>
      <c r="L111" s="4" t="str">
        <f>HYPERLINK("http://141.218.60.56/~jnz1568/getInfo.php?workbook=16_15.xlsx&amp;sheet=U0&amp;row=111&amp;col=12&amp;number=5&amp;sourceID=59","5")</f>
        <v>5</v>
      </c>
      <c r="M111" s="4" t="str">
        <f>HYPERLINK("http://141.218.60.56/~jnz1568/getInfo.php?workbook=16_15.xlsx&amp;sheet=U0&amp;row=111&amp;col=13&amp;number=1.45&amp;sourceID=59","1.45")</f>
        <v>1.45</v>
      </c>
    </row>
    <row r="112" spans="1:13">
      <c r="A112" s="3"/>
      <c r="B112" s="3"/>
      <c r="C112" s="3"/>
      <c r="D112" s="3"/>
      <c r="E112" s="3">
        <v>13</v>
      </c>
      <c r="F112" s="4" t="str">
        <f>HYPERLINK("http://141.218.60.56/~jnz1568/getInfo.php?workbook=16_15.xlsx&amp;sheet=U0&amp;row=112&amp;col=6&amp;number=4.23044892138&amp;sourceID=51","4.23044892138")</f>
        <v>4.23044892138</v>
      </c>
      <c r="G112" s="4" t="str">
        <f>HYPERLINK("http://141.218.60.56/~jnz1568/getInfo.php?workbook=16_15.xlsx&amp;sheet=U0&amp;row=112&amp;col=7&amp;number=1.6661442197&amp;sourceID=51","1.6661442197")</f>
        <v>1.6661442197</v>
      </c>
      <c r="H112" s="4" t="str">
        <f>HYPERLINK("http://141.218.60.56/~jnz1568/getInfo.php?workbook=16_15.xlsx&amp;sheet=U0&amp;row=112&amp;col=8&amp;number=&amp;sourceID=53","")</f>
        <v/>
      </c>
      <c r="I112" s="4" t="str">
        <f>HYPERLINK("http://141.218.60.56/~jnz1568/getInfo.php?workbook=16_15.xlsx&amp;sheet=U0&amp;row=112&amp;col=9&amp;number=&amp;sourceID=53","")</f>
        <v/>
      </c>
      <c r="J112" s="4" t="str">
        <f>HYPERLINK("http://141.218.60.56/~jnz1568/getInfo.php?workbook=16_15.xlsx&amp;sheet=U0&amp;row=112&amp;col=10&amp;number=4.204&amp;sourceID=58","4.204")</f>
        <v>4.204</v>
      </c>
      <c r="K112" s="4" t="str">
        <f>HYPERLINK("http://141.218.60.56/~jnz1568/getInfo.php?workbook=16_15.xlsx&amp;sheet=U0&amp;row=112&amp;col=11&amp;number=1.54&amp;sourceID=58","1.54")</f>
        <v>1.54</v>
      </c>
      <c r="L112" s="4" t="str">
        <f>HYPERLINK("http://141.218.60.56/~jnz1568/getInfo.php?workbook=16_15.xlsx&amp;sheet=U0&amp;row=112&amp;col=12&amp;number=&amp;sourceID=59","")</f>
        <v/>
      </c>
      <c r="M112" s="4" t="str">
        <f>HYPERLINK("http://141.218.60.56/~jnz1568/getInfo.php?workbook=16_15.xlsx&amp;sheet=U0&amp;row=112&amp;col=13&amp;number=&amp;sourceID=59","")</f>
        <v/>
      </c>
    </row>
    <row r="113" spans="1:13">
      <c r="A113" s="3"/>
      <c r="B113" s="3"/>
      <c r="C113" s="3"/>
      <c r="D113" s="3"/>
      <c r="E113" s="3">
        <v>14</v>
      </c>
      <c r="F113" s="4" t="str">
        <f>HYPERLINK("http://141.218.60.56/~jnz1568/getInfo.php?workbook=16_15.xlsx&amp;sheet=U0&amp;row=113&amp;col=6&amp;number=4.2552725051&amp;sourceID=51","4.2552725051")</f>
        <v>4.2552725051</v>
      </c>
      <c r="G113" s="4" t="str">
        <f>HYPERLINK("http://141.218.60.56/~jnz1568/getInfo.php?workbook=16_15.xlsx&amp;sheet=U0&amp;row=113&amp;col=7&amp;number=1.68013165038&amp;sourceID=51","1.68013165038")</f>
        <v>1.68013165038</v>
      </c>
      <c r="H113" s="4" t="str">
        <f>HYPERLINK("http://141.218.60.56/~jnz1568/getInfo.php?workbook=16_15.xlsx&amp;sheet=U0&amp;row=113&amp;col=8&amp;number=&amp;sourceID=53","")</f>
        <v/>
      </c>
      <c r="I113" s="4" t="str">
        <f>HYPERLINK("http://141.218.60.56/~jnz1568/getInfo.php?workbook=16_15.xlsx&amp;sheet=U0&amp;row=113&amp;col=9&amp;number=&amp;sourceID=53","")</f>
        <v/>
      </c>
      <c r="J113" s="4" t="str">
        <f>HYPERLINK("http://141.218.60.56/~jnz1568/getInfo.php?workbook=16_15.xlsx&amp;sheet=U0&amp;row=113&amp;col=10&amp;number=4.255&amp;sourceID=58","4.255")</f>
        <v>4.255</v>
      </c>
      <c r="K113" s="4" t="str">
        <f>HYPERLINK("http://141.218.60.56/~jnz1568/getInfo.php?workbook=16_15.xlsx&amp;sheet=U0&amp;row=113&amp;col=11&amp;number=1.57&amp;sourceID=58","1.57")</f>
        <v>1.57</v>
      </c>
      <c r="L113" s="4" t="str">
        <f>HYPERLINK("http://141.218.60.56/~jnz1568/getInfo.php?workbook=16_15.xlsx&amp;sheet=U0&amp;row=113&amp;col=12&amp;number=&amp;sourceID=59","")</f>
        <v/>
      </c>
      <c r="M113" s="4" t="str">
        <f>HYPERLINK("http://141.218.60.56/~jnz1568/getInfo.php?workbook=16_15.xlsx&amp;sheet=U0&amp;row=113&amp;col=13&amp;number=&amp;sourceID=59","")</f>
        <v/>
      </c>
    </row>
    <row r="114" spans="1:13">
      <c r="A114" s="3"/>
      <c r="B114" s="3"/>
      <c r="C114" s="3"/>
      <c r="D114" s="3"/>
      <c r="E114" s="3">
        <v>15</v>
      </c>
      <c r="F114" s="4" t="str">
        <f>HYPERLINK("http://141.218.60.56/~jnz1568/getInfo.php?workbook=16_15.xlsx&amp;sheet=U0&amp;row=114&amp;col=6&amp;number=4.27875360095&amp;sourceID=51","4.27875360095")</f>
        <v>4.27875360095</v>
      </c>
      <c r="G114" s="4" t="str">
        <f>HYPERLINK("http://141.218.60.56/~jnz1568/getInfo.php?workbook=16_15.xlsx&amp;sheet=U0&amp;row=114&amp;col=7&amp;number=1.69284256596&amp;sourceID=51","1.69284256596")</f>
        <v>1.69284256596</v>
      </c>
      <c r="H114" s="4" t="str">
        <f>HYPERLINK("http://141.218.60.56/~jnz1568/getInfo.php?workbook=16_15.xlsx&amp;sheet=U0&amp;row=114&amp;col=8&amp;number=&amp;sourceID=53","")</f>
        <v/>
      </c>
      <c r="I114" s="4" t="str">
        <f>HYPERLINK("http://141.218.60.56/~jnz1568/getInfo.php?workbook=16_15.xlsx&amp;sheet=U0&amp;row=114&amp;col=9&amp;number=&amp;sourceID=53","")</f>
        <v/>
      </c>
      <c r="J114" s="4" t="str">
        <f>HYPERLINK("http://141.218.60.56/~jnz1568/getInfo.php?workbook=16_15.xlsx&amp;sheet=U0&amp;row=114&amp;col=10&amp;number=4.301&amp;sourceID=58","4.301")</f>
        <v>4.301</v>
      </c>
      <c r="K114" s="4" t="str">
        <f>HYPERLINK("http://141.218.60.56/~jnz1568/getInfo.php?workbook=16_15.xlsx&amp;sheet=U0&amp;row=114&amp;col=11&amp;number=1.59&amp;sourceID=58","1.59")</f>
        <v>1.59</v>
      </c>
      <c r="L114" s="4" t="str">
        <f>HYPERLINK("http://141.218.60.56/~jnz1568/getInfo.php?workbook=16_15.xlsx&amp;sheet=U0&amp;row=114&amp;col=12&amp;number=&amp;sourceID=59","")</f>
        <v/>
      </c>
      <c r="M114" s="4" t="str">
        <f>HYPERLINK("http://141.218.60.56/~jnz1568/getInfo.php?workbook=16_15.xlsx&amp;sheet=U0&amp;row=114&amp;col=13&amp;number=&amp;sourceID=59","")</f>
        <v/>
      </c>
    </row>
    <row r="115" spans="1:13">
      <c r="A115" s="3"/>
      <c r="B115" s="3"/>
      <c r="C115" s="3"/>
      <c r="D115" s="3"/>
      <c r="E115" s="3">
        <v>16</v>
      </c>
      <c r="F115" s="4" t="str">
        <f>HYPERLINK("http://141.218.60.56/~jnz1568/getInfo.php?workbook=16_15.xlsx&amp;sheet=U0&amp;row=115&amp;col=6&amp;number=4.30102999566&amp;sourceID=51","4.30102999566")</f>
        <v>4.30102999566</v>
      </c>
      <c r="G115" s="4" t="str">
        <f>HYPERLINK("http://141.218.60.56/~jnz1568/getInfo.php?workbook=16_15.xlsx&amp;sheet=U0&amp;row=115&amp;col=7&amp;number=1.70434030384&amp;sourceID=51","1.70434030384")</f>
        <v>1.70434030384</v>
      </c>
      <c r="H115" s="4" t="str">
        <f>HYPERLINK("http://141.218.60.56/~jnz1568/getInfo.php?workbook=16_15.xlsx&amp;sheet=U0&amp;row=115&amp;col=8&amp;number=&amp;sourceID=53","")</f>
        <v/>
      </c>
      <c r="I115" s="4" t="str">
        <f>HYPERLINK("http://141.218.60.56/~jnz1568/getInfo.php?workbook=16_15.xlsx&amp;sheet=U0&amp;row=115&amp;col=9&amp;number=&amp;sourceID=53","")</f>
        <v/>
      </c>
      <c r="J115" s="4" t="str">
        <f>HYPERLINK("http://141.218.60.56/~jnz1568/getInfo.php?workbook=16_15.xlsx&amp;sheet=U0&amp;row=115&amp;col=10&amp;number=&amp;sourceID=58","")</f>
        <v/>
      </c>
      <c r="K115" s="4" t="str">
        <f>HYPERLINK("http://141.218.60.56/~jnz1568/getInfo.php?workbook=16_15.xlsx&amp;sheet=U0&amp;row=115&amp;col=11&amp;number=&amp;sourceID=58","")</f>
        <v/>
      </c>
      <c r="L115" s="4" t="str">
        <f>HYPERLINK("http://141.218.60.56/~jnz1568/getInfo.php?workbook=16_15.xlsx&amp;sheet=U0&amp;row=115&amp;col=12&amp;number=&amp;sourceID=59","")</f>
        <v/>
      </c>
      <c r="M115" s="4" t="str">
        <f>HYPERLINK("http://141.218.60.56/~jnz1568/getInfo.php?workbook=16_15.xlsx&amp;sheet=U0&amp;row=115&amp;col=13&amp;number=&amp;sourceID=59","")</f>
        <v/>
      </c>
    </row>
    <row r="116" spans="1:13">
      <c r="A116" s="3">
        <v>16</v>
      </c>
      <c r="B116" s="3">
        <v>15</v>
      </c>
      <c r="C116" s="3">
        <v>5</v>
      </c>
      <c r="D116" s="3">
        <v>2</v>
      </c>
      <c r="E116" s="3">
        <v>1</v>
      </c>
      <c r="F116" s="4" t="str">
        <f>HYPERLINK("http://141.218.60.56/~jnz1568/getInfo.php?workbook=16_15.xlsx&amp;sheet=U0&amp;row=116&amp;col=6&amp;number=3.69897000434&amp;sourceID=51","3.69897000434")</f>
        <v>3.69897000434</v>
      </c>
      <c r="G116" s="4" t="str">
        <f>HYPERLINK("http://141.218.60.56/~jnz1568/getInfo.php?workbook=16_15.xlsx&amp;sheet=U0&amp;row=116&amp;col=7&amp;number=2.71085883512&amp;sourceID=51","2.71085883512")</f>
        <v>2.71085883512</v>
      </c>
      <c r="H116" s="4" t="str">
        <f>HYPERLINK("http://141.218.60.56/~jnz1568/getInfo.php?workbook=16_15.xlsx&amp;sheet=U0&amp;row=116&amp;col=8&amp;number=3.699&amp;sourceID=53","3.699")</f>
        <v>3.699</v>
      </c>
      <c r="I116" s="4" t="str">
        <f>HYPERLINK("http://141.218.60.56/~jnz1568/getInfo.php?workbook=16_15.xlsx&amp;sheet=U0&amp;row=116&amp;col=9&amp;number=2.4&amp;sourceID=53","2.4")</f>
        <v>2.4</v>
      </c>
      <c r="J116" s="4" t="str">
        <f>HYPERLINK("http://141.218.60.56/~jnz1568/getInfo.php?workbook=16_15.xlsx&amp;sheet=U0&amp;row=116&amp;col=10&amp;number=3&amp;sourceID=58","3")</f>
        <v>3</v>
      </c>
      <c r="K116" s="4" t="str">
        <f>HYPERLINK("http://141.218.60.56/~jnz1568/getInfo.php?workbook=16_15.xlsx&amp;sheet=U0&amp;row=116&amp;col=11&amp;number=2.22&amp;sourceID=58","2.22")</f>
        <v>2.22</v>
      </c>
      <c r="L116" s="4" t="str">
        <f>HYPERLINK("http://141.218.60.56/~jnz1568/getInfo.php?workbook=16_15.xlsx&amp;sheet=U0&amp;row=116&amp;col=12&amp;number=3.5&amp;sourceID=59","3.5")</f>
        <v>3.5</v>
      </c>
      <c r="M116" s="4" t="str">
        <f>HYPERLINK("http://141.218.60.56/~jnz1568/getInfo.php?workbook=16_15.xlsx&amp;sheet=U0&amp;row=116&amp;col=13&amp;number=3.38&amp;sourceID=59","3.38")</f>
        <v>3.38</v>
      </c>
    </row>
    <row r="117" spans="1:13">
      <c r="A117" s="3"/>
      <c r="B117" s="3"/>
      <c r="C117" s="3"/>
      <c r="D117" s="3"/>
      <c r="E117" s="3">
        <v>2</v>
      </c>
      <c r="F117" s="4" t="str">
        <f>HYPERLINK("http://141.218.60.56/~jnz1568/getInfo.php?workbook=16_15.xlsx&amp;sheet=U0&amp;row=117&amp;col=6&amp;number=3.77815125038&amp;sourceID=51","3.77815125038")</f>
        <v>3.77815125038</v>
      </c>
      <c r="G117" s="4" t="str">
        <f>HYPERLINK("http://141.218.60.56/~jnz1568/getInfo.php?workbook=16_15.xlsx&amp;sheet=U0&amp;row=117&amp;col=7&amp;number=2.72932670361&amp;sourceID=51","2.72932670361")</f>
        <v>2.72932670361</v>
      </c>
      <c r="H117" s="4" t="str">
        <f>HYPERLINK("http://141.218.60.56/~jnz1568/getInfo.php?workbook=16_15.xlsx&amp;sheet=U0&amp;row=117&amp;col=8&amp;number=3.845&amp;sourceID=53","3.845")</f>
        <v>3.845</v>
      </c>
      <c r="I117" s="4" t="str">
        <f>HYPERLINK("http://141.218.60.56/~jnz1568/getInfo.php?workbook=16_15.xlsx&amp;sheet=U0&amp;row=117&amp;col=9&amp;number=2.4&amp;sourceID=53","2.4")</f>
        <v>2.4</v>
      </c>
      <c r="J117" s="4" t="str">
        <f>HYPERLINK("http://141.218.60.56/~jnz1568/getInfo.php?workbook=16_15.xlsx&amp;sheet=U0&amp;row=117&amp;col=10&amp;number=3.301&amp;sourceID=58","3.301")</f>
        <v>3.301</v>
      </c>
      <c r="K117" s="4" t="str">
        <f>HYPERLINK("http://141.218.60.56/~jnz1568/getInfo.php?workbook=16_15.xlsx&amp;sheet=U0&amp;row=117&amp;col=11&amp;number=2.36&amp;sourceID=58","2.36")</f>
        <v>2.36</v>
      </c>
      <c r="L117" s="4" t="str">
        <f>HYPERLINK("http://141.218.60.56/~jnz1568/getInfo.php?workbook=16_15.xlsx&amp;sheet=U0&amp;row=117&amp;col=12&amp;number=3.6&amp;sourceID=59","3.6")</f>
        <v>3.6</v>
      </c>
      <c r="M117" s="4" t="str">
        <f>HYPERLINK("http://141.218.60.56/~jnz1568/getInfo.php?workbook=16_15.xlsx&amp;sheet=U0&amp;row=117&amp;col=13&amp;number=3.32&amp;sourceID=59","3.32")</f>
        <v>3.32</v>
      </c>
    </row>
    <row r="118" spans="1:13">
      <c r="A118" s="3"/>
      <c r="B118" s="3"/>
      <c r="C118" s="3"/>
      <c r="D118" s="3"/>
      <c r="E118" s="3">
        <v>3</v>
      </c>
      <c r="F118" s="4" t="str">
        <f>HYPERLINK("http://141.218.60.56/~jnz1568/getInfo.php?workbook=16_15.xlsx&amp;sheet=U0&amp;row=118&amp;col=6&amp;number=3.84509804001&amp;sourceID=51","3.84509804001")</f>
        <v>3.84509804001</v>
      </c>
      <c r="G118" s="4" t="str">
        <f>HYPERLINK("http://141.218.60.56/~jnz1568/getInfo.php?workbook=16_15.xlsx&amp;sheet=U0&amp;row=118&amp;col=7&amp;number=2.74486083466&amp;sourceID=51","2.74486083466")</f>
        <v>2.74486083466</v>
      </c>
      <c r="H118" s="4" t="str">
        <f>HYPERLINK("http://141.218.60.56/~jnz1568/getInfo.php?workbook=16_15.xlsx&amp;sheet=U0&amp;row=118&amp;col=8&amp;number=4&amp;sourceID=53","4")</f>
        <v>4</v>
      </c>
      <c r="I118" s="4" t="str">
        <f>HYPERLINK("http://141.218.60.56/~jnz1568/getInfo.php?workbook=16_15.xlsx&amp;sheet=U0&amp;row=118&amp;col=9&amp;number=2.39&amp;sourceID=53","2.39")</f>
        <v>2.39</v>
      </c>
      <c r="J118" s="4" t="str">
        <f>HYPERLINK("http://141.218.60.56/~jnz1568/getInfo.php?workbook=16_15.xlsx&amp;sheet=U0&amp;row=118&amp;col=10&amp;number=3.477&amp;sourceID=58","3.477")</f>
        <v>3.477</v>
      </c>
      <c r="K118" s="4" t="str">
        <f>HYPERLINK("http://141.218.60.56/~jnz1568/getInfo.php?workbook=16_15.xlsx&amp;sheet=U0&amp;row=118&amp;col=11&amp;number=2.47&amp;sourceID=58","2.47")</f>
        <v>2.47</v>
      </c>
      <c r="L118" s="4" t="str">
        <f>HYPERLINK("http://141.218.60.56/~jnz1568/getInfo.php?workbook=16_15.xlsx&amp;sheet=U0&amp;row=118&amp;col=12&amp;number=3.7&amp;sourceID=59","3.7")</f>
        <v>3.7</v>
      </c>
      <c r="M118" s="4" t="str">
        <f>HYPERLINK("http://141.218.60.56/~jnz1568/getInfo.php?workbook=16_15.xlsx&amp;sheet=U0&amp;row=118&amp;col=13&amp;number=3.25&amp;sourceID=59","3.25")</f>
        <v>3.25</v>
      </c>
    </row>
    <row r="119" spans="1:13">
      <c r="A119" s="3"/>
      <c r="B119" s="3"/>
      <c r="C119" s="3"/>
      <c r="D119" s="3"/>
      <c r="E119" s="3">
        <v>4</v>
      </c>
      <c r="F119" s="4" t="str">
        <f>HYPERLINK("http://141.218.60.56/~jnz1568/getInfo.php?workbook=16_15.xlsx&amp;sheet=U0&amp;row=119&amp;col=6&amp;number=3.90308998699&amp;sourceID=51","3.90308998699")</f>
        <v>3.90308998699</v>
      </c>
      <c r="G119" s="4" t="str">
        <f>HYPERLINK("http://141.218.60.56/~jnz1568/getInfo.php?workbook=16_15.xlsx&amp;sheet=U0&amp;row=119&amp;col=7&amp;number=2.75802614472&amp;sourceID=51","2.75802614472")</f>
        <v>2.75802614472</v>
      </c>
      <c r="H119" s="4" t="str">
        <f>HYPERLINK("http://141.218.60.56/~jnz1568/getInfo.php?workbook=16_15.xlsx&amp;sheet=U0&amp;row=119&amp;col=8&amp;number=4.176&amp;sourceID=53","4.176")</f>
        <v>4.176</v>
      </c>
      <c r="I119" s="4" t="str">
        <f>HYPERLINK("http://141.218.60.56/~jnz1568/getInfo.php?workbook=16_15.xlsx&amp;sheet=U0&amp;row=119&amp;col=9&amp;number=2.39&amp;sourceID=53","2.39")</f>
        <v>2.39</v>
      </c>
      <c r="J119" s="4" t="str">
        <f>HYPERLINK("http://141.218.60.56/~jnz1568/getInfo.php?workbook=16_15.xlsx&amp;sheet=U0&amp;row=119&amp;col=10&amp;number=3.602&amp;sourceID=58","3.602")</f>
        <v>3.602</v>
      </c>
      <c r="K119" s="4" t="str">
        <f>HYPERLINK("http://141.218.60.56/~jnz1568/getInfo.php?workbook=16_15.xlsx&amp;sheet=U0&amp;row=119&amp;col=11&amp;number=2.56&amp;sourceID=58","2.56")</f>
        <v>2.56</v>
      </c>
      <c r="L119" s="4" t="str">
        <f>HYPERLINK("http://141.218.60.56/~jnz1568/getInfo.php?workbook=16_15.xlsx&amp;sheet=U0&amp;row=119&amp;col=12&amp;number=3.8&amp;sourceID=59","3.8")</f>
        <v>3.8</v>
      </c>
      <c r="M119" s="4" t="str">
        <f>HYPERLINK("http://141.218.60.56/~jnz1568/getInfo.php?workbook=16_15.xlsx&amp;sheet=U0&amp;row=119&amp;col=13&amp;number=3.17&amp;sourceID=59","3.17")</f>
        <v>3.17</v>
      </c>
    </row>
    <row r="120" spans="1:13">
      <c r="A120" s="3"/>
      <c r="B120" s="3"/>
      <c r="C120" s="3"/>
      <c r="D120" s="3"/>
      <c r="E120" s="3">
        <v>5</v>
      </c>
      <c r="F120" s="4" t="str">
        <f>HYPERLINK("http://141.218.60.56/~jnz1568/getInfo.php?workbook=16_15.xlsx&amp;sheet=U0&amp;row=120&amp;col=6&amp;number=3.95424250944&amp;sourceID=51","3.95424250944")</f>
        <v>3.95424250944</v>
      </c>
      <c r="G120" s="4" t="str">
        <f>HYPERLINK("http://141.218.60.56/~jnz1568/getInfo.php?workbook=16_15.xlsx&amp;sheet=U0&amp;row=120&amp;col=7&amp;number=2.76919806499&amp;sourceID=51","2.76919806499")</f>
        <v>2.76919806499</v>
      </c>
      <c r="H120" s="4" t="str">
        <f>HYPERLINK("http://141.218.60.56/~jnz1568/getInfo.php?workbook=16_15.xlsx&amp;sheet=U0&amp;row=120&amp;col=8&amp;number=4.301&amp;sourceID=53","4.301")</f>
        <v>4.301</v>
      </c>
      <c r="I120" s="4" t="str">
        <f>HYPERLINK("http://141.218.60.56/~jnz1568/getInfo.php?workbook=16_15.xlsx&amp;sheet=U0&amp;row=120&amp;col=9&amp;number=2.38&amp;sourceID=53","2.38")</f>
        <v>2.38</v>
      </c>
      <c r="J120" s="4" t="str">
        <f>HYPERLINK("http://141.218.60.56/~jnz1568/getInfo.php?workbook=16_15.xlsx&amp;sheet=U0&amp;row=120&amp;col=10&amp;number=3.699&amp;sourceID=58","3.699")</f>
        <v>3.699</v>
      </c>
      <c r="K120" s="4" t="str">
        <f>HYPERLINK("http://141.218.60.56/~jnz1568/getInfo.php?workbook=16_15.xlsx&amp;sheet=U0&amp;row=120&amp;col=11&amp;number=2.62&amp;sourceID=58","2.62")</f>
        <v>2.62</v>
      </c>
      <c r="L120" s="4" t="str">
        <f>HYPERLINK("http://141.218.60.56/~jnz1568/getInfo.php?workbook=16_15.xlsx&amp;sheet=U0&amp;row=120&amp;col=12&amp;number=3.9&amp;sourceID=59","3.9")</f>
        <v>3.9</v>
      </c>
      <c r="M120" s="4" t="str">
        <f>HYPERLINK("http://141.218.60.56/~jnz1568/getInfo.php?workbook=16_15.xlsx&amp;sheet=U0&amp;row=120&amp;col=13&amp;number=3.08&amp;sourceID=59","3.08")</f>
        <v>3.08</v>
      </c>
    </row>
    <row r="121" spans="1:13">
      <c r="A121" s="3"/>
      <c r="B121" s="3"/>
      <c r="C121" s="3"/>
      <c r="D121" s="3"/>
      <c r="E121" s="3">
        <v>6</v>
      </c>
      <c r="F121" s="4" t="str">
        <f>HYPERLINK("http://141.218.60.56/~jnz1568/getInfo.php?workbook=16_15.xlsx&amp;sheet=U0&amp;row=121&amp;col=6&amp;number=4&amp;sourceID=51","4")</f>
        <v>4</v>
      </c>
      <c r="G121" s="4" t="str">
        <f>HYPERLINK("http://141.218.60.56/~jnz1568/getInfo.php?workbook=16_15.xlsx&amp;sheet=U0&amp;row=121&amp;col=7&amp;number=2.77865745471&amp;sourceID=51","2.77865745471")</f>
        <v>2.77865745471</v>
      </c>
      <c r="H121" s="4" t="str">
        <f>HYPERLINK("http://141.218.60.56/~jnz1568/getInfo.php?workbook=16_15.xlsx&amp;sheet=U0&amp;row=121&amp;col=8&amp;number=4.398&amp;sourceID=53","4.398")</f>
        <v>4.398</v>
      </c>
      <c r="I121" s="4" t="str">
        <f>HYPERLINK("http://141.218.60.56/~jnz1568/getInfo.php?workbook=16_15.xlsx&amp;sheet=U0&amp;row=121&amp;col=9&amp;number=2.38&amp;sourceID=53","2.38")</f>
        <v>2.38</v>
      </c>
      <c r="J121" s="4" t="str">
        <f>HYPERLINK("http://141.218.60.56/~jnz1568/getInfo.php?workbook=16_15.xlsx&amp;sheet=U0&amp;row=121&amp;col=10&amp;number=3.778&amp;sourceID=58","3.778")</f>
        <v>3.778</v>
      </c>
      <c r="K121" s="4" t="str">
        <f>HYPERLINK("http://141.218.60.56/~jnz1568/getInfo.php?workbook=16_15.xlsx&amp;sheet=U0&amp;row=121&amp;col=11&amp;number=2.66&amp;sourceID=58","2.66")</f>
        <v>2.66</v>
      </c>
      <c r="L121" s="4" t="str">
        <f>HYPERLINK("http://141.218.60.56/~jnz1568/getInfo.php?workbook=16_15.xlsx&amp;sheet=U0&amp;row=121&amp;col=12&amp;number=4&amp;sourceID=59","4")</f>
        <v>4</v>
      </c>
      <c r="M121" s="4" t="str">
        <f>HYPERLINK("http://141.218.60.56/~jnz1568/getInfo.php?workbook=16_15.xlsx&amp;sheet=U0&amp;row=121&amp;col=13&amp;number=3&amp;sourceID=59","3")</f>
        <v>3</v>
      </c>
    </row>
    <row r="122" spans="1:13">
      <c r="A122" s="3"/>
      <c r="B122" s="3"/>
      <c r="C122" s="3"/>
      <c r="D122" s="3"/>
      <c r="E122" s="3">
        <v>7</v>
      </c>
      <c r="F122" s="4" t="str">
        <f>HYPERLINK("http://141.218.60.56/~jnz1568/getInfo.php?workbook=16_15.xlsx&amp;sheet=U0&amp;row=122&amp;col=6&amp;number=4.04139268516&amp;sourceID=51","4.04139268516")</f>
        <v>4.04139268516</v>
      </c>
      <c r="G122" s="4" t="str">
        <f>HYPERLINK("http://141.218.60.56/~jnz1568/getInfo.php?workbook=16_15.xlsx&amp;sheet=U0&amp;row=122&amp;col=7&amp;number=2.78662812473&amp;sourceID=51","2.78662812473")</f>
        <v>2.78662812473</v>
      </c>
      <c r="H122" s="4" t="str">
        <f>HYPERLINK("http://141.218.60.56/~jnz1568/getInfo.php?workbook=16_15.xlsx&amp;sheet=U0&amp;row=122&amp;col=8&amp;number=4.477&amp;sourceID=53","4.477")</f>
        <v>4.477</v>
      </c>
      <c r="I122" s="4" t="str">
        <f>HYPERLINK("http://141.218.60.56/~jnz1568/getInfo.php?workbook=16_15.xlsx&amp;sheet=U0&amp;row=122&amp;col=9&amp;number=2.38&amp;sourceID=53","2.38")</f>
        <v>2.38</v>
      </c>
      <c r="J122" s="4" t="str">
        <f>HYPERLINK("http://141.218.60.56/~jnz1568/getInfo.php?workbook=16_15.xlsx&amp;sheet=U0&amp;row=122&amp;col=10&amp;number=3.845&amp;sourceID=58","3.845")</f>
        <v>3.845</v>
      </c>
      <c r="K122" s="4" t="str">
        <f>HYPERLINK("http://141.218.60.56/~jnz1568/getInfo.php?workbook=16_15.xlsx&amp;sheet=U0&amp;row=122&amp;col=11&amp;number=2.69&amp;sourceID=58","2.69")</f>
        <v>2.69</v>
      </c>
      <c r="L122" s="4" t="str">
        <f>HYPERLINK("http://141.218.60.56/~jnz1568/getInfo.php?workbook=16_15.xlsx&amp;sheet=U0&amp;row=122&amp;col=12&amp;number=4.1&amp;sourceID=59","4.1")</f>
        <v>4.1</v>
      </c>
      <c r="M122" s="4" t="str">
        <f>HYPERLINK("http://141.218.60.56/~jnz1568/getInfo.php?workbook=16_15.xlsx&amp;sheet=U0&amp;row=122&amp;col=13&amp;number=2.91&amp;sourceID=59","2.91")</f>
        <v>2.91</v>
      </c>
    </row>
    <row r="123" spans="1:13">
      <c r="A123" s="3"/>
      <c r="B123" s="3"/>
      <c r="C123" s="3"/>
      <c r="D123" s="3"/>
      <c r="E123" s="3">
        <v>8</v>
      </c>
      <c r="F123" s="4" t="str">
        <f>HYPERLINK("http://141.218.60.56/~jnz1568/getInfo.php?workbook=16_15.xlsx&amp;sheet=U0&amp;row=123&amp;col=6&amp;number=4.07918124605&amp;sourceID=51","4.07918124605")</f>
        <v>4.07918124605</v>
      </c>
      <c r="G123" s="4" t="str">
        <f>HYPERLINK("http://141.218.60.56/~jnz1568/getInfo.php?workbook=16_15.xlsx&amp;sheet=U0&amp;row=123&amp;col=7&amp;number=2.79329173596&amp;sourceID=51","2.79329173596")</f>
        <v>2.79329173596</v>
      </c>
      <c r="H123" s="4" t="str">
        <f>HYPERLINK("http://141.218.60.56/~jnz1568/getInfo.php?workbook=16_15.xlsx&amp;sheet=U0&amp;row=123&amp;col=8&amp;number=4.602&amp;sourceID=53","4.602")</f>
        <v>4.602</v>
      </c>
      <c r="I123" s="4" t="str">
        <f>HYPERLINK("http://141.218.60.56/~jnz1568/getInfo.php?workbook=16_15.xlsx&amp;sheet=U0&amp;row=123&amp;col=9&amp;number=2.36&amp;sourceID=53","2.36")</f>
        <v>2.36</v>
      </c>
      <c r="J123" s="4" t="str">
        <f>HYPERLINK("http://141.218.60.56/~jnz1568/getInfo.php?workbook=16_15.xlsx&amp;sheet=U0&amp;row=123&amp;col=10&amp;number=3.903&amp;sourceID=58","3.903")</f>
        <v>3.903</v>
      </c>
      <c r="K123" s="4" t="str">
        <f>HYPERLINK("http://141.218.60.56/~jnz1568/getInfo.php?workbook=16_15.xlsx&amp;sheet=U0&amp;row=123&amp;col=11&amp;number=2.72&amp;sourceID=58","2.72")</f>
        <v>2.72</v>
      </c>
      <c r="L123" s="4" t="str">
        <f>HYPERLINK("http://141.218.60.56/~jnz1568/getInfo.php?workbook=16_15.xlsx&amp;sheet=U0&amp;row=123&amp;col=12&amp;number=4.2&amp;sourceID=59","4.2")</f>
        <v>4.2</v>
      </c>
      <c r="M123" s="4" t="str">
        <f>HYPERLINK("http://141.218.60.56/~jnz1568/getInfo.php?workbook=16_15.xlsx&amp;sheet=U0&amp;row=123&amp;col=13&amp;number=2.82&amp;sourceID=59","2.82")</f>
        <v>2.82</v>
      </c>
    </row>
    <row r="124" spans="1:13">
      <c r="A124" s="3"/>
      <c r="B124" s="3"/>
      <c r="C124" s="3"/>
      <c r="D124" s="3"/>
      <c r="E124" s="3">
        <v>9</v>
      </c>
      <c r="F124" s="4" t="str">
        <f>HYPERLINK("http://141.218.60.56/~jnz1568/getInfo.php?workbook=16_15.xlsx&amp;sheet=U0&amp;row=124&amp;col=6&amp;number=4.11394335231&amp;sourceID=51","4.11394335231")</f>
        <v>4.11394335231</v>
      </c>
      <c r="G124" s="4" t="str">
        <f>HYPERLINK("http://141.218.60.56/~jnz1568/getInfo.php?workbook=16_15.xlsx&amp;sheet=U0&amp;row=124&amp;col=7&amp;number=2.7987948977&amp;sourceID=51","2.7987948977")</f>
        <v>2.7987948977</v>
      </c>
      <c r="H124" s="4" t="str">
        <f>HYPERLINK("http://141.218.60.56/~jnz1568/getInfo.php?workbook=16_15.xlsx&amp;sheet=U0&amp;row=124&amp;col=8&amp;number=4.699&amp;sourceID=53","4.699")</f>
        <v>4.699</v>
      </c>
      <c r="I124" s="4" t="str">
        <f>HYPERLINK("http://141.218.60.56/~jnz1568/getInfo.php?workbook=16_15.xlsx&amp;sheet=U0&amp;row=124&amp;col=9&amp;number=2.33&amp;sourceID=53","2.33")</f>
        <v>2.33</v>
      </c>
      <c r="J124" s="4" t="str">
        <f>HYPERLINK("http://141.218.60.56/~jnz1568/getInfo.php?workbook=16_15.xlsx&amp;sheet=U0&amp;row=124&amp;col=10&amp;number=3.954&amp;sourceID=58","3.954")</f>
        <v>3.954</v>
      </c>
      <c r="K124" s="4" t="str">
        <f>HYPERLINK("http://141.218.60.56/~jnz1568/getInfo.php?workbook=16_15.xlsx&amp;sheet=U0&amp;row=124&amp;col=11&amp;number=2.73&amp;sourceID=58","2.73")</f>
        <v>2.73</v>
      </c>
      <c r="L124" s="4" t="str">
        <f>HYPERLINK("http://141.218.60.56/~jnz1568/getInfo.php?workbook=16_15.xlsx&amp;sheet=U0&amp;row=124&amp;col=12&amp;number=4.4&amp;sourceID=59","4.4")</f>
        <v>4.4</v>
      </c>
      <c r="M124" s="4" t="str">
        <f>HYPERLINK("http://141.218.60.56/~jnz1568/getInfo.php?workbook=16_15.xlsx&amp;sheet=U0&amp;row=124&amp;col=13&amp;number=2.68&amp;sourceID=59","2.68")</f>
        <v>2.68</v>
      </c>
    </row>
    <row r="125" spans="1:13">
      <c r="A125" s="3"/>
      <c r="B125" s="3"/>
      <c r="C125" s="3"/>
      <c r="D125" s="3"/>
      <c r="E125" s="3">
        <v>10</v>
      </c>
      <c r="F125" s="4" t="str">
        <f>HYPERLINK("http://141.218.60.56/~jnz1568/getInfo.php?workbook=16_15.xlsx&amp;sheet=U0&amp;row=125&amp;col=6&amp;number=4.14612803568&amp;sourceID=51","4.14612803568")</f>
        <v>4.14612803568</v>
      </c>
      <c r="G125" s="4" t="str">
        <f>HYPERLINK("http://141.218.60.56/~jnz1568/getInfo.php?workbook=16_15.xlsx&amp;sheet=U0&amp;row=125&amp;col=7&amp;number=2.80325410137&amp;sourceID=51","2.80325410137")</f>
        <v>2.80325410137</v>
      </c>
      <c r="H125" s="4" t="str">
        <f>HYPERLINK("http://141.218.60.56/~jnz1568/getInfo.php?workbook=16_15.xlsx&amp;sheet=U0&amp;row=125&amp;col=8&amp;number=4.845&amp;sourceID=53","4.845")</f>
        <v>4.845</v>
      </c>
      <c r="I125" s="4" t="str">
        <f>HYPERLINK("http://141.218.60.56/~jnz1568/getInfo.php?workbook=16_15.xlsx&amp;sheet=U0&amp;row=125&amp;col=9&amp;number=2.25&amp;sourceID=53","2.25")</f>
        <v>2.25</v>
      </c>
      <c r="J125" s="4" t="str">
        <f>HYPERLINK("http://141.218.60.56/~jnz1568/getInfo.php?workbook=16_15.xlsx&amp;sheet=U0&amp;row=125&amp;col=10&amp;number=4&amp;sourceID=58","4")</f>
        <v>4</v>
      </c>
      <c r="K125" s="4" t="str">
        <f>HYPERLINK("http://141.218.60.56/~jnz1568/getInfo.php?workbook=16_15.xlsx&amp;sheet=U0&amp;row=125&amp;col=11&amp;number=2.74&amp;sourceID=58","2.74")</f>
        <v>2.74</v>
      </c>
      <c r="L125" s="4" t="str">
        <f>HYPERLINK("http://141.218.60.56/~jnz1568/getInfo.php?workbook=16_15.xlsx&amp;sheet=U0&amp;row=125&amp;col=12&amp;number=4.6&amp;sourceID=59","4.6")</f>
        <v>4.6</v>
      </c>
      <c r="M125" s="4" t="str">
        <f>HYPERLINK("http://141.218.60.56/~jnz1568/getInfo.php?workbook=16_15.xlsx&amp;sheet=U0&amp;row=125&amp;col=13&amp;number=2.55&amp;sourceID=59","2.55")</f>
        <v>2.55</v>
      </c>
    </row>
    <row r="126" spans="1:13">
      <c r="A126" s="3"/>
      <c r="B126" s="3"/>
      <c r="C126" s="3"/>
      <c r="D126" s="3"/>
      <c r="E126" s="3">
        <v>11</v>
      </c>
      <c r="F126" s="4" t="str">
        <f>HYPERLINK("http://141.218.60.56/~jnz1568/getInfo.php?workbook=16_15.xlsx&amp;sheet=U0&amp;row=126&amp;col=6&amp;number=4.17609125906&amp;sourceID=51","4.17609125906")</f>
        <v>4.17609125906</v>
      </c>
      <c r="G126" s="4" t="str">
        <f>HYPERLINK("http://141.218.60.56/~jnz1568/getInfo.php?workbook=16_15.xlsx&amp;sheet=U0&amp;row=126&amp;col=7&amp;number=2.80676029721&amp;sourceID=51","2.80676029721")</f>
        <v>2.80676029721</v>
      </c>
      <c r="H126" s="4" t="str">
        <f>HYPERLINK("http://141.218.60.56/~jnz1568/getInfo.php?workbook=16_15.xlsx&amp;sheet=U0&amp;row=126&amp;col=8&amp;number=5&amp;sourceID=53","5")</f>
        <v>5</v>
      </c>
      <c r="I126" s="4" t="str">
        <f>HYPERLINK("http://141.218.60.56/~jnz1568/getInfo.php?workbook=16_15.xlsx&amp;sheet=U0&amp;row=126&amp;col=9&amp;number=2.13&amp;sourceID=53","2.13")</f>
        <v>2.13</v>
      </c>
      <c r="J126" s="4" t="str">
        <f>HYPERLINK("http://141.218.60.56/~jnz1568/getInfo.php?workbook=16_15.xlsx&amp;sheet=U0&amp;row=126&amp;col=10&amp;number=4.079&amp;sourceID=58","4.079")</f>
        <v>4.079</v>
      </c>
      <c r="K126" s="4" t="str">
        <f>HYPERLINK("http://141.218.60.56/~jnz1568/getInfo.php?workbook=16_15.xlsx&amp;sheet=U0&amp;row=126&amp;col=11&amp;number=2.75&amp;sourceID=58","2.75")</f>
        <v>2.75</v>
      </c>
      <c r="L126" s="4" t="str">
        <f>HYPERLINK("http://141.218.60.56/~jnz1568/getInfo.php?workbook=16_15.xlsx&amp;sheet=U0&amp;row=126&amp;col=12&amp;number=4.8&amp;sourceID=59","4.8")</f>
        <v>4.8</v>
      </c>
      <c r="M126" s="4" t="str">
        <f>HYPERLINK("http://141.218.60.56/~jnz1568/getInfo.php?workbook=16_15.xlsx&amp;sheet=U0&amp;row=126&amp;col=13&amp;number=2.4&amp;sourceID=59","2.4")</f>
        <v>2.4</v>
      </c>
    </row>
    <row r="127" spans="1:13">
      <c r="A127" s="3"/>
      <c r="B127" s="3"/>
      <c r="C127" s="3"/>
      <c r="D127" s="3"/>
      <c r="E127" s="3">
        <v>12</v>
      </c>
      <c r="F127" s="4" t="str">
        <f>HYPERLINK("http://141.218.60.56/~jnz1568/getInfo.php?workbook=16_15.xlsx&amp;sheet=U0&amp;row=127&amp;col=6&amp;number=4.20411998266&amp;sourceID=51","4.20411998266")</f>
        <v>4.20411998266</v>
      </c>
      <c r="G127" s="4" t="str">
        <f>HYPERLINK("http://141.218.60.56/~jnz1568/getInfo.php?workbook=16_15.xlsx&amp;sheet=U0&amp;row=127&amp;col=7&amp;number=2.8093834584&amp;sourceID=51","2.8093834584")</f>
        <v>2.8093834584</v>
      </c>
      <c r="H127" s="4" t="str">
        <f>HYPERLINK("http://141.218.60.56/~jnz1568/getInfo.php?workbook=16_15.xlsx&amp;sheet=U0&amp;row=127&amp;col=8&amp;number=&amp;sourceID=53","")</f>
        <v/>
      </c>
      <c r="I127" s="4" t="str">
        <f>HYPERLINK("http://141.218.60.56/~jnz1568/getInfo.php?workbook=16_15.xlsx&amp;sheet=U0&amp;row=127&amp;col=9&amp;number=&amp;sourceID=53","")</f>
        <v/>
      </c>
      <c r="J127" s="4" t="str">
        <f>HYPERLINK("http://141.218.60.56/~jnz1568/getInfo.php?workbook=16_15.xlsx&amp;sheet=U0&amp;row=127&amp;col=10&amp;number=4.146&amp;sourceID=58","4.146")</f>
        <v>4.146</v>
      </c>
      <c r="K127" s="4" t="str">
        <f>HYPERLINK("http://141.218.60.56/~jnz1568/getInfo.php?workbook=16_15.xlsx&amp;sheet=U0&amp;row=127&amp;col=11&amp;number=2.74&amp;sourceID=58","2.74")</f>
        <v>2.74</v>
      </c>
      <c r="L127" s="4" t="str">
        <f>HYPERLINK("http://141.218.60.56/~jnz1568/getInfo.php?workbook=16_15.xlsx&amp;sheet=U0&amp;row=127&amp;col=12&amp;number=5&amp;sourceID=59","5")</f>
        <v>5</v>
      </c>
      <c r="M127" s="4" t="str">
        <f>HYPERLINK("http://141.218.60.56/~jnz1568/getInfo.php?workbook=16_15.xlsx&amp;sheet=U0&amp;row=127&amp;col=13&amp;number=2.24&amp;sourceID=59","2.24")</f>
        <v>2.24</v>
      </c>
    </row>
    <row r="128" spans="1:13">
      <c r="A128" s="3"/>
      <c r="B128" s="3"/>
      <c r="C128" s="3"/>
      <c r="D128" s="3"/>
      <c r="E128" s="3">
        <v>13</v>
      </c>
      <c r="F128" s="4" t="str">
        <f>HYPERLINK("http://141.218.60.56/~jnz1568/getInfo.php?workbook=16_15.xlsx&amp;sheet=U0&amp;row=128&amp;col=6&amp;number=4.23044892138&amp;sourceID=51","4.23044892138")</f>
        <v>4.23044892138</v>
      </c>
      <c r="G128" s="4" t="str">
        <f>HYPERLINK("http://141.218.60.56/~jnz1568/getInfo.php?workbook=16_15.xlsx&amp;sheet=U0&amp;row=128&amp;col=7&amp;number=2.8111769922&amp;sourceID=51","2.8111769922")</f>
        <v>2.8111769922</v>
      </c>
      <c r="H128" s="4" t="str">
        <f>HYPERLINK("http://141.218.60.56/~jnz1568/getInfo.php?workbook=16_15.xlsx&amp;sheet=U0&amp;row=128&amp;col=8&amp;number=&amp;sourceID=53","")</f>
        <v/>
      </c>
      <c r="I128" s="4" t="str">
        <f>HYPERLINK("http://141.218.60.56/~jnz1568/getInfo.php?workbook=16_15.xlsx&amp;sheet=U0&amp;row=128&amp;col=9&amp;number=&amp;sourceID=53","")</f>
        <v/>
      </c>
      <c r="J128" s="4" t="str">
        <f>HYPERLINK("http://141.218.60.56/~jnz1568/getInfo.php?workbook=16_15.xlsx&amp;sheet=U0&amp;row=128&amp;col=10&amp;number=4.204&amp;sourceID=58","4.204")</f>
        <v>4.204</v>
      </c>
      <c r="K128" s="4" t="str">
        <f>HYPERLINK("http://141.218.60.56/~jnz1568/getInfo.php?workbook=16_15.xlsx&amp;sheet=U0&amp;row=128&amp;col=11&amp;number=2.73&amp;sourceID=58","2.73")</f>
        <v>2.73</v>
      </c>
      <c r="L128" s="4" t="str">
        <f>HYPERLINK("http://141.218.60.56/~jnz1568/getInfo.php?workbook=16_15.xlsx&amp;sheet=U0&amp;row=128&amp;col=12&amp;number=&amp;sourceID=59","")</f>
        <v/>
      </c>
      <c r="M128" s="4" t="str">
        <f>HYPERLINK("http://141.218.60.56/~jnz1568/getInfo.php?workbook=16_15.xlsx&amp;sheet=U0&amp;row=128&amp;col=13&amp;number=&amp;sourceID=59","")</f>
        <v/>
      </c>
    </row>
    <row r="129" spans="1:13">
      <c r="A129" s="3"/>
      <c r="B129" s="3"/>
      <c r="C129" s="3"/>
      <c r="D129" s="3"/>
      <c r="E129" s="3">
        <v>14</v>
      </c>
      <c r="F129" s="4" t="str">
        <f>HYPERLINK("http://141.218.60.56/~jnz1568/getInfo.php?workbook=16_15.xlsx&amp;sheet=U0&amp;row=129&amp;col=6&amp;number=4.2552725051&amp;sourceID=51","4.2552725051")</f>
        <v>4.2552725051</v>
      </c>
      <c r="G129" s="4" t="str">
        <f>HYPERLINK("http://141.218.60.56/~jnz1568/getInfo.php?workbook=16_15.xlsx&amp;sheet=U0&amp;row=129&amp;col=7&amp;number=2.81218178054&amp;sourceID=51","2.81218178054")</f>
        <v>2.81218178054</v>
      </c>
      <c r="H129" s="4" t="str">
        <f>HYPERLINK("http://141.218.60.56/~jnz1568/getInfo.php?workbook=16_15.xlsx&amp;sheet=U0&amp;row=129&amp;col=8&amp;number=&amp;sourceID=53","")</f>
        <v/>
      </c>
      <c r="I129" s="4" t="str">
        <f>HYPERLINK("http://141.218.60.56/~jnz1568/getInfo.php?workbook=16_15.xlsx&amp;sheet=U0&amp;row=129&amp;col=9&amp;number=&amp;sourceID=53","")</f>
        <v/>
      </c>
      <c r="J129" s="4" t="str">
        <f>HYPERLINK("http://141.218.60.56/~jnz1568/getInfo.php?workbook=16_15.xlsx&amp;sheet=U0&amp;row=129&amp;col=10&amp;number=4.255&amp;sourceID=58","4.255")</f>
        <v>4.255</v>
      </c>
      <c r="K129" s="4" t="str">
        <f>HYPERLINK("http://141.218.60.56/~jnz1568/getInfo.php?workbook=16_15.xlsx&amp;sheet=U0&amp;row=129&amp;col=11&amp;number=2.72&amp;sourceID=58","2.72")</f>
        <v>2.72</v>
      </c>
      <c r="L129" s="4" t="str">
        <f>HYPERLINK("http://141.218.60.56/~jnz1568/getInfo.php?workbook=16_15.xlsx&amp;sheet=U0&amp;row=129&amp;col=12&amp;number=&amp;sourceID=59","")</f>
        <v/>
      </c>
      <c r="M129" s="4" t="str">
        <f>HYPERLINK("http://141.218.60.56/~jnz1568/getInfo.php?workbook=16_15.xlsx&amp;sheet=U0&amp;row=129&amp;col=13&amp;number=&amp;sourceID=59","")</f>
        <v/>
      </c>
    </row>
    <row r="130" spans="1:13">
      <c r="A130" s="3"/>
      <c r="B130" s="3"/>
      <c r="C130" s="3"/>
      <c r="D130" s="3"/>
      <c r="E130" s="3">
        <v>15</v>
      </c>
      <c r="F130" s="4" t="str">
        <f>HYPERLINK("http://141.218.60.56/~jnz1568/getInfo.php?workbook=16_15.xlsx&amp;sheet=U0&amp;row=130&amp;col=6&amp;number=4.27875360095&amp;sourceID=51","4.27875360095")</f>
        <v>4.27875360095</v>
      </c>
      <c r="G130" s="4" t="str">
        <f>HYPERLINK("http://141.218.60.56/~jnz1568/getInfo.php?workbook=16_15.xlsx&amp;sheet=U0&amp;row=130&amp;col=7&amp;number=2.81242968841&amp;sourceID=51","2.81242968841")</f>
        <v>2.81242968841</v>
      </c>
      <c r="H130" s="4" t="str">
        <f>HYPERLINK("http://141.218.60.56/~jnz1568/getInfo.php?workbook=16_15.xlsx&amp;sheet=U0&amp;row=130&amp;col=8&amp;number=&amp;sourceID=53","")</f>
        <v/>
      </c>
      <c r="I130" s="4" t="str">
        <f>HYPERLINK("http://141.218.60.56/~jnz1568/getInfo.php?workbook=16_15.xlsx&amp;sheet=U0&amp;row=130&amp;col=9&amp;number=&amp;sourceID=53","")</f>
        <v/>
      </c>
      <c r="J130" s="4" t="str">
        <f>HYPERLINK("http://141.218.60.56/~jnz1568/getInfo.php?workbook=16_15.xlsx&amp;sheet=U0&amp;row=130&amp;col=10&amp;number=4.301&amp;sourceID=58","4.301")</f>
        <v>4.301</v>
      </c>
      <c r="K130" s="4" t="str">
        <f>HYPERLINK("http://141.218.60.56/~jnz1568/getInfo.php?workbook=16_15.xlsx&amp;sheet=U0&amp;row=130&amp;col=11&amp;number=2.71&amp;sourceID=58","2.71")</f>
        <v>2.71</v>
      </c>
      <c r="L130" s="4" t="str">
        <f>HYPERLINK("http://141.218.60.56/~jnz1568/getInfo.php?workbook=16_15.xlsx&amp;sheet=U0&amp;row=130&amp;col=12&amp;number=&amp;sourceID=59","")</f>
        <v/>
      </c>
      <c r="M130" s="4" t="str">
        <f>HYPERLINK("http://141.218.60.56/~jnz1568/getInfo.php?workbook=16_15.xlsx&amp;sheet=U0&amp;row=130&amp;col=13&amp;number=&amp;sourceID=59","")</f>
        <v/>
      </c>
    </row>
    <row r="131" spans="1:13">
      <c r="A131" s="3"/>
      <c r="B131" s="3"/>
      <c r="C131" s="3"/>
      <c r="D131" s="3"/>
      <c r="E131" s="3">
        <v>16</v>
      </c>
      <c r="F131" s="4" t="str">
        <f>HYPERLINK("http://141.218.60.56/~jnz1568/getInfo.php?workbook=16_15.xlsx&amp;sheet=U0&amp;row=131&amp;col=6&amp;number=4.30102999566&amp;sourceID=51","4.30102999566")</f>
        <v>4.30102999566</v>
      </c>
      <c r="G131" s="4" t="str">
        <f>HYPERLINK("http://141.218.60.56/~jnz1568/getInfo.php?workbook=16_15.xlsx&amp;sheet=U0&amp;row=131&amp;col=7&amp;number=2.81194646484&amp;sourceID=51","2.81194646484")</f>
        <v>2.81194646484</v>
      </c>
      <c r="H131" s="4" t="str">
        <f>HYPERLINK("http://141.218.60.56/~jnz1568/getInfo.php?workbook=16_15.xlsx&amp;sheet=U0&amp;row=131&amp;col=8&amp;number=&amp;sourceID=53","")</f>
        <v/>
      </c>
      <c r="I131" s="4" t="str">
        <f>HYPERLINK("http://141.218.60.56/~jnz1568/getInfo.php?workbook=16_15.xlsx&amp;sheet=U0&amp;row=131&amp;col=9&amp;number=&amp;sourceID=53","")</f>
        <v/>
      </c>
      <c r="J131" s="4" t="str">
        <f>HYPERLINK("http://141.218.60.56/~jnz1568/getInfo.php?workbook=16_15.xlsx&amp;sheet=U0&amp;row=131&amp;col=10&amp;number=&amp;sourceID=58","")</f>
        <v/>
      </c>
      <c r="K131" s="4" t="str">
        <f>HYPERLINK("http://141.218.60.56/~jnz1568/getInfo.php?workbook=16_15.xlsx&amp;sheet=U0&amp;row=131&amp;col=11&amp;number=&amp;sourceID=58","")</f>
        <v/>
      </c>
      <c r="L131" s="4" t="str">
        <f>HYPERLINK("http://141.218.60.56/~jnz1568/getInfo.php?workbook=16_15.xlsx&amp;sheet=U0&amp;row=131&amp;col=12&amp;number=&amp;sourceID=59","")</f>
        <v/>
      </c>
      <c r="M131" s="4" t="str">
        <f>HYPERLINK("http://141.218.60.56/~jnz1568/getInfo.php?workbook=16_15.xlsx&amp;sheet=U0&amp;row=131&amp;col=13&amp;number=&amp;sourceID=59","")</f>
        <v/>
      </c>
    </row>
    <row r="132" spans="1:13">
      <c r="A132" s="3">
        <v>16</v>
      </c>
      <c r="B132" s="3">
        <v>15</v>
      </c>
      <c r="C132" s="3">
        <v>5</v>
      </c>
      <c r="D132" s="3">
        <v>3</v>
      </c>
      <c r="E132" s="3">
        <v>1</v>
      </c>
      <c r="F132" s="4" t="str">
        <f>HYPERLINK("http://141.218.60.56/~jnz1568/getInfo.php?workbook=16_15.xlsx&amp;sheet=U0&amp;row=132&amp;col=6&amp;number=3.69897000434&amp;sourceID=51","3.69897000434")</f>
        <v>3.69897000434</v>
      </c>
      <c r="G132" s="4" t="str">
        <f>HYPERLINK("http://141.218.60.56/~jnz1568/getInfo.php?workbook=16_15.xlsx&amp;sheet=U0&amp;row=132&amp;col=7&amp;number=4.9108138397&amp;sourceID=51","4.9108138397")</f>
        <v>4.9108138397</v>
      </c>
      <c r="H132" s="4" t="str">
        <f>HYPERLINK("http://141.218.60.56/~jnz1568/getInfo.php?workbook=16_15.xlsx&amp;sheet=U0&amp;row=132&amp;col=8&amp;number=3.699&amp;sourceID=53","3.699")</f>
        <v>3.699</v>
      </c>
      <c r="I132" s="4" t="str">
        <f>HYPERLINK("http://141.218.60.56/~jnz1568/getInfo.php?workbook=16_15.xlsx&amp;sheet=U0&amp;row=132&amp;col=9&amp;number=4.07&amp;sourceID=53","4.07")</f>
        <v>4.07</v>
      </c>
      <c r="J132" s="4" t="str">
        <f>HYPERLINK("http://141.218.60.56/~jnz1568/getInfo.php?workbook=16_15.xlsx&amp;sheet=U0&amp;row=132&amp;col=10&amp;number=3&amp;sourceID=58","3")</f>
        <v>3</v>
      </c>
      <c r="K132" s="4" t="str">
        <f>HYPERLINK("http://141.218.60.56/~jnz1568/getInfo.php?workbook=16_15.xlsx&amp;sheet=U0&amp;row=132&amp;col=11&amp;number=3.88&amp;sourceID=58","3.88")</f>
        <v>3.88</v>
      </c>
      <c r="L132" s="4" t="str">
        <f>HYPERLINK("http://141.218.60.56/~jnz1568/getInfo.php?workbook=16_15.xlsx&amp;sheet=U0&amp;row=132&amp;col=12&amp;number=3.5&amp;sourceID=59","3.5")</f>
        <v>3.5</v>
      </c>
      <c r="M132" s="4" t="str">
        <f>HYPERLINK("http://141.218.60.56/~jnz1568/getInfo.php?workbook=16_15.xlsx&amp;sheet=U0&amp;row=132&amp;col=13&amp;number=5.82&amp;sourceID=59","5.82")</f>
        <v>5.82</v>
      </c>
    </row>
    <row r="133" spans="1:13">
      <c r="A133" s="3"/>
      <c r="B133" s="3"/>
      <c r="C133" s="3"/>
      <c r="D133" s="3"/>
      <c r="E133" s="3">
        <v>2</v>
      </c>
      <c r="F133" s="4" t="str">
        <f>HYPERLINK("http://141.218.60.56/~jnz1568/getInfo.php?workbook=16_15.xlsx&amp;sheet=U0&amp;row=133&amp;col=6&amp;number=3.77815125038&amp;sourceID=51","3.77815125038")</f>
        <v>3.77815125038</v>
      </c>
      <c r="G133" s="4" t="str">
        <f>HYPERLINK("http://141.218.60.56/~jnz1568/getInfo.php?workbook=16_15.xlsx&amp;sheet=U0&amp;row=133&amp;col=7&amp;number=4.94227176571&amp;sourceID=51","4.94227176571")</f>
        <v>4.94227176571</v>
      </c>
      <c r="H133" s="4" t="str">
        <f>HYPERLINK("http://141.218.60.56/~jnz1568/getInfo.php?workbook=16_15.xlsx&amp;sheet=U0&amp;row=133&amp;col=8&amp;number=3.845&amp;sourceID=53","3.845")</f>
        <v>3.845</v>
      </c>
      <c r="I133" s="4" t="str">
        <f>HYPERLINK("http://141.218.60.56/~jnz1568/getInfo.php?workbook=16_15.xlsx&amp;sheet=U0&amp;row=133&amp;col=9&amp;number=4.07&amp;sourceID=53","4.07")</f>
        <v>4.07</v>
      </c>
      <c r="J133" s="4" t="str">
        <f>HYPERLINK("http://141.218.60.56/~jnz1568/getInfo.php?workbook=16_15.xlsx&amp;sheet=U0&amp;row=133&amp;col=10&amp;number=3.301&amp;sourceID=58","3.301")</f>
        <v>3.301</v>
      </c>
      <c r="K133" s="4" t="str">
        <f>HYPERLINK("http://141.218.60.56/~jnz1568/getInfo.php?workbook=16_15.xlsx&amp;sheet=U0&amp;row=133&amp;col=11&amp;number=4.12&amp;sourceID=58","4.12")</f>
        <v>4.12</v>
      </c>
      <c r="L133" s="4" t="str">
        <f>HYPERLINK("http://141.218.60.56/~jnz1568/getInfo.php?workbook=16_15.xlsx&amp;sheet=U0&amp;row=133&amp;col=12&amp;number=3.6&amp;sourceID=59","3.6")</f>
        <v>3.6</v>
      </c>
      <c r="M133" s="4" t="str">
        <f>HYPERLINK("http://141.218.60.56/~jnz1568/getInfo.php?workbook=16_15.xlsx&amp;sheet=U0&amp;row=133&amp;col=13&amp;number=5.68&amp;sourceID=59","5.68")</f>
        <v>5.68</v>
      </c>
    </row>
    <row r="134" spans="1:13">
      <c r="A134" s="3"/>
      <c r="B134" s="3"/>
      <c r="C134" s="3"/>
      <c r="D134" s="3"/>
      <c r="E134" s="3">
        <v>3</v>
      </c>
      <c r="F134" s="4" t="str">
        <f>HYPERLINK("http://141.218.60.56/~jnz1568/getInfo.php?workbook=16_15.xlsx&amp;sheet=U0&amp;row=134&amp;col=6&amp;number=3.84509804001&amp;sourceID=51","3.84509804001")</f>
        <v>3.84509804001</v>
      </c>
      <c r="G134" s="4" t="str">
        <f>HYPERLINK("http://141.218.60.56/~jnz1568/getInfo.php?workbook=16_15.xlsx&amp;sheet=U0&amp;row=134&amp;col=7&amp;number=4.96880662539&amp;sourceID=51","4.96880662539")</f>
        <v>4.96880662539</v>
      </c>
      <c r="H134" s="4" t="str">
        <f>HYPERLINK("http://141.218.60.56/~jnz1568/getInfo.php?workbook=16_15.xlsx&amp;sheet=U0&amp;row=134&amp;col=8&amp;number=4&amp;sourceID=53","4")</f>
        <v>4</v>
      </c>
      <c r="I134" s="4" t="str">
        <f>HYPERLINK("http://141.218.60.56/~jnz1568/getInfo.php?workbook=16_15.xlsx&amp;sheet=U0&amp;row=134&amp;col=9&amp;number=4.06&amp;sourceID=53","4.06")</f>
        <v>4.06</v>
      </c>
      <c r="J134" s="4" t="str">
        <f>HYPERLINK("http://141.218.60.56/~jnz1568/getInfo.php?workbook=16_15.xlsx&amp;sheet=U0&amp;row=134&amp;col=10&amp;number=3.477&amp;sourceID=58","3.477")</f>
        <v>3.477</v>
      </c>
      <c r="K134" s="4" t="str">
        <f>HYPERLINK("http://141.218.60.56/~jnz1568/getInfo.php?workbook=16_15.xlsx&amp;sheet=U0&amp;row=134&amp;col=11&amp;number=4.31&amp;sourceID=58","4.31")</f>
        <v>4.31</v>
      </c>
      <c r="L134" s="4" t="str">
        <f>HYPERLINK("http://141.218.60.56/~jnz1568/getInfo.php?workbook=16_15.xlsx&amp;sheet=U0&amp;row=134&amp;col=12&amp;number=3.7&amp;sourceID=59","3.7")</f>
        <v>3.7</v>
      </c>
      <c r="M134" s="4" t="str">
        <f>HYPERLINK("http://141.218.60.56/~jnz1568/getInfo.php?workbook=16_15.xlsx&amp;sheet=U0&amp;row=134&amp;col=13&amp;number=5.52&amp;sourceID=59","5.52")</f>
        <v>5.52</v>
      </c>
    </row>
    <row r="135" spans="1:13">
      <c r="A135" s="3"/>
      <c r="B135" s="3"/>
      <c r="C135" s="3"/>
      <c r="D135" s="3"/>
      <c r="E135" s="3">
        <v>4</v>
      </c>
      <c r="F135" s="4" t="str">
        <f>HYPERLINK("http://141.218.60.56/~jnz1568/getInfo.php?workbook=16_15.xlsx&amp;sheet=U0&amp;row=135&amp;col=6&amp;number=3.90308998699&amp;sourceID=51","3.90308998699")</f>
        <v>3.90308998699</v>
      </c>
      <c r="G135" s="4" t="str">
        <f>HYPERLINK("http://141.218.60.56/~jnz1568/getInfo.php?workbook=16_15.xlsx&amp;sheet=U0&amp;row=135&amp;col=7&amp;number=4.99132975282&amp;sourceID=51","4.99132975282")</f>
        <v>4.99132975282</v>
      </c>
      <c r="H135" s="4" t="str">
        <f>HYPERLINK("http://141.218.60.56/~jnz1568/getInfo.php?workbook=16_15.xlsx&amp;sheet=U0&amp;row=135&amp;col=8&amp;number=4.176&amp;sourceID=53","4.176")</f>
        <v>4.176</v>
      </c>
      <c r="I135" s="4" t="str">
        <f>HYPERLINK("http://141.218.60.56/~jnz1568/getInfo.php?workbook=16_15.xlsx&amp;sheet=U0&amp;row=135&amp;col=9&amp;number=4.06&amp;sourceID=53","4.06")</f>
        <v>4.06</v>
      </c>
      <c r="J135" s="4" t="str">
        <f>HYPERLINK("http://141.218.60.56/~jnz1568/getInfo.php?workbook=16_15.xlsx&amp;sheet=U0&amp;row=135&amp;col=10&amp;number=3.602&amp;sourceID=58","3.602")</f>
        <v>3.602</v>
      </c>
      <c r="K135" s="4" t="str">
        <f>HYPERLINK("http://141.218.60.56/~jnz1568/getInfo.php?workbook=16_15.xlsx&amp;sheet=U0&amp;row=135&amp;col=11&amp;number=4.46&amp;sourceID=58","4.46")</f>
        <v>4.46</v>
      </c>
      <c r="L135" s="4" t="str">
        <f>HYPERLINK("http://141.218.60.56/~jnz1568/getInfo.php?workbook=16_15.xlsx&amp;sheet=U0&amp;row=135&amp;col=12&amp;number=3.8&amp;sourceID=59","3.8")</f>
        <v>3.8</v>
      </c>
      <c r="M135" s="4" t="str">
        <f>HYPERLINK("http://141.218.60.56/~jnz1568/getInfo.php?workbook=16_15.xlsx&amp;sheet=U0&amp;row=135&amp;col=13&amp;number=5.35&amp;sourceID=59","5.35")</f>
        <v>5.35</v>
      </c>
    </row>
    <row r="136" spans="1:13">
      <c r="A136" s="3"/>
      <c r="B136" s="3"/>
      <c r="C136" s="3"/>
      <c r="D136" s="3"/>
      <c r="E136" s="3">
        <v>5</v>
      </c>
      <c r="F136" s="4" t="str">
        <f>HYPERLINK("http://141.218.60.56/~jnz1568/getInfo.php?workbook=16_15.xlsx&amp;sheet=U0&amp;row=136&amp;col=6&amp;number=3.95424250944&amp;sourceID=51","3.95424250944")</f>
        <v>3.95424250944</v>
      </c>
      <c r="G136" s="4" t="str">
        <f>HYPERLINK("http://141.218.60.56/~jnz1568/getInfo.php?workbook=16_15.xlsx&amp;sheet=U0&amp;row=136&amp;col=7&amp;number=5.01040825716&amp;sourceID=51","5.01040825716")</f>
        <v>5.01040825716</v>
      </c>
      <c r="H136" s="4" t="str">
        <f>HYPERLINK("http://141.218.60.56/~jnz1568/getInfo.php?workbook=16_15.xlsx&amp;sheet=U0&amp;row=136&amp;col=8&amp;number=4.301&amp;sourceID=53","4.301")</f>
        <v>4.301</v>
      </c>
      <c r="I136" s="4" t="str">
        <f>HYPERLINK("http://141.218.60.56/~jnz1568/getInfo.php?workbook=16_15.xlsx&amp;sheet=U0&amp;row=136&amp;col=9&amp;number=4.07&amp;sourceID=53","4.07")</f>
        <v>4.07</v>
      </c>
      <c r="J136" s="4" t="str">
        <f>HYPERLINK("http://141.218.60.56/~jnz1568/getInfo.php?workbook=16_15.xlsx&amp;sheet=U0&amp;row=136&amp;col=10&amp;number=3.699&amp;sourceID=58","3.699")</f>
        <v>3.699</v>
      </c>
      <c r="K136" s="4" t="str">
        <f>HYPERLINK("http://141.218.60.56/~jnz1568/getInfo.php?workbook=16_15.xlsx&amp;sheet=U0&amp;row=136&amp;col=11&amp;number=4.56&amp;sourceID=58","4.56")</f>
        <v>4.56</v>
      </c>
      <c r="L136" s="4" t="str">
        <f>HYPERLINK("http://141.218.60.56/~jnz1568/getInfo.php?workbook=16_15.xlsx&amp;sheet=U0&amp;row=136&amp;col=12&amp;number=3.9&amp;sourceID=59","3.9")</f>
        <v>3.9</v>
      </c>
      <c r="M136" s="4" t="str">
        <f>HYPERLINK("http://141.218.60.56/~jnz1568/getInfo.php?workbook=16_15.xlsx&amp;sheet=U0&amp;row=136&amp;col=13&amp;number=5.17&amp;sourceID=59","5.17")</f>
        <v>5.17</v>
      </c>
    </row>
    <row r="137" spans="1:13">
      <c r="A137" s="3"/>
      <c r="B137" s="3"/>
      <c r="C137" s="3"/>
      <c r="D137" s="3"/>
      <c r="E137" s="3">
        <v>6</v>
      </c>
      <c r="F137" s="4" t="str">
        <f>HYPERLINK("http://141.218.60.56/~jnz1568/getInfo.php?workbook=16_15.xlsx&amp;sheet=U0&amp;row=137&amp;col=6&amp;number=4&amp;sourceID=51","4")</f>
        <v>4</v>
      </c>
      <c r="G137" s="4" t="str">
        <f>HYPERLINK("http://141.218.60.56/~jnz1568/getInfo.php?workbook=16_15.xlsx&amp;sheet=U0&amp;row=137&amp;col=7&amp;number=5.02646161146&amp;sourceID=51","5.02646161146")</f>
        <v>5.02646161146</v>
      </c>
      <c r="H137" s="4" t="str">
        <f>HYPERLINK("http://141.218.60.56/~jnz1568/getInfo.php?workbook=16_15.xlsx&amp;sheet=U0&amp;row=137&amp;col=8&amp;number=4.398&amp;sourceID=53","4.398")</f>
        <v>4.398</v>
      </c>
      <c r="I137" s="4" t="str">
        <f>HYPERLINK("http://141.218.60.56/~jnz1568/getInfo.php?workbook=16_15.xlsx&amp;sheet=U0&amp;row=137&amp;col=9&amp;number=4.08&amp;sourceID=53","4.08")</f>
        <v>4.08</v>
      </c>
      <c r="J137" s="4" t="str">
        <f>HYPERLINK("http://141.218.60.56/~jnz1568/getInfo.php?workbook=16_15.xlsx&amp;sheet=U0&amp;row=137&amp;col=10&amp;number=3.778&amp;sourceID=58","3.778")</f>
        <v>3.778</v>
      </c>
      <c r="K137" s="4" t="str">
        <f>HYPERLINK("http://141.218.60.56/~jnz1568/getInfo.php?workbook=16_15.xlsx&amp;sheet=U0&amp;row=137&amp;col=11&amp;number=4.64&amp;sourceID=58","4.64")</f>
        <v>4.64</v>
      </c>
      <c r="L137" s="4" t="str">
        <f>HYPERLINK("http://141.218.60.56/~jnz1568/getInfo.php?workbook=16_15.xlsx&amp;sheet=U0&amp;row=137&amp;col=12&amp;number=4&amp;sourceID=59","4")</f>
        <v>4</v>
      </c>
      <c r="M137" s="4" t="str">
        <f>HYPERLINK("http://141.218.60.56/~jnz1568/getInfo.php?workbook=16_15.xlsx&amp;sheet=U0&amp;row=137&amp;col=13&amp;number=4.99&amp;sourceID=59","4.99")</f>
        <v>4.99</v>
      </c>
    </row>
    <row r="138" spans="1:13">
      <c r="A138" s="3"/>
      <c r="B138" s="3"/>
      <c r="C138" s="3"/>
      <c r="D138" s="3"/>
      <c r="E138" s="3">
        <v>7</v>
      </c>
      <c r="F138" s="4" t="str">
        <f>HYPERLINK("http://141.218.60.56/~jnz1568/getInfo.php?workbook=16_15.xlsx&amp;sheet=U0&amp;row=138&amp;col=6&amp;number=4.04139268516&amp;sourceID=51","4.04139268516")</f>
        <v>4.04139268516</v>
      </c>
      <c r="G138" s="4" t="str">
        <f>HYPERLINK("http://141.218.60.56/~jnz1568/getInfo.php?workbook=16_15.xlsx&amp;sheet=U0&amp;row=138&amp;col=7&amp;number=5.03983395603&amp;sourceID=51","5.03983395603")</f>
        <v>5.03983395603</v>
      </c>
      <c r="H138" s="4" t="str">
        <f>HYPERLINK("http://141.218.60.56/~jnz1568/getInfo.php?workbook=16_15.xlsx&amp;sheet=U0&amp;row=138&amp;col=8&amp;number=4.477&amp;sourceID=53","4.477")</f>
        <v>4.477</v>
      </c>
      <c r="I138" s="4" t="str">
        <f>HYPERLINK("http://141.218.60.56/~jnz1568/getInfo.php?workbook=16_15.xlsx&amp;sheet=U0&amp;row=138&amp;col=9&amp;number=4.08&amp;sourceID=53","4.08")</f>
        <v>4.08</v>
      </c>
      <c r="J138" s="4" t="str">
        <f>HYPERLINK("http://141.218.60.56/~jnz1568/getInfo.php?workbook=16_15.xlsx&amp;sheet=U0&amp;row=138&amp;col=10&amp;number=3.845&amp;sourceID=58","3.845")</f>
        <v>3.845</v>
      </c>
      <c r="K138" s="4" t="str">
        <f>HYPERLINK("http://141.218.60.56/~jnz1568/getInfo.php?workbook=16_15.xlsx&amp;sheet=U0&amp;row=138&amp;col=11&amp;number=4.69&amp;sourceID=58","4.69")</f>
        <v>4.69</v>
      </c>
      <c r="L138" s="4" t="str">
        <f>HYPERLINK("http://141.218.60.56/~jnz1568/getInfo.php?workbook=16_15.xlsx&amp;sheet=U0&amp;row=138&amp;col=12&amp;number=4.1&amp;sourceID=59","4.1")</f>
        <v>4.1</v>
      </c>
      <c r="M138" s="4" t="str">
        <f>HYPERLINK("http://141.218.60.56/~jnz1568/getInfo.php?workbook=16_15.xlsx&amp;sheet=U0&amp;row=138&amp;col=13&amp;number=4.81&amp;sourceID=59","4.81")</f>
        <v>4.81</v>
      </c>
    </row>
    <row r="139" spans="1:13">
      <c r="A139" s="3"/>
      <c r="B139" s="3"/>
      <c r="C139" s="3"/>
      <c r="D139" s="3"/>
      <c r="E139" s="3">
        <v>8</v>
      </c>
      <c r="F139" s="4" t="str">
        <f>HYPERLINK("http://141.218.60.56/~jnz1568/getInfo.php?workbook=16_15.xlsx&amp;sheet=U0&amp;row=139&amp;col=6&amp;number=4.07918124605&amp;sourceID=51","4.07918124605")</f>
        <v>4.07918124605</v>
      </c>
      <c r="G139" s="4" t="str">
        <f>HYPERLINK("http://141.218.60.56/~jnz1568/getInfo.php?workbook=16_15.xlsx&amp;sheet=U0&amp;row=139&amp;col=7&amp;number=5.05081755622&amp;sourceID=51","5.05081755622")</f>
        <v>5.05081755622</v>
      </c>
      <c r="H139" s="4" t="str">
        <f>HYPERLINK("http://141.218.60.56/~jnz1568/getInfo.php?workbook=16_15.xlsx&amp;sheet=U0&amp;row=139&amp;col=8&amp;number=4.602&amp;sourceID=53","4.602")</f>
        <v>4.602</v>
      </c>
      <c r="I139" s="4" t="str">
        <f>HYPERLINK("http://141.218.60.56/~jnz1568/getInfo.php?workbook=16_15.xlsx&amp;sheet=U0&amp;row=139&amp;col=9&amp;number=4.08&amp;sourceID=53","4.08")</f>
        <v>4.08</v>
      </c>
      <c r="J139" s="4" t="str">
        <f>HYPERLINK("http://141.218.60.56/~jnz1568/getInfo.php?workbook=16_15.xlsx&amp;sheet=U0&amp;row=139&amp;col=10&amp;number=3.903&amp;sourceID=58","3.903")</f>
        <v>3.903</v>
      </c>
      <c r="K139" s="4" t="str">
        <f>HYPERLINK("http://141.218.60.56/~jnz1568/getInfo.php?workbook=16_15.xlsx&amp;sheet=U0&amp;row=139&amp;col=11&amp;number=4.73&amp;sourceID=58","4.73")</f>
        <v>4.73</v>
      </c>
      <c r="L139" s="4" t="str">
        <f>HYPERLINK("http://141.218.60.56/~jnz1568/getInfo.php?workbook=16_15.xlsx&amp;sheet=U0&amp;row=139&amp;col=12&amp;number=4.2&amp;sourceID=59","4.2")</f>
        <v>4.2</v>
      </c>
      <c r="M139" s="4" t="str">
        <f>HYPERLINK("http://141.218.60.56/~jnz1568/getInfo.php?workbook=16_15.xlsx&amp;sheet=U0&amp;row=139&amp;col=13&amp;number=4.65&amp;sourceID=59","4.65")</f>
        <v>4.65</v>
      </c>
    </row>
    <row r="140" spans="1:13">
      <c r="A140" s="3"/>
      <c r="B140" s="3"/>
      <c r="C140" s="3"/>
      <c r="D140" s="3"/>
      <c r="E140" s="3">
        <v>9</v>
      </c>
      <c r="F140" s="4" t="str">
        <f>HYPERLINK("http://141.218.60.56/~jnz1568/getInfo.php?workbook=16_15.xlsx&amp;sheet=U0&amp;row=140&amp;col=6&amp;number=4.11394335231&amp;sourceID=51","4.11394335231")</f>
        <v>4.11394335231</v>
      </c>
      <c r="G140" s="4" t="str">
        <f>HYPERLINK("http://141.218.60.56/~jnz1568/getInfo.php?workbook=16_15.xlsx&amp;sheet=U0&amp;row=140&amp;col=7&amp;number=5.059659957&amp;sourceID=51","5.059659957")</f>
        <v>5.059659957</v>
      </c>
      <c r="H140" s="4" t="str">
        <f>HYPERLINK("http://141.218.60.56/~jnz1568/getInfo.php?workbook=16_15.xlsx&amp;sheet=U0&amp;row=140&amp;col=8&amp;number=4.699&amp;sourceID=53","4.699")</f>
        <v>4.699</v>
      </c>
      <c r="I140" s="4" t="str">
        <f>HYPERLINK("http://141.218.60.56/~jnz1568/getInfo.php?workbook=16_15.xlsx&amp;sheet=U0&amp;row=140&amp;col=9&amp;number=4.06&amp;sourceID=53","4.06")</f>
        <v>4.06</v>
      </c>
      <c r="J140" s="4" t="str">
        <f>HYPERLINK("http://141.218.60.56/~jnz1568/getInfo.php?workbook=16_15.xlsx&amp;sheet=U0&amp;row=140&amp;col=10&amp;number=3.954&amp;sourceID=58","3.954")</f>
        <v>3.954</v>
      </c>
      <c r="K140" s="4" t="str">
        <f>HYPERLINK("http://141.218.60.56/~jnz1568/getInfo.php?workbook=16_15.xlsx&amp;sheet=U0&amp;row=140&amp;col=11&amp;number=4.75&amp;sourceID=58","4.75")</f>
        <v>4.75</v>
      </c>
      <c r="L140" s="4" t="str">
        <f>HYPERLINK("http://141.218.60.56/~jnz1568/getInfo.php?workbook=16_15.xlsx&amp;sheet=U0&amp;row=140&amp;col=12&amp;number=4.4&amp;sourceID=59","4.4")</f>
        <v>4.4</v>
      </c>
      <c r="M140" s="4" t="str">
        <f>HYPERLINK("http://141.218.60.56/~jnz1568/getInfo.php?workbook=16_15.xlsx&amp;sheet=U0&amp;row=140&amp;col=13&amp;number=4.4&amp;sourceID=59","4.4")</f>
        <v>4.4</v>
      </c>
    </row>
    <row r="141" spans="1:13">
      <c r="A141" s="3"/>
      <c r="B141" s="3"/>
      <c r="C141" s="3"/>
      <c r="D141" s="3"/>
      <c r="E141" s="3">
        <v>10</v>
      </c>
      <c r="F141" s="4" t="str">
        <f>HYPERLINK("http://141.218.60.56/~jnz1568/getInfo.php?workbook=16_15.xlsx&amp;sheet=U0&amp;row=141&amp;col=6&amp;number=4.14612803568&amp;sourceID=51","4.14612803568")</f>
        <v>4.14612803568</v>
      </c>
      <c r="G141" s="4" t="str">
        <f>HYPERLINK("http://141.218.60.56/~jnz1568/getInfo.php?workbook=16_15.xlsx&amp;sheet=U0&amp;row=141&amp;col=7&amp;number=5.06656734895&amp;sourceID=51","5.06656734895")</f>
        <v>5.06656734895</v>
      </c>
      <c r="H141" s="4" t="str">
        <f>HYPERLINK("http://141.218.60.56/~jnz1568/getInfo.php?workbook=16_15.xlsx&amp;sheet=U0&amp;row=141&amp;col=8&amp;number=4.845&amp;sourceID=53","4.845")</f>
        <v>4.845</v>
      </c>
      <c r="I141" s="4" t="str">
        <f>HYPERLINK("http://141.218.60.56/~jnz1568/getInfo.php?workbook=16_15.xlsx&amp;sheet=U0&amp;row=141&amp;col=9&amp;number=3.97&amp;sourceID=53","3.97")</f>
        <v>3.97</v>
      </c>
      <c r="J141" s="4" t="str">
        <f>HYPERLINK("http://141.218.60.56/~jnz1568/getInfo.php?workbook=16_15.xlsx&amp;sheet=U0&amp;row=141&amp;col=10&amp;number=4&amp;sourceID=58","4")</f>
        <v>4</v>
      </c>
      <c r="K141" s="4" t="str">
        <f>HYPERLINK("http://141.218.60.56/~jnz1568/getInfo.php?workbook=16_15.xlsx&amp;sheet=U0&amp;row=141&amp;col=11&amp;number=4.77&amp;sourceID=58","4.77")</f>
        <v>4.77</v>
      </c>
      <c r="L141" s="4" t="str">
        <f>HYPERLINK("http://141.218.60.56/~jnz1568/getInfo.php?workbook=16_15.xlsx&amp;sheet=U0&amp;row=141&amp;col=12&amp;number=4.6&amp;sourceID=59","4.6")</f>
        <v>4.6</v>
      </c>
      <c r="M141" s="4" t="str">
        <f>HYPERLINK("http://141.218.60.56/~jnz1568/getInfo.php?workbook=16_15.xlsx&amp;sheet=U0&amp;row=141&amp;col=13&amp;number=4.21&amp;sourceID=59","4.21")</f>
        <v>4.21</v>
      </c>
    </row>
    <row r="142" spans="1:13">
      <c r="A142" s="3"/>
      <c r="B142" s="3"/>
      <c r="C142" s="3"/>
      <c r="D142" s="3"/>
      <c r="E142" s="3">
        <v>11</v>
      </c>
      <c r="F142" s="4" t="str">
        <f>HYPERLINK("http://141.218.60.56/~jnz1568/getInfo.php?workbook=16_15.xlsx&amp;sheet=U0&amp;row=142&amp;col=6&amp;number=4.17609125906&amp;sourceID=51","4.17609125906")</f>
        <v>4.17609125906</v>
      </c>
      <c r="G142" s="4" t="str">
        <f>HYPERLINK("http://141.218.60.56/~jnz1568/getInfo.php?workbook=16_15.xlsx&amp;sheet=U0&amp;row=142&amp;col=7&amp;number=5.07170822429&amp;sourceID=51","5.07170822429")</f>
        <v>5.07170822429</v>
      </c>
      <c r="H142" s="4" t="str">
        <f>HYPERLINK("http://141.218.60.56/~jnz1568/getInfo.php?workbook=16_15.xlsx&amp;sheet=U0&amp;row=142&amp;col=8&amp;number=5&amp;sourceID=53","5")</f>
        <v>5</v>
      </c>
      <c r="I142" s="4" t="str">
        <f>HYPERLINK("http://141.218.60.56/~jnz1568/getInfo.php?workbook=16_15.xlsx&amp;sheet=U0&amp;row=142&amp;col=9&amp;number=3.83&amp;sourceID=53","3.83")</f>
        <v>3.83</v>
      </c>
      <c r="J142" s="4" t="str">
        <f>HYPERLINK("http://141.218.60.56/~jnz1568/getInfo.php?workbook=16_15.xlsx&amp;sheet=U0&amp;row=142&amp;col=10&amp;number=4.079&amp;sourceID=58","4.079")</f>
        <v>4.079</v>
      </c>
      <c r="K142" s="4" t="str">
        <f>HYPERLINK("http://141.218.60.56/~jnz1568/getInfo.php?workbook=16_15.xlsx&amp;sheet=U0&amp;row=142&amp;col=11&amp;number=4.77&amp;sourceID=58","4.77")</f>
        <v>4.77</v>
      </c>
      <c r="L142" s="4" t="str">
        <f>HYPERLINK("http://141.218.60.56/~jnz1568/getInfo.php?workbook=16_15.xlsx&amp;sheet=U0&amp;row=142&amp;col=12&amp;number=4.8&amp;sourceID=59","4.8")</f>
        <v>4.8</v>
      </c>
      <c r="M142" s="4" t="str">
        <f>HYPERLINK("http://141.218.60.56/~jnz1568/getInfo.php?workbook=16_15.xlsx&amp;sheet=U0&amp;row=142&amp;col=13&amp;number=4.03&amp;sourceID=59","4.03")</f>
        <v>4.03</v>
      </c>
    </row>
    <row r="143" spans="1:13">
      <c r="A143" s="3"/>
      <c r="B143" s="3"/>
      <c r="C143" s="3"/>
      <c r="D143" s="3"/>
      <c r="E143" s="3">
        <v>12</v>
      </c>
      <c r="F143" s="4" t="str">
        <f>HYPERLINK("http://141.218.60.56/~jnz1568/getInfo.php?workbook=16_15.xlsx&amp;sheet=U0&amp;row=143&amp;col=6&amp;number=4.20411998266&amp;sourceID=51","4.20411998266")</f>
        <v>4.20411998266</v>
      </c>
      <c r="G143" s="4" t="str">
        <f>HYPERLINK("http://141.218.60.56/~jnz1568/getInfo.php?workbook=16_15.xlsx&amp;sheet=U0&amp;row=143&amp;col=7&amp;number=5.0752181041&amp;sourceID=51","5.0752181041")</f>
        <v>5.0752181041</v>
      </c>
      <c r="H143" s="4" t="str">
        <f>HYPERLINK("http://141.218.60.56/~jnz1568/getInfo.php?workbook=16_15.xlsx&amp;sheet=U0&amp;row=143&amp;col=8&amp;number=&amp;sourceID=53","")</f>
        <v/>
      </c>
      <c r="I143" s="4" t="str">
        <f>HYPERLINK("http://141.218.60.56/~jnz1568/getInfo.php?workbook=16_15.xlsx&amp;sheet=U0&amp;row=143&amp;col=9&amp;number=&amp;sourceID=53","")</f>
        <v/>
      </c>
      <c r="J143" s="4" t="str">
        <f>HYPERLINK("http://141.218.60.56/~jnz1568/getInfo.php?workbook=16_15.xlsx&amp;sheet=U0&amp;row=143&amp;col=10&amp;number=4.146&amp;sourceID=58","4.146")</f>
        <v>4.146</v>
      </c>
      <c r="K143" s="4" t="str">
        <f>HYPERLINK("http://141.218.60.56/~jnz1568/getInfo.php?workbook=16_15.xlsx&amp;sheet=U0&amp;row=143&amp;col=11&amp;number=4.76&amp;sourceID=58","4.76")</f>
        <v>4.76</v>
      </c>
      <c r="L143" s="4" t="str">
        <f>HYPERLINK("http://141.218.60.56/~jnz1568/getInfo.php?workbook=16_15.xlsx&amp;sheet=U0&amp;row=143&amp;col=12&amp;number=5&amp;sourceID=59","5")</f>
        <v>5</v>
      </c>
      <c r="M143" s="4" t="str">
        <f>HYPERLINK("http://141.218.60.56/~jnz1568/getInfo.php?workbook=16_15.xlsx&amp;sheet=U0&amp;row=143&amp;col=13&amp;number=3.87&amp;sourceID=59","3.87")</f>
        <v>3.87</v>
      </c>
    </row>
    <row r="144" spans="1:13">
      <c r="A144" s="3"/>
      <c r="B144" s="3"/>
      <c r="C144" s="3"/>
      <c r="D144" s="3"/>
      <c r="E144" s="3">
        <v>13</v>
      </c>
      <c r="F144" s="4" t="str">
        <f>HYPERLINK("http://141.218.60.56/~jnz1568/getInfo.php?workbook=16_15.xlsx&amp;sheet=U0&amp;row=144&amp;col=6&amp;number=4.23044892138&amp;sourceID=51","4.23044892138")</f>
        <v>4.23044892138</v>
      </c>
      <c r="G144" s="4" t="str">
        <f>HYPERLINK("http://141.218.60.56/~jnz1568/getInfo.php?workbook=16_15.xlsx&amp;sheet=U0&amp;row=144&amp;col=7&amp;number=5.0772049865&amp;sourceID=51","5.0772049865")</f>
        <v>5.0772049865</v>
      </c>
      <c r="H144" s="4" t="str">
        <f>HYPERLINK("http://141.218.60.56/~jnz1568/getInfo.php?workbook=16_15.xlsx&amp;sheet=U0&amp;row=144&amp;col=8&amp;number=&amp;sourceID=53","")</f>
        <v/>
      </c>
      <c r="I144" s="4" t="str">
        <f>HYPERLINK("http://141.218.60.56/~jnz1568/getInfo.php?workbook=16_15.xlsx&amp;sheet=U0&amp;row=144&amp;col=9&amp;number=&amp;sourceID=53","")</f>
        <v/>
      </c>
      <c r="J144" s="4" t="str">
        <f>HYPERLINK("http://141.218.60.56/~jnz1568/getInfo.php?workbook=16_15.xlsx&amp;sheet=U0&amp;row=144&amp;col=10&amp;number=4.204&amp;sourceID=58","4.204")</f>
        <v>4.204</v>
      </c>
      <c r="K144" s="4" t="str">
        <f>HYPERLINK("http://141.218.60.56/~jnz1568/getInfo.php?workbook=16_15.xlsx&amp;sheet=U0&amp;row=144&amp;col=11&amp;number=4.74&amp;sourceID=58","4.74")</f>
        <v>4.74</v>
      </c>
      <c r="L144" s="4" t="str">
        <f>HYPERLINK("http://141.218.60.56/~jnz1568/getInfo.php?workbook=16_15.xlsx&amp;sheet=U0&amp;row=144&amp;col=12&amp;number=&amp;sourceID=59","")</f>
        <v/>
      </c>
      <c r="M144" s="4" t="str">
        <f>HYPERLINK("http://141.218.60.56/~jnz1568/getInfo.php?workbook=16_15.xlsx&amp;sheet=U0&amp;row=144&amp;col=13&amp;number=&amp;sourceID=59","")</f>
        <v/>
      </c>
    </row>
    <row r="145" spans="1:13">
      <c r="A145" s="3"/>
      <c r="B145" s="3"/>
      <c r="C145" s="3"/>
      <c r="D145" s="3"/>
      <c r="E145" s="3">
        <v>14</v>
      </c>
      <c r="F145" s="4" t="str">
        <f>HYPERLINK("http://141.218.60.56/~jnz1568/getInfo.php?workbook=16_15.xlsx&amp;sheet=U0&amp;row=145&amp;col=6&amp;number=4.2552725051&amp;sourceID=51","4.2552725051")</f>
        <v>4.2552725051</v>
      </c>
      <c r="G145" s="4" t="str">
        <f>HYPERLINK("http://141.218.60.56/~jnz1568/getInfo.php?workbook=16_15.xlsx&amp;sheet=U0&amp;row=145&amp;col=7&amp;number=5.0777549371&amp;sourceID=51","5.0777549371")</f>
        <v>5.0777549371</v>
      </c>
      <c r="H145" s="4" t="str">
        <f>HYPERLINK("http://141.218.60.56/~jnz1568/getInfo.php?workbook=16_15.xlsx&amp;sheet=U0&amp;row=145&amp;col=8&amp;number=&amp;sourceID=53","")</f>
        <v/>
      </c>
      <c r="I145" s="4" t="str">
        <f>HYPERLINK("http://141.218.60.56/~jnz1568/getInfo.php?workbook=16_15.xlsx&amp;sheet=U0&amp;row=145&amp;col=9&amp;number=&amp;sourceID=53","")</f>
        <v/>
      </c>
      <c r="J145" s="4" t="str">
        <f>HYPERLINK("http://141.218.60.56/~jnz1568/getInfo.php?workbook=16_15.xlsx&amp;sheet=U0&amp;row=145&amp;col=10&amp;number=4.255&amp;sourceID=58","4.255")</f>
        <v>4.255</v>
      </c>
      <c r="K145" s="4" t="str">
        <f>HYPERLINK("http://141.218.60.56/~jnz1568/getInfo.php?workbook=16_15.xlsx&amp;sheet=U0&amp;row=145&amp;col=11&amp;number=4.71&amp;sourceID=58","4.71")</f>
        <v>4.71</v>
      </c>
      <c r="L145" s="4" t="str">
        <f>HYPERLINK("http://141.218.60.56/~jnz1568/getInfo.php?workbook=16_15.xlsx&amp;sheet=U0&amp;row=145&amp;col=12&amp;number=&amp;sourceID=59","")</f>
        <v/>
      </c>
      <c r="M145" s="4" t="str">
        <f>HYPERLINK("http://141.218.60.56/~jnz1568/getInfo.php?workbook=16_15.xlsx&amp;sheet=U0&amp;row=145&amp;col=13&amp;number=&amp;sourceID=59","")</f>
        <v/>
      </c>
    </row>
    <row r="146" spans="1:13">
      <c r="A146" s="3"/>
      <c r="B146" s="3"/>
      <c r="C146" s="3"/>
      <c r="D146" s="3"/>
      <c r="E146" s="3">
        <v>15</v>
      </c>
      <c r="F146" s="4" t="str">
        <f>HYPERLINK("http://141.218.60.56/~jnz1568/getInfo.php?workbook=16_15.xlsx&amp;sheet=U0&amp;row=146&amp;col=6&amp;number=4.27875360095&amp;sourceID=51","4.27875360095")</f>
        <v>4.27875360095</v>
      </c>
      <c r="G146" s="4" t="str">
        <f>HYPERLINK("http://141.218.60.56/~jnz1568/getInfo.php?workbook=16_15.xlsx&amp;sheet=U0&amp;row=146&amp;col=7&amp;number=5.07693733541&amp;sourceID=51","5.07693733541")</f>
        <v>5.07693733541</v>
      </c>
      <c r="H146" s="4" t="str">
        <f>HYPERLINK("http://141.218.60.56/~jnz1568/getInfo.php?workbook=16_15.xlsx&amp;sheet=U0&amp;row=146&amp;col=8&amp;number=&amp;sourceID=53","")</f>
        <v/>
      </c>
      <c r="I146" s="4" t="str">
        <f>HYPERLINK("http://141.218.60.56/~jnz1568/getInfo.php?workbook=16_15.xlsx&amp;sheet=U0&amp;row=146&amp;col=9&amp;number=&amp;sourceID=53","")</f>
        <v/>
      </c>
      <c r="J146" s="4" t="str">
        <f>HYPERLINK("http://141.218.60.56/~jnz1568/getInfo.php?workbook=16_15.xlsx&amp;sheet=U0&amp;row=146&amp;col=10&amp;number=4.301&amp;sourceID=58","4.301")</f>
        <v>4.301</v>
      </c>
      <c r="K146" s="4" t="str">
        <f>HYPERLINK("http://141.218.60.56/~jnz1568/getInfo.php?workbook=16_15.xlsx&amp;sheet=U0&amp;row=146&amp;col=11&amp;number=4.68&amp;sourceID=58","4.68")</f>
        <v>4.68</v>
      </c>
      <c r="L146" s="4" t="str">
        <f>HYPERLINK("http://141.218.60.56/~jnz1568/getInfo.php?workbook=16_15.xlsx&amp;sheet=U0&amp;row=146&amp;col=12&amp;number=&amp;sourceID=59","")</f>
        <v/>
      </c>
      <c r="M146" s="4" t="str">
        <f>HYPERLINK("http://141.218.60.56/~jnz1568/getInfo.php?workbook=16_15.xlsx&amp;sheet=U0&amp;row=146&amp;col=13&amp;number=&amp;sourceID=59","")</f>
        <v/>
      </c>
    </row>
    <row r="147" spans="1:13">
      <c r="A147" s="3"/>
      <c r="B147" s="3"/>
      <c r="C147" s="3"/>
      <c r="D147" s="3"/>
      <c r="E147" s="3">
        <v>16</v>
      </c>
      <c r="F147" s="4" t="str">
        <f>HYPERLINK("http://141.218.60.56/~jnz1568/getInfo.php?workbook=16_15.xlsx&amp;sheet=U0&amp;row=147&amp;col=6&amp;number=4.30102999566&amp;sourceID=51","4.30102999566")</f>
        <v>4.30102999566</v>
      </c>
      <c r="G147" s="4" t="str">
        <f>HYPERLINK("http://141.218.60.56/~jnz1568/getInfo.php?workbook=16_15.xlsx&amp;sheet=U0&amp;row=147&amp;col=7&amp;number=5.07480947375&amp;sourceID=51","5.07480947375")</f>
        <v>5.07480947375</v>
      </c>
      <c r="H147" s="4" t="str">
        <f>HYPERLINK("http://141.218.60.56/~jnz1568/getInfo.php?workbook=16_15.xlsx&amp;sheet=U0&amp;row=147&amp;col=8&amp;number=&amp;sourceID=53","")</f>
        <v/>
      </c>
      <c r="I147" s="4" t="str">
        <f>HYPERLINK("http://141.218.60.56/~jnz1568/getInfo.php?workbook=16_15.xlsx&amp;sheet=U0&amp;row=147&amp;col=9&amp;number=&amp;sourceID=53","")</f>
        <v/>
      </c>
      <c r="J147" s="4" t="str">
        <f>HYPERLINK("http://141.218.60.56/~jnz1568/getInfo.php?workbook=16_15.xlsx&amp;sheet=U0&amp;row=147&amp;col=10&amp;number=&amp;sourceID=58","")</f>
        <v/>
      </c>
      <c r="K147" s="4" t="str">
        <f>HYPERLINK("http://141.218.60.56/~jnz1568/getInfo.php?workbook=16_15.xlsx&amp;sheet=U0&amp;row=147&amp;col=11&amp;number=&amp;sourceID=58","")</f>
        <v/>
      </c>
      <c r="L147" s="4" t="str">
        <f>HYPERLINK("http://141.218.60.56/~jnz1568/getInfo.php?workbook=16_15.xlsx&amp;sheet=U0&amp;row=147&amp;col=12&amp;number=&amp;sourceID=59","")</f>
        <v/>
      </c>
      <c r="M147" s="4" t="str">
        <f>HYPERLINK("http://141.218.60.56/~jnz1568/getInfo.php?workbook=16_15.xlsx&amp;sheet=U0&amp;row=147&amp;col=13&amp;number=&amp;sourceID=59","")</f>
        <v/>
      </c>
    </row>
    <row r="148" spans="1:13">
      <c r="A148" s="3">
        <v>16</v>
      </c>
      <c r="B148" s="3">
        <v>15</v>
      </c>
      <c r="C148" s="3">
        <v>5</v>
      </c>
      <c r="D148" s="3">
        <v>4</v>
      </c>
      <c r="E148" s="3">
        <v>1</v>
      </c>
      <c r="F148" s="4" t="str">
        <f>HYPERLINK("http://141.218.60.56/~jnz1568/getInfo.php?workbook=16_15.xlsx&amp;sheet=U0&amp;row=148&amp;col=6&amp;number=3.69897000434&amp;sourceID=51","3.69897000434")</f>
        <v>3.69897000434</v>
      </c>
      <c r="G148" s="4" t="str">
        <f>HYPERLINK("http://141.218.60.56/~jnz1568/getInfo.php?workbook=16_15.xlsx&amp;sheet=U0&amp;row=148&amp;col=7&amp;number=1.5574693555&amp;sourceID=51","1.5574693555")</f>
        <v>1.5574693555</v>
      </c>
      <c r="H148" s="4" t="str">
        <f>HYPERLINK("http://141.218.60.56/~jnz1568/getInfo.php?workbook=16_15.xlsx&amp;sheet=U0&amp;row=148&amp;col=8&amp;number=3.699&amp;sourceID=53","3.699")</f>
        <v>3.699</v>
      </c>
      <c r="I148" s="4" t="str">
        <f>HYPERLINK("http://141.218.60.56/~jnz1568/getInfo.php?workbook=16_15.xlsx&amp;sheet=U0&amp;row=148&amp;col=9&amp;number=1.76&amp;sourceID=53","1.76")</f>
        <v>1.76</v>
      </c>
      <c r="J148" s="4" t="str">
        <f>HYPERLINK("http://141.218.60.56/~jnz1568/getInfo.php?workbook=16_15.xlsx&amp;sheet=U0&amp;row=148&amp;col=10&amp;number=3&amp;sourceID=58","3")</f>
        <v>3</v>
      </c>
      <c r="K148" s="4" t="str">
        <f>HYPERLINK("http://141.218.60.56/~jnz1568/getInfo.php?workbook=16_15.xlsx&amp;sheet=U0&amp;row=148&amp;col=11&amp;number=0.995&amp;sourceID=58","0.995")</f>
        <v>0.995</v>
      </c>
      <c r="L148" s="4" t="str">
        <f>HYPERLINK("http://141.218.60.56/~jnz1568/getInfo.php?workbook=16_15.xlsx&amp;sheet=U0&amp;row=148&amp;col=12&amp;number=3.5&amp;sourceID=59","3.5")</f>
        <v>3.5</v>
      </c>
      <c r="M148" s="4" t="str">
        <f>HYPERLINK("http://141.218.60.56/~jnz1568/getInfo.php?workbook=16_15.xlsx&amp;sheet=U0&amp;row=148&amp;col=13&amp;number=3.07&amp;sourceID=59","3.07")</f>
        <v>3.07</v>
      </c>
    </row>
    <row r="149" spans="1:13">
      <c r="A149" s="3"/>
      <c r="B149" s="3"/>
      <c r="C149" s="3"/>
      <c r="D149" s="3"/>
      <c r="E149" s="3">
        <v>2</v>
      </c>
      <c r="F149" s="4" t="str">
        <f>HYPERLINK("http://141.218.60.56/~jnz1568/getInfo.php?workbook=16_15.xlsx&amp;sheet=U0&amp;row=149&amp;col=6&amp;number=3.77815125038&amp;sourceID=51","3.77815125038")</f>
        <v>3.77815125038</v>
      </c>
      <c r="G149" s="4" t="str">
        <f>HYPERLINK("http://141.218.60.56/~jnz1568/getInfo.php?workbook=16_15.xlsx&amp;sheet=U0&amp;row=149&amp;col=7&amp;number=1.60978628714&amp;sourceID=51","1.60978628714")</f>
        <v>1.60978628714</v>
      </c>
      <c r="H149" s="4" t="str">
        <f>HYPERLINK("http://141.218.60.56/~jnz1568/getInfo.php?workbook=16_15.xlsx&amp;sheet=U0&amp;row=149&amp;col=8&amp;number=3.845&amp;sourceID=53","3.845")</f>
        <v>3.845</v>
      </c>
      <c r="I149" s="4" t="str">
        <f>HYPERLINK("http://141.218.60.56/~jnz1568/getInfo.php?workbook=16_15.xlsx&amp;sheet=U0&amp;row=149&amp;col=9&amp;number=1.78&amp;sourceID=53","1.78")</f>
        <v>1.78</v>
      </c>
      <c r="J149" s="4" t="str">
        <f>HYPERLINK("http://141.218.60.56/~jnz1568/getInfo.php?workbook=16_15.xlsx&amp;sheet=U0&amp;row=149&amp;col=10&amp;number=3.301&amp;sourceID=58","3.301")</f>
        <v>3.301</v>
      </c>
      <c r="K149" s="4" t="str">
        <f>HYPERLINK("http://141.218.60.56/~jnz1568/getInfo.php?workbook=16_15.xlsx&amp;sheet=U0&amp;row=149&amp;col=11&amp;number=1.14&amp;sourceID=58","1.14")</f>
        <v>1.14</v>
      </c>
      <c r="L149" s="4" t="str">
        <f>HYPERLINK("http://141.218.60.56/~jnz1568/getInfo.php?workbook=16_15.xlsx&amp;sheet=U0&amp;row=149&amp;col=12&amp;number=3.6&amp;sourceID=59","3.6")</f>
        <v>3.6</v>
      </c>
      <c r="M149" s="4" t="str">
        <f>HYPERLINK("http://141.218.60.56/~jnz1568/getInfo.php?workbook=16_15.xlsx&amp;sheet=U0&amp;row=149&amp;col=13&amp;number=3.03&amp;sourceID=59","3.03")</f>
        <v>3.03</v>
      </c>
    </row>
    <row r="150" spans="1:13">
      <c r="A150" s="3"/>
      <c r="B150" s="3"/>
      <c r="C150" s="3"/>
      <c r="D150" s="3"/>
      <c r="E150" s="3">
        <v>3</v>
      </c>
      <c r="F150" s="4" t="str">
        <f>HYPERLINK("http://141.218.60.56/~jnz1568/getInfo.php?workbook=16_15.xlsx&amp;sheet=U0&amp;row=150&amp;col=6&amp;number=3.84509804001&amp;sourceID=51","3.84509804001")</f>
        <v>3.84509804001</v>
      </c>
      <c r="G150" s="4" t="str">
        <f>HYPERLINK("http://141.218.60.56/~jnz1568/getInfo.php?workbook=16_15.xlsx&amp;sheet=U0&amp;row=150&amp;col=7&amp;number=1.65640103679&amp;sourceID=51","1.65640103679")</f>
        <v>1.65640103679</v>
      </c>
      <c r="H150" s="4" t="str">
        <f>HYPERLINK("http://141.218.60.56/~jnz1568/getInfo.php?workbook=16_15.xlsx&amp;sheet=U0&amp;row=150&amp;col=8&amp;number=4&amp;sourceID=53","4")</f>
        <v>4</v>
      </c>
      <c r="I150" s="4" t="str">
        <f>HYPERLINK("http://141.218.60.56/~jnz1568/getInfo.php?workbook=16_15.xlsx&amp;sheet=U0&amp;row=150&amp;col=9&amp;number=1.8&amp;sourceID=53","1.8")</f>
        <v>1.8</v>
      </c>
      <c r="J150" s="4" t="str">
        <f>HYPERLINK("http://141.218.60.56/~jnz1568/getInfo.php?workbook=16_15.xlsx&amp;sheet=U0&amp;row=150&amp;col=10&amp;number=3.477&amp;sourceID=58","3.477")</f>
        <v>3.477</v>
      </c>
      <c r="K150" s="4" t="str">
        <f>HYPERLINK("http://141.218.60.56/~jnz1568/getInfo.php?workbook=16_15.xlsx&amp;sheet=U0&amp;row=150&amp;col=11&amp;number=1.29&amp;sourceID=58","1.29")</f>
        <v>1.29</v>
      </c>
      <c r="L150" s="4" t="str">
        <f>HYPERLINK("http://141.218.60.56/~jnz1568/getInfo.php?workbook=16_15.xlsx&amp;sheet=U0&amp;row=150&amp;col=12&amp;number=3.7&amp;sourceID=59","3.7")</f>
        <v>3.7</v>
      </c>
      <c r="M150" s="4" t="str">
        <f>HYPERLINK("http://141.218.60.56/~jnz1568/getInfo.php?workbook=16_15.xlsx&amp;sheet=U0&amp;row=150&amp;col=13&amp;number=2.98&amp;sourceID=59","2.98")</f>
        <v>2.98</v>
      </c>
    </row>
    <row r="151" spans="1:13">
      <c r="A151" s="3"/>
      <c r="B151" s="3"/>
      <c r="C151" s="3"/>
      <c r="D151" s="3"/>
      <c r="E151" s="3">
        <v>4</v>
      </c>
      <c r="F151" s="4" t="str">
        <f>HYPERLINK("http://141.218.60.56/~jnz1568/getInfo.php?workbook=16_15.xlsx&amp;sheet=U0&amp;row=151&amp;col=6&amp;number=3.90308998699&amp;sourceID=51","3.90308998699")</f>
        <v>3.90308998699</v>
      </c>
      <c r="G151" s="4" t="str">
        <f>HYPERLINK("http://141.218.60.56/~jnz1568/getInfo.php?workbook=16_15.xlsx&amp;sheet=U0&amp;row=151&amp;col=7&amp;number=1.69796044524&amp;sourceID=51","1.69796044524")</f>
        <v>1.69796044524</v>
      </c>
      <c r="H151" s="4" t="str">
        <f>HYPERLINK("http://141.218.60.56/~jnz1568/getInfo.php?workbook=16_15.xlsx&amp;sheet=U0&amp;row=151&amp;col=8&amp;number=4.176&amp;sourceID=53","4.176")</f>
        <v>4.176</v>
      </c>
      <c r="I151" s="4" t="str">
        <f>HYPERLINK("http://141.218.60.56/~jnz1568/getInfo.php?workbook=16_15.xlsx&amp;sheet=U0&amp;row=151&amp;col=9&amp;number=1.82&amp;sourceID=53","1.82")</f>
        <v>1.82</v>
      </c>
      <c r="J151" s="4" t="str">
        <f>HYPERLINK("http://141.218.60.56/~jnz1568/getInfo.php?workbook=16_15.xlsx&amp;sheet=U0&amp;row=151&amp;col=10&amp;number=3.602&amp;sourceID=58","3.602")</f>
        <v>3.602</v>
      </c>
      <c r="K151" s="4" t="str">
        <f>HYPERLINK("http://141.218.60.56/~jnz1568/getInfo.php?workbook=16_15.xlsx&amp;sheet=U0&amp;row=151&amp;col=11&amp;number=1.42&amp;sourceID=58","1.42")</f>
        <v>1.42</v>
      </c>
      <c r="L151" s="4" t="str">
        <f>HYPERLINK("http://141.218.60.56/~jnz1568/getInfo.php?workbook=16_15.xlsx&amp;sheet=U0&amp;row=151&amp;col=12&amp;number=3.8&amp;sourceID=59","3.8")</f>
        <v>3.8</v>
      </c>
      <c r="M151" s="4" t="str">
        <f>HYPERLINK("http://141.218.60.56/~jnz1568/getInfo.php?workbook=16_15.xlsx&amp;sheet=U0&amp;row=151&amp;col=13&amp;number=2.9&amp;sourceID=59","2.9")</f>
        <v>2.9</v>
      </c>
    </row>
    <row r="152" spans="1:13">
      <c r="A152" s="3"/>
      <c r="B152" s="3"/>
      <c r="C152" s="3"/>
      <c r="D152" s="3"/>
      <c r="E152" s="3">
        <v>5</v>
      </c>
      <c r="F152" s="4" t="str">
        <f>HYPERLINK("http://141.218.60.56/~jnz1568/getInfo.php?workbook=16_15.xlsx&amp;sheet=U0&amp;row=152&amp;col=6&amp;number=3.95424250944&amp;sourceID=51","3.95424250944")</f>
        <v>3.95424250944</v>
      </c>
      <c r="G152" s="4" t="str">
        <f>HYPERLINK("http://141.218.60.56/~jnz1568/getInfo.php?workbook=16_15.xlsx&amp;sheet=U0&amp;row=152&amp;col=7&amp;number=1.73506194429&amp;sourceID=51","1.73506194429")</f>
        <v>1.73506194429</v>
      </c>
      <c r="H152" s="4" t="str">
        <f>HYPERLINK("http://141.218.60.56/~jnz1568/getInfo.php?workbook=16_15.xlsx&amp;sheet=U0&amp;row=152&amp;col=8&amp;number=4.301&amp;sourceID=53","4.301")</f>
        <v>4.301</v>
      </c>
      <c r="I152" s="4" t="str">
        <f>HYPERLINK("http://141.218.60.56/~jnz1568/getInfo.php?workbook=16_15.xlsx&amp;sheet=U0&amp;row=152&amp;col=9&amp;number=1.84&amp;sourceID=53","1.84")</f>
        <v>1.84</v>
      </c>
      <c r="J152" s="4" t="str">
        <f>HYPERLINK("http://141.218.60.56/~jnz1568/getInfo.php?workbook=16_15.xlsx&amp;sheet=U0&amp;row=152&amp;col=10&amp;number=3.699&amp;sourceID=58","3.699")</f>
        <v>3.699</v>
      </c>
      <c r="K152" s="4" t="str">
        <f>HYPERLINK("http://141.218.60.56/~jnz1568/getInfo.php?workbook=16_15.xlsx&amp;sheet=U0&amp;row=152&amp;col=11&amp;number=1.55&amp;sourceID=58","1.55")</f>
        <v>1.55</v>
      </c>
      <c r="L152" s="4" t="str">
        <f>HYPERLINK("http://141.218.60.56/~jnz1568/getInfo.php?workbook=16_15.xlsx&amp;sheet=U0&amp;row=152&amp;col=12&amp;number=3.9&amp;sourceID=59","3.9")</f>
        <v>3.9</v>
      </c>
      <c r="M152" s="4" t="str">
        <f>HYPERLINK("http://141.218.60.56/~jnz1568/getInfo.php?workbook=16_15.xlsx&amp;sheet=U0&amp;row=152&amp;col=13&amp;number=2.81&amp;sourceID=59","2.81")</f>
        <v>2.81</v>
      </c>
    </row>
    <row r="153" spans="1:13">
      <c r="A153" s="3"/>
      <c r="B153" s="3"/>
      <c r="C153" s="3"/>
      <c r="D153" s="3"/>
      <c r="E153" s="3">
        <v>6</v>
      </c>
      <c r="F153" s="4" t="str">
        <f>HYPERLINK("http://141.218.60.56/~jnz1568/getInfo.php?workbook=16_15.xlsx&amp;sheet=U0&amp;row=153&amp;col=6&amp;number=4&amp;sourceID=51","4")</f>
        <v>4</v>
      </c>
      <c r="G153" s="4" t="str">
        <f>HYPERLINK("http://141.218.60.56/~jnz1568/getInfo.php?workbook=16_15.xlsx&amp;sheet=U0&amp;row=153&amp;col=7&amp;number=1.76824784708&amp;sourceID=51","1.76824784708")</f>
        <v>1.76824784708</v>
      </c>
      <c r="H153" s="4" t="str">
        <f>HYPERLINK("http://141.218.60.56/~jnz1568/getInfo.php?workbook=16_15.xlsx&amp;sheet=U0&amp;row=153&amp;col=8&amp;number=4.398&amp;sourceID=53","4.398")</f>
        <v>4.398</v>
      </c>
      <c r="I153" s="4" t="str">
        <f>HYPERLINK("http://141.218.60.56/~jnz1568/getInfo.php?workbook=16_15.xlsx&amp;sheet=U0&amp;row=153&amp;col=9&amp;number=1.85&amp;sourceID=53","1.85")</f>
        <v>1.85</v>
      </c>
      <c r="J153" s="4" t="str">
        <f>HYPERLINK("http://141.218.60.56/~jnz1568/getInfo.php?workbook=16_15.xlsx&amp;sheet=U0&amp;row=153&amp;col=10&amp;number=3.778&amp;sourceID=58","3.778")</f>
        <v>3.778</v>
      </c>
      <c r="K153" s="4" t="str">
        <f>HYPERLINK("http://141.218.60.56/~jnz1568/getInfo.php?workbook=16_15.xlsx&amp;sheet=U0&amp;row=153&amp;col=11&amp;number=1.65&amp;sourceID=58","1.65")</f>
        <v>1.65</v>
      </c>
      <c r="L153" s="4" t="str">
        <f>HYPERLINK("http://141.218.60.56/~jnz1568/getInfo.php?workbook=16_15.xlsx&amp;sheet=U0&amp;row=153&amp;col=12&amp;number=4&amp;sourceID=59","4")</f>
        <v>4</v>
      </c>
      <c r="M153" s="4" t="str">
        <f>HYPERLINK("http://141.218.60.56/~jnz1568/getInfo.php?workbook=16_15.xlsx&amp;sheet=U0&amp;row=153&amp;col=13&amp;number=2.71&amp;sourceID=59","2.71")</f>
        <v>2.71</v>
      </c>
    </row>
    <row r="154" spans="1:13">
      <c r="A154" s="3"/>
      <c r="B154" s="3"/>
      <c r="C154" s="3"/>
      <c r="D154" s="3"/>
      <c r="E154" s="3">
        <v>7</v>
      </c>
      <c r="F154" s="4" t="str">
        <f>HYPERLINK("http://141.218.60.56/~jnz1568/getInfo.php?workbook=16_15.xlsx&amp;sheet=U0&amp;row=154&amp;col=6&amp;number=4.04139268516&amp;sourceID=51","4.04139268516")</f>
        <v>4.04139268516</v>
      </c>
      <c r="G154" s="4" t="str">
        <f>HYPERLINK("http://141.218.60.56/~jnz1568/getInfo.php?workbook=16_15.xlsx&amp;sheet=U0&amp;row=154&amp;col=7&amp;number=1.79799995784&amp;sourceID=51","1.79799995784")</f>
        <v>1.79799995784</v>
      </c>
      <c r="H154" s="4" t="str">
        <f>HYPERLINK("http://141.218.60.56/~jnz1568/getInfo.php?workbook=16_15.xlsx&amp;sheet=U0&amp;row=154&amp;col=8&amp;number=4.477&amp;sourceID=53","4.477")</f>
        <v>4.477</v>
      </c>
      <c r="I154" s="4" t="str">
        <f>HYPERLINK("http://141.218.60.56/~jnz1568/getInfo.php?workbook=16_15.xlsx&amp;sheet=U0&amp;row=154&amp;col=9&amp;number=1.86&amp;sourceID=53","1.86")</f>
        <v>1.86</v>
      </c>
      <c r="J154" s="4" t="str">
        <f>HYPERLINK("http://141.218.60.56/~jnz1568/getInfo.php?workbook=16_15.xlsx&amp;sheet=U0&amp;row=154&amp;col=10&amp;number=3.845&amp;sourceID=58","3.845")</f>
        <v>3.845</v>
      </c>
      <c r="K154" s="4" t="str">
        <f>HYPERLINK("http://141.218.60.56/~jnz1568/getInfo.php?workbook=16_15.xlsx&amp;sheet=U0&amp;row=154&amp;col=11&amp;number=1.74&amp;sourceID=58","1.74")</f>
        <v>1.74</v>
      </c>
      <c r="L154" s="4" t="str">
        <f>HYPERLINK("http://141.218.60.56/~jnz1568/getInfo.php?workbook=16_15.xlsx&amp;sheet=U0&amp;row=154&amp;col=12&amp;number=4.1&amp;sourceID=59","4.1")</f>
        <v>4.1</v>
      </c>
      <c r="M154" s="4" t="str">
        <f>HYPERLINK("http://141.218.60.56/~jnz1568/getInfo.php?workbook=16_15.xlsx&amp;sheet=U0&amp;row=154&amp;col=13&amp;number=2.61&amp;sourceID=59","2.61")</f>
        <v>2.61</v>
      </c>
    </row>
    <row r="155" spans="1:13">
      <c r="A155" s="3"/>
      <c r="B155" s="3"/>
      <c r="C155" s="3"/>
      <c r="D155" s="3"/>
      <c r="E155" s="3">
        <v>8</v>
      </c>
      <c r="F155" s="4" t="str">
        <f>HYPERLINK("http://141.218.60.56/~jnz1568/getInfo.php?workbook=16_15.xlsx&amp;sheet=U0&amp;row=155&amp;col=6&amp;number=4.07918124605&amp;sourceID=51","4.07918124605")</f>
        <v>4.07918124605</v>
      </c>
      <c r="G155" s="4" t="str">
        <f>HYPERLINK("http://141.218.60.56/~jnz1568/getInfo.php?workbook=16_15.xlsx&amp;sheet=U0&amp;row=155&amp;col=7&amp;number=1.82473728012&amp;sourceID=51","1.82473728012")</f>
        <v>1.82473728012</v>
      </c>
      <c r="H155" s="4" t="str">
        <f>HYPERLINK("http://141.218.60.56/~jnz1568/getInfo.php?workbook=16_15.xlsx&amp;sheet=U0&amp;row=155&amp;col=8&amp;number=4.602&amp;sourceID=53","4.602")</f>
        <v>4.602</v>
      </c>
      <c r="I155" s="4" t="str">
        <f>HYPERLINK("http://141.218.60.56/~jnz1568/getInfo.php?workbook=16_15.xlsx&amp;sheet=U0&amp;row=155&amp;col=9&amp;number=1.84&amp;sourceID=53","1.84")</f>
        <v>1.84</v>
      </c>
      <c r="J155" s="4" t="str">
        <f>HYPERLINK("http://141.218.60.56/~jnz1568/getInfo.php?workbook=16_15.xlsx&amp;sheet=U0&amp;row=155&amp;col=10&amp;number=3.903&amp;sourceID=58","3.903")</f>
        <v>3.903</v>
      </c>
      <c r="K155" s="4" t="str">
        <f>HYPERLINK("http://141.218.60.56/~jnz1568/getInfo.php?workbook=16_15.xlsx&amp;sheet=U0&amp;row=155&amp;col=11&amp;number=1.82&amp;sourceID=58","1.82")</f>
        <v>1.82</v>
      </c>
      <c r="L155" s="4" t="str">
        <f>HYPERLINK("http://141.218.60.56/~jnz1568/getInfo.php?workbook=16_15.xlsx&amp;sheet=U0&amp;row=155&amp;col=12&amp;number=4.2&amp;sourceID=59","4.2")</f>
        <v>4.2</v>
      </c>
      <c r="M155" s="4" t="str">
        <f>HYPERLINK("http://141.218.60.56/~jnz1568/getInfo.php?workbook=16_15.xlsx&amp;sheet=U0&amp;row=155&amp;col=13&amp;number=2.5&amp;sourceID=59","2.5")</f>
        <v>2.5</v>
      </c>
    </row>
    <row r="156" spans="1:13">
      <c r="A156" s="3"/>
      <c r="B156" s="3"/>
      <c r="C156" s="3"/>
      <c r="D156" s="3"/>
      <c r="E156" s="3">
        <v>9</v>
      </c>
      <c r="F156" s="4" t="str">
        <f>HYPERLINK("http://141.218.60.56/~jnz1568/getInfo.php?workbook=16_15.xlsx&amp;sheet=U0&amp;row=156&amp;col=6&amp;number=4.11394335231&amp;sourceID=51","4.11394335231")</f>
        <v>4.11394335231</v>
      </c>
      <c r="G156" s="4" t="str">
        <f>HYPERLINK("http://141.218.60.56/~jnz1568/getInfo.php?workbook=16_15.xlsx&amp;sheet=U0&amp;row=156&amp;col=7&amp;number=1.8488175155&amp;sourceID=51","1.8488175155")</f>
        <v>1.8488175155</v>
      </c>
      <c r="H156" s="4" t="str">
        <f>HYPERLINK("http://141.218.60.56/~jnz1568/getInfo.php?workbook=16_15.xlsx&amp;sheet=U0&amp;row=156&amp;col=8&amp;number=4.699&amp;sourceID=53","4.699")</f>
        <v>4.699</v>
      </c>
      <c r="I156" s="4" t="str">
        <f>HYPERLINK("http://141.218.60.56/~jnz1568/getInfo.php?workbook=16_15.xlsx&amp;sheet=U0&amp;row=156&amp;col=9&amp;number=1.8&amp;sourceID=53","1.8")</f>
        <v>1.8</v>
      </c>
      <c r="J156" s="4" t="str">
        <f>HYPERLINK("http://141.218.60.56/~jnz1568/getInfo.php?workbook=16_15.xlsx&amp;sheet=U0&amp;row=156&amp;col=10&amp;number=3.954&amp;sourceID=58","3.954")</f>
        <v>3.954</v>
      </c>
      <c r="K156" s="4" t="str">
        <f>HYPERLINK("http://141.218.60.56/~jnz1568/getInfo.php?workbook=16_15.xlsx&amp;sheet=U0&amp;row=156&amp;col=11&amp;number=1.89&amp;sourceID=58","1.89")</f>
        <v>1.89</v>
      </c>
      <c r="L156" s="4" t="str">
        <f>HYPERLINK("http://141.218.60.56/~jnz1568/getInfo.php?workbook=16_15.xlsx&amp;sheet=U0&amp;row=156&amp;col=12&amp;number=4.4&amp;sourceID=59","4.4")</f>
        <v>4.4</v>
      </c>
      <c r="M156" s="4" t="str">
        <f>HYPERLINK("http://141.218.60.56/~jnz1568/getInfo.php?workbook=16_15.xlsx&amp;sheet=U0&amp;row=156&amp;col=13&amp;number=2.31&amp;sourceID=59","2.31")</f>
        <v>2.31</v>
      </c>
    </row>
    <row r="157" spans="1:13">
      <c r="A157" s="3"/>
      <c r="B157" s="3"/>
      <c r="C157" s="3"/>
      <c r="D157" s="3"/>
      <c r="E157" s="3">
        <v>10</v>
      </c>
      <c r="F157" s="4" t="str">
        <f>HYPERLINK("http://141.218.60.56/~jnz1568/getInfo.php?workbook=16_15.xlsx&amp;sheet=U0&amp;row=157&amp;col=6&amp;number=4.14612803568&amp;sourceID=51","4.14612803568")</f>
        <v>4.14612803568</v>
      </c>
      <c r="G157" s="4" t="str">
        <f>HYPERLINK("http://141.218.60.56/~jnz1568/getInfo.php?workbook=16_15.xlsx&amp;sheet=U0&amp;row=157&amp;col=7&amp;number=1.87054163046&amp;sourceID=51","1.87054163046")</f>
        <v>1.87054163046</v>
      </c>
      <c r="H157" s="4" t="str">
        <f>HYPERLINK("http://141.218.60.56/~jnz1568/getInfo.php?workbook=16_15.xlsx&amp;sheet=U0&amp;row=157&amp;col=8&amp;number=4.845&amp;sourceID=53","4.845")</f>
        <v>4.845</v>
      </c>
      <c r="I157" s="4" t="str">
        <f>HYPERLINK("http://141.218.60.56/~jnz1568/getInfo.php?workbook=16_15.xlsx&amp;sheet=U0&amp;row=157&amp;col=9&amp;number=1.7&amp;sourceID=53","1.7")</f>
        <v>1.7</v>
      </c>
      <c r="J157" s="4" t="str">
        <f>HYPERLINK("http://141.218.60.56/~jnz1568/getInfo.php?workbook=16_15.xlsx&amp;sheet=U0&amp;row=157&amp;col=10&amp;number=4&amp;sourceID=58","4")</f>
        <v>4</v>
      </c>
      <c r="K157" s="4" t="str">
        <f>HYPERLINK("http://141.218.60.56/~jnz1568/getInfo.php?workbook=16_15.xlsx&amp;sheet=U0&amp;row=157&amp;col=11&amp;number=1.95&amp;sourceID=58","1.95")</f>
        <v>1.95</v>
      </c>
      <c r="L157" s="4" t="str">
        <f>HYPERLINK("http://141.218.60.56/~jnz1568/getInfo.php?workbook=16_15.xlsx&amp;sheet=U0&amp;row=157&amp;col=12&amp;number=4.6&amp;sourceID=59","4.6")</f>
        <v>4.6</v>
      </c>
      <c r="M157" s="4" t="str">
        <f>HYPERLINK("http://141.218.60.56/~jnz1568/getInfo.php?workbook=16_15.xlsx&amp;sheet=U0&amp;row=157&amp;col=13&amp;number=2.16&amp;sourceID=59","2.16")</f>
        <v>2.16</v>
      </c>
    </row>
    <row r="158" spans="1:13">
      <c r="A158" s="3"/>
      <c r="B158" s="3"/>
      <c r="C158" s="3"/>
      <c r="D158" s="3"/>
      <c r="E158" s="3">
        <v>11</v>
      </c>
      <c r="F158" s="4" t="str">
        <f>HYPERLINK("http://141.218.60.56/~jnz1568/getInfo.php?workbook=16_15.xlsx&amp;sheet=U0&amp;row=158&amp;col=6&amp;number=4.17609125906&amp;sourceID=51","4.17609125906")</f>
        <v>4.17609125906</v>
      </c>
      <c r="G158" s="4" t="str">
        <f>HYPERLINK("http://141.218.60.56/~jnz1568/getInfo.php?workbook=16_15.xlsx&amp;sheet=U0&amp;row=158&amp;col=7&amp;number=1.89016032512&amp;sourceID=51","1.89016032512")</f>
        <v>1.89016032512</v>
      </c>
      <c r="H158" s="4" t="str">
        <f>HYPERLINK("http://141.218.60.56/~jnz1568/getInfo.php?workbook=16_15.xlsx&amp;sheet=U0&amp;row=158&amp;col=8&amp;number=5&amp;sourceID=53","5")</f>
        <v>5</v>
      </c>
      <c r="I158" s="4" t="str">
        <f>HYPERLINK("http://141.218.60.56/~jnz1568/getInfo.php?workbook=16_15.xlsx&amp;sheet=U0&amp;row=158&amp;col=9&amp;number=1.54&amp;sourceID=53","1.54")</f>
        <v>1.54</v>
      </c>
      <c r="J158" s="4" t="str">
        <f>HYPERLINK("http://141.218.60.56/~jnz1568/getInfo.php?workbook=16_15.xlsx&amp;sheet=U0&amp;row=158&amp;col=10&amp;number=4.079&amp;sourceID=58","4.079")</f>
        <v>4.079</v>
      </c>
      <c r="K158" s="4" t="str">
        <f>HYPERLINK("http://141.218.60.56/~jnz1568/getInfo.php?workbook=16_15.xlsx&amp;sheet=U0&amp;row=158&amp;col=11&amp;number=2.04&amp;sourceID=58","2.04")</f>
        <v>2.04</v>
      </c>
      <c r="L158" s="4" t="str">
        <f>HYPERLINK("http://141.218.60.56/~jnz1568/getInfo.php?workbook=16_15.xlsx&amp;sheet=U0&amp;row=158&amp;col=12&amp;number=4.8&amp;sourceID=59","4.8")</f>
        <v>4.8</v>
      </c>
      <c r="M158" s="4" t="str">
        <f>HYPERLINK("http://141.218.60.56/~jnz1568/getInfo.php?workbook=16_15.xlsx&amp;sheet=U0&amp;row=158&amp;col=13&amp;number=2.01&amp;sourceID=59","2.01")</f>
        <v>2.01</v>
      </c>
    </row>
    <row r="159" spans="1:13">
      <c r="A159" s="3"/>
      <c r="B159" s="3"/>
      <c r="C159" s="3"/>
      <c r="D159" s="3"/>
      <c r="E159" s="3">
        <v>12</v>
      </c>
      <c r="F159" s="4" t="str">
        <f>HYPERLINK("http://141.218.60.56/~jnz1568/getInfo.php?workbook=16_15.xlsx&amp;sheet=U0&amp;row=159&amp;col=6&amp;number=4.20411998266&amp;sourceID=51","4.20411998266")</f>
        <v>4.20411998266</v>
      </c>
      <c r="G159" s="4" t="str">
        <f>HYPERLINK("http://141.218.60.56/~jnz1568/getInfo.php?workbook=16_15.xlsx&amp;sheet=U0&amp;row=159&amp;col=7&amp;number=1.9078813126&amp;sourceID=51","1.9078813126")</f>
        <v>1.9078813126</v>
      </c>
      <c r="H159" s="4" t="str">
        <f>HYPERLINK("http://141.218.60.56/~jnz1568/getInfo.php?workbook=16_15.xlsx&amp;sheet=U0&amp;row=159&amp;col=8&amp;number=&amp;sourceID=53","")</f>
        <v/>
      </c>
      <c r="I159" s="4" t="str">
        <f>HYPERLINK("http://141.218.60.56/~jnz1568/getInfo.php?workbook=16_15.xlsx&amp;sheet=U0&amp;row=159&amp;col=9&amp;number=&amp;sourceID=53","")</f>
        <v/>
      </c>
      <c r="J159" s="4" t="str">
        <f>HYPERLINK("http://141.218.60.56/~jnz1568/getInfo.php?workbook=16_15.xlsx&amp;sheet=U0&amp;row=159&amp;col=10&amp;number=4.146&amp;sourceID=58","4.146")</f>
        <v>4.146</v>
      </c>
      <c r="K159" s="4" t="str">
        <f>HYPERLINK("http://141.218.60.56/~jnz1568/getInfo.php?workbook=16_15.xlsx&amp;sheet=U0&amp;row=159&amp;col=11&amp;number=2.1&amp;sourceID=58","2.1")</f>
        <v>2.1</v>
      </c>
      <c r="L159" s="4" t="str">
        <f>HYPERLINK("http://141.218.60.56/~jnz1568/getInfo.php?workbook=16_15.xlsx&amp;sheet=U0&amp;row=159&amp;col=12&amp;number=5&amp;sourceID=59","5")</f>
        <v>5</v>
      </c>
      <c r="M159" s="4" t="str">
        <f>HYPERLINK("http://141.218.60.56/~jnz1568/getInfo.php?workbook=16_15.xlsx&amp;sheet=U0&amp;row=159&amp;col=13&amp;number=1.85&amp;sourceID=59","1.85")</f>
        <v>1.85</v>
      </c>
    </row>
    <row r="160" spans="1:13">
      <c r="A160" s="3"/>
      <c r="B160" s="3"/>
      <c r="C160" s="3"/>
      <c r="D160" s="3"/>
      <c r="E160" s="3">
        <v>13</v>
      </c>
      <c r="F160" s="4" t="str">
        <f>HYPERLINK("http://141.218.60.56/~jnz1568/getInfo.php?workbook=16_15.xlsx&amp;sheet=U0&amp;row=160&amp;col=6&amp;number=4.23044892138&amp;sourceID=51","4.23044892138")</f>
        <v>4.23044892138</v>
      </c>
      <c r="G160" s="4" t="str">
        <f>HYPERLINK("http://141.218.60.56/~jnz1568/getInfo.php?workbook=16_15.xlsx&amp;sheet=U0&amp;row=160&amp;col=7&amp;number=1.9238765856&amp;sourceID=51","1.9238765856")</f>
        <v>1.9238765856</v>
      </c>
      <c r="H160" s="4" t="str">
        <f>HYPERLINK("http://141.218.60.56/~jnz1568/getInfo.php?workbook=16_15.xlsx&amp;sheet=U0&amp;row=160&amp;col=8&amp;number=&amp;sourceID=53","")</f>
        <v/>
      </c>
      <c r="I160" s="4" t="str">
        <f>HYPERLINK("http://141.218.60.56/~jnz1568/getInfo.php?workbook=16_15.xlsx&amp;sheet=U0&amp;row=160&amp;col=9&amp;number=&amp;sourceID=53","")</f>
        <v/>
      </c>
      <c r="J160" s="4" t="str">
        <f>HYPERLINK("http://141.218.60.56/~jnz1568/getInfo.php?workbook=16_15.xlsx&amp;sheet=U0&amp;row=160&amp;col=10&amp;number=4.204&amp;sourceID=58","4.204")</f>
        <v>4.204</v>
      </c>
      <c r="K160" s="4" t="str">
        <f>HYPERLINK("http://141.218.60.56/~jnz1568/getInfo.php?workbook=16_15.xlsx&amp;sheet=U0&amp;row=160&amp;col=11&amp;number=2.15&amp;sourceID=58","2.15")</f>
        <v>2.15</v>
      </c>
      <c r="L160" s="4" t="str">
        <f>HYPERLINK("http://141.218.60.56/~jnz1568/getInfo.php?workbook=16_15.xlsx&amp;sheet=U0&amp;row=160&amp;col=12&amp;number=&amp;sourceID=59","")</f>
        <v/>
      </c>
      <c r="M160" s="4" t="str">
        <f>HYPERLINK("http://141.218.60.56/~jnz1568/getInfo.php?workbook=16_15.xlsx&amp;sheet=U0&amp;row=160&amp;col=13&amp;number=&amp;sourceID=59","")</f>
        <v/>
      </c>
    </row>
    <row r="161" spans="1:13">
      <c r="A161" s="3"/>
      <c r="B161" s="3"/>
      <c r="C161" s="3"/>
      <c r="D161" s="3"/>
      <c r="E161" s="3">
        <v>14</v>
      </c>
      <c r="F161" s="4" t="str">
        <f>HYPERLINK("http://141.218.60.56/~jnz1568/getInfo.php?workbook=16_15.xlsx&amp;sheet=U0&amp;row=161&amp;col=6&amp;number=4.2552725051&amp;sourceID=51","4.2552725051")</f>
        <v>4.2552725051</v>
      </c>
      <c r="G161" s="4" t="str">
        <f>HYPERLINK("http://141.218.60.56/~jnz1568/getInfo.php?workbook=16_15.xlsx&amp;sheet=U0&amp;row=161&amp;col=7&amp;number=1.93828914066&amp;sourceID=51","1.93828914066")</f>
        <v>1.93828914066</v>
      </c>
      <c r="H161" s="4" t="str">
        <f>HYPERLINK("http://141.218.60.56/~jnz1568/getInfo.php?workbook=16_15.xlsx&amp;sheet=U0&amp;row=161&amp;col=8&amp;number=&amp;sourceID=53","")</f>
        <v/>
      </c>
      <c r="I161" s="4" t="str">
        <f>HYPERLINK("http://141.218.60.56/~jnz1568/getInfo.php?workbook=16_15.xlsx&amp;sheet=U0&amp;row=161&amp;col=9&amp;number=&amp;sourceID=53","")</f>
        <v/>
      </c>
      <c r="J161" s="4" t="str">
        <f>HYPERLINK("http://141.218.60.56/~jnz1568/getInfo.php?workbook=16_15.xlsx&amp;sheet=U0&amp;row=161&amp;col=10&amp;number=4.255&amp;sourceID=58","4.255")</f>
        <v>4.255</v>
      </c>
      <c r="K161" s="4" t="str">
        <f>HYPERLINK("http://141.218.60.56/~jnz1568/getInfo.php?workbook=16_15.xlsx&amp;sheet=U0&amp;row=161&amp;col=11&amp;number=2.19&amp;sourceID=58","2.19")</f>
        <v>2.19</v>
      </c>
      <c r="L161" s="4" t="str">
        <f>HYPERLINK("http://141.218.60.56/~jnz1568/getInfo.php?workbook=16_15.xlsx&amp;sheet=U0&amp;row=161&amp;col=12&amp;number=&amp;sourceID=59","")</f>
        <v/>
      </c>
      <c r="M161" s="4" t="str">
        <f>HYPERLINK("http://141.218.60.56/~jnz1568/getInfo.php?workbook=16_15.xlsx&amp;sheet=U0&amp;row=161&amp;col=13&amp;number=&amp;sourceID=59","")</f>
        <v/>
      </c>
    </row>
    <row r="162" spans="1:13">
      <c r="A162" s="3"/>
      <c r="B162" s="3"/>
      <c r="C162" s="3"/>
      <c r="D162" s="3"/>
      <c r="E162" s="3">
        <v>15</v>
      </c>
      <c r="F162" s="4" t="str">
        <f>HYPERLINK("http://141.218.60.56/~jnz1568/getInfo.php?workbook=16_15.xlsx&amp;sheet=U0&amp;row=162&amp;col=6&amp;number=4.27875360095&amp;sourceID=51","4.27875360095")</f>
        <v>4.27875360095</v>
      </c>
      <c r="G162" s="4" t="str">
        <f>HYPERLINK("http://141.218.60.56/~jnz1568/getInfo.php?workbook=16_15.xlsx&amp;sheet=U0&amp;row=162&amp;col=7&amp;number=1.95123887794&amp;sourceID=51","1.95123887794")</f>
        <v>1.95123887794</v>
      </c>
      <c r="H162" s="4" t="str">
        <f>HYPERLINK("http://141.218.60.56/~jnz1568/getInfo.php?workbook=16_15.xlsx&amp;sheet=U0&amp;row=162&amp;col=8&amp;number=&amp;sourceID=53","")</f>
        <v/>
      </c>
      <c r="I162" s="4" t="str">
        <f>HYPERLINK("http://141.218.60.56/~jnz1568/getInfo.php?workbook=16_15.xlsx&amp;sheet=U0&amp;row=162&amp;col=9&amp;number=&amp;sourceID=53","")</f>
        <v/>
      </c>
      <c r="J162" s="4" t="str">
        <f>HYPERLINK("http://141.218.60.56/~jnz1568/getInfo.php?workbook=16_15.xlsx&amp;sheet=U0&amp;row=162&amp;col=10&amp;number=4.301&amp;sourceID=58","4.301")</f>
        <v>4.301</v>
      </c>
      <c r="K162" s="4" t="str">
        <f>HYPERLINK("http://141.218.60.56/~jnz1568/getInfo.php?workbook=16_15.xlsx&amp;sheet=U0&amp;row=162&amp;col=11&amp;number=2.22&amp;sourceID=58","2.22")</f>
        <v>2.22</v>
      </c>
      <c r="L162" s="4" t="str">
        <f>HYPERLINK("http://141.218.60.56/~jnz1568/getInfo.php?workbook=16_15.xlsx&amp;sheet=U0&amp;row=162&amp;col=12&amp;number=&amp;sourceID=59","")</f>
        <v/>
      </c>
      <c r="M162" s="4" t="str">
        <f>HYPERLINK("http://141.218.60.56/~jnz1568/getInfo.php?workbook=16_15.xlsx&amp;sheet=U0&amp;row=162&amp;col=13&amp;number=&amp;sourceID=59","")</f>
        <v/>
      </c>
    </row>
    <row r="163" spans="1:13">
      <c r="A163" s="3"/>
      <c r="B163" s="3"/>
      <c r="C163" s="3"/>
      <c r="D163" s="3"/>
      <c r="E163" s="3">
        <v>16</v>
      </c>
      <c r="F163" s="4" t="str">
        <f>HYPERLINK("http://141.218.60.56/~jnz1568/getInfo.php?workbook=16_15.xlsx&amp;sheet=U0&amp;row=163&amp;col=6&amp;number=4.30102999566&amp;sourceID=51","4.30102999566")</f>
        <v>4.30102999566</v>
      </c>
      <c r="G163" s="4" t="str">
        <f>HYPERLINK("http://141.218.60.56/~jnz1568/getInfo.php?workbook=16_15.xlsx&amp;sheet=U0&amp;row=163&amp;col=7&amp;number=1.96282757483&amp;sourceID=51","1.96282757483")</f>
        <v>1.96282757483</v>
      </c>
      <c r="H163" s="4" t="str">
        <f>HYPERLINK("http://141.218.60.56/~jnz1568/getInfo.php?workbook=16_15.xlsx&amp;sheet=U0&amp;row=163&amp;col=8&amp;number=&amp;sourceID=53","")</f>
        <v/>
      </c>
      <c r="I163" s="4" t="str">
        <f>HYPERLINK("http://141.218.60.56/~jnz1568/getInfo.php?workbook=16_15.xlsx&amp;sheet=U0&amp;row=163&amp;col=9&amp;number=&amp;sourceID=53","")</f>
        <v/>
      </c>
      <c r="J163" s="4" t="str">
        <f>HYPERLINK("http://141.218.60.56/~jnz1568/getInfo.php?workbook=16_15.xlsx&amp;sheet=U0&amp;row=163&amp;col=10&amp;number=&amp;sourceID=58","")</f>
        <v/>
      </c>
      <c r="K163" s="4" t="str">
        <f>HYPERLINK("http://141.218.60.56/~jnz1568/getInfo.php?workbook=16_15.xlsx&amp;sheet=U0&amp;row=163&amp;col=11&amp;number=&amp;sourceID=58","")</f>
        <v/>
      </c>
      <c r="L163" s="4" t="str">
        <f>HYPERLINK("http://141.218.60.56/~jnz1568/getInfo.php?workbook=16_15.xlsx&amp;sheet=U0&amp;row=163&amp;col=12&amp;number=&amp;sourceID=59","")</f>
        <v/>
      </c>
      <c r="M163" s="4" t="str">
        <f>HYPERLINK("http://141.218.60.56/~jnz1568/getInfo.php?workbook=16_15.xlsx&amp;sheet=U0&amp;row=163&amp;col=13&amp;number=&amp;sourceID=59","")</f>
        <v/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3.7109375" customWidth="1"/>
    <col min="2" max="2" width="3.7109375" customWidth="1"/>
    <col min="3" max="3" width="15.7109375" customWidth="1"/>
  </cols>
  <sheetData>
    <row r="1" spans="1:3">
      <c r="A1" s="1" t="s">
        <v>57</v>
      </c>
      <c r="B1" s="1"/>
      <c r="C1" s="1"/>
    </row>
    <row r="2" spans="1:3">
      <c r="A2" s="2"/>
      <c r="B2" s="2"/>
      <c r="C2" s="2" t="s">
        <v>58</v>
      </c>
    </row>
    <row r="3" spans="1:3">
      <c r="A3" s="2" t="s">
        <v>4</v>
      </c>
      <c r="B3" s="2" t="s">
        <v>5</v>
      </c>
      <c r="C3" s="2" t="s">
        <v>59</v>
      </c>
    </row>
    <row r="4" spans="1:3">
      <c r="A4" s="3">
        <v>16</v>
      </c>
      <c r="B4" s="3">
        <v>15</v>
      </c>
      <c r="C4" s="4" t="str">
        <f>HYPERLINK("http://bit.ly/1jmPqiC","http://bit.ly/1jmPqiC")</f>
        <v>http://bit.ly/1jmPqiC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E0</vt:lpstr>
      <vt:lpstr>A0</vt:lpstr>
      <vt:lpstr>U0</vt:lpstr>
      <vt:lpstr>O0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2015-04-13T07:21:17Z</dcterms:created>
  <dcterms:modified xsi:type="dcterms:W3CDTF">2015-04-13T07:21:17Z</dcterms:modified>
</cp:coreProperties>
</file>