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  <sheet name="O0" sheetId="4" r:id="rId4"/>
  </sheets>
  <calcPr calcId="124519" fullCalcOnLoad="1"/>
</workbook>
</file>

<file path=xl/sharedStrings.xml><?xml version="1.0" encoding="utf-8"?>
<sst xmlns="http://schemas.openxmlformats.org/spreadsheetml/2006/main" count="217" uniqueCount="61">
  <si>
    <t>Fine-Structure Energy Levels for Ar III</t>
  </si>
  <si>
    <t>S2</t>
  </si>
  <si>
    <t>S48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</si>
  <si>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</si>
  <si>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</si>
  <si>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</si>
  <si>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</si>
  <si>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</si>
  <si>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</si>
  <si>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</si>
  <si>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</si>
  <si>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</si>
  <si>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</si>
  <si>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3s2.3p4</t>
  </si>
  <si>
    <t>3P</t>
  </si>
  <si>
    <t>1D</t>
  </si>
  <si>
    <t>1S</t>
  </si>
  <si>
    <t>3s.3p5</t>
  </si>
  <si>
    <t>3P*</t>
  </si>
  <si>
    <t>1P*</t>
  </si>
  <si>
    <t>3s2.3p3.(4S*).3d</t>
  </si>
  <si>
    <t>5D*</t>
  </si>
  <si>
    <t>3D*</t>
  </si>
  <si>
    <t>3s2.3p3.(2D*).3d</t>
  </si>
  <si>
    <t>1S*</t>
  </si>
  <si>
    <t>3F*</t>
  </si>
  <si>
    <t>3G*</t>
  </si>
  <si>
    <t>3s2.3p3.(4S*).4s</t>
  </si>
  <si>
    <t>5S*</t>
  </si>
  <si>
    <t>1G*</t>
  </si>
  <si>
    <t>3s2.3p3.(2P*).3d</t>
  </si>
  <si>
    <t>1D*</t>
  </si>
  <si>
    <t>3S*</t>
  </si>
  <si>
    <t>3s2.3p3.(2D*).4s</t>
  </si>
  <si>
    <t>1F*</t>
  </si>
  <si>
    <t>3s2.3p3.(4S*).4p</t>
  </si>
  <si>
    <t>5P</t>
  </si>
  <si>
    <t>3s2.3p3.(2P*).4s</t>
  </si>
  <si>
    <t>3s2.3p3.(2D*).4p</t>
  </si>
  <si>
    <t>1P</t>
  </si>
  <si>
    <t>3D</t>
  </si>
  <si>
    <t>3F</t>
  </si>
  <si>
    <t>1F</t>
  </si>
  <si>
    <t>3s2.3p3.(2P*).4p</t>
  </si>
  <si>
    <t>3S</t>
  </si>
  <si>
    <t>A-values for fine-structure transitions  in Ar III</t>
  </si>
  <si>
    <t>S49</t>
  </si>
  <si>
    <t>k</t>
  </si>
  <si>
    <t>WL Vac (A)</t>
  </si>
  <si>
    <t>AE1 (s-1)</t>
  </si>
  <si>
    <t>AE2 (s-1)</t>
  </si>
  <si>
    <t>AM1 (s-1)</t>
  </si>
  <si>
    <t>Effective Collision Strengths for Ar III</t>
  </si>
  <si>
    <t>S37</t>
  </si>
  <si>
    <t>S61</t>
  </si>
  <si>
    <t>S51</t>
  </si>
  <si>
    <t>np</t>
  </si>
  <si>
    <t>Log_T(K)</t>
  </si>
  <si>
    <t>EColSt</t>
  </si>
  <si>
    <t>Collision Strengths for Ar III</t>
  </si>
  <si>
    <t>Link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</si>
</sst>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7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15.7109375" customWidth="1"/>
    <col min="4" max="4" width="1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2.7109375" customWidth="1"/>
    <col min="11" max="11" width="9.7109375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</row>
    <row r="3" spans="1:1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12</v>
      </c>
    </row>
    <row r="4" spans="1:11">
      <c r="A4" s="3">
        <v>18</v>
      </c>
      <c r="B4" s="3">
        <v>16</v>
      </c>
      <c r="C4" s="3">
        <v>1</v>
      </c>
      <c r="D4" s="3" t="s">
        <v>13</v>
      </c>
      <c r="E4" s="3" t="s">
        <v>14</v>
      </c>
      <c r="F4" s="3">
        <v>3</v>
      </c>
      <c r="G4" s="3">
        <v>1</v>
      </c>
      <c r="H4" s="3">
        <v>0</v>
      </c>
      <c r="I4" s="3">
        <v>2</v>
      </c>
      <c r="J4" s="4" t="str">
        <f>HYPERLINK("http://141.218.60.56/~jnz1568/getInfo.php?workbook=18_16.xlsx&amp;sheet=E0&amp;row=4&amp;col=10&amp;number=0&amp;sourceID=2","0")</f>
        <v>0</v>
      </c>
      <c r="K4" s="4" t="str">
        <f>HYPERLINK("http://141.218.60.56/~jnz1568/getInfo.php?workbook=18_16.xlsx&amp;sheet=E0&amp;row=4&amp;col=11&amp;number=0&amp;sourceID=48","0")</f>
        <v>0</v>
      </c>
    </row>
    <row r="5" spans="1:11">
      <c r="A5" s="3">
        <v>18</v>
      </c>
      <c r="B5" s="3">
        <v>16</v>
      </c>
      <c r="C5" s="3">
        <f>C4+1</f>
        <v>0</v>
      </c>
      <c r="D5" s="3" t="s">
        <v>13</v>
      </c>
      <c r="E5" s="3" t="s">
        <v>14</v>
      </c>
      <c r="F5" s="3">
        <v>3</v>
      </c>
      <c r="G5" s="3">
        <v>1</v>
      </c>
      <c r="H5" s="3">
        <v>0</v>
      </c>
      <c r="I5" s="3">
        <v>1</v>
      </c>
      <c r="J5" s="4" t="str">
        <f>HYPERLINK("http://141.218.60.56/~jnz1568/getInfo.php?workbook=18_16.xlsx&amp;sheet=E0&amp;row=5&amp;col=10&amp;number=1112.17&amp;sourceID=2","1112.17")</f>
        <v>1112.17</v>
      </c>
      <c r="K5" s="4" t="str">
        <f>HYPERLINK("http://141.218.60.56/~jnz1568/getInfo.php?workbook=18_16.xlsx&amp;sheet=E0&amp;row=5&amp;col=11&amp;number=1035.5&amp;sourceID=48","1035.5")</f>
        <v>1035.5</v>
      </c>
    </row>
    <row r="6" spans="1:11">
      <c r="A6" s="3">
        <v>18</v>
      </c>
      <c r="B6" s="3">
        <v>16</v>
      </c>
      <c r="C6" s="3">
        <f/>
        <v>0</v>
      </c>
      <c r="D6" s="3" t="s">
        <v>13</v>
      </c>
      <c r="E6" s="3" t="s">
        <v>14</v>
      </c>
      <c r="F6" s="3">
        <v>3</v>
      </c>
      <c r="G6" s="3">
        <v>1</v>
      </c>
      <c r="H6" s="3">
        <v>0</v>
      </c>
      <c r="I6" s="3">
        <v>0</v>
      </c>
      <c r="J6" s="4" t="str">
        <f>HYPERLINK("http://141.218.60.56/~jnz1568/getInfo.php?workbook=18_16.xlsx&amp;sheet=E0&amp;row=6&amp;col=10&amp;number=1570.23&amp;sourceID=2","1570.23")</f>
        <v>1570.23</v>
      </c>
      <c r="K6" s="4" t="str">
        <f>HYPERLINK("http://141.218.60.56/~jnz1568/getInfo.php?workbook=18_16.xlsx&amp;sheet=E0&amp;row=6&amp;col=11&amp;number=1454.63&amp;sourceID=48","1454.63")</f>
        <v>1454.63</v>
      </c>
    </row>
    <row r="7" spans="1:11">
      <c r="A7" s="3">
        <v>18</v>
      </c>
      <c r="B7" s="3">
        <v>16</v>
      </c>
      <c r="C7" s="3">
        <f/>
        <v>0</v>
      </c>
      <c r="D7" s="3" t="s">
        <v>13</v>
      </c>
      <c r="E7" s="3" t="s">
        <v>15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HYPERLINK("http://141.218.60.56/~jnz1568/getInfo.php?workbook=18_16.xlsx&amp;sheet=E0&amp;row=7&amp;col=10&amp;number=14010&amp;sourceID=2","14010")</f>
        <v>14010</v>
      </c>
      <c r="K7" s="4" t="str">
        <f>HYPERLINK("http://141.218.60.56/~jnz1568/getInfo.php?workbook=18_16.xlsx&amp;sheet=E0&amp;row=7&amp;col=11&amp;number=14599.4&amp;sourceID=48","14599.4")</f>
        <v>14599.4</v>
      </c>
    </row>
    <row r="8" spans="1:11">
      <c r="A8" s="3">
        <v>18</v>
      </c>
      <c r="B8" s="3">
        <v>16</v>
      </c>
      <c r="C8" s="3">
        <f/>
        <v>0</v>
      </c>
      <c r="D8" s="3" t="s">
        <v>13</v>
      </c>
      <c r="E8" s="3" t="s">
        <v>16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HYPERLINK("http://141.218.60.56/~jnz1568/getInfo.php?workbook=18_16.xlsx&amp;sheet=E0&amp;row=8&amp;col=10&amp;number=33265.7&amp;sourceID=2","33265.7")</f>
        <v>33265.7</v>
      </c>
      <c r="K8" s="4" t="str">
        <f>HYPERLINK("http://141.218.60.56/~jnz1568/getInfo.php?workbook=18_16.xlsx&amp;sheet=E0&amp;row=8&amp;col=11&amp;number=33505.51&amp;sourceID=48","33505.51")</f>
        <v>33505.51</v>
      </c>
    </row>
    <row r="9" spans="1:11">
      <c r="A9" s="3">
        <v>18</v>
      </c>
      <c r="B9" s="3">
        <v>16</v>
      </c>
      <c r="C9" s="3">
        <f/>
        <v>0</v>
      </c>
      <c r="D9" s="3" t="s">
        <v>17</v>
      </c>
      <c r="E9" s="3" t="s">
        <v>18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HYPERLINK("http://141.218.60.56/~jnz1568/getInfo.php?workbook=18_16.xlsx&amp;sheet=E0&amp;row=9&amp;col=10&amp;number=113800.52&amp;sourceID=2","113800.52")</f>
        <v>113800.52</v>
      </c>
      <c r="K9" s="4" t="str">
        <f>HYPERLINK("http://141.218.60.56/~jnz1568/getInfo.php?workbook=18_16.xlsx&amp;sheet=E0&amp;row=9&amp;col=11&amp;number=112577.5&amp;sourceID=48","112577.5")</f>
        <v>112577.5</v>
      </c>
    </row>
    <row r="10" spans="1:11">
      <c r="A10" s="3">
        <v>18</v>
      </c>
      <c r="B10" s="3">
        <v>16</v>
      </c>
      <c r="C10" s="3">
        <f/>
        <v>0</v>
      </c>
      <c r="D10" s="3" t="s">
        <v>17</v>
      </c>
      <c r="E10" s="3" t="s">
        <v>18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HYPERLINK("http://141.218.60.56/~jnz1568/getInfo.php?workbook=18_16.xlsx&amp;sheet=E0&amp;row=10&amp;col=10&amp;number=114797.38&amp;sourceID=2","114797.38")</f>
        <v>114797.38</v>
      </c>
      <c r="K10" s="4" t="str">
        <f>HYPERLINK("http://141.218.60.56/~jnz1568/getInfo.php?workbook=18_16.xlsx&amp;sheet=E0&amp;row=10&amp;col=11&amp;number=113289.3&amp;sourceID=48","113289.3")</f>
        <v>113289.3</v>
      </c>
    </row>
    <row r="11" spans="1:11">
      <c r="A11" s="3">
        <v>18</v>
      </c>
      <c r="B11" s="3">
        <v>16</v>
      </c>
      <c r="C11" s="3">
        <f/>
        <v>0</v>
      </c>
      <c r="D11" s="3" t="s">
        <v>17</v>
      </c>
      <c r="E11" s="3" t="s">
        <v>18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HYPERLINK("http://141.218.60.56/~jnz1568/getInfo.php?workbook=18_16.xlsx&amp;sheet=E0&amp;row=11&amp;col=10&amp;number=115328&amp;sourceID=2","115328")</f>
        <v>115328</v>
      </c>
      <c r="K11" s="4" t="str">
        <f>HYPERLINK("http://141.218.60.56/~jnz1568/getInfo.php?workbook=18_16.xlsx&amp;sheet=E0&amp;row=11&amp;col=11&amp;number=113852.5&amp;sourceID=48","113852.5")</f>
        <v>113852.5</v>
      </c>
    </row>
    <row r="12" spans="1:11">
      <c r="A12" s="3">
        <v>18</v>
      </c>
      <c r="B12" s="3">
        <v>16</v>
      </c>
      <c r="C12" s="3">
        <f/>
        <v>0</v>
      </c>
      <c r="D12" s="3" t="s">
        <v>17</v>
      </c>
      <c r="E12" s="3" t="s">
        <v>19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HYPERLINK("http://141.218.60.56/~jnz1568/getInfo.php?workbook=18_16.xlsx&amp;sheet=E0&amp;row=12&amp;col=10&amp;number=144022.38&amp;sourceID=2","144022.38")</f>
        <v>144022.38</v>
      </c>
      <c r="K12" s="4" t="str">
        <f>HYPERLINK("http://141.218.60.56/~jnz1568/getInfo.php?workbook=18_16.xlsx&amp;sheet=E0&amp;row=12&amp;col=11&amp;number=143338.7&amp;sourceID=48","143338.7")</f>
        <v>143338.7</v>
      </c>
    </row>
    <row r="13" spans="1:11">
      <c r="A13" s="3">
        <v>18</v>
      </c>
      <c r="B13" s="3">
        <v>16</v>
      </c>
      <c r="C13" s="3">
        <f/>
        <v>0</v>
      </c>
      <c r="D13" s="3" t="s">
        <v>20</v>
      </c>
      <c r="E13" s="3" t="s">
        <v>21</v>
      </c>
      <c r="F13" s="3">
        <v>5</v>
      </c>
      <c r="G13" s="3">
        <v>2</v>
      </c>
      <c r="H13" s="3">
        <v>1</v>
      </c>
      <c r="I13" s="3">
        <v>0</v>
      </c>
      <c r="J13" s="4" t="str">
        <f>HYPERLINK("http://141.218.60.56/~jnz1568/getInfo.php?workbook=18_16.xlsx&amp;sheet=E0&amp;row=13&amp;col=10&amp;number=&amp;sourceID=2","")</f>
        <v/>
      </c>
      <c r="K13" s="4" t="str">
        <f>HYPERLINK("http://141.218.60.56/~jnz1568/getInfo.php?workbook=18_16.xlsx&amp;sheet=E0&amp;row=13&amp;col=11&amp;number=144729.1&amp;sourceID=48","144729.1")</f>
        <v>144729.1</v>
      </c>
    </row>
    <row r="14" spans="1:11">
      <c r="A14" s="3">
        <v>18</v>
      </c>
      <c r="B14" s="3">
        <v>16</v>
      </c>
      <c r="C14" s="3">
        <f/>
        <v>0</v>
      </c>
      <c r="D14" s="3" t="s">
        <v>20</v>
      </c>
      <c r="E14" s="3" t="s">
        <v>21</v>
      </c>
      <c r="F14" s="3">
        <v>5</v>
      </c>
      <c r="G14" s="3">
        <v>2</v>
      </c>
      <c r="H14" s="3">
        <v>1</v>
      </c>
      <c r="I14" s="3">
        <v>1</v>
      </c>
      <c r="J14" s="4" t="str">
        <f>HYPERLINK("http://141.218.60.56/~jnz1568/getInfo.php?workbook=18_16.xlsx&amp;sheet=E0&amp;row=14&amp;col=10&amp;number=144885.46&amp;sourceID=2","144885.46")</f>
        <v>144885.46</v>
      </c>
      <c r="K14" s="4" t="str">
        <f>HYPERLINK("http://141.218.60.56/~jnz1568/getInfo.php?workbook=18_16.xlsx&amp;sheet=E0&amp;row=14&amp;col=11&amp;number=144734.4&amp;sourceID=48","144734.4")</f>
        <v>144734.4</v>
      </c>
    </row>
    <row r="15" spans="1:11">
      <c r="A15" s="3">
        <v>18</v>
      </c>
      <c r="B15" s="3">
        <v>16</v>
      </c>
      <c r="C15" s="3">
        <f/>
        <v>0</v>
      </c>
      <c r="D15" s="3" t="s">
        <v>20</v>
      </c>
      <c r="E15" s="3" t="s">
        <v>21</v>
      </c>
      <c r="F15" s="3">
        <v>5</v>
      </c>
      <c r="G15" s="3">
        <v>2</v>
      </c>
      <c r="H15" s="3">
        <v>1</v>
      </c>
      <c r="I15" s="3">
        <v>2</v>
      </c>
      <c r="J15" s="4" t="str">
        <f>HYPERLINK("http://141.218.60.56/~jnz1568/getInfo.php?workbook=18_16.xlsx&amp;sheet=E0&amp;row=15&amp;col=10&amp;number=144890.68&amp;sourceID=2","144890.68")</f>
        <v>144890.68</v>
      </c>
      <c r="K15" s="4" t="str">
        <f>HYPERLINK("http://141.218.60.56/~jnz1568/getInfo.php?workbook=18_16.xlsx&amp;sheet=E0&amp;row=15&amp;col=11&amp;number=144744.2&amp;sourceID=48","144744.2")</f>
        <v>144744.2</v>
      </c>
    </row>
    <row r="16" spans="1:11">
      <c r="A16" s="3">
        <v>18</v>
      </c>
      <c r="B16" s="3">
        <v>16</v>
      </c>
      <c r="C16" s="3">
        <f/>
        <v>0</v>
      </c>
      <c r="D16" s="3" t="s">
        <v>20</v>
      </c>
      <c r="E16" s="3" t="s">
        <v>21</v>
      </c>
      <c r="F16" s="3">
        <v>5</v>
      </c>
      <c r="G16" s="3">
        <v>2</v>
      </c>
      <c r="H16" s="3">
        <v>1</v>
      </c>
      <c r="I16" s="3">
        <v>3</v>
      </c>
      <c r="J16" s="4" t="str">
        <f>HYPERLINK("http://141.218.60.56/~jnz1568/getInfo.php?workbook=18_16.xlsx&amp;sheet=E0&amp;row=16&amp;col=10&amp;number=144897.52&amp;sourceID=2","144897.52")</f>
        <v>144897.52</v>
      </c>
      <c r="K16" s="4" t="str">
        <f>HYPERLINK("http://141.218.60.56/~jnz1568/getInfo.php?workbook=18_16.xlsx&amp;sheet=E0&amp;row=16&amp;col=11&amp;number=144758.2&amp;sourceID=48","144758.2")</f>
        <v>144758.2</v>
      </c>
    </row>
    <row r="17" spans="1:11">
      <c r="A17" s="3">
        <v>18</v>
      </c>
      <c r="B17" s="3">
        <v>16</v>
      </c>
      <c r="C17" s="3">
        <f/>
        <v>0</v>
      </c>
      <c r="D17" s="3" t="s">
        <v>20</v>
      </c>
      <c r="E17" s="3" t="s">
        <v>21</v>
      </c>
      <c r="F17" s="3">
        <v>5</v>
      </c>
      <c r="G17" s="3">
        <v>2</v>
      </c>
      <c r="H17" s="3">
        <v>1</v>
      </c>
      <c r="I17" s="3">
        <v>4</v>
      </c>
      <c r="J17" s="4" t="str">
        <f>HYPERLINK("http://141.218.60.56/~jnz1568/getInfo.php?workbook=18_16.xlsx&amp;sheet=E0&amp;row=17&amp;col=10&amp;number=144911.27&amp;sourceID=2","144911.27")</f>
        <v>144911.27</v>
      </c>
      <c r="K17" s="4" t="str">
        <f>HYPERLINK("http://141.218.60.56/~jnz1568/getInfo.php?workbook=18_16.xlsx&amp;sheet=E0&amp;row=17&amp;col=11&amp;number=144777.2&amp;sourceID=48","144777.2")</f>
        <v>144777.2</v>
      </c>
    </row>
    <row r="18" spans="1:11">
      <c r="A18" s="3">
        <v>18</v>
      </c>
      <c r="B18" s="3">
        <v>16</v>
      </c>
      <c r="C18" s="3">
        <f/>
        <v>0</v>
      </c>
      <c r="D18" s="3" t="s">
        <v>20</v>
      </c>
      <c r="E18" s="3" t="s">
        <v>22</v>
      </c>
      <c r="F18" s="3">
        <v>3</v>
      </c>
      <c r="G18" s="3">
        <v>2</v>
      </c>
      <c r="H18" s="3">
        <v>1</v>
      </c>
      <c r="I18" s="3">
        <v>3</v>
      </c>
      <c r="J18" s="4" t="str">
        <f>HYPERLINK("http://141.218.60.56/~jnz1568/getInfo.php?workbook=18_16.xlsx&amp;sheet=E0&amp;row=18&amp;col=10&amp;number=156915.518&amp;sourceID=2","156915.518")</f>
        <v>156915.518</v>
      </c>
      <c r="K18" s="4" t="str">
        <f>HYPERLINK("http://141.218.60.56/~jnz1568/getInfo.php?workbook=18_16.xlsx&amp;sheet=E0&amp;row=18&amp;col=11&amp;number=156986.6&amp;sourceID=48","156986.6")</f>
        <v>156986.6</v>
      </c>
    </row>
    <row r="19" spans="1:11">
      <c r="A19" s="3">
        <v>18</v>
      </c>
      <c r="B19" s="3">
        <v>16</v>
      </c>
      <c r="C19" s="3">
        <f/>
        <v>0</v>
      </c>
      <c r="D19" s="3" t="s">
        <v>20</v>
      </c>
      <c r="E19" s="3" t="s">
        <v>22</v>
      </c>
      <c r="F19" s="3">
        <v>3</v>
      </c>
      <c r="G19" s="3">
        <v>2</v>
      </c>
      <c r="H19" s="3">
        <v>1</v>
      </c>
      <c r="I19" s="3">
        <v>2</v>
      </c>
      <c r="J19" s="4" t="str">
        <f>HYPERLINK("http://141.218.60.56/~jnz1568/getInfo.php?workbook=18_16.xlsx&amp;sheet=E0&amp;row=19&amp;col=10&amp;number=156922.557&amp;sourceID=2","156922.557")</f>
        <v>156922.557</v>
      </c>
      <c r="K19" s="4" t="str">
        <f>HYPERLINK("http://141.218.60.56/~jnz1568/getInfo.php?workbook=18_16.xlsx&amp;sheet=E0&amp;row=19&amp;col=11&amp;number=156998.1&amp;sourceID=48","156998.1")</f>
        <v>156998.1</v>
      </c>
    </row>
    <row r="20" spans="1:11">
      <c r="A20" s="3">
        <v>18</v>
      </c>
      <c r="B20" s="3">
        <v>16</v>
      </c>
      <c r="C20" s="3">
        <f/>
        <v>0</v>
      </c>
      <c r="D20" s="3" t="s">
        <v>20</v>
      </c>
      <c r="E20" s="3" t="s">
        <v>22</v>
      </c>
      <c r="F20" s="3">
        <v>3</v>
      </c>
      <c r="G20" s="3">
        <v>2</v>
      </c>
      <c r="H20" s="3">
        <v>1</v>
      </c>
      <c r="I20" s="3">
        <v>1</v>
      </c>
      <c r="J20" s="4" t="str">
        <f>HYPERLINK("http://141.218.60.56/~jnz1568/getInfo.php?workbook=18_16.xlsx&amp;sheet=E0&amp;row=20&amp;col=10&amp;number=157029.812&amp;sourceID=2","157029.812")</f>
        <v>157029.812</v>
      </c>
      <c r="K20" s="4" t="str">
        <f>HYPERLINK("http://141.218.60.56/~jnz1568/getInfo.php?workbook=18_16.xlsx&amp;sheet=E0&amp;row=20&amp;col=11&amp;number=156303.1&amp;sourceID=48","156303.1")</f>
        <v>156303.1</v>
      </c>
    </row>
    <row r="21" spans="1:11">
      <c r="A21" s="3">
        <v>18</v>
      </c>
      <c r="B21" s="3">
        <v>16</v>
      </c>
      <c r="C21" s="3">
        <f/>
        <v>0</v>
      </c>
      <c r="D21" s="3" t="s">
        <v>23</v>
      </c>
      <c r="E21" s="3" t="s">
        <v>24</v>
      </c>
      <c r="F21" s="3">
        <v>1</v>
      </c>
      <c r="G21" s="3">
        <v>0</v>
      </c>
      <c r="H21" s="3">
        <v>1</v>
      </c>
      <c r="I21" s="3">
        <v>0</v>
      </c>
      <c r="J21" s="4" t="str">
        <f>HYPERLINK("http://141.218.60.56/~jnz1568/getInfo.php?workbook=18_16.xlsx&amp;sheet=E0&amp;row=21&amp;col=10&amp;number=161849.93&amp;sourceID=2","161849.93")</f>
        <v>161849.93</v>
      </c>
      <c r="K21" s="4" t="str">
        <f>HYPERLINK("http://141.218.60.56/~jnz1568/getInfo.php?workbook=18_16.xlsx&amp;sheet=E0&amp;row=21&amp;col=11&amp;number=162399.5&amp;sourceID=48","162399.5")</f>
        <v>162399.5</v>
      </c>
    </row>
    <row r="22" spans="1:11">
      <c r="A22" s="3">
        <v>18</v>
      </c>
      <c r="B22" s="3">
        <v>16</v>
      </c>
      <c r="C22" s="3">
        <f/>
        <v>0</v>
      </c>
      <c r="D22" s="3" t="s">
        <v>23</v>
      </c>
      <c r="E22" s="3" t="s">
        <v>25</v>
      </c>
      <c r="F22" s="3">
        <v>3</v>
      </c>
      <c r="G22" s="3">
        <v>3</v>
      </c>
      <c r="H22" s="3">
        <v>1</v>
      </c>
      <c r="I22" s="3">
        <v>2</v>
      </c>
      <c r="J22" s="4" t="str">
        <f>HYPERLINK("http://141.218.60.56/~jnz1568/getInfo.php?workbook=18_16.xlsx&amp;sheet=E0&amp;row=22&amp;col=10&amp;number=162757.28&amp;sourceID=2","162757.28")</f>
        <v>162757.28</v>
      </c>
      <c r="K22" s="4" t="str">
        <f>HYPERLINK("http://141.218.60.56/~jnz1568/getInfo.php?workbook=18_16.xlsx&amp;sheet=E0&amp;row=22&amp;col=11&amp;number=163258&amp;sourceID=48","163258")</f>
        <v>163258</v>
      </c>
    </row>
    <row r="23" spans="1:11">
      <c r="A23" s="3">
        <v>18</v>
      </c>
      <c r="B23" s="3">
        <v>16</v>
      </c>
      <c r="C23" s="3">
        <f/>
        <v>0</v>
      </c>
      <c r="D23" s="3" t="s">
        <v>23</v>
      </c>
      <c r="E23" s="3" t="s">
        <v>25</v>
      </c>
      <c r="F23" s="3">
        <v>3</v>
      </c>
      <c r="G23" s="3">
        <v>3</v>
      </c>
      <c r="H23" s="3">
        <v>1</v>
      </c>
      <c r="I23" s="3">
        <v>3</v>
      </c>
      <c r="J23" s="4" t="str">
        <f>HYPERLINK("http://141.218.60.56/~jnz1568/getInfo.php?workbook=18_16.xlsx&amp;sheet=E0&amp;row=23&amp;col=10&amp;number=163076.17&amp;sourceID=2","163076.17")</f>
        <v>163076.17</v>
      </c>
      <c r="K23" s="4" t="str">
        <f>HYPERLINK("http://141.218.60.56/~jnz1568/getInfo.php?workbook=18_16.xlsx&amp;sheet=E0&amp;row=23&amp;col=11&amp;number=163529.5&amp;sourceID=48","163529.5")</f>
        <v>163529.5</v>
      </c>
    </row>
    <row r="24" spans="1:11">
      <c r="A24" s="3">
        <v>18</v>
      </c>
      <c r="B24" s="3">
        <v>16</v>
      </c>
      <c r="C24" s="3">
        <f/>
        <v>0</v>
      </c>
      <c r="D24" s="3" t="s">
        <v>23</v>
      </c>
      <c r="E24" s="3" t="s">
        <v>25</v>
      </c>
      <c r="F24" s="3">
        <v>3</v>
      </c>
      <c r="G24" s="3">
        <v>3</v>
      </c>
      <c r="H24" s="3">
        <v>1</v>
      </c>
      <c r="I24" s="3">
        <v>4</v>
      </c>
      <c r="J24" s="4" t="str">
        <f>HYPERLINK("http://141.218.60.56/~jnz1568/getInfo.php?workbook=18_16.xlsx&amp;sheet=E0&amp;row=24&amp;col=10&amp;number=163477.01&amp;sourceID=2","163477.01")</f>
        <v>163477.01</v>
      </c>
      <c r="K24" s="4" t="str">
        <f>HYPERLINK("http://141.218.60.56/~jnz1568/getInfo.php?workbook=18_16.xlsx&amp;sheet=E0&amp;row=24&amp;col=11&amp;number=163876.1&amp;sourceID=48","163876.1")</f>
        <v>163876.1</v>
      </c>
    </row>
    <row r="25" spans="1:11">
      <c r="A25" s="3">
        <v>18</v>
      </c>
      <c r="B25" s="3">
        <v>16</v>
      </c>
      <c r="C25" s="3">
        <f/>
        <v>0</v>
      </c>
      <c r="D25" s="3" t="s">
        <v>23</v>
      </c>
      <c r="E25" s="3" t="s">
        <v>26</v>
      </c>
      <c r="F25" s="3">
        <v>3</v>
      </c>
      <c r="G25" s="3">
        <v>4</v>
      </c>
      <c r="H25" s="3">
        <v>1</v>
      </c>
      <c r="I25" s="3">
        <v>3</v>
      </c>
      <c r="J25" s="4" t="str">
        <f>HYPERLINK("http://141.218.60.56/~jnz1568/getInfo.php?workbook=18_16.xlsx&amp;sheet=E0&amp;row=25&amp;col=10&amp;number=172100.11&amp;sourceID=2","172100.11")</f>
        <v>172100.11</v>
      </c>
      <c r="K25" s="4" t="str">
        <f>HYPERLINK("http://141.218.60.56/~jnz1568/getInfo.php?workbook=18_16.xlsx&amp;sheet=E0&amp;row=25&amp;col=11&amp;number=173223.7&amp;sourceID=48","173223.7")</f>
        <v>173223.7</v>
      </c>
    </row>
    <row r="26" spans="1:11">
      <c r="A26" s="3">
        <v>18</v>
      </c>
      <c r="B26" s="3">
        <v>16</v>
      </c>
      <c r="C26" s="3">
        <f/>
        <v>0</v>
      </c>
      <c r="D26" s="3" t="s">
        <v>23</v>
      </c>
      <c r="E26" s="3" t="s">
        <v>26</v>
      </c>
      <c r="F26" s="3">
        <v>3</v>
      </c>
      <c r="G26" s="3">
        <v>4</v>
      </c>
      <c r="H26" s="3">
        <v>1</v>
      </c>
      <c r="I26" s="3">
        <v>4</v>
      </c>
      <c r="J26" s="4" t="str">
        <f>HYPERLINK("http://141.218.60.56/~jnz1568/getInfo.php?workbook=18_16.xlsx&amp;sheet=E0&amp;row=26&amp;col=10&amp;number=172136.57&amp;sourceID=2","172136.57")</f>
        <v>172136.57</v>
      </c>
      <c r="K26" s="4" t="str">
        <f>HYPERLINK("http://141.218.60.56/~jnz1568/getInfo.php?workbook=18_16.xlsx&amp;sheet=E0&amp;row=26&amp;col=11&amp;number=173261.2&amp;sourceID=48","173261.2")</f>
        <v>173261.2</v>
      </c>
    </row>
    <row r="27" spans="1:11">
      <c r="A27" s="3">
        <v>18</v>
      </c>
      <c r="B27" s="3">
        <v>16</v>
      </c>
      <c r="C27" s="3">
        <f/>
        <v>0</v>
      </c>
      <c r="D27" s="3" t="s">
        <v>23</v>
      </c>
      <c r="E27" s="3" t="s">
        <v>26</v>
      </c>
      <c r="F27" s="3">
        <v>3</v>
      </c>
      <c r="G27" s="3">
        <v>4</v>
      </c>
      <c r="H27" s="3">
        <v>1</v>
      </c>
      <c r="I27" s="3">
        <v>5</v>
      </c>
      <c r="J27" s="4" t="str">
        <f>HYPERLINK("http://141.218.60.56/~jnz1568/getInfo.php?workbook=18_16.xlsx&amp;sheet=E0&amp;row=27&amp;col=10&amp;number=172191.487&amp;sourceID=2","172191.487")</f>
        <v>172191.487</v>
      </c>
      <c r="K27" s="4" t="str">
        <f>HYPERLINK("http://141.218.60.56/~jnz1568/getInfo.php?workbook=18_16.xlsx&amp;sheet=E0&amp;row=27&amp;col=11&amp;number=173315&amp;sourceID=48","173315")</f>
        <v>173315</v>
      </c>
    </row>
    <row r="28" spans="1:11">
      <c r="A28" s="3">
        <v>18</v>
      </c>
      <c r="B28" s="3">
        <v>16</v>
      </c>
      <c r="C28" s="3">
        <f/>
        <v>0</v>
      </c>
      <c r="D28" s="3" t="s">
        <v>27</v>
      </c>
      <c r="E28" s="3" t="s">
        <v>28</v>
      </c>
      <c r="F28" s="3">
        <v>5</v>
      </c>
      <c r="G28" s="3">
        <v>0</v>
      </c>
      <c r="H28" s="3">
        <v>1</v>
      </c>
      <c r="I28" s="3">
        <v>2</v>
      </c>
      <c r="J28" s="4" t="str">
        <f>HYPERLINK("http://141.218.60.56/~jnz1568/getInfo.php?workbook=18_16.xlsx&amp;sheet=E0&amp;row=28&amp;col=10&amp;number=174378.4968&amp;sourceID=2","174378.4968")</f>
        <v>174378.4968</v>
      </c>
      <c r="K28" s="4" t="str">
        <f>HYPERLINK("http://141.218.60.56/~jnz1568/getInfo.php?workbook=18_16.xlsx&amp;sheet=E0&amp;row=28&amp;col=11&amp;number=173002.2&amp;sourceID=48","173002.2")</f>
        <v>173002.2</v>
      </c>
    </row>
    <row r="29" spans="1:11">
      <c r="A29" s="3">
        <v>18</v>
      </c>
      <c r="B29" s="3">
        <v>16</v>
      </c>
      <c r="C29" s="3">
        <f/>
        <v>0</v>
      </c>
      <c r="D29" s="3" t="s">
        <v>23</v>
      </c>
      <c r="E29" s="3" t="s">
        <v>29</v>
      </c>
      <c r="F29" s="3">
        <v>1</v>
      </c>
      <c r="G29" s="3">
        <v>4</v>
      </c>
      <c r="H29" s="3">
        <v>1</v>
      </c>
      <c r="I29" s="3">
        <v>4</v>
      </c>
      <c r="J29" s="4" t="str">
        <f>HYPERLINK("http://141.218.60.56/~jnz1568/getInfo.php?workbook=18_16.xlsx&amp;sheet=E0&amp;row=29&amp;col=10&amp;number=175665.586&amp;sourceID=2","175665.586")</f>
        <v>175665.586</v>
      </c>
      <c r="K29" s="4" t="str">
        <f>HYPERLINK("http://141.218.60.56/~jnz1568/getInfo.php?workbook=18_16.xlsx&amp;sheet=E0&amp;row=29&amp;col=11&amp;number=177010.8&amp;sourceID=48","177010.8")</f>
        <v>177010.8</v>
      </c>
    </row>
    <row r="30" spans="1:11">
      <c r="A30" s="3">
        <v>18</v>
      </c>
      <c r="B30" s="3">
        <v>16</v>
      </c>
      <c r="C30" s="3">
        <f/>
        <v>0</v>
      </c>
      <c r="D30" s="3" t="s">
        <v>30</v>
      </c>
      <c r="E30" s="3" t="s">
        <v>31</v>
      </c>
      <c r="F30" s="3">
        <v>1</v>
      </c>
      <c r="G30" s="3">
        <v>2</v>
      </c>
      <c r="H30" s="3">
        <v>1</v>
      </c>
      <c r="I30" s="3">
        <v>2</v>
      </c>
      <c r="J30" s="4" t="str">
        <f>HYPERLINK("http://141.218.60.56/~jnz1568/getInfo.php?workbook=18_16.xlsx&amp;sheet=E0&amp;row=30&amp;col=10&amp;number=179529.519&amp;sourceID=2","179529.519")</f>
        <v>179529.519</v>
      </c>
      <c r="K30" s="4" t="str">
        <f>HYPERLINK("http://141.218.60.56/~jnz1568/getInfo.php?workbook=18_16.xlsx&amp;sheet=E0&amp;row=30&amp;col=11&amp;number=180241.2&amp;sourceID=48","180241.2")</f>
        <v>180241.2</v>
      </c>
    </row>
    <row r="31" spans="1:11">
      <c r="A31" s="3">
        <v>18</v>
      </c>
      <c r="B31" s="3">
        <v>16</v>
      </c>
      <c r="C31" s="3">
        <f/>
        <v>0</v>
      </c>
      <c r="D31" s="3" t="s">
        <v>27</v>
      </c>
      <c r="E31" s="3" t="s">
        <v>32</v>
      </c>
      <c r="F31" s="3">
        <v>3</v>
      </c>
      <c r="G31" s="3">
        <v>0</v>
      </c>
      <c r="H31" s="3">
        <v>1</v>
      </c>
      <c r="I31" s="3">
        <v>1</v>
      </c>
      <c r="J31" s="4" t="str">
        <f>HYPERLINK("http://141.218.60.56/~jnz1568/getInfo.php?workbook=18_16.xlsx&amp;sheet=E0&amp;row=31&amp;col=10&amp;number=180678.3147&amp;sourceID=2","180678.3147")</f>
        <v>180678.3147</v>
      </c>
      <c r="K31" s="4" t="str">
        <f>HYPERLINK("http://141.218.60.56/~jnz1568/getInfo.php?workbook=18_16.xlsx&amp;sheet=E0&amp;row=31&amp;col=11&amp;number=179431.8&amp;sourceID=48","179431.8")</f>
        <v>179431.8</v>
      </c>
    </row>
    <row r="32" spans="1:11">
      <c r="A32" s="3">
        <v>18</v>
      </c>
      <c r="B32" s="3">
        <v>16</v>
      </c>
      <c r="C32" s="3">
        <f/>
        <v>0</v>
      </c>
      <c r="D32" s="3" t="s">
        <v>30</v>
      </c>
      <c r="E32" s="3" t="s">
        <v>25</v>
      </c>
      <c r="F32" s="3">
        <v>3</v>
      </c>
      <c r="G32" s="3">
        <v>3</v>
      </c>
      <c r="H32" s="3">
        <v>1</v>
      </c>
      <c r="I32" s="3">
        <v>4</v>
      </c>
      <c r="J32" s="4" t="str">
        <f>HYPERLINK("http://141.218.60.56/~jnz1568/getInfo.php?workbook=18_16.xlsx&amp;sheet=E0&amp;row=32&amp;col=10&amp;number=186402.885&amp;sourceID=2","186402.885")</f>
        <v>186402.885</v>
      </c>
      <c r="K32" s="4" t="str">
        <f>HYPERLINK("http://141.218.60.56/~jnz1568/getInfo.php?workbook=18_16.xlsx&amp;sheet=E0&amp;row=32&amp;col=11&amp;number=187321.5&amp;sourceID=48","187321.5")</f>
        <v>187321.5</v>
      </c>
    </row>
    <row r="33" spans="1:11">
      <c r="A33" s="3">
        <v>18</v>
      </c>
      <c r="B33" s="3">
        <v>16</v>
      </c>
      <c r="C33" s="3">
        <f/>
        <v>0</v>
      </c>
      <c r="D33" s="3" t="s">
        <v>30</v>
      </c>
      <c r="E33" s="3" t="s">
        <v>25</v>
      </c>
      <c r="F33" s="3">
        <v>3</v>
      </c>
      <c r="G33" s="3">
        <v>3</v>
      </c>
      <c r="H33" s="3">
        <v>1</v>
      </c>
      <c r="I33" s="3">
        <v>3</v>
      </c>
      <c r="J33" s="4" t="str">
        <f>HYPERLINK("http://141.218.60.56/~jnz1568/getInfo.php?workbook=18_16.xlsx&amp;sheet=E0&amp;row=33&amp;col=10&amp;number=186658.19&amp;sourceID=2","186658.19")</f>
        <v>186658.19</v>
      </c>
      <c r="K33" s="4" t="str">
        <f>HYPERLINK("http://141.218.60.56/~jnz1568/getInfo.php?workbook=18_16.xlsx&amp;sheet=E0&amp;row=33&amp;col=11&amp;number=187545.9&amp;sourceID=48","187545.9")</f>
        <v>187545.9</v>
      </c>
    </row>
    <row r="34" spans="1:11">
      <c r="A34" s="3">
        <v>18</v>
      </c>
      <c r="B34" s="3">
        <v>16</v>
      </c>
      <c r="C34" s="3">
        <f/>
        <v>0</v>
      </c>
      <c r="D34" s="3" t="s">
        <v>30</v>
      </c>
      <c r="E34" s="3" t="s">
        <v>25</v>
      </c>
      <c r="F34" s="3">
        <v>3</v>
      </c>
      <c r="G34" s="3">
        <v>3</v>
      </c>
      <c r="H34" s="3">
        <v>1</v>
      </c>
      <c r="I34" s="3">
        <v>2</v>
      </c>
      <c r="J34" s="4" t="str">
        <f>HYPERLINK("http://141.218.60.56/~jnz1568/getInfo.php?workbook=18_16.xlsx&amp;sheet=E0&amp;row=34&amp;col=10&amp;number=186904.026&amp;sourceID=2","186904.026")</f>
        <v>186904.026</v>
      </c>
      <c r="K34" s="4" t="str">
        <f>HYPERLINK("http://141.218.60.56/~jnz1568/getInfo.php?workbook=18_16.xlsx&amp;sheet=E0&amp;row=34&amp;col=11&amp;number=187754.5&amp;sourceID=48","187754.5")</f>
        <v>187754.5</v>
      </c>
    </row>
    <row r="35" spans="1:11">
      <c r="A35" s="3">
        <v>18</v>
      </c>
      <c r="B35" s="3">
        <v>16</v>
      </c>
      <c r="C35" s="3">
        <f/>
        <v>0</v>
      </c>
      <c r="D35" s="3" t="s">
        <v>23</v>
      </c>
      <c r="E35" s="3" t="s">
        <v>22</v>
      </c>
      <c r="F35" s="3">
        <v>3</v>
      </c>
      <c r="G35" s="3">
        <v>2</v>
      </c>
      <c r="H35" s="3">
        <v>1</v>
      </c>
      <c r="I35" s="3">
        <v>1</v>
      </c>
      <c r="J35" s="4" t="str">
        <f>HYPERLINK("http://141.218.60.56/~jnz1568/getInfo.php?workbook=18_16.xlsx&amp;sheet=E0&amp;row=35&amp;col=10&amp;number=187172.022&amp;sourceID=2","187172.022")</f>
        <v>187172.022</v>
      </c>
      <c r="K35" s="4" t="str">
        <f>HYPERLINK("http://141.218.60.56/~jnz1568/getInfo.php?workbook=18_16.xlsx&amp;sheet=E0&amp;row=35&amp;col=11&amp;number=187191&amp;sourceID=48","187191")</f>
        <v>187191</v>
      </c>
    </row>
    <row r="36" spans="1:11">
      <c r="A36" s="3">
        <v>18</v>
      </c>
      <c r="B36" s="3">
        <v>16</v>
      </c>
      <c r="C36" s="3">
        <f/>
        <v>0</v>
      </c>
      <c r="D36" s="3" t="s">
        <v>23</v>
      </c>
      <c r="E36" s="3" t="s">
        <v>22</v>
      </c>
      <c r="F36" s="3">
        <v>3</v>
      </c>
      <c r="G36" s="3">
        <v>2</v>
      </c>
      <c r="H36" s="3">
        <v>1</v>
      </c>
      <c r="I36" s="3">
        <v>2</v>
      </c>
      <c r="J36" s="4" t="str">
        <f>HYPERLINK("http://141.218.60.56/~jnz1568/getInfo.php?workbook=18_16.xlsx&amp;sheet=E0&amp;row=36&amp;col=10&amp;number=187823.939&amp;sourceID=2","187823.939")</f>
        <v>187823.939</v>
      </c>
      <c r="K36" s="4" t="str">
        <f>HYPERLINK("http://141.218.60.56/~jnz1568/getInfo.php?workbook=18_16.xlsx&amp;sheet=E0&amp;row=36&amp;col=11&amp;number=188696.1&amp;sourceID=48","188696.1")</f>
        <v>188696.1</v>
      </c>
    </row>
    <row r="37" spans="1:11">
      <c r="A37" s="3">
        <v>18</v>
      </c>
      <c r="B37" s="3">
        <v>16</v>
      </c>
      <c r="C37" s="3">
        <f>C36+1</f>
        <v>0</v>
      </c>
      <c r="D37" s="3" t="s">
        <v>30</v>
      </c>
      <c r="E37" s="3" t="s">
        <v>18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HYPERLINK("http://141.218.60.56/~jnz1568/getInfo.php?workbook=18_16.xlsx&amp;sheet=E0&amp;row=37&amp;col=10&amp;number=188145.1&amp;sourceID=2","188145.1")</f>
        <v>188145.1</v>
      </c>
      <c r="K37" s="4" t="str">
        <f>HYPERLINK("http://141.218.60.56/~jnz1568/getInfo.php?workbook=18_16.xlsx&amp;sheet=E0&amp;row=37&amp;col=11&amp;number=188965.3&amp;sourceID=48","188965.3")</f>
        <v>188965.3</v>
      </c>
    </row>
    <row r="38" spans="1:11">
      <c r="A38" s="3">
        <v>18</v>
      </c>
      <c r="B38" s="3">
        <v>16</v>
      </c>
      <c r="C38" s="3">
        <f/>
        <v>0</v>
      </c>
      <c r="D38" s="3" t="s">
        <v>30</v>
      </c>
      <c r="E38" s="3" t="s">
        <v>18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HYPERLINK("http://141.218.60.56/~jnz1568/getInfo.php?workbook=18_16.xlsx&amp;sheet=E0&amp;row=38&amp;col=10&amp;number=188517.853&amp;sourceID=2","188517.853")</f>
        <v>188517.853</v>
      </c>
      <c r="K38" s="4" t="str">
        <f>HYPERLINK("http://141.218.60.56/~jnz1568/getInfo.php?workbook=18_16.xlsx&amp;sheet=E0&amp;row=38&amp;col=11&amp;number=188379.3&amp;sourceID=48","188379.3")</f>
        <v>188379.3</v>
      </c>
    </row>
    <row r="39" spans="1:11">
      <c r="A39" s="3">
        <v>18</v>
      </c>
      <c r="B39" s="3">
        <v>16</v>
      </c>
      <c r="C39" s="3">
        <f/>
        <v>0</v>
      </c>
      <c r="D39" s="3" t="s">
        <v>23</v>
      </c>
      <c r="E39" s="3" t="s">
        <v>22</v>
      </c>
      <c r="F39" s="3">
        <v>3</v>
      </c>
      <c r="G39" s="3">
        <v>2</v>
      </c>
      <c r="H39" s="3">
        <v>1</v>
      </c>
      <c r="I39" s="3">
        <v>3</v>
      </c>
      <c r="J39" s="4" t="str">
        <f>HYPERLINK("http://141.218.60.56/~jnz1568/getInfo.php?workbook=18_16.xlsx&amp;sheet=E0&amp;row=39&amp;col=10&amp;number=188714.875&amp;sourceID=2","188714.875")</f>
        <v>188714.875</v>
      </c>
      <c r="K39" s="4" t="str">
        <f>HYPERLINK("http://141.218.60.56/~jnz1568/getInfo.php?workbook=18_16.xlsx&amp;sheet=E0&amp;row=39&amp;col=11&amp;number=189458.4&amp;sourceID=48","189458.4")</f>
        <v>189458.4</v>
      </c>
    </row>
    <row r="40" spans="1:11">
      <c r="A40" s="3">
        <v>18</v>
      </c>
      <c r="B40" s="3">
        <v>16</v>
      </c>
      <c r="C40" s="3">
        <f/>
        <v>0</v>
      </c>
      <c r="D40" s="3" t="s">
        <v>30</v>
      </c>
      <c r="E40" s="3" t="s">
        <v>18</v>
      </c>
      <c r="F40" s="3">
        <v>3</v>
      </c>
      <c r="G40" s="3">
        <v>1</v>
      </c>
      <c r="H40" s="3">
        <v>1</v>
      </c>
      <c r="I40" s="3">
        <v>2</v>
      </c>
      <c r="J40" s="4" t="str">
        <f>HYPERLINK("http://141.218.60.56/~jnz1568/getInfo.php?workbook=18_16.xlsx&amp;sheet=E0&amp;row=40&amp;col=10&amp;number=189380.83&amp;sourceID=2","189380.83")</f>
        <v>189380.83</v>
      </c>
      <c r="K40" s="4" t="str">
        <f>HYPERLINK("http://141.218.60.56/~jnz1568/getInfo.php?workbook=18_16.xlsx&amp;sheet=E0&amp;row=40&amp;col=11&amp;number=190039.5&amp;sourceID=48","190039.5")</f>
        <v>190039.5</v>
      </c>
    </row>
    <row r="41" spans="1:11">
      <c r="A41" s="3">
        <v>18</v>
      </c>
      <c r="B41" s="3">
        <v>16</v>
      </c>
      <c r="C41" s="3">
        <f/>
        <v>0</v>
      </c>
      <c r="D41" s="3" t="s">
        <v>33</v>
      </c>
      <c r="E41" s="3" t="s">
        <v>22</v>
      </c>
      <c r="F41" s="3">
        <v>3</v>
      </c>
      <c r="G41" s="3">
        <v>2</v>
      </c>
      <c r="H41" s="3">
        <v>1</v>
      </c>
      <c r="I41" s="3">
        <v>1</v>
      </c>
      <c r="J41" s="4" t="str">
        <f>HYPERLINK("http://141.218.60.56/~jnz1568/getInfo.php?workbook=18_16.xlsx&amp;sheet=E0&amp;row=41&amp;col=10&amp;number=196590.6352&amp;sourceID=2","196590.6352")</f>
        <v>196590.6352</v>
      </c>
      <c r="K41" s="4" t="str">
        <f>HYPERLINK("http://141.218.60.56/~jnz1568/getInfo.php?workbook=18_16.xlsx&amp;sheet=E0&amp;row=41&amp;col=11&amp;number=195624.8&amp;sourceID=48","195624.8")</f>
        <v>195624.8</v>
      </c>
    </row>
    <row r="42" spans="1:11">
      <c r="A42" s="3">
        <v>18</v>
      </c>
      <c r="B42" s="3">
        <v>16</v>
      </c>
      <c r="C42" s="3">
        <f/>
        <v>0</v>
      </c>
      <c r="D42" s="3" t="s">
        <v>33</v>
      </c>
      <c r="E42" s="3" t="s">
        <v>22</v>
      </c>
      <c r="F42" s="3">
        <v>3</v>
      </c>
      <c r="G42" s="3">
        <v>2</v>
      </c>
      <c r="H42" s="3">
        <v>1</v>
      </c>
      <c r="I42" s="3">
        <v>2</v>
      </c>
      <c r="J42" s="4" t="str">
        <f>HYPERLINK("http://141.218.60.56/~jnz1568/getInfo.php?workbook=18_16.xlsx&amp;sheet=E0&amp;row=42&amp;col=10&amp;number=196615.2125&amp;sourceID=2","196615.2125")</f>
        <v>196615.2125</v>
      </c>
      <c r="K42" s="4" t="str">
        <f>HYPERLINK("http://141.218.60.56/~jnz1568/getInfo.php?workbook=18_16.xlsx&amp;sheet=E0&amp;row=42&amp;col=11&amp;number=195650.3&amp;sourceID=48","195650.3")</f>
        <v>195650.3</v>
      </c>
    </row>
    <row r="43" spans="1:11">
      <c r="A43" s="3">
        <v>18</v>
      </c>
      <c r="B43" s="3">
        <v>16</v>
      </c>
      <c r="C43" s="3">
        <f/>
        <v>0</v>
      </c>
      <c r="D43" s="3" t="s">
        <v>33</v>
      </c>
      <c r="E43" s="3" t="s">
        <v>22</v>
      </c>
      <c r="F43" s="3">
        <v>3</v>
      </c>
      <c r="G43" s="3">
        <v>2</v>
      </c>
      <c r="H43" s="3">
        <v>1</v>
      </c>
      <c r="I43" s="3">
        <v>3</v>
      </c>
      <c r="J43" s="4" t="str">
        <f>HYPERLINK("http://141.218.60.56/~jnz1568/getInfo.php?workbook=18_16.xlsx&amp;sheet=E0&amp;row=43&amp;col=10&amp;number=196680.8461&amp;sourceID=2","196680.8461")</f>
        <v>196680.8461</v>
      </c>
      <c r="K43" s="4" t="str">
        <f>HYPERLINK("http://141.218.60.56/~jnz1568/getInfo.php?workbook=18_16.xlsx&amp;sheet=E0&amp;row=43&amp;col=11&amp;number=195710.9&amp;sourceID=48","195710.9")</f>
        <v>195710.9</v>
      </c>
    </row>
    <row r="44" spans="1:11">
      <c r="A44" s="3">
        <v>18</v>
      </c>
      <c r="B44" s="3">
        <v>16</v>
      </c>
      <c r="C44" s="3">
        <f/>
        <v>0</v>
      </c>
      <c r="D44" s="3" t="s">
        <v>33</v>
      </c>
      <c r="E44" s="3" t="s">
        <v>31</v>
      </c>
      <c r="F44" s="3">
        <v>1</v>
      </c>
      <c r="G44" s="3">
        <v>2</v>
      </c>
      <c r="H44" s="3">
        <v>1</v>
      </c>
      <c r="I44" s="3">
        <v>2</v>
      </c>
      <c r="J44" s="4" t="str">
        <f>HYPERLINK("http://141.218.60.56/~jnz1568/getInfo.php?workbook=18_16.xlsx&amp;sheet=E0&amp;row=44&amp;col=10&amp;number=199763.4147&amp;sourceID=2","199763.4147")</f>
        <v>199763.4147</v>
      </c>
      <c r="K44" s="4" t="str">
        <f>HYPERLINK("http://141.218.60.56/~jnz1568/getInfo.php?workbook=18_16.xlsx&amp;sheet=E0&amp;row=44&amp;col=11&amp;number=198960.4&amp;sourceID=48","198960.4")</f>
        <v>198960.4</v>
      </c>
    </row>
    <row r="45" spans="1:11">
      <c r="A45" s="3">
        <v>18</v>
      </c>
      <c r="B45" s="3">
        <v>16</v>
      </c>
      <c r="C45" s="3">
        <f/>
        <v>0</v>
      </c>
      <c r="D45" s="3" t="s">
        <v>30</v>
      </c>
      <c r="E45" s="3" t="s">
        <v>34</v>
      </c>
      <c r="F45" s="3">
        <v>1</v>
      </c>
      <c r="G45" s="3">
        <v>3</v>
      </c>
      <c r="H45" s="3">
        <v>1</v>
      </c>
      <c r="I45" s="3">
        <v>3</v>
      </c>
      <c r="J45" s="4" t="str">
        <f>HYPERLINK("http://141.218.60.56/~jnz1568/getInfo.php?workbook=18_16.xlsx&amp;sheet=E0&amp;row=45&amp;col=10&amp;number=200317.933&amp;sourceID=2","200317.933")</f>
        <v>200317.933</v>
      </c>
      <c r="K45" s="4" t="str">
        <f>HYPERLINK("http://141.218.60.56/~jnz1568/getInfo.php?workbook=18_16.xlsx&amp;sheet=E0&amp;row=45&amp;col=11&amp;number=201815.9&amp;sourceID=48","201815.9")</f>
        <v>201815.9</v>
      </c>
    </row>
    <row r="46" spans="1:11">
      <c r="A46" s="3">
        <v>18</v>
      </c>
      <c r="B46" s="3">
        <v>16</v>
      </c>
      <c r="C46" s="3">
        <f/>
        <v>0</v>
      </c>
      <c r="D46" s="3" t="s">
        <v>35</v>
      </c>
      <c r="E46" s="3" t="s">
        <v>36</v>
      </c>
      <c r="F46" s="3">
        <v>5</v>
      </c>
      <c r="G46" s="3">
        <v>1</v>
      </c>
      <c r="H46" s="3">
        <v>0</v>
      </c>
      <c r="I46" s="3">
        <v>1</v>
      </c>
      <c r="J46" s="4" t="str">
        <f>HYPERLINK("http://141.218.60.56/~jnz1568/getInfo.php?workbook=18_16.xlsx&amp;sheet=E0&amp;row=46&amp;col=10&amp;number=204569.953&amp;sourceID=2","204569.953")</f>
        <v>204569.953</v>
      </c>
      <c r="K46" s="4" t="str">
        <f>HYPERLINK("http://141.218.60.56/~jnz1568/getInfo.php?workbook=18_16.xlsx&amp;sheet=E0&amp;row=46&amp;col=11&amp;number=203663.3&amp;sourceID=48","203663.3")</f>
        <v>203663.3</v>
      </c>
    </row>
    <row r="47" spans="1:11">
      <c r="A47" s="3">
        <v>18</v>
      </c>
      <c r="B47" s="3">
        <v>16</v>
      </c>
      <c r="C47" s="3">
        <f/>
        <v>0</v>
      </c>
      <c r="D47" s="3" t="s">
        <v>35</v>
      </c>
      <c r="E47" s="3" t="s">
        <v>36</v>
      </c>
      <c r="F47" s="3">
        <v>5</v>
      </c>
      <c r="G47" s="3">
        <v>1</v>
      </c>
      <c r="H47" s="3">
        <v>0</v>
      </c>
      <c r="I47" s="3">
        <v>2</v>
      </c>
      <c r="J47" s="4" t="str">
        <f>HYPERLINK("http://141.218.60.56/~jnz1568/getInfo.php?workbook=18_16.xlsx&amp;sheet=E0&amp;row=47&amp;col=10&amp;number=204655.7888&amp;sourceID=2","204655.7888")</f>
        <v>204655.7888</v>
      </c>
      <c r="K47" s="4" t="str">
        <f>HYPERLINK("http://141.218.60.56/~jnz1568/getInfo.php?workbook=18_16.xlsx&amp;sheet=E0&amp;row=47&amp;col=11&amp;number=203745.6&amp;sourceID=48","203745.6")</f>
        <v>203745.6</v>
      </c>
    </row>
    <row r="48" spans="1:11">
      <c r="A48" s="3">
        <v>18</v>
      </c>
      <c r="B48" s="3">
        <v>16</v>
      </c>
      <c r="C48" s="3">
        <f/>
        <v>0</v>
      </c>
      <c r="D48" s="3" t="s">
        <v>23</v>
      </c>
      <c r="E48" s="3" t="s">
        <v>32</v>
      </c>
      <c r="F48" s="3">
        <v>3</v>
      </c>
      <c r="G48" s="3">
        <v>0</v>
      </c>
      <c r="H48" s="3">
        <v>1</v>
      </c>
      <c r="I48" s="3">
        <v>1</v>
      </c>
      <c r="J48" s="4" t="str">
        <f>HYPERLINK("http://141.218.60.56/~jnz1568/getInfo.php?workbook=18_16.xlsx&amp;sheet=E0&amp;row=48&amp;col=10&amp;number=204728.39&amp;sourceID=2","204728.39")</f>
        <v>204728.39</v>
      </c>
      <c r="K48" s="4" t="str">
        <f>HYPERLINK("http://141.218.60.56/~jnz1568/getInfo.php?workbook=18_16.xlsx&amp;sheet=E0&amp;row=48&amp;col=11&amp;number=205923.9&amp;sourceID=48","205923.9")</f>
        <v>205923.9</v>
      </c>
    </row>
    <row r="49" spans="1:11">
      <c r="A49" s="3">
        <v>18</v>
      </c>
      <c r="B49" s="3">
        <v>16</v>
      </c>
      <c r="C49" s="3">
        <f/>
        <v>0</v>
      </c>
      <c r="D49" s="3" t="s">
        <v>35</v>
      </c>
      <c r="E49" s="3" t="s">
        <v>36</v>
      </c>
      <c r="F49" s="3">
        <v>5</v>
      </c>
      <c r="G49" s="3">
        <v>1</v>
      </c>
      <c r="H49" s="3">
        <v>0</v>
      </c>
      <c r="I49" s="3">
        <v>3</v>
      </c>
      <c r="J49" s="4" t="str">
        <f>HYPERLINK("http://141.218.60.56/~jnz1568/getInfo.php?workbook=18_16.xlsx&amp;sheet=E0&amp;row=49&amp;col=10&amp;number=204803.338&amp;sourceID=2","204803.338")</f>
        <v>204803.338</v>
      </c>
      <c r="K49" s="4" t="str">
        <f>HYPERLINK("http://141.218.60.56/~jnz1568/getInfo.php?workbook=18_16.xlsx&amp;sheet=E0&amp;row=49&amp;col=11&amp;number=203877.2&amp;sourceID=48","203877.2")</f>
        <v>203877.2</v>
      </c>
    </row>
    <row r="50" spans="1:11">
      <c r="A50" s="3">
        <v>18</v>
      </c>
      <c r="B50" s="3">
        <v>16</v>
      </c>
      <c r="C50" s="3">
        <f/>
        <v>0</v>
      </c>
      <c r="D50" s="3" t="s">
        <v>37</v>
      </c>
      <c r="E50" s="3" t="s">
        <v>18</v>
      </c>
      <c r="F50" s="3">
        <v>3</v>
      </c>
      <c r="G50" s="3">
        <v>1</v>
      </c>
      <c r="H50" s="3">
        <v>1</v>
      </c>
      <c r="I50" s="3">
        <v>2</v>
      </c>
      <c r="J50" s="4" t="str">
        <f>HYPERLINK("http://141.218.60.56/~jnz1568/getInfo.php?workbook=18_16.xlsx&amp;sheet=E0&amp;row=50&amp;col=10&amp;number=207233.003&amp;sourceID=2","207233.003")</f>
        <v>207233.003</v>
      </c>
      <c r="K50" s="4" t="str">
        <f>HYPERLINK("http://141.218.60.56/~jnz1568/getInfo.php?workbook=18_16.xlsx&amp;sheet=E0&amp;row=50&amp;col=11&amp;number=207175.6&amp;sourceID=48","207175.6")</f>
        <v>207175.6</v>
      </c>
    </row>
    <row r="51" spans="1:11">
      <c r="A51" s="3">
        <v>18</v>
      </c>
      <c r="B51" s="3">
        <v>16</v>
      </c>
      <c r="C51" s="3">
        <f/>
        <v>0</v>
      </c>
      <c r="D51" s="3" t="s">
        <v>37</v>
      </c>
      <c r="E51" s="3" t="s">
        <v>18</v>
      </c>
      <c r="F51" s="3">
        <v>3</v>
      </c>
      <c r="G51" s="3">
        <v>1</v>
      </c>
      <c r="H51" s="3">
        <v>1</v>
      </c>
      <c r="I51" s="3">
        <v>1</v>
      </c>
      <c r="J51" s="4" t="str">
        <f>HYPERLINK("http://141.218.60.56/~jnz1568/getInfo.php?workbook=18_16.xlsx&amp;sheet=E0&amp;row=51&amp;col=10&amp;number=207532.33&amp;sourceID=2","207532.33")</f>
        <v>207532.33</v>
      </c>
      <c r="K51" s="4" t="str">
        <f>HYPERLINK("http://141.218.60.56/~jnz1568/getInfo.php?workbook=18_16.xlsx&amp;sheet=E0&amp;row=51&amp;col=11&amp;number=207343.6&amp;sourceID=48","207343.6")</f>
        <v>207343.6</v>
      </c>
    </row>
    <row r="52" spans="1:11">
      <c r="A52" s="3">
        <v>18</v>
      </c>
      <c r="B52" s="3">
        <v>16</v>
      </c>
      <c r="C52" s="3">
        <f/>
        <v>0</v>
      </c>
      <c r="D52" s="3" t="s">
        <v>37</v>
      </c>
      <c r="E52" s="3" t="s">
        <v>18</v>
      </c>
      <c r="F52" s="3">
        <v>3</v>
      </c>
      <c r="G52" s="3">
        <v>1</v>
      </c>
      <c r="H52" s="3">
        <v>1</v>
      </c>
      <c r="I52" s="3">
        <v>0</v>
      </c>
      <c r="J52" s="4" t="str">
        <f>HYPERLINK("http://141.218.60.56/~jnz1568/getInfo.php?workbook=18_16.xlsx&amp;sheet=E0&amp;row=52&amp;col=10&amp;number=207674.192&amp;sourceID=2","207674.192")</f>
        <v>207674.192</v>
      </c>
      <c r="K52" s="4" t="str">
        <f>HYPERLINK("http://141.218.60.56/~jnz1568/getInfo.php?workbook=18_16.xlsx&amp;sheet=E0&amp;row=52&amp;col=11&amp;number=207383.9&amp;sourceID=48","207383.9")</f>
        <v>207383.9</v>
      </c>
    </row>
    <row r="53" spans="1:11">
      <c r="A53" s="3">
        <v>18</v>
      </c>
      <c r="B53" s="3">
        <v>16</v>
      </c>
      <c r="C53" s="3">
        <f/>
        <v>0</v>
      </c>
      <c r="D53" s="3" t="s">
        <v>35</v>
      </c>
      <c r="E53" s="3" t="s">
        <v>14</v>
      </c>
      <c r="F53" s="3">
        <v>3</v>
      </c>
      <c r="G53" s="3">
        <v>1</v>
      </c>
      <c r="H53" s="3">
        <v>0</v>
      </c>
      <c r="I53" s="3">
        <v>1</v>
      </c>
      <c r="J53" s="4" t="str">
        <f>HYPERLINK("http://141.218.60.56/~jnz1568/getInfo.php?workbook=18_16.xlsx&amp;sheet=E0&amp;row=53&amp;col=10&amp;number=209126.1544&amp;sourceID=2","209126.1544")</f>
        <v>209126.1544</v>
      </c>
      <c r="K53" s="4" t="str">
        <f>HYPERLINK("http://141.218.60.56/~jnz1568/getInfo.php?workbook=18_16.xlsx&amp;sheet=E0&amp;row=53&amp;col=11&amp;number=208046.4&amp;sourceID=48","208046.4")</f>
        <v>208046.4</v>
      </c>
    </row>
    <row r="54" spans="1:11">
      <c r="A54" s="3">
        <v>18</v>
      </c>
      <c r="B54" s="3">
        <v>16</v>
      </c>
      <c r="C54" s="3">
        <f/>
        <v>0</v>
      </c>
      <c r="D54" s="3" t="s">
        <v>35</v>
      </c>
      <c r="E54" s="3" t="s">
        <v>14</v>
      </c>
      <c r="F54" s="3">
        <v>3</v>
      </c>
      <c r="G54" s="3">
        <v>1</v>
      </c>
      <c r="H54" s="3">
        <v>0</v>
      </c>
      <c r="I54" s="3">
        <v>2</v>
      </c>
      <c r="J54" s="4" t="str">
        <f>HYPERLINK("http://141.218.60.56/~jnz1568/getInfo.php?workbook=18_16.xlsx&amp;sheet=E0&amp;row=54&amp;col=10&amp;number=209150.8807&amp;sourceID=2","209150.8807")</f>
        <v>209150.8807</v>
      </c>
      <c r="K54" s="4" t="str">
        <f>HYPERLINK("http://141.218.60.56/~jnz1568/getInfo.php?workbook=18_16.xlsx&amp;sheet=E0&amp;row=54&amp;col=11&amp;number=208068.7&amp;sourceID=48","208068.7")</f>
        <v>208068.7</v>
      </c>
    </row>
    <row r="55" spans="1:11">
      <c r="A55" s="3">
        <v>18</v>
      </c>
      <c r="B55" s="3">
        <v>16</v>
      </c>
      <c r="C55" s="3">
        <f/>
        <v>0</v>
      </c>
      <c r="D55" s="3" t="s">
        <v>35</v>
      </c>
      <c r="E55" s="3" t="s">
        <v>14</v>
      </c>
      <c r="F55" s="3">
        <v>3</v>
      </c>
      <c r="G55" s="3">
        <v>1</v>
      </c>
      <c r="H55" s="3">
        <v>0</v>
      </c>
      <c r="I55" s="3">
        <v>0</v>
      </c>
      <c r="J55" s="4" t="str">
        <f>HYPERLINK("http://141.218.60.56/~jnz1568/getInfo.php?workbook=18_16.xlsx&amp;sheet=E0&amp;row=55&amp;col=10&amp;number=209165.6077&amp;sourceID=2","209165.6077")</f>
        <v>209165.6077</v>
      </c>
      <c r="K55" s="4" t="str">
        <f>HYPERLINK("http://141.218.60.56/~jnz1568/getInfo.php?workbook=18_16.xlsx&amp;sheet=E0&amp;row=55&amp;col=11&amp;number=208091.2&amp;sourceID=48","208091.2")</f>
        <v>208091.2</v>
      </c>
    </row>
    <row r="56" spans="1:11">
      <c r="A56" s="3">
        <v>18</v>
      </c>
      <c r="B56" s="3">
        <v>16</v>
      </c>
      <c r="C56" s="3">
        <f/>
        <v>0</v>
      </c>
      <c r="D56" s="3" t="s">
        <v>30</v>
      </c>
      <c r="E56" s="3" t="s">
        <v>22</v>
      </c>
      <c r="F56" s="3">
        <v>3</v>
      </c>
      <c r="G56" s="3">
        <v>2</v>
      </c>
      <c r="H56" s="3">
        <v>1</v>
      </c>
      <c r="I56" s="3">
        <v>3</v>
      </c>
      <c r="J56" s="4" t="str">
        <f>HYPERLINK("http://141.218.60.56/~jnz1568/getInfo.php?workbook=18_16.xlsx&amp;sheet=E0&amp;row=56&amp;col=10&amp;number=210212.72&amp;sourceID=2","210212.72")</f>
        <v>210212.72</v>
      </c>
      <c r="K56" s="4" t="str">
        <f>HYPERLINK("http://141.218.60.56/~jnz1568/getInfo.php?workbook=18_16.xlsx&amp;sheet=E0&amp;row=56&amp;col=11&amp;number=212818.6&amp;sourceID=48","212818.6")</f>
        <v>212818.6</v>
      </c>
    </row>
    <row r="57" spans="1:11">
      <c r="A57" s="3">
        <v>18</v>
      </c>
      <c r="B57" s="3">
        <v>16</v>
      </c>
      <c r="C57" s="3">
        <f/>
        <v>0</v>
      </c>
      <c r="D57" s="3" t="s">
        <v>30</v>
      </c>
      <c r="E57" s="3" t="s">
        <v>22</v>
      </c>
      <c r="F57" s="3">
        <v>3</v>
      </c>
      <c r="G57" s="3">
        <v>2</v>
      </c>
      <c r="H57" s="3">
        <v>1</v>
      </c>
      <c r="I57" s="3">
        <v>2</v>
      </c>
      <c r="J57" s="4" t="str">
        <f>HYPERLINK("http://141.218.60.56/~jnz1568/getInfo.php?workbook=18_16.xlsx&amp;sheet=E0&amp;row=57&amp;col=10&amp;number=211005.56&amp;sourceID=2","211005.56")</f>
        <v>211005.56</v>
      </c>
      <c r="K57" s="4" t="str">
        <f>HYPERLINK("http://141.218.60.56/~jnz1568/getInfo.php?workbook=18_16.xlsx&amp;sheet=E0&amp;row=57&amp;col=11&amp;number=213490.8&amp;sourceID=48","213490.8")</f>
        <v>213490.8</v>
      </c>
    </row>
    <row r="58" spans="1:11">
      <c r="A58" s="3">
        <v>18</v>
      </c>
      <c r="B58" s="3">
        <v>16</v>
      </c>
      <c r="C58" s="3">
        <f/>
        <v>0</v>
      </c>
      <c r="D58" s="3" t="s">
        <v>37</v>
      </c>
      <c r="E58" s="3" t="s">
        <v>19</v>
      </c>
      <c r="F58" s="3">
        <v>1</v>
      </c>
      <c r="G58" s="3">
        <v>1</v>
      </c>
      <c r="H58" s="3">
        <v>1</v>
      </c>
      <c r="I58" s="3">
        <v>1</v>
      </c>
      <c r="J58" s="4" t="str">
        <f>HYPERLINK("http://141.218.60.56/~jnz1568/getInfo.php?workbook=18_16.xlsx&amp;sheet=E0&amp;row=58&amp;col=10&amp;number=211063.76&amp;sourceID=2","211063.76")</f>
        <v>211063.76</v>
      </c>
      <c r="K58" s="4" t="str">
        <f>HYPERLINK("http://141.218.60.56/~jnz1568/getInfo.php?workbook=18_16.xlsx&amp;sheet=E0&amp;row=58&amp;col=11&amp;number=210775.7&amp;sourceID=48","210775.7")</f>
        <v>210775.7</v>
      </c>
    </row>
    <row r="59" spans="1:11">
      <c r="A59" s="3">
        <v>18</v>
      </c>
      <c r="B59" s="3">
        <v>16</v>
      </c>
      <c r="C59" s="3">
        <f/>
        <v>0</v>
      </c>
      <c r="D59" s="3" t="s">
        <v>30</v>
      </c>
      <c r="E59" s="3" t="s">
        <v>22</v>
      </c>
      <c r="F59" s="3">
        <v>3</v>
      </c>
      <c r="G59" s="3">
        <v>2</v>
      </c>
      <c r="H59" s="3">
        <v>1</v>
      </c>
      <c r="I59" s="3">
        <v>1</v>
      </c>
      <c r="J59" s="4" t="str">
        <f>HYPERLINK("http://141.218.60.56/~jnz1568/getInfo.php?workbook=18_16.xlsx&amp;sheet=E0&amp;row=59&amp;col=10&amp;number=211565.03&amp;sourceID=2","211565.03")</f>
        <v>211565.03</v>
      </c>
      <c r="K59" s="4" t="str">
        <f>HYPERLINK("http://141.218.60.56/~jnz1568/getInfo.php?workbook=18_16.xlsx&amp;sheet=E0&amp;row=59&amp;col=11&amp;number=213944.1&amp;sourceID=48","213944.1")</f>
        <v>213944.1</v>
      </c>
    </row>
    <row r="60" spans="1:11">
      <c r="A60" s="3">
        <v>18</v>
      </c>
      <c r="B60" s="3">
        <v>16</v>
      </c>
      <c r="C60" s="3">
        <f/>
        <v>0</v>
      </c>
      <c r="D60" s="3" t="s">
        <v>23</v>
      </c>
      <c r="E60" s="3" t="s">
        <v>18</v>
      </c>
      <c r="F60" s="3">
        <v>3</v>
      </c>
      <c r="G60" s="3">
        <v>1</v>
      </c>
      <c r="H60" s="3">
        <v>1</v>
      </c>
      <c r="I60" s="3">
        <v>2</v>
      </c>
      <c r="J60" s="4" t="str">
        <f>HYPERLINK("http://141.218.60.56/~jnz1568/getInfo.php?workbook=18_16.xlsx&amp;sheet=E0&amp;row=60&amp;col=10&amp;number=213951.7743&amp;sourceID=2","213951.7743")</f>
        <v>213951.7743</v>
      </c>
      <c r="K60" s="4" t="str">
        <f>HYPERLINK("http://141.218.60.56/~jnz1568/getInfo.php?workbook=18_16.xlsx&amp;sheet=E0&amp;row=60&amp;col=11&amp;number=216178.5&amp;sourceID=48","216178.5")</f>
        <v>216178.5</v>
      </c>
    </row>
    <row r="61" spans="1:11">
      <c r="A61" s="3">
        <v>18</v>
      </c>
      <c r="B61" s="3">
        <v>16</v>
      </c>
      <c r="C61" s="3">
        <f/>
        <v>0</v>
      </c>
      <c r="D61" s="3" t="s">
        <v>23</v>
      </c>
      <c r="E61" s="3" t="s">
        <v>18</v>
      </c>
      <c r="F61" s="3">
        <v>3</v>
      </c>
      <c r="G61" s="3">
        <v>1</v>
      </c>
      <c r="H61" s="3">
        <v>1</v>
      </c>
      <c r="I61" s="3">
        <v>1</v>
      </c>
      <c r="J61" s="4" t="str">
        <f>HYPERLINK("http://141.218.60.56/~jnz1568/getInfo.php?workbook=18_16.xlsx&amp;sheet=E0&amp;row=61&amp;col=10&amp;number=214347.599&amp;sourceID=2","214347.599")</f>
        <v>214347.599</v>
      </c>
      <c r="K61" s="4" t="str">
        <f>HYPERLINK("http://141.218.60.56/~jnz1568/getInfo.php?workbook=18_16.xlsx&amp;sheet=E0&amp;row=61&amp;col=11&amp;number=215663.4&amp;sourceID=48","215663.4")</f>
        <v>215663.4</v>
      </c>
    </row>
    <row r="62" spans="1:11">
      <c r="A62" s="3">
        <v>18</v>
      </c>
      <c r="B62" s="3">
        <v>16</v>
      </c>
      <c r="C62" s="3">
        <f/>
        <v>0</v>
      </c>
      <c r="D62" s="3" t="s">
        <v>23</v>
      </c>
      <c r="E62" s="3" t="s">
        <v>18</v>
      </c>
      <c r="F62" s="3">
        <v>3</v>
      </c>
      <c r="G62" s="3">
        <v>1</v>
      </c>
      <c r="H62" s="3">
        <v>1</v>
      </c>
      <c r="I62" s="3">
        <v>0</v>
      </c>
      <c r="J62" s="4" t="str">
        <f>HYPERLINK("http://141.218.60.56/~jnz1568/getInfo.php?workbook=18_16.xlsx&amp;sheet=E0&amp;row=62&amp;col=10&amp;number=214569.5&amp;sourceID=2","214569.5")</f>
        <v>214569.5</v>
      </c>
      <c r="K62" s="4" t="str">
        <f>HYPERLINK("http://141.218.60.56/~jnz1568/getInfo.php?workbook=18_16.xlsx&amp;sheet=E0&amp;row=62&amp;col=11&amp;number=216896.3&amp;sourceID=48","216896.3")</f>
        <v>216896.3</v>
      </c>
    </row>
    <row r="63" spans="1:11">
      <c r="A63" s="3">
        <v>18</v>
      </c>
      <c r="B63" s="3">
        <v>16</v>
      </c>
      <c r="C63" s="3">
        <f/>
        <v>0</v>
      </c>
      <c r="D63" s="3" t="s">
        <v>23</v>
      </c>
      <c r="E63" s="3" t="s">
        <v>31</v>
      </c>
      <c r="F63" s="3">
        <v>1</v>
      </c>
      <c r="G63" s="3">
        <v>2</v>
      </c>
      <c r="H63" s="3">
        <v>1</v>
      </c>
      <c r="I63" s="3">
        <v>2</v>
      </c>
      <c r="J63" s="4" t="str">
        <f>HYPERLINK("http://141.218.60.56/~jnz1568/getInfo.php?workbook=18_16.xlsx&amp;sheet=E0&amp;row=63&amp;col=10&amp;number=219337.54&amp;sourceID=2","219337.54")</f>
        <v>219337.54</v>
      </c>
      <c r="K63" s="4" t="str">
        <f>HYPERLINK("http://141.218.60.56/~jnz1568/getInfo.php?workbook=18_16.xlsx&amp;sheet=E0&amp;row=63&amp;col=11&amp;number=222663.2&amp;sourceID=48","222663.2")</f>
        <v>222663.2</v>
      </c>
    </row>
    <row r="64" spans="1:11">
      <c r="A64" s="3">
        <v>18</v>
      </c>
      <c r="B64" s="3">
        <v>16</v>
      </c>
      <c r="C64" s="3">
        <f/>
        <v>0</v>
      </c>
      <c r="D64" s="3" t="s">
        <v>23</v>
      </c>
      <c r="E64" s="3" t="s">
        <v>19</v>
      </c>
      <c r="F64" s="3">
        <v>1</v>
      </c>
      <c r="G64" s="3">
        <v>1</v>
      </c>
      <c r="H64" s="3">
        <v>1</v>
      </c>
      <c r="I64" s="3">
        <v>1</v>
      </c>
      <c r="J64" s="4" t="str">
        <f>HYPERLINK("http://141.218.60.56/~jnz1568/getInfo.php?workbook=18_16.xlsx&amp;sheet=E0&amp;row=64&amp;col=10&amp;number=219908.474&amp;sourceID=2","219908.474")</f>
        <v>219908.474</v>
      </c>
      <c r="K64" s="4" t="str">
        <f>HYPERLINK("http://141.218.60.56/~jnz1568/getInfo.php?workbook=18_16.xlsx&amp;sheet=E0&amp;row=64&amp;col=11&amp;number=222043.5&amp;sourceID=48","222043.5")</f>
        <v>222043.5</v>
      </c>
    </row>
    <row r="65" spans="1:11">
      <c r="A65" s="3">
        <v>18</v>
      </c>
      <c r="B65" s="3">
        <v>16</v>
      </c>
      <c r="C65" s="3">
        <f/>
        <v>0</v>
      </c>
      <c r="D65" s="3" t="s">
        <v>38</v>
      </c>
      <c r="E65" s="3" t="s">
        <v>39</v>
      </c>
      <c r="F65" s="3">
        <v>1</v>
      </c>
      <c r="G65" s="3">
        <v>1</v>
      </c>
      <c r="H65" s="3">
        <v>0</v>
      </c>
      <c r="I65" s="3">
        <v>1</v>
      </c>
      <c r="J65" s="4" t="str">
        <f>HYPERLINK("http://141.218.60.56/~jnz1568/getInfo.php?workbook=18_16.xlsx&amp;sheet=E0&amp;row=65&amp;col=10&amp;number=223663.16&amp;sourceID=2","223663.16")</f>
        <v>223663.16</v>
      </c>
      <c r="K65" s="4" t="str">
        <f>HYPERLINK("http://141.218.60.56/~jnz1568/getInfo.php?workbook=18_16.xlsx&amp;sheet=E0&amp;row=65&amp;col=11&amp;number=223339.5&amp;sourceID=48","223339.5")</f>
        <v>223339.5</v>
      </c>
    </row>
    <row r="66" spans="1:11">
      <c r="A66" s="3">
        <v>18</v>
      </c>
      <c r="B66" s="3">
        <v>16</v>
      </c>
      <c r="C66" s="3">
        <f/>
        <v>0</v>
      </c>
      <c r="D66" s="3" t="s">
        <v>23</v>
      </c>
      <c r="E66" s="3" t="s">
        <v>34</v>
      </c>
      <c r="F66" s="3">
        <v>1</v>
      </c>
      <c r="G66" s="3">
        <v>3</v>
      </c>
      <c r="H66" s="3">
        <v>1</v>
      </c>
      <c r="I66" s="3">
        <v>3</v>
      </c>
      <c r="J66" s="4" t="str">
        <f>HYPERLINK("http://141.218.60.56/~jnz1568/getInfo.php?workbook=18_16.xlsx&amp;sheet=E0&amp;row=66&amp;col=10&amp;number=224334.09&amp;sourceID=2","224334.09")</f>
        <v>224334.09</v>
      </c>
      <c r="K66" s="4" t="str">
        <f>HYPERLINK("http://141.218.60.56/~jnz1568/getInfo.php?workbook=18_16.xlsx&amp;sheet=E0&amp;row=66&amp;col=11&amp;number=228535.6&amp;sourceID=48","228535.6")</f>
        <v>228535.6</v>
      </c>
    </row>
    <row r="67" spans="1:11">
      <c r="A67" s="3">
        <v>18</v>
      </c>
      <c r="B67" s="3">
        <v>16</v>
      </c>
      <c r="C67" s="3">
        <f/>
        <v>0</v>
      </c>
      <c r="D67" s="3" t="s">
        <v>38</v>
      </c>
      <c r="E67" s="3" t="s">
        <v>40</v>
      </c>
      <c r="F67" s="3">
        <v>3</v>
      </c>
      <c r="G67" s="3">
        <v>2</v>
      </c>
      <c r="H67" s="3">
        <v>0</v>
      </c>
      <c r="I67" s="3">
        <v>2</v>
      </c>
      <c r="J67" s="4" t="str">
        <f>HYPERLINK("http://141.218.60.56/~jnz1568/getInfo.php?workbook=18_16.xlsx&amp;sheet=E0&amp;row=67&amp;col=10&amp;number=225149.2072&amp;sourceID=2","225149.2072")</f>
        <v>225149.2072</v>
      </c>
      <c r="K67" s="4" t="str">
        <f>HYPERLINK("http://141.218.60.56/~jnz1568/getInfo.php?workbook=18_16.xlsx&amp;sheet=E0&amp;row=67&amp;col=11&amp;number=224826.3&amp;sourceID=48","224826.3")</f>
        <v>224826.3</v>
      </c>
    </row>
    <row r="68" spans="1:11">
      <c r="A68" s="3">
        <v>18</v>
      </c>
      <c r="B68" s="3">
        <v>16</v>
      </c>
      <c r="C68" s="3">
        <f/>
        <v>0</v>
      </c>
      <c r="D68" s="3" t="s">
        <v>38</v>
      </c>
      <c r="E68" s="3" t="s">
        <v>40</v>
      </c>
      <c r="F68" s="3">
        <v>3</v>
      </c>
      <c r="G68" s="3">
        <v>2</v>
      </c>
      <c r="H68" s="3">
        <v>0</v>
      </c>
      <c r="I68" s="3">
        <v>1</v>
      </c>
      <c r="J68" s="4" t="str">
        <f>HYPERLINK("http://141.218.60.56/~jnz1568/getInfo.php?workbook=18_16.xlsx&amp;sheet=E0&amp;row=68&amp;col=10&amp;number=225156.5915&amp;sourceID=2","225156.5915")</f>
        <v>225156.5915</v>
      </c>
      <c r="K68" s="4" t="str">
        <f>HYPERLINK("http://141.218.60.56/~jnz1568/getInfo.php?workbook=18_16.xlsx&amp;sheet=E0&amp;row=68&amp;col=11&amp;number=224817.5&amp;sourceID=48","224817.5")</f>
        <v>224817.5</v>
      </c>
    </row>
    <row r="69" spans="1:11">
      <c r="A69" s="3">
        <v>18</v>
      </c>
      <c r="B69" s="3">
        <v>16</v>
      </c>
      <c r="C69" s="3">
        <f>C68+1</f>
        <v>0</v>
      </c>
      <c r="D69" s="3" t="s">
        <v>38</v>
      </c>
      <c r="E69" s="3" t="s">
        <v>40</v>
      </c>
      <c r="F69" s="3">
        <v>3</v>
      </c>
      <c r="G69" s="3">
        <v>2</v>
      </c>
      <c r="H69" s="3">
        <v>0</v>
      </c>
      <c r="I69" s="3">
        <v>3</v>
      </c>
      <c r="J69" s="4" t="str">
        <f>HYPERLINK("http://141.218.60.56/~jnz1568/getInfo.php?workbook=18_16.xlsx&amp;sheet=E0&amp;row=69&amp;col=10&amp;number=225404.112&amp;sourceID=2","225404.112")</f>
        <v>225404.112</v>
      </c>
      <c r="K69" s="4" t="str">
        <f>HYPERLINK("http://141.218.60.56/~jnz1568/getInfo.php?workbook=18_16.xlsx&amp;sheet=E0&amp;row=69&amp;col=11&amp;number=225060.4&amp;sourceID=48","225060.4")</f>
        <v>225060.4</v>
      </c>
    </row>
    <row r="70" spans="1:11">
      <c r="A70" s="3">
        <v>18</v>
      </c>
      <c r="B70" s="3">
        <v>16</v>
      </c>
      <c r="C70" s="3">
        <f/>
        <v>0</v>
      </c>
      <c r="D70" s="3" t="s">
        <v>38</v>
      </c>
      <c r="E70" s="3" t="s">
        <v>41</v>
      </c>
      <c r="F70" s="3">
        <v>3</v>
      </c>
      <c r="G70" s="3">
        <v>3</v>
      </c>
      <c r="H70" s="3">
        <v>0</v>
      </c>
      <c r="I70" s="3">
        <v>2</v>
      </c>
      <c r="J70" s="4" t="str">
        <f>HYPERLINK("http://141.218.60.56/~jnz1568/getInfo.php?workbook=18_16.xlsx&amp;sheet=E0&amp;row=70&amp;col=10&amp;number=226357.0086&amp;sourceID=2","226357.0086")</f>
        <v>226357.0086</v>
      </c>
      <c r="K70" s="4" t="str">
        <f>HYPERLINK("http://141.218.60.56/~jnz1568/getInfo.php?workbook=18_16.xlsx&amp;sheet=E0&amp;row=70&amp;col=11&amp;number=226165.9&amp;sourceID=48","226165.9")</f>
        <v>226165.9</v>
      </c>
    </row>
    <row r="71" spans="1:11">
      <c r="A71" s="3">
        <v>18</v>
      </c>
      <c r="B71" s="3">
        <v>16</v>
      </c>
      <c r="C71" s="3">
        <f/>
        <v>0</v>
      </c>
      <c r="D71" s="3" t="s">
        <v>38</v>
      </c>
      <c r="E71" s="3" t="s">
        <v>41</v>
      </c>
      <c r="F71" s="3">
        <v>3</v>
      </c>
      <c r="G71" s="3">
        <v>3</v>
      </c>
      <c r="H71" s="3">
        <v>0</v>
      </c>
      <c r="I71" s="3">
        <v>3</v>
      </c>
      <c r="J71" s="4" t="str">
        <f>HYPERLINK("http://141.218.60.56/~jnz1568/getInfo.php?workbook=18_16.xlsx&amp;sheet=E0&amp;row=71&amp;col=10&amp;number=226504.1601&amp;sourceID=2","226504.1601")</f>
        <v>226504.1601</v>
      </c>
      <c r="K71" s="4" t="str">
        <f>HYPERLINK("http://141.218.60.56/~jnz1568/getInfo.php?workbook=18_16.xlsx&amp;sheet=E0&amp;row=71&amp;col=11&amp;number=226298.4&amp;sourceID=48","226298.4")</f>
        <v>226298.4</v>
      </c>
    </row>
    <row r="72" spans="1:11">
      <c r="A72" s="3">
        <v>18</v>
      </c>
      <c r="B72" s="3">
        <v>16</v>
      </c>
      <c r="C72" s="3">
        <f/>
        <v>0</v>
      </c>
      <c r="D72" s="3" t="s">
        <v>38</v>
      </c>
      <c r="E72" s="3" t="s">
        <v>41</v>
      </c>
      <c r="F72" s="3">
        <v>3</v>
      </c>
      <c r="G72" s="3">
        <v>3</v>
      </c>
      <c r="H72" s="3">
        <v>0</v>
      </c>
      <c r="I72" s="3">
        <v>4</v>
      </c>
      <c r="J72" s="4" t="str">
        <f>HYPERLINK("http://141.218.60.56/~jnz1568/getInfo.php?workbook=18_16.xlsx&amp;sheet=E0&amp;row=72&amp;col=10&amp;number=226646.6786&amp;sourceID=2","226646.6786")</f>
        <v>226646.6786</v>
      </c>
      <c r="K72" s="4" t="str">
        <f>HYPERLINK("http://141.218.60.56/~jnz1568/getInfo.php?workbook=18_16.xlsx&amp;sheet=E0&amp;row=72&amp;col=11&amp;number=226436.5&amp;sourceID=48","226436.5")</f>
        <v>226436.5</v>
      </c>
    </row>
    <row r="73" spans="1:11">
      <c r="A73" s="3">
        <v>18</v>
      </c>
      <c r="B73" s="3">
        <v>16</v>
      </c>
      <c r="C73" s="3">
        <f/>
        <v>0</v>
      </c>
      <c r="D73" s="3" t="s">
        <v>38</v>
      </c>
      <c r="E73" s="3" t="s">
        <v>42</v>
      </c>
      <c r="F73" s="3">
        <v>1</v>
      </c>
      <c r="G73" s="3">
        <v>3</v>
      </c>
      <c r="H73" s="3">
        <v>0</v>
      </c>
      <c r="I73" s="3">
        <v>3</v>
      </c>
      <c r="J73" s="4" t="str">
        <f>HYPERLINK("http://141.218.60.56/~jnz1568/getInfo.php?workbook=18_16.xlsx&amp;sheet=E0&amp;row=73&amp;col=10&amp;number=227244.1715&amp;sourceID=2","227244.1715")</f>
        <v>227244.1715</v>
      </c>
      <c r="K73" s="4" t="str">
        <f>HYPERLINK("http://141.218.60.56/~jnz1568/getInfo.php?workbook=18_16.xlsx&amp;sheet=E0&amp;row=73&amp;col=11&amp;number=227081.1&amp;sourceID=48","227081.1")</f>
        <v>227081.1</v>
      </c>
    </row>
    <row r="74" spans="1:11">
      <c r="A74" s="3">
        <v>18</v>
      </c>
      <c r="B74" s="3">
        <v>16</v>
      </c>
      <c r="C74" s="3">
        <f/>
        <v>0</v>
      </c>
      <c r="D74" s="3" t="s">
        <v>38</v>
      </c>
      <c r="E74" s="3" t="s">
        <v>14</v>
      </c>
      <c r="F74" s="3">
        <v>3</v>
      </c>
      <c r="G74" s="3">
        <v>1</v>
      </c>
      <c r="H74" s="3">
        <v>0</v>
      </c>
      <c r="I74" s="3">
        <v>2</v>
      </c>
      <c r="J74" s="4" t="str">
        <f>HYPERLINK("http://141.218.60.56/~jnz1568/getInfo.php?workbook=18_16.xlsx&amp;sheet=E0&amp;row=74&amp;col=10&amp;number=231342.1658&amp;sourceID=2","231342.1658")</f>
        <v>231342.1658</v>
      </c>
      <c r="K74" s="4" t="str">
        <f>HYPERLINK("http://141.218.60.56/~jnz1568/getInfo.php?workbook=18_16.xlsx&amp;sheet=E0&amp;row=74&amp;col=11&amp;number=231222.3&amp;sourceID=48","231222.3")</f>
        <v>231222.3</v>
      </c>
    </row>
    <row r="75" spans="1:11">
      <c r="A75" s="3">
        <v>18</v>
      </c>
      <c r="B75" s="3">
        <v>16</v>
      </c>
      <c r="C75" s="3">
        <f/>
        <v>0</v>
      </c>
      <c r="D75" s="3" t="s">
        <v>38</v>
      </c>
      <c r="E75" s="3" t="s">
        <v>14</v>
      </c>
      <c r="F75" s="3">
        <v>3</v>
      </c>
      <c r="G75" s="3">
        <v>1</v>
      </c>
      <c r="H75" s="3">
        <v>0</v>
      </c>
      <c r="I75" s="3">
        <v>1</v>
      </c>
      <c r="J75" s="4" t="str">
        <f>HYPERLINK("http://141.218.60.56/~jnz1568/getInfo.php?workbook=18_16.xlsx&amp;sheet=E0&amp;row=75&amp;col=10&amp;number=231627.364&amp;sourceID=2","231627.364")</f>
        <v>231627.364</v>
      </c>
      <c r="K75" s="4" t="str">
        <f>HYPERLINK("http://141.218.60.56/~jnz1568/getInfo.php?workbook=18_16.xlsx&amp;sheet=E0&amp;row=75&amp;col=11&amp;number=231484.5&amp;sourceID=48","231484.5")</f>
        <v>231484.5</v>
      </c>
    </row>
    <row r="76" spans="1:11">
      <c r="A76" s="3">
        <v>18</v>
      </c>
      <c r="B76" s="3">
        <v>16</v>
      </c>
      <c r="C76" s="3">
        <f/>
        <v>0</v>
      </c>
      <c r="D76" s="3" t="s">
        <v>38</v>
      </c>
      <c r="E76" s="3" t="s">
        <v>14</v>
      </c>
      <c r="F76" s="3">
        <v>3</v>
      </c>
      <c r="G76" s="3">
        <v>1</v>
      </c>
      <c r="H76" s="3">
        <v>0</v>
      </c>
      <c r="I76" s="3">
        <v>0</v>
      </c>
      <c r="J76" s="4" t="str">
        <f>HYPERLINK("http://141.218.60.56/~jnz1568/getInfo.php?workbook=18_16.xlsx&amp;sheet=E0&amp;row=76&amp;col=10&amp;number=231754.836&amp;sourceID=2","231754.836")</f>
        <v>231754.836</v>
      </c>
      <c r="K76" s="4" t="str">
        <f>HYPERLINK("http://141.218.60.56/~jnz1568/getInfo.php?workbook=18_16.xlsx&amp;sheet=E0&amp;row=76&amp;col=11&amp;number=231681.5&amp;sourceID=48","231681.5")</f>
        <v>231681.5</v>
      </c>
    </row>
    <row r="77" spans="1:11">
      <c r="A77" s="3">
        <v>18</v>
      </c>
      <c r="B77" s="3">
        <v>16</v>
      </c>
      <c r="C77" s="3">
        <f/>
        <v>0</v>
      </c>
      <c r="D77" s="3" t="s">
        <v>38</v>
      </c>
      <c r="E77" s="3" t="s">
        <v>15</v>
      </c>
      <c r="F77" s="3">
        <v>1</v>
      </c>
      <c r="G77" s="3">
        <v>2</v>
      </c>
      <c r="H77" s="3">
        <v>0</v>
      </c>
      <c r="I77" s="3">
        <v>2</v>
      </c>
      <c r="J77" s="4" t="str">
        <f>HYPERLINK("http://141.218.60.56/~jnz1568/getInfo.php?workbook=18_16.xlsx&amp;sheet=E0&amp;row=77&amp;col=10&amp;number=236064.6283&amp;sourceID=2","236064.6283")</f>
        <v>236064.6283</v>
      </c>
      <c r="K77" s="4" t="str">
        <f>HYPERLINK("http://141.218.60.56/~jnz1568/getInfo.php?workbook=18_16.xlsx&amp;sheet=E0&amp;row=77&amp;col=11&amp;number=236092.6&amp;sourceID=48","236092.6")</f>
        <v>236092.6</v>
      </c>
    </row>
    <row r="78" spans="1:11">
      <c r="A78" s="3">
        <v>18</v>
      </c>
      <c r="B78" s="3">
        <v>16</v>
      </c>
      <c r="C78" s="3">
        <f/>
        <v>0</v>
      </c>
      <c r="D78" s="3" t="s">
        <v>30</v>
      </c>
      <c r="E78" s="3" t="s">
        <v>19</v>
      </c>
      <c r="F78" s="3">
        <v>1</v>
      </c>
      <c r="G78" s="3">
        <v>1</v>
      </c>
      <c r="H78" s="3">
        <v>1</v>
      </c>
      <c r="I78" s="3">
        <v>1</v>
      </c>
      <c r="J78" s="4" t="str">
        <f>HYPERLINK("http://141.218.60.56/~jnz1568/getInfo.php?workbook=18_16.xlsx&amp;sheet=E0&amp;row=78&amp;col=10&amp;number=237252&amp;sourceID=2","237252")</f>
        <v>237252</v>
      </c>
      <c r="K78" s="4" t="str">
        <f>HYPERLINK("http://141.218.60.56/~jnz1568/getInfo.php?workbook=18_16.xlsx&amp;sheet=E0&amp;row=78&amp;col=11&amp;number=240053.3&amp;sourceID=48","240053.3")</f>
        <v>240053.3</v>
      </c>
    </row>
    <row r="79" spans="1:11">
      <c r="A79" s="3">
        <v>18</v>
      </c>
      <c r="B79" s="3">
        <v>16</v>
      </c>
      <c r="C79" s="3">
        <f/>
        <v>0</v>
      </c>
      <c r="D79" s="3" t="s">
        <v>43</v>
      </c>
      <c r="E79" s="3" t="s">
        <v>44</v>
      </c>
      <c r="F79" s="3">
        <v>3</v>
      </c>
      <c r="G79" s="3">
        <v>0</v>
      </c>
      <c r="H79" s="3">
        <v>0</v>
      </c>
      <c r="I79" s="3">
        <v>1</v>
      </c>
      <c r="J79" s="4" t="str">
        <f>HYPERLINK("http://141.218.60.56/~jnz1568/getInfo.php?workbook=18_16.xlsx&amp;sheet=E0&amp;row=79&amp;col=10&amp;number=239194.033&amp;sourceID=2","239194.033")</f>
        <v>239194.033</v>
      </c>
      <c r="K79" s="4" t="str">
        <f>HYPERLINK("http://141.218.60.56/~jnz1568/getInfo.php?workbook=18_16.xlsx&amp;sheet=E0&amp;row=79&amp;col=11&amp;number=238665.6&amp;sourceID=48","238665.6")</f>
        <v>238665.6</v>
      </c>
    </row>
    <row r="80" spans="1:11">
      <c r="A80" s="3">
        <v>18</v>
      </c>
      <c r="B80" s="3">
        <v>16</v>
      </c>
      <c r="C80" s="3">
        <f/>
        <v>0</v>
      </c>
      <c r="D80" s="3" t="s">
        <v>43</v>
      </c>
      <c r="E80" s="3" t="s">
        <v>40</v>
      </c>
      <c r="F80" s="3">
        <v>3</v>
      </c>
      <c r="G80" s="3">
        <v>2</v>
      </c>
      <c r="H80" s="3">
        <v>0</v>
      </c>
      <c r="I80" s="3">
        <v>1</v>
      </c>
      <c r="J80" s="4" t="str">
        <f>HYPERLINK("http://141.218.60.56/~jnz1568/getInfo.php?workbook=18_16.xlsx&amp;sheet=E0&amp;row=80&amp;col=10&amp;number=240151.99&amp;sourceID=2","240151.99")</f>
        <v>240151.99</v>
      </c>
      <c r="K80" s="4" t="str">
        <f>HYPERLINK("http://141.218.60.56/~jnz1568/getInfo.php?workbook=18_16.xlsx&amp;sheet=E0&amp;row=80&amp;col=11&amp;number=239692.7&amp;sourceID=48","239692.7")</f>
        <v>239692.7</v>
      </c>
    </row>
    <row r="81" spans="1:11">
      <c r="A81" s="3">
        <v>18</v>
      </c>
      <c r="B81" s="3">
        <v>16</v>
      </c>
      <c r="C81" s="3">
        <f/>
        <v>0</v>
      </c>
      <c r="D81" s="3" t="s">
        <v>43</v>
      </c>
      <c r="E81" s="3" t="s">
        <v>40</v>
      </c>
      <c r="F81" s="3">
        <v>3</v>
      </c>
      <c r="G81" s="3">
        <v>2</v>
      </c>
      <c r="H81" s="3">
        <v>0</v>
      </c>
      <c r="I81" s="3">
        <v>2</v>
      </c>
      <c r="J81" s="4" t="str">
        <f>HYPERLINK("http://141.218.60.56/~jnz1568/getInfo.php?workbook=18_16.xlsx&amp;sheet=E0&amp;row=81&amp;col=10&amp;number=240258.453&amp;sourceID=2","240258.453")</f>
        <v>240258.453</v>
      </c>
      <c r="K81" s="4" t="str">
        <f>HYPERLINK("http://141.218.60.56/~jnz1568/getInfo.php?workbook=18_16.xlsx&amp;sheet=E0&amp;row=81&amp;col=11&amp;number=239779.6&amp;sourceID=48","239779.6")</f>
        <v>239779.6</v>
      </c>
    </row>
    <row r="82" spans="1:11">
      <c r="A82" s="3">
        <v>18</v>
      </c>
      <c r="B82" s="3">
        <v>16</v>
      </c>
      <c r="C82" s="3">
        <f/>
        <v>0</v>
      </c>
      <c r="D82" s="3" t="s">
        <v>43</v>
      </c>
      <c r="E82" s="3" t="s">
        <v>40</v>
      </c>
      <c r="F82" s="3">
        <v>3</v>
      </c>
      <c r="G82" s="3">
        <v>2</v>
      </c>
      <c r="H82" s="3">
        <v>0</v>
      </c>
      <c r="I82" s="3">
        <v>3</v>
      </c>
      <c r="J82" s="4" t="str">
        <f>HYPERLINK("http://141.218.60.56/~jnz1568/getInfo.php?workbook=18_16.xlsx&amp;sheet=E0&amp;row=82&amp;col=10&amp;number=240292.3714&amp;sourceID=2","240292.3714")</f>
        <v>240292.3714</v>
      </c>
      <c r="K82" s="4" t="str">
        <f>HYPERLINK("http://141.218.60.56/~jnz1568/getInfo.php?workbook=18_16.xlsx&amp;sheet=E0&amp;row=82&amp;col=11&amp;number=239789.8&amp;sourceID=48","239789.8")</f>
        <v>239789.8</v>
      </c>
    </row>
    <row r="83" spans="1:11">
      <c r="A83" s="3">
        <v>18</v>
      </c>
      <c r="B83" s="3">
        <v>16</v>
      </c>
      <c r="C83" s="3">
        <f/>
        <v>0</v>
      </c>
      <c r="D83" s="3" t="s">
        <v>43</v>
      </c>
      <c r="E83" s="3" t="s">
        <v>39</v>
      </c>
      <c r="F83" s="3">
        <v>1</v>
      </c>
      <c r="G83" s="3">
        <v>1</v>
      </c>
      <c r="H83" s="3">
        <v>0</v>
      </c>
      <c r="I83" s="3">
        <v>1</v>
      </c>
      <c r="J83" s="4" t="str">
        <f>HYPERLINK("http://141.218.60.56/~jnz1568/getInfo.php?workbook=18_16.xlsx&amp;sheet=E0&amp;row=83&amp;col=10&amp;number=241807.155&amp;sourceID=2","241807.155")</f>
        <v>241807.155</v>
      </c>
      <c r="K83" s="4" t="str">
        <f>HYPERLINK("http://141.218.60.56/~jnz1568/getInfo.php?workbook=18_16.xlsx&amp;sheet=E0&amp;row=83&amp;col=11&amp;number=241358.2&amp;sourceID=48","241358.2")</f>
        <v>241358.2</v>
      </c>
    </row>
    <row r="84" spans="1:11">
      <c r="A84" s="3">
        <v>18</v>
      </c>
      <c r="B84" s="3">
        <v>16</v>
      </c>
      <c r="C84" s="3">
        <f/>
        <v>0</v>
      </c>
      <c r="D84" s="3" t="s">
        <v>43</v>
      </c>
      <c r="E84" s="3" t="s">
        <v>14</v>
      </c>
      <c r="F84" s="3">
        <v>3</v>
      </c>
      <c r="G84" s="3">
        <v>1</v>
      </c>
      <c r="H84" s="3">
        <v>0</v>
      </c>
      <c r="I84" s="3">
        <v>0</v>
      </c>
      <c r="J84" s="4" t="str">
        <f>HYPERLINK("http://141.218.60.56/~jnz1568/getInfo.php?workbook=18_16.xlsx&amp;sheet=E0&amp;row=84&amp;col=10&amp;number=242924.58&amp;sourceID=2","242924.58")</f>
        <v>242924.58</v>
      </c>
      <c r="K84" s="4" t="str">
        <f>HYPERLINK("http://141.218.60.56/~jnz1568/getInfo.php?workbook=18_16.xlsx&amp;sheet=E0&amp;row=84&amp;col=11&amp;number=242513.3&amp;sourceID=48","242513.3")</f>
        <v>242513.3</v>
      </c>
    </row>
    <row r="85" spans="1:11">
      <c r="A85" s="3">
        <v>18</v>
      </c>
      <c r="B85" s="3">
        <v>16</v>
      </c>
      <c r="C85" s="3">
        <f/>
        <v>0</v>
      </c>
      <c r="D85" s="3" t="s">
        <v>43</v>
      </c>
      <c r="E85" s="3" t="s">
        <v>14</v>
      </c>
      <c r="F85" s="3">
        <v>3</v>
      </c>
      <c r="G85" s="3">
        <v>1</v>
      </c>
      <c r="H85" s="3">
        <v>0</v>
      </c>
      <c r="I85" s="3">
        <v>1</v>
      </c>
      <c r="J85" s="4" t="str">
        <f>HYPERLINK("http://141.218.60.56/~jnz1568/getInfo.php?workbook=18_16.xlsx&amp;sheet=E0&amp;row=85&amp;col=10&amp;number=243147.063&amp;sourceID=2","243147.063")</f>
        <v>243147.063</v>
      </c>
      <c r="K85" s="4" t="str">
        <f>HYPERLINK("http://141.218.60.56/~jnz1568/getInfo.php?workbook=18_16.xlsx&amp;sheet=E0&amp;row=85&amp;col=11&amp;number=242691.2&amp;sourceID=48","242691.2")</f>
        <v>242691.2</v>
      </c>
    </row>
    <row r="86" spans="1:11">
      <c r="A86" s="3">
        <v>18</v>
      </c>
      <c r="B86" s="3">
        <v>16</v>
      </c>
      <c r="C86" s="3">
        <f/>
        <v>0</v>
      </c>
      <c r="D86" s="3" t="s">
        <v>43</v>
      </c>
      <c r="E86" s="3" t="s">
        <v>14</v>
      </c>
      <c r="F86" s="3">
        <v>3</v>
      </c>
      <c r="G86" s="3">
        <v>1</v>
      </c>
      <c r="H86" s="3">
        <v>0</v>
      </c>
      <c r="I86" s="3">
        <v>2</v>
      </c>
      <c r="J86" s="4" t="str">
        <f>HYPERLINK("http://141.218.60.56/~jnz1568/getInfo.php?workbook=18_16.xlsx&amp;sheet=E0&amp;row=86&amp;col=10&amp;number=243425.7974&amp;sourceID=2","243425.7974")</f>
        <v>243425.7974</v>
      </c>
      <c r="K86" s="4" t="str">
        <f>HYPERLINK("http://141.218.60.56/~jnz1568/getInfo.php?workbook=18_16.xlsx&amp;sheet=E0&amp;row=86&amp;col=11&amp;number=242930.8&amp;sourceID=48","242930.8")</f>
        <v>242930.8</v>
      </c>
    </row>
    <row r="87" spans="1:11">
      <c r="A87" s="3">
        <v>18</v>
      </c>
      <c r="B87" s="3">
        <v>16</v>
      </c>
      <c r="C87" s="3">
        <f/>
        <v>0</v>
      </c>
      <c r="D87" s="3" t="s">
        <v>43</v>
      </c>
      <c r="E87" s="3" t="s">
        <v>15</v>
      </c>
      <c r="F87" s="3">
        <v>1</v>
      </c>
      <c r="G87" s="3">
        <v>2</v>
      </c>
      <c r="H87" s="3">
        <v>0</v>
      </c>
      <c r="I87" s="3">
        <v>2</v>
      </c>
      <c r="J87" s="4" t="str">
        <f>HYPERLINK("http://141.218.60.56/~jnz1568/getInfo.php?workbook=18_16.xlsx&amp;sheet=E0&amp;row=87&amp;col=10&amp;number=244358.081&amp;sourceID=2","244358.081")</f>
        <v>244358.081</v>
      </c>
      <c r="K87" s="4" t="str">
        <f>HYPERLINK("http://141.218.60.56/~jnz1568/getInfo.php?workbook=18_16.xlsx&amp;sheet=E0&amp;row=87&amp;col=11&amp;number=244097.4&amp;sourceID=48","244097.4")</f>
        <v>244097.4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46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5.7109375" customWidth="1"/>
    <col min="6" max="6" width="12.7109375" customWidth="1"/>
    <col min="7" max="7" width="10.7109375" customWidth="1"/>
    <col min="8" max="8" width="10.7109375" customWidth="1"/>
  </cols>
  <sheetData>
    <row r="1" spans="1:8">
      <c r="A1" s="1" t="s">
        <v>45</v>
      </c>
      <c r="B1" s="1"/>
      <c r="C1" s="1"/>
      <c r="D1" s="1"/>
      <c r="E1" s="1"/>
      <c r="F1" s="1"/>
      <c r="G1" s="1"/>
      <c r="H1" s="1"/>
    </row>
    <row r="2" spans="1:8">
      <c r="A2" s="2"/>
      <c r="B2" s="2"/>
      <c r="C2" s="2"/>
      <c r="D2" s="2"/>
      <c r="E2" s="2"/>
      <c r="F2" s="2" t="s">
        <v>2</v>
      </c>
      <c r="G2" s="2" t="s">
        <v>46</v>
      </c>
      <c r="H2" s="2" t="s">
        <v>46</v>
      </c>
    </row>
    <row r="3" spans="1:8">
      <c r="A3" s="2" t="s">
        <v>3</v>
      </c>
      <c r="B3" s="2" t="s">
        <v>4</v>
      </c>
      <c r="C3" s="2" t="s">
        <v>47</v>
      </c>
      <c r="D3" s="2" t="s">
        <v>5</v>
      </c>
      <c r="E3" s="2" t="s">
        <v>48</v>
      </c>
      <c r="F3" s="2" t="s">
        <v>49</v>
      </c>
      <c r="G3" s="2" t="s">
        <v>50</v>
      </c>
      <c r="H3" s="2" t="s">
        <v>51</v>
      </c>
    </row>
    <row r="4" spans="1:8">
      <c r="A4" s="3">
        <v>18</v>
      </c>
      <c r="B4" s="3">
        <v>16</v>
      </c>
      <c r="C4" s="3">
        <v>2</v>
      </c>
      <c r="D4" s="3">
        <v>1</v>
      </c>
      <c r="E4" s="3">
        <f>((1/(INDEX(E0!J$4:J$87,C4,1)-INDEX(E0!J$4:J$87,D4,1))))*100000000</f>
        <v>0</v>
      </c>
      <c r="F4" s="4" t="str">
        <f>HYPERLINK("http://141.218.60.56/~jnz1568/getInfo.php?workbook=18_16.xlsx&amp;sheet=A0&amp;row=4&amp;col=6&amp;number=&amp;sourceID=48","")</f>
        <v/>
      </c>
      <c r="G4" s="4" t="str">
        <f>HYPERLINK("http://141.218.60.56/~jnz1568/getInfo.php?workbook=18_16.xlsx&amp;sheet=A0&amp;row=4&amp;col=7&amp;number=3.13e-07&amp;sourceID=49","3.13e-07")</f>
        <v>3.13e-07</v>
      </c>
      <c r="H4" s="4" t="str">
        <f>HYPERLINK("http://141.218.60.56/~jnz1568/getInfo.php?workbook=18_16.xlsx&amp;sheet=A0&amp;row=4&amp;col=8&amp;number=0.0308&amp;sourceID=49","0.0308")</f>
        <v>0.0308</v>
      </c>
    </row>
    <row r="5" spans="1:8">
      <c r="A5" s="3">
        <v>18</v>
      </c>
      <c r="B5" s="3">
        <v>16</v>
      </c>
      <c r="C5" s="3">
        <v>3</v>
      </c>
      <c r="D5" s="3">
        <v>1</v>
      </c>
      <c r="E5" s="3">
        <f>((1/(INDEX(E0!J$4:J$87,C5,1)-INDEX(E0!J$4:J$87,D5,1))))*100000000</f>
        <v>0</v>
      </c>
      <c r="F5" s="4" t="str">
        <f>HYPERLINK("http://141.218.60.56/~jnz1568/getInfo.php?workbook=18_16.xlsx&amp;sheet=A0&amp;row=5&amp;col=6&amp;number=&amp;sourceID=48","")</f>
        <v/>
      </c>
      <c r="G5" s="4" t="str">
        <f>HYPERLINK("http://141.218.60.56/~jnz1568/getInfo.php?workbook=18_16.xlsx&amp;sheet=A0&amp;row=5&amp;col=7&amp;number=2.37e-06&amp;sourceID=49","2.37e-06")</f>
        <v>2.37e-06</v>
      </c>
      <c r="H5" s="4" t="str">
        <f>HYPERLINK("http://141.218.60.56/~jnz1568/getInfo.php?workbook=18_16.xlsx&amp;sheet=A0&amp;row=5&amp;col=8&amp;number=&amp;sourceID=49","")</f>
        <v/>
      </c>
    </row>
    <row r="6" spans="1:8">
      <c r="A6" s="3">
        <v>18</v>
      </c>
      <c r="B6" s="3">
        <v>16</v>
      </c>
      <c r="C6" s="3">
        <v>3</v>
      </c>
      <c r="D6" s="3">
        <v>2</v>
      </c>
      <c r="E6" s="3">
        <f>((1/(INDEX(E0!J$4:J$87,C6,1)-INDEX(E0!J$4:J$87,D6,1))))*100000000</f>
        <v>0</v>
      </c>
      <c r="F6" s="4" t="str">
        <f>HYPERLINK("http://141.218.60.56/~jnz1568/getInfo.php?workbook=18_16.xlsx&amp;sheet=A0&amp;row=6&amp;col=6&amp;number=&amp;sourceID=48","")</f>
        <v/>
      </c>
      <c r="G6" s="4" t="str">
        <f>HYPERLINK("http://141.218.60.56/~jnz1568/getInfo.php?workbook=18_16.xlsx&amp;sheet=A0&amp;row=6&amp;col=7&amp;number=&amp;sourceID=49","")</f>
        <v/>
      </c>
      <c r="H6" s="4" t="str">
        <f>HYPERLINK("http://141.218.60.56/~jnz1568/getInfo.php?workbook=18_16.xlsx&amp;sheet=A0&amp;row=6&amp;col=8&amp;number=0.00517&amp;sourceID=49","0.00517")</f>
        <v>0.00517</v>
      </c>
    </row>
    <row r="7" spans="1:8">
      <c r="A7" s="3">
        <v>18</v>
      </c>
      <c r="B7" s="3">
        <v>16</v>
      </c>
      <c r="C7" s="3">
        <v>4</v>
      </c>
      <c r="D7" s="3">
        <v>1</v>
      </c>
      <c r="E7" s="3">
        <f>((1/(INDEX(E0!J$4:J$87,C7,1)-INDEX(E0!J$4:J$87,D7,1))))*100000000</f>
        <v>0</v>
      </c>
      <c r="F7" s="4" t="str">
        <f>HYPERLINK("http://141.218.60.56/~jnz1568/getInfo.php?workbook=18_16.xlsx&amp;sheet=A0&amp;row=7&amp;col=6&amp;number=&amp;sourceID=48","")</f>
        <v/>
      </c>
      <c r="G7" s="4" t="str">
        <f>HYPERLINK("http://141.218.60.56/~jnz1568/getInfo.php?workbook=18_16.xlsx&amp;sheet=A0&amp;row=7&amp;col=7&amp;number=0.00114&amp;sourceID=49","0.00114")</f>
        <v>0.00114</v>
      </c>
      <c r="H7" s="4" t="str">
        <f>HYPERLINK("http://141.218.60.56/~jnz1568/getInfo.php?workbook=18_16.xlsx&amp;sheet=A0&amp;row=7&amp;col=8&amp;number=0.313&amp;sourceID=49","0.313")</f>
        <v>0.313</v>
      </c>
    </row>
    <row r="8" spans="1:8">
      <c r="A8" s="3">
        <v>18</v>
      </c>
      <c r="B8" s="3">
        <v>16</v>
      </c>
      <c r="C8" s="3">
        <v>4</v>
      </c>
      <c r="D8" s="3">
        <v>2</v>
      </c>
      <c r="E8" s="3">
        <f>((1/(INDEX(E0!J$4:J$87,C8,1)-INDEX(E0!J$4:J$87,D8,1))))*100000000</f>
        <v>0</v>
      </c>
      <c r="F8" s="4" t="str">
        <f>HYPERLINK("http://141.218.60.56/~jnz1568/getInfo.php?workbook=18_16.xlsx&amp;sheet=A0&amp;row=8&amp;col=6&amp;number=&amp;sourceID=48","")</f>
        <v/>
      </c>
      <c r="G8" s="4" t="str">
        <f>HYPERLINK("http://141.218.60.56/~jnz1568/getInfo.php?workbook=18_16.xlsx&amp;sheet=A0&amp;row=8&amp;col=7&amp;number=0.000114&amp;sourceID=49","0.000114")</f>
        <v>0.000114</v>
      </c>
      <c r="H8" s="4" t="str">
        <f>HYPERLINK("http://141.218.60.56/~jnz1568/getInfo.php?workbook=18_16.xlsx&amp;sheet=A0&amp;row=8&amp;col=8&amp;number=0.0822&amp;sourceID=49","0.0822")</f>
        <v>0.0822</v>
      </c>
    </row>
    <row r="9" spans="1:8">
      <c r="A9" s="3">
        <v>18</v>
      </c>
      <c r="B9" s="3">
        <v>16</v>
      </c>
      <c r="C9" s="3">
        <v>4</v>
      </c>
      <c r="D9" s="3">
        <v>3</v>
      </c>
      <c r="E9" s="3">
        <f>((1/(INDEX(E0!J$4:J$87,C9,1)-INDEX(E0!J$4:J$87,D9,1))))*100000000</f>
        <v>0</v>
      </c>
      <c r="F9" s="4" t="str">
        <f>HYPERLINK("http://141.218.60.56/~jnz1568/getInfo.php?workbook=18_16.xlsx&amp;sheet=A0&amp;row=9&amp;col=6&amp;number=&amp;sourceID=48","")</f>
        <v/>
      </c>
      <c r="G9" s="4" t="str">
        <f>HYPERLINK("http://141.218.60.56/~jnz1568/getInfo.php?workbook=18_16.xlsx&amp;sheet=A0&amp;row=9&amp;col=7&amp;number=2.21e-05&amp;sourceID=49","2.21e-05")</f>
        <v>2.21e-05</v>
      </c>
      <c r="H9" s="4" t="str">
        <f>HYPERLINK("http://141.218.60.56/~jnz1568/getInfo.php?workbook=18_16.xlsx&amp;sheet=A0&amp;row=9&amp;col=8&amp;number=&amp;sourceID=49","")</f>
        <v/>
      </c>
    </row>
    <row r="10" spans="1:8">
      <c r="A10" s="3">
        <v>18</v>
      </c>
      <c r="B10" s="3">
        <v>16</v>
      </c>
      <c r="C10" s="3">
        <v>5</v>
      </c>
      <c r="D10" s="3">
        <v>1</v>
      </c>
      <c r="E10" s="3">
        <f>((1/(INDEX(E0!J$4:J$87,C10,1)-INDEX(E0!J$4:J$87,D10,1))))*100000000</f>
        <v>0</v>
      </c>
      <c r="F10" s="4" t="str">
        <f>HYPERLINK("http://141.218.60.56/~jnz1568/getInfo.php?workbook=18_16.xlsx&amp;sheet=A0&amp;row=10&amp;col=6&amp;number=&amp;sourceID=48","")</f>
        <v/>
      </c>
      <c r="G10" s="4" t="str">
        <f>HYPERLINK("http://141.218.60.56/~jnz1568/getInfo.php?workbook=18_16.xlsx&amp;sheet=A0&amp;row=10&amp;col=7&amp;number=0.0417&amp;sourceID=49","0.0417")</f>
        <v>0.0417</v>
      </c>
      <c r="H10" s="4" t="str">
        <f>HYPERLINK("http://141.218.60.56/~jnz1568/getInfo.php?workbook=18_16.xlsx&amp;sheet=A0&amp;row=10&amp;col=8&amp;number=&amp;sourceID=49","")</f>
        <v/>
      </c>
    </row>
    <row r="11" spans="1:8">
      <c r="A11" s="3">
        <v>18</v>
      </c>
      <c r="B11" s="3">
        <v>16</v>
      </c>
      <c r="C11" s="3">
        <v>5</v>
      </c>
      <c r="D11" s="3">
        <v>2</v>
      </c>
      <c r="E11" s="3">
        <f>((1/(INDEX(E0!J$4:J$87,C11,1)-INDEX(E0!J$4:J$87,D11,1))))*100000000</f>
        <v>0</v>
      </c>
      <c r="F11" s="4" t="str">
        <f>HYPERLINK("http://141.218.60.56/~jnz1568/getInfo.php?workbook=18_16.xlsx&amp;sheet=A0&amp;row=11&amp;col=6&amp;number=&amp;sourceID=48","")</f>
        <v/>
      </c>
      <c r="G11" s="4" t="str">
        <f>HYPERLINK("http://141.218.60.56/~jnz1568/getInfo.php?workbook=18_16.xlsx&amp;sheet=A0&amp;row=11&amp;col=7&amp;number=&amp;sourceID=49","")</f>
        <v/>
      </c>
      <c r="H11" s="4" t="str">
        <f>HYPERLINK("http://141.218.60.56/~jnz1568/getInfo.php?workbook=18_16.xlsx&amp;sheet=A0&amp;row=11&amp;col=8&amp;number=3.91&amp;sourceID=49","3.91")</f>
        <v>3.91</v>
      </c>
    </row>
    <row r="12" spans="1:8">
      <c r="A12" s="3">
        <v>18</v>
      </c>
      <c r="B12" s="3">
        <v>16</v>
      </c>
      <c r="C12" s="3">
        <v>5</v>
      </c>
      <c r="D12" s="3">
        <v>4</v>
      </c>
      <c r="E12" s="3">
        <f>((1/(INDEX(E0!J$4:J$87,C12,1)-INDEX(E0!J$4:J$87,D12,1))))*100000000</f>
        <v>0</v>
      </c>
      <c r="F12" s="4" t="str">
        <f>HYPERLINK("http://141.218.60.56/~jnz1568/getInfo.php?workbook=18_16.xlsx&amp;sheet=A0&amp;row=12&amp;col=6&amp;number=&amp;sourceID=48","")</f>
        <v/>
      </c>
      <c r="G12" s="4" t="str">
        <f>HYPERLINK("http://141.218.60.56/~jnz1568/getInfo.php?workbook=18_16.xlsx&amp;sheet=A0&amp;row=12&amp;col=7&amp;number=2.59&amp;sourceID=49","2.59")</f>
        <v>2.59</v>
      </c>
      <c r="H12" s="4" t="str">
        <f>HYPERLINK("http://141.218.60.56/~jnz1568/getInfo.php?workbook=18_16.xlsx&amp;sheet=A0&amp;row=12&amp;col=8&amp;number=&amp;sourceID=49","")</f>
        <v/>
      </c>
    </row>
    <row r="13" spans="1:8">
      <c r="A13" s="3">
        <v>18</v>
      </c>
      <c r="B13" s="3">
        <v>16</v>
      </c>
      <c r="C13" s="3">
        <v>6</v>
      </c>
      <c r="D13" s="3">
        <v>1</v>
      </c>
      <c r="E13" s="3">
        <f>((1/(INDEX(E0!J$4:J$87,C13,1)-INDEX(E0!J$4:J$87,D13,1))))*100000000</f>
        <v>0</v>
      </c>
      <c r="F13" s="4" t="str">
        <f>HYPERLINK("http://141.218.60.56/~jnz1568/getInfo.php?workbook=18_16.xlsx&amp;sheet=A0&amp;row=13&amp;col=6&amp;number=236580000&amp;sourceID=48","236580000")</f>
        <v>236580000</v>
      </c>
      <c r="G13" s="4" t="str">
        <f>HYPERLINK("http://141.218.60.56/~jnz1568/getInfo.php?workbook=18_16.xlsx&amp;sheet=A0&amp;row=13&amp;col=7&amp;number=&amp;sourceID=49","")</f>
        <v/>
      </c>
      <c r="H13" s="4" t="str">
        <f>HYPERLINK("http://141.218.60.56/~jnz1568/getInfo.php?workbook=18_16.xlsx&amp;sheet=A0&amp;row=13&amp;col=8&amp;number=&amp;sourceID=49","")</f>
        <v/>
      </c>
    </row>
    <row r="14" spans="1:8">
      <c r="A14" s="3">
        <v>18</v>
      </c>
      <c r="B14" s="3">
        <v>16</v>
      </c>
      <c r="C14" s="3">
        <v>6</v>
      </c>
      <c r="D14" s="3">
        <v>2</v>
      </c>
      <c r="E14" s="3">
        <f>((1/(INDEX(E0!J$4:J$87,C14,1)-INDEX(E0!J$4:J$87,D14,1))))*100000000</f>
        <v>0</v>
      </c>
      <c r="F14" s="4" t="str">
        <f>HYPERLINK("http://141.218.60.56/~jnz1568/getInfo.php?workbook=18_16.xlsx&amp;sheet=A0&amp;row=14&amp;col=6&amp;number=76717000&amp;sourceID=48","76717000")</f>
        <v>76717000</v>
      </c>
      <c r="G14" s="4" t="str">
        <f>HYPERLINK("http://141.218.60.56/~jnz1568/getInfo.php?workbook=18_16.xlsx&amp;sheet=A0&amp;row=14&amp;col=7&amp;number=&amp;sourceID=49","")</f>
        <v/>
      </c>
      <c r="H14" s="4" t="str">
        <f>HYPERLINK("http://141.218.60.56/~jnz1568/getInfo.php?workbook=18_16.xlsx&amp;sheet=A0&amp;row=14&amp;col=8&amp;number=&amp;sourceID=49","")</f>
        <v/>
      </c>
    </row>
    <row r="15" spans="1:8">
      <c r="A15" s="3">
        <v>18</v>
      </c>
      <c r="B15" s="3">
        <v>16</v>
      </c>
      <c r="C15" s="3">
        <v>6</v>
      </c>
      <c r="D15" s="3">
        <v>4</v>
      </c>
      <c r="E15" s="3">
        <f>((1/(INDEX(E0!J$4:J$87,C15,1)-INDEX(E0!J$4:J$87,D15,1))))*100000000</f>
        <v>0</v>
      </c>
      <c r="F15" s="4" t="str">
        <f>HYPERLINK("http://141.218.60.56/~jnz1568/getInfo.php?workbook=18_16.xlsx&amp;sheet=A0&amp;row=15&amp;col=6&amp;number=345480&amp;sourceID=48","345480")</f>
        <v>345480</v>
      </c>
      <c r="G15" s="4" t="str">
        <f>HYPERLINK("http://141.218.60.56/~jnz1568/getInfo.php?workbook=18_16.xlsx&amp;sheet=A0&amp;row=15&amp;col=7&amp;number=&amp;sourceID=49","")</f>
        <v/>
      </c>
      <c r="H15" s="4" t="str">
        <f>HYPERLINK("http://141.218.60.56/~jnz1568/getInfo.php?workbook=18_16.xlsx&amp;sheet=A0&amp;row=15&amp;col=8&amp;number=&amp;sourceID=49","")</f>
        <v/>
      </c>
    </row>
    <row r="16" spans="1:8">
      <c r="A16" s="3">
        <v>18</v>
      </c>
      <c r="B16" s="3">
        <v>16</v>
      </c>
      <c r="C16" s="3">
        <v>7</v>
      </c>
      <c r="D16" s="3">
        <v>1</v>
      </c>
      <c r="E16" s="3">
        <f>((1/(INDEX(E0!J$4:J$87,C16,1)-INDEX(E0!J$4:J$87,D16,1))))*100000000</f>
        <v>0</v>
      </c>
      <c r="F16" s="4" t="str">
        <f>HYPERLINK("http://141.218.60.56/~jnz1568/getInfo.php?workbook=18_16.xlsx&amp;sheet=A0&amp;row=16&amp;col=6&amp;number=131240000&amp;sourceID=48","131240000")</f>
        <v>131240000</v>
      </c>
      <c r="G16" s="4" t="str">
        <f>HYPERLINK("http://141.218.60.56/~jnz1568/getInfo.php?workbook=18_16.xlsx&amp;sheet=A0&amp;row=16&amp;col=7&amp;number=&amp;sourceID=49","")</f>
        <v/>
      </c>
      <c r="H16" s="4" t="str">
        <f>HYPERLINK("http://141.218.60.56/~jnz1568/getInfo.php?workbook=18_16.xlsx&amp;sheet=A0&amp;row=16&amp;col=8&amp;number=&amp;sourceID=49","")</f>
        <v/>
      </c>
    </row>
    <row r="17" spans="1:8">
      <c r="A17" s="3">
        <v>18</v>
      </c>
      <c r="B17" s="3">
        <v>16</v>
      </c>
      <c r="C17" s="3">
        <v>7</v>
      </c>
      <c r="D17" s="3">
        <v>2</v>
      </c>
      <c r="E17" s="3">
        <f>((1/(INDEX(E0!J$4:J$87,C17,1)-INDEX(E0!J$4:J$87,D17,1))))*100000000</f>
        <v>0</v>
      </c>
      <c r="F17" s="4" t="str">
        <f>HYPERLINK("http://141.218.60.56/~jnz1568/getInfo.php?workbook=18_16.xlsx&amp;sheet=A0&amp;row=17&amp;col=6&amp;number=77630000&amp;sourceID=48","77630000")</f>
        <v>77630000</v>
      </c>
      <c r="G17" s="4" t="str">
        <f>HYPERLINK("http://141.218.60.56/~jnz1568/getInfo.php?workbook=18_16.xlsx&amp;sheet=A0&amp;row=17&amp;col=7&amp;number=&amp;sourceID=49","")</f>
        <v/>
      </c>
      <c r="H17" s="4" t="str">
        <f>HYPERLINK("http://141.218.60.56/~jnz1568/getInfo.php?workbook=18_16.xlsx&amp;sheet=A0&amp;row=17&amp;col=8&amp;number=&amp;sourceID=49","")</f>
        <v/>
      </c>
    </row>
    <row r="18" spans="1:8">
      <c r="A18" s="3">
        <v>18</v>
      </c>
      <c r="B18" s="3">
        <v>16</v>
      </c>
      <c r="C18" s="3">
        <v>7</v>
      </c>
      <c r="D18" s="3">
        <v>3</v>
      </c>
      <c r="E18" s="3">
        <f>((1/(INDEX(E0!J$4:J$87,C18,1)-INDEX(E0!J$4:J$87,D18,1))))*100000000</f>
        <v>0</v>
      </c>
      <c r="F18" s="4" t="str">
        <f>HYPERLINK("http://141.218.60.56/~jnz1568/getInfo.php?workbook=18_16.xlsx&amp;sheet=A0&amp;row=18&amp;col=6&amp;number=102480000&amp;sourceID=48","102480000")</f>
        <v>102480000</v>
      </c>
      <c r="G18" s="4" t="str">
        <f>HYPERLINK("http://141.218.60.56/~jnz1568/getInfo.php?workbook=18_16.xlsx&amp;sheet=A0&amp;row=18&amp;col=7&amp;number=&amp;sourceID=49","")</f>
        <v/>
      </c>
      <c r="H18" s="4" t="str">
        <f>HYPERLINK("http://141.218.60.56/~jnz1568/getInfo.php?workbook=18_16.xlsx&amp;sheet=A0&amp;row=18&amp;col=8&amp;number=&amp;sourceID=49","")</f>
        <v/>
      </c>
    </row>
    <row r="19" spans="1:8">
      <c r="A19" s="3">
        <v>18</v>
      </c>
      <c r="B19" s="3">
        <v>16</v>
      </c>
      <c r="C19" s="3">
        <v>7</v>
      </c>
      <c r="D19" s="3">
        <v>4</v>
      </c>
      <c r="E19" s="3">
        <f>((1/(INDEX(E0!J$4:J$87,C19,1)-INDEX(E0!J$4:J$87,D19,1))))*100000000</f>
        <v>0</v>
      </c>
      <c r="F19" s="4" t="str">
        <f>HYPERLINK("http://141.218.60.56/~jnz1568/getInfo.php?workbook=18_16.xlsx&amp;sheet=A0&amp;row=19&amp;col=6&amp;number=7644.4&amp;sourceID=48","7644.4")</f>
        <v>7644.4</v>
      </c>
      <c r="G19" s="4" t="str">
        <f>HYPERLINK("http://141.218.60.56/~jnz1568/getInfo.php?workbook=18_16.xlsx&amp;sheet=A0&amp;row=19&amp;col=7&amp;number=&amp;sourceID=49","")</f>
        <v/>
      </c>
      <c r="H19" s="4" t="str">
        <f>HYPERLINK("http://141.218.60.56/~jnz1568/getInfo.php?workbook=18_16.xlsx&amp;sheet=A0&amp;row=19&amp;col=8&amp;number=&amp;sourceID=49","")</f>
        <v/>
      </c>
    </row>
    <row r="20" spans="1:8">
      <c r="A20" s="3">
        <v>18</v>
      </c>
      <c r="B20" s="3">
        <v>16</v>
      </c>
      <c r="C20" s="3">
        <v>7</v>
      </c>
      <c r="D20" s="3">
        <v>5</v>
      </c>
      <c r="E20" s="3">
        <f>((1/(INDEX(E0!J$4:J$87,C20,1)-INDEX(E0!J$4:J$87,D20,1))))*100000000</f>
        <v>0</v>
      </c>
      <c r="F20" s="4" t="str">
        <f>HYPERLINK("http://141.218.60.56/~jnz1568/getInfo.php?workbook=18_16.xlsx&amp;sheet=A0&amp;row=20&amp;col=6&amp;number=63494&amp;sourceID=48","63494")</f>
        <v>63494</v>
      </c>
      <c r="G20" s="4" t="str">
        <f>HYPERLINK("http://141.218.60.56/~jnz1568/getInfo.php?workbook=18_16.xlsx&amp;sheet=A0&amp;row=20&amp;col=7&amp;number=&amp;sourceID=49","")</f>
        <v/>
      </c>
      <c r="H20" s="4" t="str">
        <f>HYPERLINK("http://141.218.60.56/~jnz1568/getInfo.php?workbook=18_16.xlsx&amp;sheet=A0&amp;row=20&amp;col=8&amp;number=&amp;sourceID=49","")</f>
        <v/>
      </c>
    </row>
    <row r="21" spans="1:8">
      <c r="A21" s="3">
        <v>18</v>
      </c>
      <c r="B21" s="3">
        <v>16</v>
      </c>
      <c r="C21" s="3">
        <v>8</v>
      </c>
      <c r="D21" s="3">
        <v>2</v>
      </c>
      <c r="E21" s="3">
        <f>((1/(INDEX(E0!J$4:J$87,C21,1)-INDEX(E0!J$4:J$87,D21,1))))*100000000</f>
        <v>0</v>
      </c>
      <c r="F21" s="4" t="str">
        <f>HYPERLINK("http://141.218.60.56/~jnz1568/getInfo.php?workbook=18_16.xlsx&amp;sheet=A0&amp;row=21&amp;col=6&amp;number=315350000&amp;sourceID=48","315350000")</f>
        <v>315350000</v>
      </c>
      <c r="G21" s="4" t="str">
        <f>HYPERLINK("http://141.218.60.56/~jnz1568/getInfo.php?workbook=18_16.xlsx&amp;sheet=A0&amp;row=21&amp;col=7&amp;number=&amp;sourceID=49","")</f>
        <v/>
      </c>
      <c r="H21" s="4" t="str">
        <f>HYPERLINK("http://141.218.60.56/~jnz1568/getInfo.php?workbook=18_16.xlsx&amp;sheet=A0&amp;row=21&amp;col=8&amp;number=&amp;sourceID=49","")</f>
        <v/>
      </c>
    </row>
    <row r="22" spans="1:8">
      <c r="A22" s="3">
        <v>18</v>
      </c>
      <c r="B22" s="3">
        <v>16</v>
      </c>
      <c r="C22" s="3">
        <v>9</v>
      </c>
      <c r="D22" s="3">
        <v>1</v>
      </c>
      <c r="E22" s="3">
        <f>((1/(INDEX(E0!J$4:J$87,C22,1)-INDEX(E0!J$4:J$87,D22,1))))*100000000</f>
        <v>0</v>
      </c>
      <c r="F22" s="4" t="str">
        <f>HYPERLINK("http://141.218.60.56/~jnz1568/getInfo.php?workbook=18_16.xlsx&amp;sheet=A0&amp;row=22&amp;col=6&amp;number=1494000&amp;sourceID=48","1494000")</f>
        <v>1494000</v>
      </c>
      <c r="G22" s="4" t="str">
        <f>HYPERLINK("http://141.218.60.56/~jnz1568/getInfo.php?workbook=18_16.xlsx&amp;sheet=A0&amp;row=22&amp;col=7&amp;number=&amp;sourceID=49","")</f>
        <v/>
      </c>
      <c r="H22" s="4" t="str">
        <f>HYPERLINK("http://141.218.60.56/~jnz1568/getInfo.php?workbook=18_16.xlsx&amp;sheet=A0&amp;row=22&amp;col=8&amp;number=&amp;sourceID=49","")</f>
        <v/>
      </c>
    </row>
    <row r="23" spans="1:8">
      <c r="A23" s="3">
        <v>18</v>
      </c>
      <c r="B23" s="3">
        <v>16</v>
      </c>
      <c r="C23" s="3">
        <v>9</v>
      </c>
      <c r="D23" s="3">
        <v>2</v>
      </c>
      <c r="E23" s="3">
        <f>((1/(INDEX(E0!J$4:J$87,C23,1)-INDEX(E0!J$4:J$87,D23,1))))*100000000</f>
        <v>0</v>
      </c>
      <c r="F23" s="4" t="str">
        <f>HYPERLINK("http://141.218.60.56/~jnz1568/getInfo.php?workbook=18_16.xlsx&amp;sheet=A0&amp;row=23&amp;col=6&amp;number=79682&amp;sourceID=48","79682")</f>
        <v>79682</v>
      </c>
      <c r="G23" s="4" t="str">
        <f>HYPERLINK("http://141.218.60.56/~jnz1568/getInfo.php?workbook=18_16.xlsx&amp;sheet=A0&amp;row=23&amp;col=7&amp;number=&amp;sourceID=49","")</f>
        <v/>
      </c>
      <c r="H23" s="4" t="str">
        <f>HYPERLINK("http://141.218.60.56/~jnz1568/getInfo.php?workbook=18_16.xlsx&amp;sheet=A0&amp;row=23&amp;col=8&amp;number=&amp;sourceID=49","")</f>
        <v/>
      </c>
    </row>
    <row r="24" spans="1:8">
      <c r="A24" s="3">
        <v>18</v>
      </c>
      <c r="B24" s="3">
        <v>16</v>
      </c>
      <c r="C24" s="3">
        <v>9</v>
      </c>
      <c r="D24" s="3">
        <v>3</v>
      </c>
      <c r="E24" s="3">
        <f>((1/(INDEX(E0!J$4:J$87,C24,1)-INDEX(E0!J$4:J$87,D24,1))))*100000000</f>
        <v>0</v>
      </c>
      <c r="F24" s="4" t="str">
        <f>HYPERLINK("http://141.218.60.56/~jnz1568/getInfo.php?workbook=18_16.xlsx&amp;sheet=A0&amp;row=24&amp;col=6&amp;number=218840&amp;sourceID=48","218840")</f>
        <v>218840</v>
      </c>
      <c r="G24" s="4" t="str">
        <f>HYPERLINK("http://141.218.60.56/~jnz1568/getInfo.php?workbook=18_16.xlsx&amp;sheet=A0&amp;row=24&amp;col=7&amp;number=&amp;sourceID=49","")</f>
        <v/>
      </c>
      <c r="H24" s="4" t="str">
        <f>HYPERLINK("http://141.218.60.56/~jnz1568/getInfo.php?workbook=18_16.xlsx&amp;sheet=A0&amp;row=24&amp;col=8&amp;number=&amp;sourceID=49","")</f>
        <v/>
      </c>
    </row>
    <row r="25" spans="1:8">
      <c r="A25" s="3">
        <v>18</v>
      </c>
      <c r="B25" s="3">
        <v>16</v>
      </c>
      <c r="C25" s="3">
        <v>9</v>
      </c>
      <c r="D25" s="3">
        <v>4</v>
      </c>
      <c r="E25" s="3">
        <f>((1/(INDEX(E0!J$4:J$87,C25,1)-INDEX(E0!J$4:J$87,D25,1))))*100000000</f>
        <v>0</v>
      </c>
      <c r="F25" s="4" t="str">
        <f>HYPERLINK("http://141.218.60.56/~jnz1568/getInfo.php?workbook=18_16.xlsx&amp;sheet=A0&amp;row=25&amp;col=6&amp;number=637510000&amp;sourceID=48","637510000")</f>
        <v>637510000</v>
      </c>
      <c r="G25" s="4" t="str">
        <f>HYPERLINK("http://141.218.60.56/~jnz1568/getInfo.php?workbook=18_16.xlsx&amp;sheet=A0&amp;row=25&amp;col=7&amp;number=&amp;sourceID=49","")</f>
        <v/>
      </c>
      <c r="H25" s="4" t="str">
        <f>HYPERLINK("http://141.218.60.56/~jnz1568/getInfo.php?workbook=18_16.xlsx&amp;sheet=A0&amp;row=25&amp;col=8&amp;number=&amp;sourceID=49","")</f>
        <v/>
      </c>
    </row>
    <row r="26" spans="1:8">
      <c r="A26" s="3">
        <v>18</v>
      </c>
      <c r="B26" s="3">
        <v>16</v>
      </c>
      <c r="C26" s="3">
        <v>9</v>
      </c>
      <c r="D26" s="3">
        <v>5</v>
      </c>
      <c r="E26" s="3">
        <f>((1/(INDEX(E0!J$4:J$87,C26,1)-INDEX(E0!J$4:J$87,D26,1))))*100000000</f>
        <v>0</v>
      </c>
      <c r="F26" s="4" t="str">
        <f>HYPERLINK("http://141.218.60.56/~jnz1568/getInfo.php?workbook=18_16.xlsx&amp;sheet=A0&amp;row=26&amp;col=6&amp;number=66652&amp;sourceID=48","66652")</f>
        <v>66652</v>
      </c>
      <c r="G26" s="4" t="str">
        <f>HYPERLINK("http://141.218.60.56/~jnz1568/getInfo.php?workbook=18_16.xlsx&amp;sheet=A0&amp;row=26&amp;col=7&amp;number=&amp;sourceID=49","")</f>
        <v/>
      </c>
      <c r="H26" s="4" t="str">
        <f>HYPERLINK("http://141.218.60.56/~jnz1568/getInfo.php?workbook=18_16.xlsx&amp;sheet=A0&amp;row=26&amp;col=8&amp;number=&amp;sourceID=49","")</f>
        <v/>
      </c>
    </row>
    <row r="27" spans="1:8">
      <c r="A27" s="3">
        <v>18</v>
      </c>
      <c r="B27" s="3">
        <v>16</v>
      </c>
      <c r="C27" s="3">
        <v>10</v>
      </c>
      <c r="D27" s="3">
        <v>2</v>
      </c>
      <c r="E27" s="3"/>
      <c r="F27" s="4" t="str">
        <f>HYPERLINK("http://141.218.60.56/~jnz1568/getInfo.php?workbook=18_16.xlsx&amp;sheet=A0&amp;row=27&amp;col=6&amp;number=816870&amp;sourceID=48","816870")</f>
        <v>816870</v>
      </c>
      <c r="G27" s="4" t="str">
        <f>HYPERLINK("http://141.218.60.56/~jnz1568/getInfo.php?workbook=18_16.xlsx&amp;sheet=A0&amp;row=27&amp;col=7&amp;number=&amp;sourceID=49","")</f>
        <v/>
      </c>
      <c r="H27" s="4" t="str">
        <f>HYPERLINK("http://141.218.60.56/~jnz1568/getInfo.php?workbook=18_16.xlsx&amp;sheet=A0&amp;row=27&amp;col=8&amp;number=&amp;sourceID=49","")</f>
        <v/>
      </c>
    </row>
    <row r="28" spans="1:8">
      <c r="A28" s="3">
        <v>18</v>
      </c>
      <c r="B28" s="3">
        <v>16</v>
      </c>
      <c r="C28" s="3">
        <v>11</v>
      </c>
      <c r="D28" s="3">
        <v>1</v>
      </c>
      <c r="E28" s="3">
        <f>((1/(INDEX(E0!J$4:J$87,C28,1)-INDEX(E0!J$4:J$87,D28,1))))*100000000</f>
        <v>0</v>
      </c>
      <c r="F28" s="4" t="str">
        <f>HYPERLINK("http://141.218.60.56/~jnz1568/getInfo.php?workbook=18_16.xlsx&amp;sheet=A0&amp;row=28&amp;col=6&amp;number=340620&amp;sourceID=48","340620")</f>
        <v>340620</v>
      </c>
      <c r="G28" s="4" t="str">
        <f>HYPERLINK("http://141.218.60.56/~jnz1568/getInfo.php?workbook=18_16.xlsx&amp;sheet=A0&amp;row=28&amp;col=7&amp;number=&amp;sourceID=49","")</f>
        <v/>
      </c>
      <c r="H28" s="4" t="str">
        <f>HYPERLINK("http://141.218.60.56/~jnz1568/getInfo.php?workbook=18_16.xlsx&amp;sheet=A0&amp;row=28&amp;col=8&amp;number=&amp;sourceID=49","")</f>
        <v/>
      </c>
    </row>
    <row r="29" spans="1:8">
      <c r="A29" s="3">
        <v>18</v>
      </c>
      <c r="B29" s="3">
        <v>16</v>
      </c>
      <c r="C29" s="3">
        <v>11</v>
      </c>
      <c r="D29" s="3">
        <v>2</v>
      </c>
      <c r="E29" s="3">
        <f>((1/(INDEX(E0!J$4:J$87,C29,1)-INDEX(E0!J$4:J$87,D29,1))))*100000000</f>
        <v>0</v>
      </c>
      <c r="F29" s="4" t="str">
        <f>HYPERLINK("http://141.218.60.56/~jnz1568/getInfo.php?workbook=18_16.xlsx&amp;sheet=A0&amp;row=29&amp;col=6&amp;number=298900&amp;sourceID=48","298900")</f>
        <v>298900</v>
      </c>
      <c r="G29" s="4" t="str">
        <f>HYPERLINK("http://141.218.60.56/~jnz1568/getInfo.php?workbook=18_16.xlsx&amp;sheet=A0&amp;row=29&amp;col=7&amp;number=&amp;sourceID=49","")</f>
        <v/>
      </c>
      <c r="H29" s="4" t="str">
        <f>HYPERLINK("http://141.218.60.56/~jnz1568/getInfo.php?workbook=18_16.xlsx&amp;sheet=A0&amp;row=29&amp;col=8&amp;number=&amp;sourceID=49","")</f>
        <v/>
      </c>
    </row>
    <row r="30" spans="1:8">
      <c r="A30" s="3">
        <v>18</v>
      </c>
      <c r="B30" s="3">
        <v>16</v>
      </c>
      <c r="C30" s="3">
        <v>11</v>
      </c>
      <c r="D30" s="3">
        <v>3</v>
      </c>
      <c r="E30" s="3">
        <f>((1/(INDEX(E0!J$4:J$87,C30,1)-INDEX(E0!J$4:J$87,D30,1))))*100000000</f>
        <v>0</v>
      </c>
      <c r="F30" s="4" t="str">
        <f>HYPERLINK("http://141.218.60.56/~jnz1568/getInfo.php?workbook=18_16.xlsx&amp;sheet=A0&amp;row=30&amp;col=6&amp;number=65868&amp;sourceID=48","65868")</f>
        <v>65868</v>
      </c>
      <c r="G30" s="4" t="str">
        <f>HYPERLINK("http://141.218.60.56/~jnz1568/getInfo.php?workbook=18_16.xlsx&amp;sheet=A0&amp;row=30&amp;col=7&amp;number=&amp;sourceID=49","")</f>
        <v/>
      </c>
      <c r="H30" s="4" t="str">
        <f>HYPERLINK("http://141.218.60.56/~jnz1568/getInfo.php?workbook=18_16.xlsx&amp;sheet=A0&amp;row=30&amp;col=8&amp;number=&amp;sourceID=49","")</f>
        <v/>
      </c>
    </row>
    <row r="31" spans="1:8">
      <c r="A31" s="3">
        <v>18</v>
      </c>
      <c r="B31" s="3">
        <v>16</v>
      </c>
      <c r="C31" s="3">
        <v>11</v>
      </c>
      <c r="D31" s="3">
        <v>4</v>
      </c>
      <c r="E31" s="3">
        <f>((1/(INDEX(E0!J$4:J$87,C31,1)-INDEX(E0!J$4:J$87,D31,1))))*100000000</f>
        <v>0</v>
      </c>
      <c r="F31" s="4" t="str">
        <f>HYPERLINK("http://141.218.60.56/~jnz1568/getInfo.php?workbook=18_16.xlsx&amp;sheet=A0&amp;row=31&amp;col=6&amp;number=73450&amp;sourceID=48","73450")</f>
        <v>73450</v>
      </c>
      <c r="G31" s="4" t="str">
        <f>HYPERLINK("http://141.218.60.56/~jnz1568/getInfo.php?workbook=18_16.xlsx&amp;sheet=A0&amp;row=31&amp;col=7&amp;number=&amp;sourceID=49","")</f>
        <v/>
      </c>
      <c r="H31" s="4" t="str">
        <f>HYPERLINK("http://141.218.60.56/~jnz1568/getInfo.php?workbook=18_16.xlsx&amp;sheet=A0&amp;row=31&amp;col=8&amp;number=&amp;sourceID=49","")</f>
        <v/>
      </c>
    </row>
    <row r="32" spans="1:8">
      <c r="A32" s="3">
        <v>18</v>
      </c>
      <c r="B32" s="3">
        <v>16</v>
      </c>
      <c r="C32" s="3">
        <v>11</v>
      </c>
      <c r="D32" s="3">
        <v>5</v>
      </c>
      <c r="E32" s="3">
        <f>((1/(INDEX(E0!J$4:J$87,C32,1)-INDEX(E0!J$4:J$87,D32,1))))*100000000</f>
        <v>0</v>
      </c>
      <c r="F32" s="4" t="str">
        <f>HYPERLINK("http://141.218.60.56/~jnz1568/getInfo.php?workbook=18_16.xlsx&amp;sheet=A0&amp;row=32&amp;col=6&amp;number=8.9767&amp;sourceID=48","8.9767")</f>
        <v>8.9767</v>
      </c>
      <c r="G32" s="4" t="str">
        <f>HYPERLINK("http://141.218.60.56/~jnz1568/getInfo.php?workbook=18_16.xlsx&amp;sheet=A0&amp;row=32&amp;col=7&amp;number=&amp;sourceID=49","")</f>
        <v/>
      </c>
      <c r="H32" s="4" t="str">
        <f>HYPERLINK("http://141.218.60.56/~jnz1568/getInfo.php?workbook=18_16.xlsx&amp;sheet=A0&amp;row=32&amp;col=8&amp;number=&amp;sourceID=49","")</f>
        <v/>
      </c>
    </row>
    <row r="33" spans="1:8">
      <c r="A33" s="3">
        <v>18</v>
      </c>
      <c r="B33" s="3">
        <v>16</v>
      </c>
      <c r="C33" s="3">
        <v>12</v>
      </c>
      <c r="D33" s="3">
        <v>1</v>
      </c>
      <c r="E33" s="3">
        <f>((1/(INDEX(E0!J$4:J$87,C33,1)-INDEX(E0!J$4:J$87,D33,1))))*100000000</f>
        <v>0</v>
      </c>
      <c r="F33" s="4" t="str">
        <f>HYPERLINK("http://141.218.60.56/~jnz1568/getInfo.php?workbook=18_16.xlsx&amp;sheet=A0&amp;row=33&amp;col=6&amp;number=460820&amp;sourceID=48","460820")</f>
        <v>460820</v>
      </c>
      <c r="G33" s="4" t="str">
        <f>HYPERLINK("http://141.218.60.56/~jnz1568/getInfo.php?workbook=18_16.xlsx&amp;sheet=A0&amp;row=33&amp;col=7&amp;number=&amp;sourceID=49","")</f>
        <v/>
      </c>
      <c r="H33" s="4" t="str">
        <f>HYPERLINK("http://141.218.60.56/~jnz1568/getInfo.php?workbook=18_16.xlsx&amp;sheet=A0&amp;row=33&amp;col=8&amp;number=&amp;sourceID=49","")</f>
        <v/>
      </c>
    </row>
    <row r="34" spans="1:8">
      <c r="A34" s="3">
        <v>18</v>
      </c>
      <c r="B34" s="3">
        <v>16</v>
      </c>
      <c r="C34" s="3">
        <v>12</v>
      </c>
      <c r="D34" s="3">
        <v>2</v>
      </c>
      <c r="E34" s="3">
        <f>((1/(INDEX(E0!J$4:J$87,C34,1)-INDEX(E0!J$4:J$87,D34,1))))*100000000</f>
        <v>0</v>
      </c>
      <c r="F34" s="4" t="str">
        <f>HYPERLINK("http://141.218.60.56/~jnz1568/getInfo.php?workbook=18_16.xlsx&amp;sheet=A0&amp;row=34&amp;col=6&amp;number=4161.8&amp;sourceID=48","4161.8")</f>
        <v>4161.8</v>
      </c>
      <c r="G34" s="4" t="str">
        <f>HYPERLINK("http://141.218.60.56/~jnz1568/getInfo.php?workbook=18_16.xlsx&amp;sheet=A0&amp;row=34&amp;col=7&amp;number=&amp;sourceID=49","")</f>
        <v/>
      </c>
      <c r="H34" s="4" t="str">
        <f>HYPERLINK("http://141.218.60.56/~jnz1568/getInfo.php?workbook=18_16.xlsx&amp;sheet=A0&amp;row=34&amp;col=8&amp;number=&amp;sourceID=49","")</f>
        <v/>
      </c>
    </row>
    <row r="35" spans="1:8">
      <c r="A35" s="3">
        <v>18</v>
      </c>
      <c r="B35" s="3">
        <v>16</v>
      </c>
      <c r="C35" s="3">
        <v>12</v>
      </c>
      <c r="D35" s="3">
        <v>4</v>
      </c>
      <c r="E35" s="3">
        <f>((1/(INDEX(E0!J$4:J$87,C35,1)-INDEX(E0!J$4:J$87,D35,1))))*100000000</f>
        <v>0</v>
      </c>
      <c r="F35" s="4" t="str">
        <f>HYPERLINK("http://141.218.60.56/~jnz1568/getInfo.php?workbook=18_16.xlsx&amp;sheet=A0&amp;row=35&amp;col=6&amp;number=218.27&amp;sourceID=48","218.27")</f>
        <v>218.27</v>
      </c>
      <c r="G35" s="4" t="str">
        <f>HYPERLINK("http://141.218.60.56/~jnz1568/getInfo.php?workbook=18_16.xlsx&amp;sheet=A0&amp;row=35&amp;col=7&amp;number=&amp;sourceID=49","")</f>
        <v/>
      </c>
      <c r="H35" s="4" t="str">
        <f>HYPERLINK("http://141.218.60.56/~jnz1568/getInfo.php?workbook=18_16.xlsx&amp;sheet=A0&amp;row=35&amp;col=8&amp;number=&amp;sourceID=49","")</f>
        <v/>
      </c>
    </row>
    <row r="36" spans="1:8">
      <c r="A36" s="3">
        <v>18</v>
      </c>
      <c r="B36" s="3">
        <v>16</v>
      </c>
      <c r="C36" s="3">
        <v>13</v>
      </c>
      <c r="D36" s="3">
        <v>1</v>
      </c>
      <c r="E36" s="3">
        <f>((1/(INDEX(E0!J$4:J$87,C36,1)-INDEX(E0!J$4:J$87,D36,1))))*100000000</f>
        <v>0</v>
      </c>
      <c r="F36" s="4" t="str">
        <f>HYPERLINK("http://141.218.60.56/~jnz1568/getInfo.php?workbook=18_16.xlsx&amp;sheet=A0&amp;row=36&amp;col=6&amp;number=187640&amp;sourceID=48","187640")</f>
        <v>187640</v>
      </c>
      <c r="G36" s="4" t="str">
        <f>HYPERLINK("http://141.218.60.56/~jnz1568/getInfo.php?workbook=18_16.xlsx&amp;sheet=A0&amp;row=36&amp;col=7&amp;number=&amp;sourceID=49","")</f>
        <v/>
      </c>
      <c r="H36" s="4" t="str">
        <f>HYPERLINK("http://141.218.60.56/~jnz1568/getInfo.php?workbook=18_16.xlsx&amp;sheet=A0&amp;row=36&amp;col=8&amp;number=&amp;sourceID=49","")</f>
        <v/>
      </c>
    </row>
    <row r="37" spans="1:8">
      <c r="A37" s="3">
        <v>18</v>
      </c>
      <c r="B37" s="3">
        <v>16</v>
      </c>
      <c r="C37" s="3">
        <v>13</v>
      </c>
      <c r="D37" s="3">
        <v>4</v>
      </c>
      <c r="E37" s="3">
        <f>((1/(INDEX(E0!J$4:J$87,C37,1)-INDEX(E0!J$4:J$87,D37,1))))*100000000</f>
        <v>0</v>
      </c>
      <c r="F37" s="4" t="str">
        <f>HYPERLINK("http://141.218.60.56/~jnz1568/getInfo.php?workbook=18_16.xlsx&amp;sheet=A0&amp;row=37&amp;col=6&amp;number=44.642&amp;sourceID=48","44.642")</f>
        <v>44.642</v>
      </c>
      <c r="G37" s="4" t="str">
        <f>HYPERLINK("http://141.218.60.56/~jnz1568/getInfo.php?workbook=18_16.xlsx&amp;sheet=A0&amp;row=37&amp;col=7&amp;number=&amp;sourceID=49","")</f>
        <v/>
      </c>
      <c r="H37" s="4" t="str">
        <f>HYPERLINK("http://141.218.60.56/~jnz1568/getInfo.php?workbook=18_16.xlsx&amp;sheet=A0&amp;row=37&amp;col=8&amp;number=&amp;sourceID=49","")</f>
        <v/>
      </c>
    </row>
    <row r="38" spans="1:8">
      <c r="A38" s="3">
        <v>18</v>
      </c>
      <c r="B38" s="3">
        <v>16</v>
      </c>
      <c r="C38" s="3">
        <v>15</v>
      </c>
      <c r="D38" s="3">
        <v>1</v>
      </c>
      <c r="E38" s="3">
        <f>((1/(INDEX(E0!J$4:J$87,C38,1)-INDEX(E0!J$4:J$87,D38,1))))*100000000</f>
        <v>0</v>
      </c>
      <c r="F38" s="4" t="str">
        <f>HYPERLINK("http://141.218.60.56/~jnz1568/getInfo.php?workbook=18_16.xlsx&amp;sheet=A0&amp;row=38&amp;col=6&amp;number=44081000&amp;sourceID=48","44081000")</f>
        <v>44081000</v>
      </c>
      <c r="G38" s="4" t="str">
        <f>HYPERLINK("http://141.218.60.56/~jnz1568/getInfo.php?workbook=18_16.xlsx&amp;sheet=A0&amp;row=38&amp;col=7&amp;number=&amp;sourceID=49","")</f>
        <v/>
      </c>
      <c r="H38" s="4" t="str">
        <f>HYPERLINK("http://141.218.60.56/~jnz1568/getInfo.php?workbook=18_16.xlsx&amp;sheet=A0&amp;row=38&amp;col=8&amp;number=&amp;sourceID=49","")</f>
        <v/>
      </c>
    </row>
    <row r="39" spans="1:8">
      <c r="A39" s="3">
        <v>18</v>
      </c>
      <c r="B39" s="3">
        <v>16</v>
      </c>
      <c r="C39" s="3">
        <v>15</v>
      </c>
      <c r="D39" s="3">
        <v>4</v>
      </c>
      <c r="E39" s="3">
        <f>((1/(INDEX(E0!J$4:J$87,C39,1)-INDEX(E0!J$4:J$87,D39,1))))*100000000</f>
        <v>0</v>
      </c>
      <c r="F39" s="4" t="str">
        <f>HYPERLINK("http://141.218.60.56/~jnz1568/getInfo.php?workbook=18_16.xlsx&amp;sheet=A0&amp;row=39&amp;col=6&amp;number=4450.6&amp;sourceID=48","4450.6")</f>
        <v>4450.6</v>
      </c>
      <c r="G39" s="4" t="str">
        <f>HYPERLINK("http://141.218.60.56/~jnz1568/getInfo.php?workbook=18_16.xlsx&amp;sheet=A0&amp;row=39&amp;col=7&amp;number=&amp;sourceID=49","")</f>
        <v/>
      </c>
      <c r="H39" s="4" t="str">
        <f>HYPERLINK("http://141.218.60.56/~jnz1568/getInfo.php?workbook=18_16.xlsx&amp;sheet=A0&amp;row=39&amp;col=8&amp;number=&amp;sourceID=49","")</f>
        <v/>
      </c>
    </row>
    <row r="40" spans="1:8">
      <c r="A40" s="3">
        <v>18</v>
      </c>
      <c r="B40" s="3">
        <v>16</v>
      </c>
      <c r="C40" s="3">
        <v>16</v>
      </c>
      <c r="D40" s="3">
        <v>1</v>
      </c>
      <c r="E40" s="3">
        <f>((1/(INDEX(E0!J$4:J$87,C40,1)-INDEX(E0!J$4:J$87,D40,1))))*100000000</f>
        <v>0</v>
      </c>
      <c r="F40" s="4" t="str">
        <f>HYPERLINK("http://141.218.60.56/~jnz1568/getInfo.php?workbook=18_16.xlsx&amp;sheet=A0&amp;row=40&amp;col=6&amp;number=16044000&amp;sourceID=48","16044000")</f>
        <v>16044000</v>
      </c>
      <c r="G40" s="4" t="str">
        <f>HYPERLINK("http://141.218.60.56/~jnz1568/getInfo.php?workbook=18_16.xlsx&amp;sheet=A0&amp;row=40&amp;col=7&amp;number=&amp;sourceID=49","")</f>
        <v/>
      </c>
      <c r="H40" s="4" t="str">
        <f>HYPERLINK("http://141.218.60.56/~jnz1568/getInfo.php?workbook=18_16.xlsx&amp;sheet=A0&amp;row=40&amp;col=8&amp;number=&amp;sourceID=49","")</f>
        <v/>
      </c>
    </row>
    <row r="41" spans="1:8">
      <c r="A41" s="3">
        <v>18</v>
      </c>
      <c r="B41" s="3">
        <v>16</v>
      </c>
      <c r="C41" s="3">
        <v>16</v>
      </c>
      <c r="D41" s="3">
        <v>2</v>
      </c>
      <c r="E41" s="3">
        <f>((1/(INDEX(E0!J$4:J$87,C41,1)-INDEX(E0!J$4:J$87,D41,1))))*100000000</f>
        <v>0</v>
      </c>
      <c r="F41" s="4" t="str">
        <f>HYPERLINK("http://141.218.60.56/~jnz1568/getInfo.php?workbook=18_16.xlsx&amp;sheet=A0&amp;row=41&amp;col=6&amp;number=33015000&amp;sourceID=48","33015000")</f>
        <v>33015000</v>
      </c>
      <c r="G41" s="4" t="str">
        <f>HYPERLINK("http://141.218.60.56/~jnz1568/getInfo.php?workbook=18_16.xlsx&amp;sheet=A0&amp;row=41&amp;col=7&amp;number=&amp;sourceID=49","")</f>
        <v/>
      </c>
      <c r="H41" s="4" t="str">
        <f>HYPERLINK("http://141.218.60.56/~jnz1568/getInfo.php?workbook=18_16.xlsx&amp;sheet=A0&amp;row=41&amp;col=8&amp;number=&amp;sourceID=49","")</f>
        <v/>
      </c>
    </row>
    <row r="42" spans="1:8">
      <c r="A42" s="3">
        <v>18</v>
      </c>
      <c r="B42" s="3">
        <v>16</v>
      </c>
      <c r="C42" s="3">
        <v>16</v>
      </c>
      <c r="D42" s="3">
        <v>4</v>
      </c>
      <c r="E42" s="3">
        <f>((1/(INDEX(E0!J$4:J$87,C42,1)-INDEX(E0!J$4:J$87,D42,1))))*100000000</f>
        <v>0</v>
      </c>
      <c r="F42" s="4" t="str">
        <f>HYPERLINK("http://141.218.60.56/~jnz1568/getInfo.php?workbook=18_16.xlsx&amp;sheet=A0&amp;row=42&amp;col=6&amp;number=42624&amp;sourceID=48","42624")</f>
        <v>42624</v>
      </c>
      <c r="G42" s="4" t="str">
        <f>HYPERLINK("http://141.218.60.56/~jnz1568/getInfo.php?workbook=18_16.xlsx&amp;sheet=A0&amp;row=42&amp;col=7&amp;number=&amp;sourceID=49","")</f>
        <v/>
      </c>
      <c r="H42" s="4" t="str">
        <f>HYPERLINK("http://141.218.60.56/~jnz1568/getInfo.php?workbook=18_16.xlsx&amp;sheet=A0&amp;row=42&amp;col=8&amp;number=&amp;sourceID=49","")</f>
        <v/>
      </c>
    </row>
    <row r="43" spans="1:8">
      <c r="A43" s="3">
        <v>18</v>
      </c>
      <c r="B43" s="3">
        <v>16</v>
      </c>
      <c r="C43" s="3">
        <v>17</v>
      </c>
      <c r="D43" s="3">
        <v>1</v>
      </c>
      <c r="E43" s="3">
        <f>((1/(INDEX(E0!J$4:J$87,C43,1)-INDEX(E0!J$4:J$87,D43,1))))*100000000</f>
        <v>0</v>
      </c>
      <c r="F43" s="4" t="str">
        <f>HYPERLINK("http://141.218.60.56/~jnz1568/getInfo.php?workbook=18_16.xlsx&amp;sheet=A0&amp;row=43&amp;col=6&amp;number=2175700&amp;sourceID=48","2175700")</f>
        <v>2175700</v>
      </c>
      <c r="G43" s="4" t="str">
        <f>HYPERLINK("http://141.218.60.56/~jnz1568/getInfo.php?workbook=18_16.xlsx&amp;sheet=A0&amp;row=43&amp;col=7&amp;number=&amp;sourceID=49","")</f>
        <v/>
      </c>
      <c r="H43" s="4" t="str">
        <f>HYPERLINK("http://141.218.60.56/~jnz1568/getInfo.php?workbook=18_16.xlsx&amp;sheet=A0&amp;row=43&amp;col=8&amp;number=&amp;sourceID=49","")</f>
        <v/>
      </c>
    </row>
    <row r="44" spans="1:8">
      <c r="A44" s="3">
        <v>18</v>
      </c>
      <c r="B44" s="3">
        <v>16</v>
      </c>
      <c r="C44" s="3">
        <v>17</v>
      </c>
      <c r="D44" s="3">
        <v>2</v>
      </c>
      <c r="E44" s="3">
        <f>((1/(INDEX(E0!J$4:J$87,C44,1)-INDEX(E0!J$4:J$87,D44,1))))*100000000</f>
        <v>0</v>
      </c>
      <c r="F44" s="4" t="str">
        <f>HYPERLINK("http://141.218.60.56/~jnz1568/getInfo.php?workbook=18_16.xlsx&amp;sheet=A0&amp;row=44&amp;col=6&amp;number=22878000&amp;sourceID=48","22878000")</f>
        <v>22878000</v>
      </c>
      <c r="G44" s="4" t="str">
        <f>HYPERLINK("http://141.218.60.56/~jnz1568/getInfo.php?workbook=18_16.xlsx&amp;sheet=A0&amp;row=44&amp;col=7&amp;number=&amp;sourceID=49","")</f>
        <v/>
      </c>
      <c r="H44" s="4" t="str">
        <f>HYPERLINK("http://141.218.60.56/~jnz1568/getInfo.php?workbook=18_16.xlsx&amp;sheet=A0&amp;row=44&amp;col=8&amp;number=&amp;sourceID=49","")</f>
        <v/>
      </c>
    </row>
    <row r="45" spans="1:8">
      <c r="A45" s="3">
        <v>18</v>
      </c>
      <c r="B45" s="3">
        <v>16</v>
      </c>
      <c r="C45" s="3">
        <v>17</v>
      </c>
      <c r="D45" s="3">
        <v>3</v>
      </c>
      <c r="E45" s="3">
        <f>((1/(INDEX(E0!J$4:J$87,C45,1)-INDEX(E0!J$4:J$87,D45,1))))*100000000</f>
        <v>0</v>
      </c>
      <c r="F45" s="4" t="str">
        <f>HYPERLINK("http://141.218.60.56/~jnz1568/getInfo.php?workbook=18_16.xlsx&amp;sheet=A0&amp;row=45&amp;col=6&amp;number=25263000&amp;sourceID=48","25263000")</f>
        <v>25263000</v>
      </c>
      <c r="G45" s="4" t="str">
        <f>HYPERLINK("http://141.218.60.56/~jnz1568/getInfo.php?workbook=18_16.xlsx&amp;sheet=A0&amp;row=45&amp;col=7&amp;number=&amp;sourceID=49","")</f>
        <v/>
      </c>
      <c r="H45" s="4" t="str">
        <f>HYPERLINK("http://141.218.60.56/~jnz1568/getInfo.php?workbook=18_16.xlsx&amp;sheet=A0&amp;row=45&amp;col=8&amp;number=&amp;sourceID=49","")</f>
        <v/>
      </c>
    </row>
    <row r="46" spans="1:8">
      <c r="A46" s="3">
        <v>18</v>
      </c>
      <c r="B46" s="3">
        <v>16</v>
      </c>
      <c r="C46" s="3">
        <v>17</v>
      </c>
      <c r="D46" s="3">
        <v>4</v>
      </c>
      <c r="E46" s="3">
        <f>((1/(INDEX(E0!J$4:J$87,C46,1)-INDEX(E0!J$4:J$87,D46,1))))*100000000</f>
        <v>0</v>
      </c>
      <c r="F46" s="4" t="str">
        <f>HYPERLINK("http://141.218.60.56/~jnz1568/getInfo.php?workbook=18_16.xlsx&amp;sheet=A0&amp;row=46&amp;col=6&amp;number=73183&amp;sourceID=48","73183")</f>
        <v>73183</v>
      </c>
      <c r="G46" s="4" t="str">
        <f>HYPERLINK("http://141.218.60.56/~jnz1568/getInfo.php?workbook=18_16.xlsx&amp;sheet=A0&amp;row=46&amp;col=7&amp;number=&amp;sourceID=49","")</f>
        <v/>
      </c>
      <c r="H46" s="4" t="str">
        <f>HYPERLINK("http://141.218.60.56/~jnz1568/getInfo.php?workbook=18_16.xlsx&amp;sheet=A0&amp;row=46&amp;col=8&amp;number=&amp;sourceID=49","")</f>
        <v/>
      </c>
    </row>
    <row r="47" spans="1:8">
      <c r="A47" s="3">
        <v>18</v>
      </c>
      <c r="B47" s="3">
        <v>16</v>
      </c>
      <c r="C47" s="3">
        <v>17</v>
      </c>
      <c r="D47" s="3">
        <v>5</v>
      </c>
      <c r="E47" s="3">
        <f>((1/(INDEX(E0!J$4:J$87,C47,1)-INDEX(E0!J$4:J$87,D47,1))))*100000000</f>
        <v>0</v>
      </c>
      <c r="F47" s="4" t="str">
        <f>HYPERLINK("http://141.218.60.56/~jnz1568/getInfo.php?workbook=18_16.xlsx&amp;sheet=A0&amp;row=47&amp;col=6&amp;number=2345&amp;sourceID=48","2345")</f>
        <v>2345</v>
      </c>
      <c r="G47" s="4" t="str">
        <f>HYPERLINK("http://141.218.60.56/~jnz1568/getInfo.php?workbook=18_16.xlsx&amp;sheet=A0&amp;row=47&amp;col=7&amp;number=&amp;sourceID=49","")</f>
        <v/>
      </c>
      <c r="H47" s="4" t="str">
        <f>HYPERLINK("http://141.218.60.56/~jnz1568/getInfo.php?workbook=18_16.xlsx&amp;sheet=A0&amp;row=47&amp;col=8&amp;number=&amp;sourceID=49","")</f>
        <v/>
      </c>
    </row>
    <row r="48" spans="1:8">
      <c r="A48" s="3">
        <v>18</v>
      </c>
      <c r="B48" s="3">
        <v>16</v>
      </c>
      <c r="C48" s="3">
        <v>18</v>
      </c>
      <c r="D48" s="3">
        <v>2</v>
      </c>
      <c r="E48" s="3">
        <f>((1/(INDEX(E0!J$4:J$87,C48,1)-INDEX(E0!J$4:J$87,D48,1))))*100000000</f>
        <v>0</v>
      </c>
      <c r="F48" s="4" t="str">
        <f>HYPERLINK("http://141.218.60.56/~jnz1568/getInfo.php?workbook=18_16.xlsx&amp;sheet=A0&amp;row=48&amp;col=6&amp;number=673400&amp;sourceID=48","673400")</f>
        <v>673400</v>
      </c>
      <c r="G48" s="4" t="str">
        <f>HYPERLINK("http://141.218.60.56/~jnz1568/getInfo.php?workbook=18_16.xlsx&amp;sheet=A0&amp;row=48&amp;col=7&amp;number=&amp;sourceID=49","")</f>
        <v/>
      </c>
      <c r="H48" s="4" t="str">
        <f>HYPERLINK("http://141.218.60.56/~jnz1568/getInfo.php?workbook=18_16.xlsx&amp;sheet=A0&amp;row=48&amp;col=8&amp;number=&amp;sourceID=49","")</f>
        <v/>
      </c>
    </row>
    <row r="49" spans="1:8">
      <c r="A49" s="3">
        <v>18</v>
      </c>
      <c r="B49" s="3">
        <v>16</v>
      </c>
      <c r="C49" s="3">
        <v>19</v>
      </c>
      <c r="D49" s="3">
        <v>1</v>
      </c>
      <c r="E49" s="3">
        <f>((1/(INDEX(E0!J$4:J$87,C49,1)-INDEX(E0!J$4:J$87,D49,1))))*100000000</f>
        <v>0</v>
      </c>
      <c r="F49" s="4" t="str">
        <f>HYPERLINK("http://141.218.60.56/~jnz1568/getInfo.php?workbook=18_16.xlsx&amp;sheet=A0&amp;row=49&amp;col=6&amp;number=106130&amp;sourceID=48","106130")</f>
        <v>106130</v>
      </c>
      <c r="G49" s="4" t="str">
        <f>HYPERLINK("http://141.218.60.56/~jnz1568/getInfo.php?workbook=18_16.xlsx&amp;sheet=A0&amp;row=49&amp;col=7&amp;number=&amp;sourceID=49","")</f>
        <v/>
      </c>
      <c r="H49" s="4" t="str">
        <f>HYPERLINK("http://141.218.60.56/~jnz1568/getInfo.php?workbook=18_16.xlsx&amp;sheet=A0&amp;row=49&amp;col=8&amp;number=&amp;sourceID=49","")</f>
        <v/>
      </c>
    </row>
    <row r="50" spans="1:8">
      <c r="A50" s="3">
        <v>18</v>
      </c>
      <c r="B50" s="3">
        <v>16</v>
      </c>
      <c r="C50" s="3">
        <v>19</v>
      </c>
      <c r="D50" s="3">
        <v>2</v>
      </c>
      <c r="E50" s="3">
        <f>((1/(INDEX(E0!J$4:J$87,C50,1)-INDEX(E0!J$4:J$87,D50,1))))*100000000</f>
        <v>0</v>
      </c>
      <c r="F50" s="4" t="str">
        <f>HYPERLINK("http://141.218.60.56/~jnz1568/getInfo.php?workbook=18_16.xlsx&amp;sheet=A0&amp;row=50&amp;col=6&amp;number=233280&amp;sourceID=48","233280")</f>
        <v>233280</v>
      </c>
      <c r="G50" s="4" t="str">
        <f>HYPERLINK("http://141.218.60.56/~jnz1568/getInfo.php?workbook=18_16.xlsx&amp;sheet=A0&amp;row=50&amp;col=7&amp;number=&amp;sourceID=49","")</f>
        <v/>
      </c>
      <c r="H50" s="4" t="str">
        <f>HYPERLINK("http://141.218.60.56/~jnz1568/getInfo.php?workbook=18_16.xlsx&amp;sheet=A0&amp;row=50&amp;col=8&amp;number=&amp;sourceID=49","")</f>
        <v/>
      </c>
    </row>
    <row r="51" spans="1:8">
      <c r="A51" s="3">
        <v>18</v>
      </c>
      <c r="B51" s="3">
        <v>16</v>
      </c>
      <c r="C51" s="3">
        <v>19</v>
      </c>
      <c r="D51" s="3">
        <v>4</v>
      </c>
      <c r="E51" s="3">
        <f>((1/(INDEX(E0!J$4:J$87,C51,1)-INDEX(E0!J$4:J$87,D51,1))))*100000000</f>
        <v>0</v>
      </c>
      <c r="F51" s="4" t="str">
        <f>HYPERLINK("http://141.218.60.56/~jnz1568/getInfo.php?workbook=18_16.xlsx&amp;sheet=A0&amp;row=51&amp;col=6&amp;number=30298&amp;sourceID=48","30298")</f>
        <v>30298</v>
      </c>
      <c r="G51" s="4" t="str">
        <f>HYPERLINK("http://141.218.60.56/~jnz1568/getInfo.php?workbook=18_16.xlsx&amp;sheet=A0&amp;row=51&amp;col=7&amp;number=&amp;sourceID=49","")</f>
        <v/>
      </c>
      <c r="H51" s="4" t="str">
        <f>HYPERLINK("http://141.218.60.56/~jnz1568/getInfo.php?workbook=18_16.xlsx&amp;sheet=A0&amp;row=51&amp;col=8&amp;number=&amp;sourceID=49","")</f>
        <v/>
      </c>
    </row>
    <row r="52" spans="1:8">
      <c r="A52" s="3">
        <v>18</v>
      </c>
      <c r="B52" s="3">
        <v>16</v>
      </c>
      <c r="C52" s="3">
        <v>20</v>
      </c>
      <c r="D52" s="3">
        <v>1</v>
      </c>
      <c r="E52" s="3">
        <f>((1/(INDEX(E0!J$4:J$87,C52,1)-INDEX(E0!J$4:J$87,D52,1))))*100000000</f>
        <v>0</v>
      </c>
      <c r="F52" s="4" t="str">
        <f>HYPERLINK("http://141.218.60.56/~jnz1568/getInfo.php?workbook=18_16.xlsx&amp;sheet=A0&amp;row=52&amp;col=6&amp;number=481300&amp;sourceID=48","481300")</f>
        <v>481300</v>
      </c>
      <c r="G52" s="4" t="str">
        <f>HYPERLINK("http://141.218.60.56/~jnz1568/getInfo.php?workbook=18_16.xlsx&amp;sheet=A0&amp;row=52&amp;col=7&amp;number=&amp;sourceID=49","")</f>
        <v/>
      </c>
      <c r="H52" s="4" t="str">
        <f>HYPERLINK("http://141.218.60.56/~jnz1568/getInfo.php?workbook=18_16.xlsx&amp;sheet=A0&amp;row=52&amp;col=8&amp;number=&amp;sourceID=49","")</f>
        <v/>
      </c>
    </row>
    <row r="53" spans="1:8">
      <c r="A53" s="3">
        <v>18</v>
      </c>
      <c r="B53" s="3">
        <v>16</v>
      </c>
      <c r="C53" s="3">
        <v>20</v>
      </c>
      <c r="D53" s="3">
        <v>4</v>
      </c>
      <c r="E53" s="3">
        <f>((1/(INDEX(E0!J$4:J$87,C53,1)-INDEX(E0!J$4:J$87,D53,1))))*100000000</f>
        <v>0</v>
      </c>
      <c r="F53" s="4" t="str">
        <f>HYPERLINK("http://141.218.60.56/~jnz1568/getInfo.php?workbook=18_16.xlsx&amp;sheet=A0&amp;row=53&amp;col=6&amp;number=256450&amp;sourceID=48","256450")</f>
        <v>256450</v>
      </c>
      <c r="G53" s="4" t="str">
        <f>HYPERLINK("http://141.218.60.56/~jnz1568/getInfo.php?workbook=18_16.xlsx&amp;sheet=A0&amp;row=53&amp;col=7&amp;number=&amp;sourceID=49","")</f>
        <v/>
      </c>
      <c r="H53" s="4" t="str">
        <f>HYPERLINK("http://141.218.60.56/~jnz1568/getInfo.php?workbook=18_16.xlsx&amp;sheet=A0&amp;row=53&amp;col=8&amp;number=&amp;sourceID=49","")</f>
        <v/>
      </c>
    </row>
    <row r="54" spans="1:8">
      <c r="A54" s="3">
        <v>18</v>
      </c>
      <c r="B54" s="3">
        <v>16</v>
      </c>
      <c r="C54" s="3">
        <v>22</v>
      </c>
      <c r="D54" s="3">
        <v>1</v>
      </c>
      <c r="E54" s="3">
        <f>((1/(INDEX(E0!J$4:J$87,C54,1)-INDEX(E0!J$4:J$87,D54,1))))*100000000</f>
        <v>0</v>
      </c>
      <c r="F54" s="4" t="str">
        <f>HYPERLINK("http://141.218.60.56/~jnz1568/getInfo.php?workbook=18_16.xlsx&amp;sheet=A0&amp;row=54&amp;col=6&amp;number=22287&amp;sourceID=48","22287")</f>
        <v>22287</v>
      </c>
      <c r="G54" s="4" t="str">
        <f>HYPERLINK("http://141.218.60.56/~jnz1568/getInfo.php?workbook=18_16.xlsx&amp;sheet=A0&amp;row=54&amp;col=7&amp;number=&amp;sourceID=49","")</f>
        <v/>
      </c>
      <c r="H54" s="4" t="str">
        <f>HYPERLINK("http://141.218.60.56/~jnz1568/getInfo.php?workbook=18_16.xlsx&amp;sheet=A0&amp;row=54&amp;col=8&amp;number=&amp;sourceID=49","")</f>
        <v/>
      </c>
    </row>
    <row r="55" spans="1:8">
      <c r="A55" s="3">
        <v>18</v>
      </c>
      <c r="B55" s="3">
        <v>16</v>
      </c>
      <c r="C55" s="3">
        <v>22</v>
      </c>
      <c r="D55" s="3">
        <v>4</v>
      </c>
      <c r="E55" s="3">
        <f>((1/(INDEX(E0!J$4:J$87,C55,1)-INDEX(E0!J$4:J$87,D55,1))))*100000000</f>
        <v>0</v>
      </c>
      <c r="F55" s="4" t="str">
        <f>HYPERLINK("http://141.218.60.56/~jnz1568/getInfo.php?workbook=18_16.xlsx&amp;sheet=A0&amp;row=55&amp;col=6&amp;number=811160&amp;sourceID=48","811160")</f>
        <v>811160</v>
      </c>
      <c r="G55" s="4" t="str">
        <f>HYPERLINK("http://141.218.60.56/~jnz1568/getInfo.php?workbook=18_16.xlsx&amp;sheet=A0&amp;row=55&amp;col=7&amp;number=&amp;sourceID=49","")</f>
        <v/>
      </c>
      <c r="H55" s="4" t="str">
        <f>HYPERLINK("http://141.218.60.56/~jnz1568/getInfo.php?workbook=18_16.xlsx&amp;sheet=A0&amp;row=55&amp;col=8&amp;number=&amp;sourceID=49","")</f>
        <v/>
      </c>
    </row>
    <row r="56" spans="1:8">
      <c r="A56" s="3">
        <v>18</v>
      </c>
      <c r="B56" s="3">
        <v>16</v>
      </c>
      <c r="C56" s="3">
        <v>25</v>
      </c>
      <c r="D56" s="3">
        <v>1</v>
      </c>
      <c r="E56" s="3">
        <f>((1/(INDEX(E0!J$4:J$87,C56,1)-INDEX(E0!J$4:J$87,D56,1))))*100000000</f>
        <v>0</v>
      </c>
      <c r="F56" s="4" t="str">
        <f>HYPERLINK("http://141.218.60.56/~jnz1568/getInfo.php?workbook=18_16.xlsx&amp;sheet=A0&amp;row=56&amp;col=6&amp;number=1334400&amp;sourceID=48","1334400")</f>
        <v>1334400</v>
      </c>
      <c r="G56" s="4" t="str">
        <f>HYPERLINK("http://141.218.60.56/~jnz1568/getInfo.php?workbook=18_16.xlsx&amp;sheet=A0&amp;row=56&amp;col=7&amp;number=&amp;sourceID=49","")</f>
        <v/>
      </c>
      <c r="H56" s="4" t="str">
        <f>HYPERLINK("http://141.218.60.56/~jnz1568/getInfo.php?workbook=18_16.xlsx&amp;sheet=A0&amp;row=56&amp;col=8&amp;number=&amp;sourceID=49","")</f>
        <v/>
      </c>
    </row>
    <row r="57" spans="1:8">
      <c r="A57" s="3">
        <v>18</v>
      </c>
      <c r="B57" s="3">
        <v>16</v>
      </c>
      <c r="C57" s="3">
        <v>25</v>
      </c>
      <c r="D57" s="3">
        <v>2</v>
      </c>
      <c r="E57" s="3">
        <f>((1/(INDEX(E0!J$4:J$87,C57,1)-INDEX(E0!J$4:J$87,D57,1))))*100000000</f>
        <v>0</v>
      </c>
      <c r="F57" s="4" t="str">
        <f>HYPERLINK("http://141.218.60.56/~jnz1568/getInfo.php?workbook=18_16.xlsx&amp;sheet=A0&amp;row=57&amp;col=6&amp;number=349900&amp;sourceID=48","349900")</f>
        <v>349900</v>
      </c>
      <c r="G57" s="4" t="str">
        <f>HYPERLINK("http://141.218.60.56/~jnz1568/getInfo.php?workbook=18_16.xlsx&amp;sheet=A0&amp;row=57&amp;col=7&amp;number=&amp;sourceID=49","")</f>
        <v/>
      </c>
      <c r="H57" s="4" t="str">
        <f>HYPERLINK("http://141.218.60.56/~jnz1568/getInfo.php?workbook=18_16.xlsx&amp;sheet=A0&amp;row=57&amp;col=8&amp;number=&amp;sourceID=49","")</f>
        <v/>
      </c>
    </row>
    <row r="58" spans="1:8">
      <c r="A58" s="3">
        <v>18</v>
      </c>
      <c r="B58" s="3">
        <v>16</v>
      </c>
      <c r="C58" s="3">
        <v>25</v>
      </c>
      <c r="D58" s="3">
        <v>4</v>
      </c>
      <c r="E58" s="3">
        <f>((1/(INDEX(E0!J$4:J$87,C58,1)-INDEX(E0!J$4:J$87,D58,1))))*100000000</f>
        <v>0</v>
      </c>
      <c r="F58" s="4" t="str">
        <f>HYPERLINK("http://141.218.60.56/~jnz1568/getInfo.php?workbook=18_16.xlsx&amp;sheet=A0&amp;row=58&amp;col=6&amp;number=119.82&amp;sourceID=48","119.82")</f>
        <v>119.82</v>
      </c>
      <c r="G58" s="4" t="str">
        <f>HYPERLINK("http://141.218.60.56/~jnz1568/getInfo.php?workbook=18_16.xlsx&amp;sheet=A0&amp;row=58&amp;col=7&amp;number=&amp;sourceID=49","")</f>
        <v/>
      </c>
      <c r="H58" s="4" t="str">
        <f>HYPERLINK("http://141.218.60.56/~jnz1568/getInfo.php?workbook=18_16.xlsx&amp;sheet=A0&amp;row=58&amp;col=8&amp;number=&amp;sourceID=49","")</f>
        <v/>
      </c>
    </row>
    <row r="59" spans="1:8">
      <c r="A59" s="3">
        <v>18</v>
      </c>
      <c r="B59" s="3">
        <v>16</v>
      </c>
      <c r="C59" s="3">
        <v>27</v>
      </c>
      <c r="D59" s="3">
        <v>1</v>
      </c>
      <c r="E59" s="3">
        <f>((1/(INDEX(E0!J$4:J$87,C59,1)-INDEX(E0!J$4:J$87,D59,1))))*100000000</f>
        <v>0</v>
      </c>
      <c r="F59" s="4" t="str">
        <f>HYPERLINK("http://141.218.60.56/~jnz1568/getInfo.php?workbook=18_16.xlsx&amp;sheet=A0&amp;row=59&amp;col=6&amp;number=353740&amp;sourceID=48","353740")</f>
        <v>353740</v>
      </c>
      <c r="G59" s="4" t="str">
        <f>HYPERLINK("http://141.218.60.56/~jnz1568/getInfo.php?workbook=18_16.xlsx&amp;sheet=A0&amp;row=59&amp;col=7&amp;number=&amp;sourceID=49","")</f>
        <v/>
      </c>
      <c r="H59" s="4" t="str">
        <f>HYPERLINK("http://141.218.60.56/~jnz1568/getInfo.php?workbook=18_16.xlsx&amp;sheet=A0&amp;row=59&amp;col=8&amp;number=&amp;sourceID=49","")</f>
        <v/>
      </c>
    </row>
    <row r="60" spans="1:8">
      <c r="A60" s="3">
        <v>18</v>
      </c>
      <c r="B60" s="3">
        <v>16</v>
      </c>
      <c r="C60" s="3">
        <v>27</v>
      </c>
      <c r="D60" s="3">
        <v>2</v>
      </c>
      <c r="E60" s="3">
        <f>((1/(INDEX(E0!J$4:J$87,C60,1)-INDEX(E0!J$4:J$87,D60,1))))*100000000</f>
        <v>0</v>
      </c>
      <c r="F60" s="4" t="str">
        <f>HYPERLINK("http://141.218.60.56/~jnz1568/getInfo.php?workbook=18_16.xlsx&amp;sheet=A0&amp;row=60&amp;col=6&amp;number=105590&amp;sourceID=48","105590")</f>
        <v>105590</v>
      </c>
      <c r="G60" s="4" t="str">
        <f>HYPERLINK("http://141.218.60.56/~jnz1568/getInfo.php?workbook=18_16.xlsx&amp;sheet=A0&amp;row=60&amp;col=7&amp;number=&amp;sourceID=49","")</f>
        <v/>
      </c>
      <c r="H60" s="4" t="str">
        <f>HYPERLINK("http://141.218.60.56/~jnz1568/getInfo.php?workbook=18_16.xlsx&amp;sheet=A0&amp;row=60&amp;col=8&amp;number=&amp;sourceID=49","")</f>
        <v/>
      </c>
    </row>
    <row r="61" spans="1:8">
      <c r="A61" s="3">
        <v>18</v>
      </c>
      <c r="B61" s="3">
        <v>16</v>
      </c>
      <c r="C61" s="3">
        <v>27</v>
      </c>
      <c r="D61" s="3">
        <v>4</v>
      </c>
      <c r="E61" s="3">
        <f>((1/(INDEX(E0!J$4:J$87,C61,1)-INDEX(E0!J$4:J$87,D61,1))))*100000000</f>
        <v>0</v>
      </c>
      <c r="F61" s="4" t="str">
        <f>HYPERLINK("http://141.218.60.56/~jnz1568/getInfo.php?workbook=18_16.xlsx&amp;sheet=A0&amp;row=61&amp;col=6&amp;number=332190000&amp;sourceID=48","332190000")</f>
        <v>332190000</v>
      </c>
      <c r="G61" s="4" t="str">
        <f>HYPERLINK("http://141.218.60.56/~jnz1568/getInfo.php?workbook=18_16.xlsx&amp;sheet=A0&amp;row=61&amp;col=7&amp;number=&amp;sourceID=49","")</f>
        <v/>
      </c>
      <c r="H61" s="4" t="str">
        <f>HYPERLINK("http://141.218.60.56/~jnz1568/getInfo.php?workbook=18_16.xlsx&amp;sheet=A0&amp;row=61&amp;col=8&amp;number=&amp;sourceID=49","")</f>
        <v/>
      </c>
    </row>
    <row r="62" spans="1:8">
      <c r="A62" s="3">
        <v>18</v>
      </c>
      <c r="B62" s="3">
        <v>16</v>
      </c>
      <c r="C62" s="3">
        <v>28</v>
      </c>
      <c r="D62" s="3">
        <v>1</v>
      </c>
      <c r="E62" s="3">
        <f>((1/(INDEX(E0!J$4:J$87,C62,1)-INDEX(E0!J$4:J$87,D62,1))))*100000000</f>
        <v>0</v>
      </c>
      <c r="F62" s="4" t="str">
        <f>HYPERLINK("http://141.218.60.56/~jnz1568/getInfo.php?workbook=18_16.xlsx&amp;sheet=A0&amp;row=62&amp;col=6&amp;number=4824600000&amp;sourceID=48","4824600000")</f>
        <v>4824600000</v>
      </c>
      <c r="G62" s="4" t="str">
        <f>HYPERLINK("http://141.218.60.56/~jnz1568/getInfo.php?workbook=18_16.xlsx&amp;sheet=A0&amp;row=62&amp;col=7&amp;number=&amp;sourceID=49","")</f>
        <v/>
      </c>
      <c r="H62" s="4" t="str">
        <f>HYPERLINK("http://141.218.60.56/~jnz1568/getInfo.php?workbook=18_16.xlsx&amp;sheet=A0&amp;row=62&amp;col=8&amp;number=&amp;sourceID=49","")</f>
        <v/>
      </c>
    </row>
    <row r="63" spans="1:8">
      <c r="A63" s="3">
        <v>18</v>
      </c>
      <c r="B63" s="3">
        <v>16</v>
      </c>
      <c r="C63" s="3">
        <v>28</v>
      </c>
      <c r="D63" s="3">
        <v>2</v>
      </c>
      <c r="E63" s="3">
        <f>((1/(INDEX(E0!J$4:J$87,C63,1)-INDEX(E0!J$4:J$87,D63,1))))*100000000</f>
        <v>0</v>
      </c>
      <c r="F63" s="4" t="str">
        <f>HYPERLINK("http://141.218.60.56/~jnz1568/getInfo.php?workbook=18_16.xlsx&amp;sheet=A0&amp;row=63&amp;col=6&amp;number=2703400000&amp;sourceID=48","2703400000")</f>
        <v>2703400000</v>
      </c>
      <c r="G63" s="4" t="str">
        <f>HYPERLINK("http://141.218.60.56/~jnz1568/getInfo.php?workbook=18_16.xlsx&amp;sheet=A0&amp;row=63&amp;col=7&amp;number=&amp;sourceID=49","")</f>
        <v/>
      </c>
      <c r="H63" s="4" t="str">
        <f>HYPERLINK("http://141.218.60.56/~jnz1568/getInfo.php?workbook=18_16.xlsx&amp;sheet=A0&amp;row=63&amp;col=8&amp;number=&amp;sourceID=49","")</f>
        <v/>
      </c>
    </row>
    <row r="64" spans="1:8">
      <c r="A64" s="3">
        <v>18</v>
      </c>
      <c r="B64" s="3">
        <v>16</v>
      </c>
      <c r="C64" s="3">
        <v>28</v>
      </c>
      <c r="D64" s="3">
        <v>3</v>
      </c>
      <c r="E64" s="3">
        <f>((1/(INDEX(E0!J$4:J$87,C64,1)-INDEX(E0!J$4:J$87,D64,1))))*100000000</f>
        <v>0</v>
      </c>
      <c r="F64" s="4" t="str">
        <f>HYPERLINK("http://141.218.60.56/~jnz1568/getInfo.php?workbook=18_16.xlsx&amp;sheet=A0&amp;row=64&amp;col=6&amp;number=883400000&amp;sourceID=48","883400000")</f>
        <v>883400000</v>
      </c>
      <c r="G64" s="4" t="str">
        <f>HYPERLINK("http://141.218.60.56/~jnz1568/getInfo.php?workbook=18_16.xlsx&amp;sheet=A0&amp;row=64&amp;col=7&amp;number=&amp;sourceID=49","")</f>
        <v/>
      </c>
      <c r="H64" s="4" t="str">
        <f>HYPERLINK("http://141.218.60.56/~jnz1568/getInfo.php?workbook=18_16.xlsx&amp;sheet=A0&amp;row=64&amp;col=8&amp;number=&amp;sourceID=49","")</f>
        <v/>
      </c>
    </row>
    <row r="65" spans="1:8">
      <c r="A65" s="3">
        <v>18</v>
      </c>
      <c r="B65" s="3">
        <v>16</v>
      </c>
      <c r="C65" s="3">
        <v>28</v>
      </c>
      <c r="D65" s="3">
        <v>4</v>
      </c>
      <c r="E65" s="3">
        <f>((1/(INDEX(E0!J$4:J$87,C65,1)-INDEX(E0!J$4:J$87,D65,1))))*100000000</f>
        <v>0</v>
      </c>
      <c r="F65" s="4" t="str">
        <f>HYPERLINK("http://141.218.60.56/~jnz1568/getInfo.php?workbook=18_16.xlsx&amp;sheet=A0&amp;row=65&amp;col=6&amp;number=1961500&amp;sourceID=48","1961500")</f>
        <v>1961500</v>
      </c>
      <c r="G65" s="4" t="str">
        <f>HYPERLINK("http://141.218.60.56/~jnz1568/getInfo.php?workbook=18_16.xlsx&amp;sheet=A0&amp;row=65&amp;col=7&amp;number=&amp;sourceID=49","")</f>
        <v/>
      </c>
      <c r="H65" s="4" t="str">
        <f>HYPERLINK("http://141.218.60.56/~jnz1568/getInfo.php?workbook=18_16.xlsx&amp;sheet=A0&amp;row=65&amp;col=8&amp;number=&amp;sourceID=49","")</f>
        <v/>
      </c>
    </row>
    <row r="66" spans="1:8">
      <c r="A66" s="3">
        <v>18</v>
      </c>
      <c r="B66" s="3">
        <v>16</v>
      </c>
      <c r="C66" s="3">
        <v>28</v>
      </c>
      <c r="D66" s="3">
        <v>5</v>
      </c>
      <c r="E66" s="3">
        <f>((1/(INDEX(E0!J$4:J$87,C66,1)-INDEX(E0!J$4:J$87,D66,1))))*100000000</f>
        <v>0</v>
      </c>
      <c r="F66" s="4" t="str">
        <f>HYPERLINK("http://141.218.60.56/~jnz1568/getInfo.php?workbook=18_16.xlsx&amp;sheet=A0&amp;row=66&amp;col=6&amp;number=214.78&amp;sourceID=48","214.78")</f>
        <v>214.78</v>
      </c>
      <c r="G66" s="4" t="str">
        <f>HYPERLINK("http://141.218.60.56/~jnz1568/getInfo.php?workbook=18_16.xlsx&amp;sheet=A0&amp;row=66&amp;col=7&amp;number=&amp;sourceID=49","")</f>
        <v/>
      </c>
      <c r="H66" s="4" t="str">
        <f>HYPERLINK("http://141.218.60.56/~jnz1568/getInfo.php?workbook=18_16.xlsx&amp;sheet=A0&amp;row=66&amp;col=8&amp;number=&amp;sourceID=49","")</f>
        <v/>
      </c>
    </row>
    <row r="67" spans="1:8">
      <c r="A67" s="3">
        <v>18</v>
      </c>
      <c r="B67" s="3">
        <v>16</v>
      </c>
      <c r="C67" s="3">
        <v>30</v>
      </c>
      <c r="D67" s="3">
        <v>1</v>
      </c>
      <c r="E67" s="3">
        <f>((1/(INDEX(E0!J$4:J$87,C67,1)-INDEX(E0!J$4:J$87,D67,1))))*100000000</f>
        <v>0</v>
      </c>
      <c r="F67" s="4" t="str">
        <f>HYPERLINK("http://141.218.60.56/~jnz1568/getInfo.php?workbook=18_16.xlsx&amp;sheet=A0&amp;row=67&amp;col=6&amp;number=365210&amp;sourceID=48","365210")</f>
        <v>365210</v>
      </c>
      <c r="G67" s="4" t="str">
        <f>HYPERLINK("http://141.218.60.56/~jnz1568/getInfo.php?workbook=18_16.xlsx&amp;sheet=A0&amp;row=67&amp;col=7&amp;number=&amp;sourceID=49","")</f>
        <v/>
      </c>
      <c r="H67" s="4" t="str">
        <f>HYPERLINK("http://141.218.60.56/~jnz1568/getInfo.php?workbook=18_16.xlsx&amp;sheet=A0&amp;row=67&amp;col=8&amp;number=&amp;sourceID=49","")</f>
        <v/>
      </c>
    </row>
    <row r="68" spans="1:8">
      <c r="A68" s="3">
        <v>18</v>
      </c>
      <c r="B68" s="3">
        <v>16</v>
      </c>
      <c r="C68" s="3">
        <v>30</v>
      </c>
      <c r="D68" s="3">
        <v>4</v>
      </c>
      <c r="E68" s="3">
        <f>((1/(INDEX(E0!J$4:J$87,C68,1)-INDEX(E0!J$4:J$87,D68,1))))*100000000</f>
        <v>0</v>
      </c>
      <c r="F68" s="4" t="str">
        <f>HYPERLINK("http://141.218.60.56/~jnz1568/getInfo.php?workbook=18_16.xlsx&amp;sheet=A0&amp;row=68&amp;col=6&amp;number=689750&amp;sourceID=48","689750")</f>
        <v>689750</v>
      </c>
      <c r="G68" s="4" t="str">
        <f>HYPERLINK("http://141.218.60.56/~jnz1568/getInfo.php?workbook=18_16.xlsx&amp;sheet=A0&amp;row=68&amp;col=7&amp;number=&amp;sourceID=49","")</f>
        <v/>
      </c>
      <c r="H68" s="4" t="str">
        <f>HYPERLINK("http://141.218.60.56/~jnz1568/getInfo.php?workbook=18_16.xlsx&amp;sheet=A0&amp;row=68&amp;col=8&amp;number=&amp;sourceID=49","")</f>
        <v/>
      </c>
    </row>
    <row r="69" spans="1:8">
      <c r="A69" s="3">
        <v>18</v>
      </c>
      <c r="B69" s="3">
        <v>16</v>
      </c>
      <c r="C69" s="3">
        <v>31</v>
      </c>
      <c r="D69" s="3">
        <v>1</v>
      </c>
      <c r="E69" s="3">
        <f>((1/(INDEX(E0!J$4:J$87,C69,1)-INDEX(E0!J$4:J$87,D69,1))))*100000000</f>
        <v>0</v>
      </c>
      <c r="F69" s="4" t="str">
        <f>HYPERLINK("http://141.218.60.56/~jnz1568/getInfo.php?workbook=18_16.xlsx&amp;sheet=A0&amp;row=69&amp;col=6&amp;number=207530&amp;sourceID=48","207530")</f>
        <v>207530</v>
      </c>
      <c r="G69" s="4" t="str">
        <f>HYPERLINK("http://141.218.60.56/~jnz1568/getInfo.php?workbook=18_16.xlsx&amp;sheet=A0&amp;row=69&amp;col=7&amp;number=&amp;sourceID=49","")</f>
        <v/>
      </c>
      <c r="H69" s="4" t="str">
        <f>HYPERLINK("http://141.218.60.56/~jnz1568/getInfo.php?workbook=18_16.xlsx&amp;sheet=A0&amp;row=69&amp;col=8&amp;number=&amp;sourceID=49","")</f>
        <v/>
      </c>
    </row>
    <row r="70" spans="1:8">
      <c r="A70" s="3">
        <v>18</v>
      </c>
      <c r="B70" s="3">
        <v>16</v>
      </c>
      <c r="C70" s="3">
        <v>31</v>
      </c>
      <c r="D70" s="3">
        <v>2</v>
      </c>
      <c r="E70" s="3">
        <f>((1/(INDEX(E0!J$4:J$87,C70,1)-INDEX(E0!J$4:J$87,D70,1))))*100000000</f>
        <v>0</v>
      </c>
      <c r="F70" s="4" t="str">
        <f>HYPERLINK("http://141.218.60.56/~jnz1568/getInfo.php?workbook=18_16.xlsx&amp;sheet=A0&amp;row=70&amp;col=6&amp;number=935300&amp;sourceID=48","935300")</f>
        <v>935300</v>
      </c>
      <c r="G70" s="4" t="str">
        <f>HYPERLINK("http://141.218.60.56/~jnz1568/getInfo.php?workbook=18_16.xlsx&amp;sheet=A0&amp;row=70&amp;col=7&amp;number=&amp;sourceID=49","")</f>
        <v/>
      </c>
      <c r="H70" s="4" t="str">
        <f>HYPERLINK("http://141.218.60.56/~jnz1568/getInfo.php?workbook=18_16.xlsx&amp;sheet=A0&amp;row=70&amp;col=8&amp;number=&amp;sourceID=49","")</f>
        <v/>
      </c>
    </row>
    <row r="71" spans="1:8">
      <c r="A71" s="3">
        <v>18</v>
      </c>
      <c r="B71" s="3">
        <v>16</v>
      </c>
      <c r="C71" s="3">
        <v>31</v>
      </c>
      <c r="D71" s="3">
        <v>4</v>
      </c>
      <c r="E71" s="3">
        <f>((1/(INDEX(E0!J$4:J$87,C71,1)-INDEX(E0!J$4:J$87,D71,1))))*100000000</f>
        <v>0</v>
      </c>
      <c r="F71" s="4" t="str">
        <f>HYPERLINK("http://141.218.60.56/~jnz1568/getInfo.php?workbook=18_16.xlsx&amp;sheet=A0&amp;row=71&amp;col=6&amp;number=1926000&amp;sourceID=48","1926000")</f>
        <v>1926000</v>
      </c>
      <c r="G71" s="4" t="str">
        <f>HYPERLINK("http://141.218.60.56/~jnz1568/getInfo.php?workbook=18_16.xlsx&amp;sheet=A0&amp;row=71&amp;col=7&amp;number=&amp;sourceID=49","")</f>
        <v/>
      </c>
      <c r="H71" s="4" t="str">
        <f>HYPERLINK("http://141.218.60.56/~jnz1568/getInfo.php?workbook=18_16.xlsx&amp;sheet=A0&amp;row=71&amp;col=8&amp;number=&amp;sourceID=49","")</f>
        <v/>
      </c>
    </row>
    <row r="72" spans="1:8">
      <c r="A72" s="3">
        <v>18</v>
      </c>
      <c r="B72" s="3">
        <v>16</v>
      </c>
      <c r="C72" s="3">
        <v>32</v>
      </c>
      <c r="D72" s="3">
        <v>1</v>
      </c>
      <c r="E72" s="3">
        <f>((1/(INDEX(E0!J$4:J$87,C72,1)-INDEX(E0!J$4:J$87,D72,1))))*100000000</f>
        <v>0</v>
      </c>
      <c r="F72" s="4" t="str">
        <f>HYPERLINK("http://141.218.60.56/~jnz1568/getInfo.php?workbook=18_16.xlsx&amp;sheet=A0&amp;row=72&amp;col=6&amp;number=11297000&amp;sourceID=48","11297000")</f>
        <v>11297000</v>
      </c>
      <c r="G72" s="4" t="str">
        <f>HYPERLINK("http://141.218.60.56/~jnz1568/getInfo.php?workbook=18_16.xlsx&amp;sheet=A0&amp;row=72&amp;col=7&amp;number=&amp;sourceID=49","")</f>
        <v/>
      </c>
      <c r="H72" s="4" t="str">
        <f>HYPERLINK("http://141.218.60.56/~jnz1568/getInfo.php?workbook=18_16.xlsx&amp;sheet=A0&amp;row=72&amp;col=8&amp;number=&amp;sourceID=49","")</f>
        <v/>
      </c>
    </row>
    <row r="73" spans="1:8">
      <c r="A73" s="3">
        <v>18</v>
      </c>
      <c r="B73" s="3">
        <v>16</v>
      </c>
      <c r="C73" s="3">
        <v>32</v>
      </c>
      <c r="D73" s="3">
        <v>2</v>
      </c>
      <c r="E73" s="3">
        <f>((1/(INDEX(E0!J$4:J$87,C73,1)-INDEX(E0!J$4:J$87,D73,1))))*100000000</f>
        <v>0</v>
      </c>
      <c r="F73" s="4" t="str">
        <f>HYPERLINK("http://141.218.60.56/~jnz1568/getInfo.php?workbook=18_16.xlsx&amp;sheet=A0&amp;row=73&amp;col=6&amp;number=262610000&amp;sourceID=48","262610000")</f>
        <v>262610000</v>
      </c>
      <c r="G73" s="4" t="str">
        <f>HYPERLINK("http://141.218.60.56/~jnz1568/getInfo.php?workbook=18_16.xlsx&amp;sheet=A0&amp;row=73&amp;col=7&amp;number=&amp;sourceID=49","")</f>
        <v/>
      </c>
      <c r="H73" s="4" t="str">
        <f>HYPERLINK("http://141.218.60.56/~jnz1568/getInfo.php?workbook=18_16.xlsx&amp;sheet=A0&amp;row=73&amp;col=8&amp;number=&amp;sourceID=49","")</f>
        <v/>
      </c>
    </row>
    <row r="74" spans="1:8">
      <c r="A74" s="3">
        <v>18</v>
      </c>
      <c r="B74" s="3">
        <v>16</v>
      </c>
      <c r="C74" s="3">
        <v>32</v>
      </c>
      <c r="D74" s="3">
        <v>3</v>
      </c>
      <c r="E74" s="3">
        <f>((1/(INDEX(E0!J$4:J$87,C74,1)-INDEX(E0!J$4:J$87,D74,1))))*100000000</f>
        <v>0</v>
      </c>
      <c r="F74" s="4" t="str">
        <f>HYPERLINK("http://141.218.60.56/~jnz1568/getInfo.php?workbook=18_16.xlsx&amp;sheet=A0&amp;row=74&amp;col=6&amp;number=419940000&amp;sourceID=48","419940000")</f>
        <v>419940000</v>
      </c>
      <c r="G74" s="4" t="str">
        <f>HYPERLINK("http://141.218.60.56/~jnz1568/getInfo.php?workbook=18_16.xlsx&amp;sheet=A0&amp;row=74&amp;col=7&amp;number=&amp;sourceID=49","")</f>
        <v/>
      </c>
      <c r="H74" s="4" t="str">
        <f>HYPERLINK("http://141.218.60.56/~jnz1568/getInfo.php?workbook=18_16.xlsx&amp;sheet=A0&amp;row=74&amp;col=8&amp;number=&amp;sourceID=49","")</f>
        <v/>
      </c>
    </row>
    <row r="75" spans="1:8">
      <c r="A75" s="3">
        <v>18</v>
      </c>
      <c r="B75" s="3">
        <v>16</v>
      </c>
      <c r="C75" s="3">
        <v>32</v>
      </c>
      <c r="D75" s="3">
        <v>4</v>
      </c>
      <c r="E75" s="3">
        <f>((1/(INDEX(E0!J$4:J$87,C75,1)-INDEX(E0!J$4:J$87,D75,1))))*100000000</f>
        <v>0</v>
      </c>
      <c r="F75" s="4" t="str">
        <f>HYPERLINK("http://141.218.60.56/~jnz1568/getInfo.php?workbook=18_16.xlsx&amp;sheet=A0&amp;row=75&amp;col=6&amp;number=1534900&amp;sourceID=48","1534900")</f>
        <v>1534900</v>
      </c>
      <c r="G75" s="4" t="str">
        <f>HYPERLINK("http://141.218.60.56/~jnz1568/getInfo.php?workbook=18_16.xlsx&amp;sheet=A0&amp;row=75&amp;col=7&amp;number=&amp;sourceID=49","")</f>
        <v/>
      </c>
      <c r="H75" s="4" t="str">
        <f>HYPERLINK("http://141.218.60.56/~jnz1568/getInfo.php?workbook=18_16.xlsx&amp;sheet=A0&amp;row=75&amp;col=8&amp;number=&amp;sourceID=49","")</f>
        <v/>
      </c>
    </row>
    <row r="76" spans="1:8">
      <c r="A76" s="3">
        <v>18</v>
      </c>
      <c r="B76" s="3">
        <v>16</v>
      </c>
      <c r="C76" s="3">
        <v>32</v>
      </c>
      <c r="D76" s="3">
        <v>5</v>
      </c>
      <c r="E76" s="3">
        <f>((1/(INDEX(E0!J$4:J$87,C76,1)-INDEX(E0!J$4:J$87,D76,1))))*100000000</f>
        <v>0</v>
      </c>
      <c r="F76" s="4" t="str">
        <f>HYPERLINK("http://141.218.60.56/~jnz1568/getInfo.php?workbook=18_16.xlsx&amp;sheet=A0&amp;row=76&amp;col=6&amp;number=490410&amp;sourceID=48","490410")</f>
        <v>490410</v>
      </c>
      <c r="G76" s="4" t="str">
        <f>HYPERLINK("http://141.218.60.56/~jnz1568/getInfo.php?workbook=18_16.xlsx&amp;sheet=A0&amp;row=76&amp;col=7&amp;number=&amp;sourceID=49","")</f>
        <v/>
      </c>
      <c r="H76" s="4" t="str">
        <f>HYPERLINK("http://141.218.60.56/~jnz1568/getInfo.php?workbook=18_16.xlsx&amp;sheet=A0&amp;row=76&amp;col=8&amp;number=&amp;sourceID=49","")</f>
        <v/>
      </c>
    </row>
    <row r="77" spans="1:8">
      <c r="A77" s="3">
        <v>18</v>
      </c>
      <c r="B77" s="3">
        <v>16</v>
      </c>
      <c r="C77" s="3">
        <v>33</v>
      </c>
      <c r="D77" s="3">
        <v>1</v>
      </c>
      <c r="E77" s="3">
        <f>((1/(INDEX(E0!J$4:J$87,C77,1)-INDEX(E0!J$4:J$87,D77,1))))*100000000</f>
        <v>0</v>
      </c>
      <c r="F77" s="4" t="str">
        <f>HYPERLINK("http://141.218.60.56/~jnz1568/getInfo.php?workbook=18_16.xlsx&amp;sheet=A0&amp;row=77&amp;col=6&amp;number=136480000&amp;sourceID=48","136480000")</f>
        <v>136480000</v>
      </c>
      <c r="G77" s="4" t="str">
        <f>HYPERLINK("http://141.218.60.56/~jnz1568/getInfo.php?workbook=18_16.xlsx&amp;sheet=A0&amp;row=77&amp;col=7&amp;number=&amp;sourceID=49","")</f>
        <v/>
      </c>
      <c r="H77" s="4" t="str">
        <f>HYPERLINK("http://141.218.60.56/~jnz1568/getInfo.php?workbook=18_16.xlsx&amp;sheet=A0&amp;row=77&amp;col=8&amp;number=&amp;sourceID=49","")</f>
        <v/>
      </c>
    </row>
    <row r="78" spans="1:8">
      <c r="A78" s="3">
        <v>18</v>
      </c>
      <c r="B78" s="3">
        <v>16</v>
      </c>
      <c r="C78" s="3">
        <v>33</v>
      </c>
      <c r="D78" s="3">
        <v>2</v>
      </c>
      <c r="E78" s="3">
        <f>((1/(INDEX(E0!J$4:J$87,C78,1)-INDEX(E0!J$4:J$87,D78,1))))*100000000</f>
        <v>0</v>
      </c>
      <c r="F78" s="4" t="str">
        <f>HYPERLINK("http://141.218.60.56/~jnz1568/getInfo.php?workbook=18_16.xlsx&amp;sheet=A0&amp;row=78&amp;col=6&amp;number=583930000&amp;sourceID=48","583930000")</f>
        <v>583930000</v>
      </c>
      <c r="G78" s="4" t="str">
        <f>HYPERLINK("http://141.218.60.56/~jnz1568/getInfo.php?workbook=18_16.xlsx&amp;sheet=A0&amp;row=78&amp;col=7&amp;number=&amp;sourceID=49","")</f>
        <v/>
      </c>
      <c r="H78" s="4" t="str">
        <f>HYPERLINK("http://141.218.60.56/~jnz1568/getInfo.php?workbook=18_16.xlsx&amp;sheet=A0&amp;row=78&amp;col=8&amp;number=&amp;sourceID=49","")</f>
        <v/>
      </c>
    </row>
    <row r="79" spans="1:8">
      <c r="A79" s="3">
        <v>18</v>
      </c>
      <c r="B79" s="3">
        <v>16</v>
      </c>
      <c r="C79" s="3">
        <v>33</v>
      </c>
      <c r="D79" s="3">
        <v>4</v>
      </c>
      <c r="E79" s="3">
        <f>((1/(INDEX(E0!J$4:J$87,C79,1)-INDEX(E0!J$4:J$87,D79,1))))*100000000</f>
        <v>0</v>
      </c>
      <c r="F79" s="4" t="str">
        <f>HYPERLINK("http://141.218.60.56/~jnz1568/getInfo.php?workbook=18_16.xlsx&amp;sheet=A0&amp;row=79&amp;col=6&amp;number=2254500&amp;sourceID=48","2254500")</f>
        <v>2254500</v>
      </c>
      <c r="G79" s="4" t="str">
        <f>HYPERLINK("http://141.218.60.56/~jnz1568/getInfo.php?workbook=18_16.xlsx&amp;sheet=A0&amp;row=79&amp;col=7&amp;number=&amp;sourceID=49","")</f>
        <v/>
      </c>
      <c r="H79" s="4" t="str">
        <f>HYPERLINK("http://141.218.60.56/~jnz1568/getInfo.php?workbook=18_16.xlsx&amp;sheet=A0&amp;row=79&amp;col=8&amp;number=&amp;sourceID=49","")</f>
        <v/>
      </c>
    </row>
    <row r="80" spans="1:8">
      <c r="A80" s="3">
        <v>18</v>
      </c>
      <c r="B80" s="3">
        <v>16</v>
      </c>
      <c r="C80" s="3">
        <v>34</v>
      </c>
      <c r="D80" s="3">
        <v>2</v>
      </c>
      <c r="E80" s="3">
        <f>((1/(INDEX(E0!J$4:J$87,C80,1)-INDEX(E0!J$4:J$87,D80,1))))*100000000</f>
        <v>0</v>
      </c>
      <c r="F80" s="4" t="str">
        <f>HYPERLINK("http://141.218.60.56/~jnz1568/getInfo.php?workbook=18_16.xlsx&amp;sheet=A0&amp;row=80&amp;col=6&amp;number=19138000&amp;sourceID=48","19138000")</f>
        <v>19138000</v>
      </c>
      <c r="G80" s="4" t="str">
        <f>HYPERLINK("http://141.218.60.56/~jnz1568/getInfo.php?workbook=18_16.xlsx&amp;sheet=A0&amp;row=80&amp;col=7&amp;number=&amp;sourceID=49","")</f>
        <v/>
      </c>
      <c r="H80" s="4" t="str">
        <f>HYPERLINK("http://141.218.60.56/~jnz1568/getInfo.php?workbook=18_16.xlsx&amp;sheet=A0&amp;row=80&amp;col=8&amp;number=&amp;sourceID=49","")</f>
        <v/>
      </c>
    </row>
    <row r="81" spans="1:8">
      <c r="A81" s="3">
        <v>18</v>
      </c>
      <c r="B81" s="3">
        <v>16</v>
      </c>
      <c r="C81" s="3">
        <v>35</v>
      </c>
      <c r="D81" s="3">
        <v>1</v>
      </c>
      <c r="E81" s="3">
        <f>((1/(INDEX(E0!J$4:J$87,C81,1)-INDEX(E0!J$4:J$87,D81,1))))*100000000</f>
        <v>0</v>
      </c>
      <c r="F81" s="4" t="str">
        <f>HYPERLINK("http://141.218.60.56/~jnz1568/getInfo.php?workbook=18_16.xlsx&amp;sheet=A0&amp;row=81&amp;col=6&amp;number=42696000&amp;sourceID=48","42696000")</f>
        <v>42696000</v>
      </c>
      <c r="G81" s="4" t="str">
        <f>HYPERLINK("http://141.218.60.56/~jnz1568/getInfo.php?workbook=18_16.xlsx&amp;sheet=A0&amp;row=81&amp;col=7&amp;number=&amp;sourceID=49","")</f>
        <v/>
      </c>
      <c r="H81" s="4" t="str">
        <f>HYPERLINK("http://141.218.60.56/~jnz1568/getInfo.php?workbook=18_16.xlsx&amp;sheet=A0&amp;row=81&amp;col=8&amp;number=&amp;sourceID=49","")</f>
        <v/>
      </c>
    </row>
    <row r="82" spans="1:8">
      <c r="A82" s="3">
        <v>18</v>
      </c>
      <c r="B82" s="3">
        <v>16</v>
      </c>
      <c r="C82" s="3">
        <v>35</v>
      </c>
      <c r="D82" s="3">
        <v>2</v>
      </c>
      <c r="E82" s="3">
        <f>((1/(INDEX(E0!J$4:J$87,C82,1)-INDEX(E0!J$4:J$87,D82,1))))*100000000</f>
        <v>0</v>
      </c>
      <c r="F82" s="4" t="str">
        <f>HYPERLINK("http://141.218.60.56/~jnz1568/getInfo.php?workbook=18_16.xlsx&amp;sheet=A0&amp;row=82&amp;col=6&amp;number=782070&amp;sourceID=48","782070")</f>
        <v>782070</v>
      </c>
      <c r="G82" s="4" t="str">
        <f>HYPERLINK("http://141.218.60.56/~jnz1568/getInfo.php?workbook=18_16.xlsx&amp;sheet=A0&amp;row=82&amp;col=7&amp;number=&amp;sourceID=49","")</f>
        <v/>
      </c>
      <c r="H82" s="4" t="str">
        <f>HYPERLINK("http://141.218.60.56/~jnz1568/getInfo.php?workbook=18_16.xlsx&amp;sheet=A0&amp;row=82&amp;col=8&amp;number=&amp;sourceID=49","")</f>
        <v/>
      </c>
    </row>
    <row r="83" spans="1:8">
      <c r="A83" s="3">
        <v>18</v>
      </c>
      <c r="B83" s="3">
        <v>16</v>
      </c>
      <c r="C83" s="3">
        <v>35</v>
      </c>
      <c r="D83" s="3">
        <v>3</v>
      </c>
      <c r="E83" s="3">
        <f>((1/(INDEX(E0!J$4:J$87,C83,1)-INDEX(E0!J$4:J$87,D83,1))))*100000000</f>
        <v>0</v>
      </c>
      <c r="F83" s="4" t="str">
        <f>HYPERLINK("http://141.218.60.56/~jnz1568/getInfo.php?workbook=18_16.xlsx&amp;sheet=A0&amp;row=83&amp;col=6&amp;number=4362800&amp;sourceID=48","4362800")</f>
        <v>4362800</v>
      </c>
      <c r="G83" s="4" t="str">
        <f>HYPERLINK("http://141.218.60.56/~jnz1568/getInfo.php?workbook=18_16.xlsx&amp;sheet=A0&amp;row=83&amp;col=7&amp;number=&amp;sourceID=49","")</f>
        <v/>
      </c>
      <c r="H83" s="4" t="str">
        <f>HYPERLINK("http://141.218.60.56/~jnz1568/getInfo.php?workbook=18_16.xlsx&amp;sheet=A0&amp;row=83&amp;col=8&amp;number=&amp;sourceID=49","")</f>
        <v/>
      </c>
    </row>
    <row r="84" spans="1:8">
      <c r="A84" s="3">
        <v>18</v>
      </c>
      <c r="B84" s="3">
        <v>16</v>
      </c>
      <c r="C84" s="3">
        <v>35</v>
      </c>
      <c r="D84" s="3">
        <v>4</v>
      </c>
      <c r="E84" s="3">
        <f>((1/(INDEX(E0!J$4:J$87,C84,1)-INDEX(E0!J$4:J$87,D84,1))))*100000000</f>
        <v>0</v>
      </c>
      <c r="F84" s="4" t="str">
        <f>HYPERLINK("http://141.218.60.56/~jnz1568/getInfo.php?workbook=18_16.xlsx&amp;sheet=A0&amp;row=84&amp;col=6&amp;number=4672200&amp;sourceID=48","4672200")</f>
        <v>4672200</v>
      </c>
      <c r="G84" s="4" t="str">
        <f>HYPERLINK("http://141.218.60.56/~jnz1568/getInfo.php?workbook=18_16.xlsx&amp;sheet=A0&amp;row=84&amp;col=7&amp;number=&amp;sourceID=49","")</f>
        <v/>
      </c>
      <c r="H84" s="4" t="str">
        <f>HYPERLINK("http://141.218.60.56/~jnz1568/getInfo.php?workbook=18_16.xlsx&amp;sheet=A0&amp;row=84&amp;col=8&amp;number=&amp;sourceID=49","")</f>
        <v/>
      </c>
    </row>
    <row r="85" spans="1:8">
      <c r="A85" s="3">
        <v>18</v>
      </c>
      <c r="B85" s="3">
        <v>16</v>
      </c>
      <c r="C85" s="3">
        <v>35</v>
      </c>
      <c r="D85" s="3">
        <v>5</v>
      </c>
      <c r="E85" s="3">
        <f>((1/(INDEX(E0!J$4:J$87,C85,1)-INDEX(E0!J$4:J$87,D85,1))))*100000000</f>
        <v>0</v>
      </c>
      <c r="F85" s="4" t="str">
        <f>HYPERLINK("http://141.218.60.56/~jnz1568/getInfo.php?workbook=18_16.xlsx&amp;sheet=A0&amp;row=85&amp;col=6&amp;number=604560&amp;sourceID=48","604560")</f>
        <v>604560</v>
      </c>
      <c r="G85" s="4" t="str">
        <f>HYPERLINK("http://141.218.60.56/~jnz1568/getInfo.php?workbook=18_16.xlsx&amp;sheet=A0&amp;row=85&amp;col=7&amp;number=&amp;sourceID=49","")</f>
        <v/>
      </c>
      <c r="H85" s="4" t="str">
        <f>HYPERLINK("http://141.218.60.56/~jnz1568/getInfo.php?workbook=18_16.xlsx&amp;sheet=A0&amp;row=85&amp;col=8&amp;number=&amp;sourceID=49","")</f>
        <v/>
      </c>
    </row>
    <row r="86" spans="1:8">
      <c r="A86" s="3">
        <v>18</v>
      </c>
      <c r="B86" s="3">
        <v>16</v>
      </c>
      <c r="C86" s="3">
        <v>36</v>
      </c>
      <c r="D86" s="3">
        <v>1</v>
      </c>
      <c r="E86" s="3">
        <f>((1/(INDEX(E0!J$4:J$87,C86,1)-INDEX(E0!J$4:J$87,D86,1))))*100000000</f>
        <v>0</v>
      </c>
      <c r="F86" s="4" t="str">
        <f>HYPERLINK("http://141.218.60.56/~jnz1568/getInfo.php?workbook=18_16.xlsx&amp;sheet=A0&amp;row=86&amp;col=6&amp;number=727290000&amp;sourceID=48","727290000")</f>
        <v>727290000</v>
      </c>
      <c r="G86" s="4" t="str">
        <f>HYPERLINK("http://141.218.60.56/~jnz1568/getInfo.php?workbook=18_16.xlsx&amp;sheet=A0&amp;row=86&amp;col=7&amp;number=&amp;sourceID=49","")</f>
        <v/>
      </c>
      <c r="H86" s="4" t="str">
        <f>HYPERLINK("http://141.218.60.56/~jnz1568/getInfo.php?workbook=18_16.xlsx&amp;sheet=A0&amp;row=86&amp;col=8&amp;number=&amp;sourceID=49","")</f>
        <v/>
      </c>
    </row>
    <row r="87" spans="1:8">
      <c r="A87" s="3">
        <v>18</v>
      </c>
      <c r="B87" s="3">
        <v>16</v>
      </c>
      <c r="C87" s="3">
        <v>36</v>
      </c>
      <c r="D87" s="3">
        <v>4</v>
      </c>
      <c r="E87" s="3">
        <f>((1/(INDEX(E0!J$4:J$87,C87,1)-INDEX(E0!J$4:J$87,D87,1))))*100000000</f>
        <v>0</v>
      </c>
      <c r="F87" s="4" t="str">
        <f>HYPERLINK("http://141.218.60.56/~jnz1568/getInfo.php?workbook=18_16.xlsx&amp;sheet=A0&amp;row=87&amp;col=6&amp;number=3470500&amp;sourceID=48","3470500")</f>
        <v>3470500</v>
      </c>
      <c r="G87" s="4" t="str">
        <f>HYPERLINK("http://141.218.60.56/~jnz1568/getInfo.php?workbook=18_16.xlsx&amp;sheet=A0&amp;row=87&amp;col=7&amp;number=&amp;sourceID=49","")</f>
        <v/>
      </c>
      <c r="H87" s="4" t="str">
        <f>HYPERLINK("http://141.218.60.56/~jnz1568/getInfo.php?workbook=18_16.xlsx&amp;sheet=A0&amp;row=87&amp;col=8&amp;number=&amp;sourceID=49","")</f>
        <v/>
      </c>
    </row>
    <row r="88" spans="1:8">
      <c r="A88" s="3">
        <v>18</v>
      </c>
      <c r="B88" s="3">
        <v>16</v>
      </c>
      <c r="C88" s="3">
        <v>37</v>
      </c>
      <c r="D88" s="3">
        <v>1</v>
      </c>
      <c r="E88" s="3">
        <f>((1/(INDEX(E0!J$4:J$87,C88,1)-INDEX(E0!J$4:J$87,D88,1))))*100000000</f>
        <v>0</v>
      </c>
      <c r="F88" s="4" t="str">
        <f>HYPERLINK("http://141.218.60.56/~jnz1568/getInfo.php?workbook=18_16.xlsx&amp;sheet=A0&amp;row=88&amp;col=6&amp;number=58266000&amp;sourceID=48","58266000")</f>
        <v>58266000</v>
      </c>
      <c r="G88" s="4" t="str">
        <f>HYPERLINK("http://141.218.60.56/~jnz1568/getInfo.php?workbook=18_16.xlsx&amp;sheet=A0&amp;row=88&amp;col=7&amp;number=&amp;sourceID=49","")</f>
        <v/>
      </c>
      <c r="H88" s="4" t="str">
        <f>HYPERLINK("http://141.218.60.56/~jnz1568/getInfo.php?workbook=18_16.xlsx&amp;sheet=A0&amp;row=88&amp;col=8&amp;number=&amp;sourceID=49","")</f>
        <v/>
      </c>
    </row>
    <row r="89" spans="1:8">
      <c r="A89" s="3">
        <v>18</v>
      </c>
      <c r="B89" s="3">
        <v>16</v>
      </c>
      <c r="C89" s="3">
        <v>37</v>
      </c>
      <c r="D89" s="3">
        <v>2</v>
      </c>
      <c r="E89" s="3">
        <f>((1/(INDEX(E0!J$4:J$87,C89,1)-INDEX(E0!J$4:J$87,D89,1))))*100000000</f>
        <v>0</v>
      </c>
      <c r="F89" s="4" t="str">
        <f>HYPERLINK("http://141.218.60.56/~jnz1568/getInfo.php?workbook=18_16.xlsx&amp;sheet=A0&amp;row=89&amp;col=6&amp;number=19854000&amp;sourceID=48","19854000")</f>
        <v>19854000</v>
      </c>
      <c r="G89" s="4" t="str">
        <f>HYPERLINK("http://141.218.60.56/~jnz1568/getInfo.php?workbook=18_16.xlsx&amp;sheet=A0&amp;row=89&amp;col=7&amp;number=&amp;sourceID=49","")</f>
        <v/>
      </c>
      <c r="H89" s="4" t="str">
        <f>HYPERLINK("http://141.218.60.56/~jnz1568/getInfo.php?workbook=18_16.xlsx&amp;sheet=A0&amp;row=89&amp;col=8&amp;number=&amp;sourceID=49","")</f>
        <v/>
      </c>
    </row>
    <row r="90" spans="1:8">
      <c r="A90" s="3">
        <v>18</v>
      </c>
      <c r="B90" s="3">
        <v>16</v>
      </c>
      <c r="C90" s="3">
        <v>37</v>
      </c>
      <c r="D90" s="3">
        <v>4</v>
      </c>
      <c r="E90" s="3">
        <f>((1/(INDEX(E0!J$4:J$87,C90,1)-INDEX(E0!J$4:J$87,D90,1))))*100000000</f>
        <v>0</v>
      </c>
      <c r="F90" s="4" t="str">
        <f>HYPERLINK("http://141.218.60.56/~jnz1568/getInfo.php?workbook=18_16.xlsx&amp;sheet=A0&amp;row=90&amp;col=6&amp;number=160.04&amp;sourceID=48","160.04")</f>
        <v>160.04</v>
      </c>
      <c r="G90" s="4" t="str">
        <f>HYPERLINK("http://141.218.60.56/~jnz1568/getInfo.php?workbook=18_16.xlsx&amp;sheet=A0&amp;row=90&amp;col=7&amp;number=&amp;sourceID=49","")</f>
        <v/>
      </c>
      <c r="H90" s="4" t="str">
        <f>HYPERLINK("http://141.218.60.56/~jnz1568/getInfo.php?workbook=18_16.xlsx&amp;sheet=A0&amp;row=90&amp;col=8&amp;number=&amp;sourceID=49","")</f>
        <v/>
      </c>
    </row>
    <row r="91" spans="1:8">
      <c r="A91" s="3">
        <v>18</v>
      </c>
      <c r="B91" s="3">
        <v>16</v>
      </c>
      <c r="C91" s="3">
        <v>38</v>
      </c>
      <c r="D91" s="3">
        <v>1</v>
      </c>
      <c r="E91" s="3">
        <f>((1/(INDEX(E0!J$4:J$87,C91,1)-INDEX(E0!J$4:J$87,D91,1))))*100000000</f>
        <v>0</v>
      </c>
      <c r="F91" s="4" t="str">
        <f>HYPERLINK("http://141.218.60.56/~jnz1568/getInfo.php?workbook=18_16.xlsx&amp;sheet=A0&amp;row=91&amp;col=6&amp;number=150140000&amp;sourceID=48","150140000")</f>
        <v>150140000</v>
      </c>
      <c r="G91" s="4" t="str">
        <f>HYPERLINK("http://141.218.60.56/~jnz1568/getInfo.php?workbook=18_16.xlsx&amp;sheet=A0&amp;row=91&amp;col=7&amp;number=&amp;sourceID=49","")</f>
        <v/>
      </c>
      <c r="H91" s="4" t="str">
        <f>HYPERLINK("http://141.218.60.56/~jnz1568/getInfo.php?workbook=18_16.xlsx&amp;sheet=A0&amp;row=91&amp;col=8&amp;number=&amp;sourceID=49","")</f>
        <v/>
      </c>
    </row>
    <row r="92" spans="1:8">
      <c r="A92" s="3">
        <v>18</v>
      </c>
      <c r="B92" s="3">
        <v>16</v>
      </c>
      <c r="C92" s="3">
        <v>38</v>
      </c>
      <c r="D92" s="3">
        <v>2</v>
      </c>
      <c r="E92" s="3">
        <f>((1/(INDEX(E0!J$4:J$87,C92,1)-INDEX(E0!J$4:J$87,D92,1))))*100000000</f>
        <v>0</v>
      </c>
      <c r="F92" s="4" t="str">
        <f>HYPERLINK("http://141.218.60.56/~jnz1568/getInfo.php?workbook=18_16.xlsx&amp;sheet=A0&amp;row=92&amp;col=6&amp;number=1622600000&amp;sourceID=48","1622600000")</f>
        <v>1622600000</v>
      </c>
      <c r="G92" s="4" t="str">
        <f>HYPERLINK("http://141.218.60.56/~jnz1568/getInfo.php?workbook=18_16.xlsx&amp;sheet=A0&amp;row=92&amp;col=7&amp;number=&amp;sourceID=49","")</f>
        <v/>
      </c>
      <c r="H92" s="4" t="str">
        <f>HYPERLINK("http://141.218.60.56/~jnz1568/getInfo.php?workbook=18_16.xlsx&amp;sheet=A0&amp;row=92&amp;col=8&amp;number=&amp;sourceID=49","")</f>
        <v/>
      </c>
    </row>
    <row r="93" spans="1:8">
      <c r="A93" s="3">
        <v>18</v>
      </c>
      <c r="B93" s="3">
        <v>16</v>
      </c>
      <c r="C93" s="3">
        <v>38</v>
      </c>
      <c r="D93" s="3">
        <v>3</v>
      </c>
      <c r="E93" s="3">
        <f>((1/(INDEX(E0!J$4:J$87,C93,1)-INDEX(E0!J$4:J$87,D93,1))))*100000000</f>
        <v>0</v>
      </c>
      <c r="F93" s="4" t="str">
        <f>HYPERLINK("http://141.218.60.56/~jnz1568/getInfo.php?workbook=18_16.xlsx&amp;sheet=A0&amp;row=93&amp;col=6&amp;number=1705400000&amp;sourceID=48","1705400000")</f>
        <v>1705400000</v>
      </c>
      <c r="G93" s="4" t="str">
        <f>HYPERLINK("http://141.218.60.56/~jnz1568/getInfo.php?workbook=18_16.xlsx&amp;sheet=A0&amp;row=93&amp;col=7&amp;number=&amp;sourceID=49","")</f>
        <v/>
      </c>
      <c r="H93" s="4" t="str">
        <f>HYPERLINK("http://141.218.60.56/~jnz1568/getInfo.php?workbook=18_16.xlsx&amp;sheet=A0&amp;row=93&amp;col=8&amp;number=&amp;sourceID=49","")</f>
        <v/>
      </c>
    </row>
    <row r="94" spans="1:8">
      <c r="A94" s="3">
        <v>18</v>
      </c>
      <c r="B94" s="3">
        <v>16</v>
      </c>
      <c r="C94" s="3">
        <v>38</v>
      </c>
      <c r="D94" s="3">
        <v>4</v>
      </c>
      <c r="E94" s="3">
        <f>((1/(INDEX(E0!J$4:J$87,C94,1)-INDEX(E0!J$4:J$87,D94,1))))*100000000</f>
        <v>0</v>
      </c>
      <c r="F94" s="4" t="str">
        <f>HYPERLINK("http://141.218.60.56/~jnz1568/getInfo.php?workbook=18_16.xlsx&amp;sheet=A0&amp;row=94&amp;col=6&amp;number=14348000&amp;sourceID=48","14348000")</f>
        <v>14348000</v>
      </c>
      <c r="G94" s="4" t="str">
        <f>HYPERLINK("http://141.218.60.56/~jnz1568/getInfo.php?workbook=18_16.xlsx&amp;sheet=A0&amp;row=94&amp;col=7&amp;number=&amp;sourceID=49","")</f>
        <v/>
      </c>
      <c r="H94" s="4" t="str">
        <f>HYPERLINK("http://141.218.60.56/~jnz1568/getInfo.php?workbook=18_16.xlsx&amp;sheet=A0&amp;row=94&amp;col=8&amp;number=&amp;sourceID=49","")</f>
        <v/>
      </c>
    </row>
    <row r="95" spans="1:8">
      <c r="A95" s="3">
        <v>18</v>
      </c>
      <c r="B95" s="3">
        <v>16</v>
      </c>
      <c r="C95" s="3">
        <v>38</v>
      </c>
      <c r="D95" s="3">
        <v>5</v>
      </c>
      <c r="E95" s="3">
        <f>((1/(INDEX(E0!J$4:J$87,C95,1)-INDEX(E0!J$4:J$87,D95,1))))*100000000</f>
        <v>0</v>
      </c>
      <c r="F95" s="4" t="str">
        <f>HYPERLINK("http://141.218.60.56/~jnz1568/getInfo.php?workbook=18_16.xlsx&amp;sheet=A0&amp;row=95&amp;col=6&amp;number=1505500&amp;sourceID=48","1505500")</f>
        <v>1505500</v>
      </c>
      <c r="G95" s="4" t="str">
        <f>HYPERLINK("http://141.218.60.56/~jnz1568/getInfo.php?workbook=18_16.xlsx&amp;sheet=A0&amp;row=95&amp;col=7&amp;number=&amp;sourceID=49","")</f>
        <v/>
      </c>
      <c r="H95" s="4" t="str">
        <f>HYPERLINK("http://141.218.60.56/~jnz1568/getInfo.php?workbook=18_16.xlsx&amp;sheet=A0&amp;row=95&amp;col=8&amp;number=&amp;sourceID=49","")</f>
        <v/>
      </c>
    </row>
    <row r="96" spans="1:8">
      <c r="A96" s="3">
        <v>18</v>
      </c>
      <c r="B96" s="3">
        <v>16</v>
      </c>
      <c r="C96" s="3">
        <v>39</v>
      </c>
      <c r="D96" s="3">
        <v>1</v>
      </c>
      <c r="E96" s="3">
        <f>((1/(INDEX(E0!J$4:J$87,C96,1)-INDEX(E0!J$4:J$87,D96,1))))*100000000</f>
        <v>0</v>
      </c>
      <c r="F96" s="4" t="str">
        <f>HYPERLINK("http://141.218.60.56/~jnz1568/getInfo.php?workbook=18_16.xlsx&amp;sheet=A0&amp;row=96&amp;col=6&amp;number=1216800000&amp;sourceID=48","1216800000")</f>
        <v>1216800000</v>
      </c>
      <c r="G96" s="4" t="str">
        <f>HYPERLINK("http://141.218.60.56/~jnz1568/getInfo.php?workbook=18_16.xlsx&amp;sheet=A0&amp;row=96&amp;col=7&amp;number=&amp;sourceID=49","")</f>
        <v/>
      </c>
      <c r="H96" s="4" t="str">
        <f>HYPERLINK("http://141.218.60.56/~jnz1568/getInfo.php?workbook=18_16.xlsx&amp;sheet=A0&amp;row=96&amp;col=8&amp;number=&amp;sourceID=49","")</f>
        <v/>
      </c>
    </row>
    <row r="97" spans="1:8">
      <c r="A97" s="3">
        <v>18</v>
      </c>
      <c r="B97" s="3">
        <v>16</v>
      </c>
      <c r="C97" s="3">
        <v>39</v>
      </c>
      <c r="D97" s="3">
        <v>2</v>
      </c>
      <c r="E97" s="3">
        <f>((1/(INDEX(E0!J$4:J$87,C97,1)-INDEX(E0!J$4:J$87,D97,1))))*100000000</f>
        <v>0</v>
      </c>
      <c r="F97" s="4" t="str">
        <f>HYPERLINK("http://141.218.60.56/~jnz1568/getInfo.php?workbook=18_16.xlsx&amp;sheet=A0&amp;row=97&amp;col=6&amp;number=2363300000&amp;sourceID=48","2363300000")</f>
        <v>2363300000</v>
      </c>
      <c r="G97" s="4" t="str">
        <f>HYPERLINK("http://141.218.60.56/~jnz1568/getInfo.php?workbook=18_16.xlsx&amp;sheet=A0&amp;row=97&amp;col=7&amp;number=&amp;sourceID=49","")</f>
        <v/>
      </c>
      <c r="H97" s="4" t="str">
        <f>HYPERLINK("http://141.218.60.56/~jnz1568/getInfo.php?workbook=18_16.xlsx&amp;sheet=A0&amp;row=97&amp;col=8&amp;number=&amp;sourceID=49","")</f>
        <v/>
      </c>
    </row>
    <row r="98" spans="1:8">
      <c r="A98" s="3">
        <v>18</v>
      </c>
      <c r="B98" s="3">
        <v>16</v>
      </c>
      <c r="C98" s="3">
        <v>39</v>
      </c>
      <c r="D98" s="3">
        <v>4</v>
      </c>
      <c r="E98" s="3">
        <f>((1/(INDEX(E0!J$4:J$87,C98,1)-INDEX(E0!J$4:J$87,D98,1))))*100000000</f>
        <v>0</v>
      </c>
      <c r="F98" s="4" t="str">
        <f>HYPERLINK("http://141.218.60.56/~jnz1568/getInfo.php?workbook=18_16.xlsx&amp;sheet=A0&amp;row=98&amp;col=6&amp;number=26755&amp;sourceID=48","26755")</f>
        <v>26755</v>
      </c>
      <c r="G98" s="4" t="str">
        <f>HYPERLINK("http://141.218.60.56/~jnz1568/getInfo.php?workbook=18_16.xlsx&amp;sheet=A0&amp;row=98&amp;col=7&amp;number=&amp;sourceID=49","")</f>
        <v/>
      </c>
      <c r="H98" s="4" t="str">
        <f>HYPERLINK("http://141.218.60.56/~jnz1568/getInfo.php?workbook=18_16.xlsx&amp;sheet=A0&amp;row=98&amp;col=8&amp;number=&amp;sourceID=49","")</f>
        <v/>
      </c>
    </row>
    <row r="99" spans="1:8">
      <c r="A99" s="3">
        <v>18</v>
      </c>
      <c r="B99" s="3">
        <v>16</v>
      </c>
      <c r="C99" s="3">
        <v>40</v>
      </c>
      <c r="D99" s="3">
        <v>1</v>
      </c>
      <c r="E99" s="3">
        <f>((1/(INDEX(E0!J$4:J$87,C99,1)-INDEX(E0!J$4:J$87,D99,1))))*100000000</f>
        <v>0</v>
      </c>
      <c r="F99" s="4" t="str">
        <f>HYPERLINK("http://141.218.60.56/~jnz1568/getInfo.php?workbook=18_16.xlsx&amp;sheet=A0&amp;row=99&amp;col=6&amp;number=3704300000&amp;sourceID=48","3704300000")</f>
        <v>3704300000</v>
      </c>
      <c r="G99" s="4" t="str">
        <f>HYPERLINK("http://141.218.60.56/~jnz1568/getInfo.php?workbook=18_16.xlsx&amp;sheet=A0&amp;row=99&amp;col=7&amp;number=&amp;sourceID=49","")</f>
        <v/>
      </c>
      <c r="H99" s="4" t="str">
        <f>HYPERLINK("http://141.218.60.56/~jnz1568/getInfo.php?workbook=18_16.xlsx&amp;sheet=A0&amp;row=99&amp;col=8&amp;number=&amp;sourceID=49","")</f>
        <v/>
      </c>
    </row>
    <row r="100" spans="1:8">
      <c r="A100" s="3">
        <v>18</v>
      </c>
      <c r="B100" s="3">
        <v>16</v>
      </c>
      <c r="C100" s="3">
        <v>40</v>
      </c>
      <c r="D100" s="3">
        <v>4</v>
      </c>
      <c r="E100" s="3">
        <f>((1/(INDEX(E0!J$4:J$87,C100,1)-INDEX(E0!J$4:J$87,D100,1))))*100000000</f>
        <v>0</v>
      </c>
      <c r="F100" s="4" t="str">
        <f>HYPERLINK("http://141.218.60.56/~jnz1568/getInfo.php?workbook=18_16.xlsx&amp;sheet=A0&amp;row=100&amp;col=6&amp;number=7841500&amp;sourceID=48","7841500")</f>
        <v>7841500</v>
      </c>
      <c r="G100" s="4" t="str">
        <f>HYPERLINK("http://141.218.60.56/~jnz1568/getInfo.php?workbook=18_16.xlsx&amp;sheet=A0&amp;row=100&amp;col=7&amp;number=&amp;sourceID=49","")</f>
        <v/>
      </c>
      <c r="H100" s="4" t="str">
        <f>HYPERLINK("http://141.218.60.56/~jnz1568/getInfo.php?workbook=18_16.xlsx&amp;sheet=A0&amp;row=100&amp;col=8&amp;number=&amp;sourceID=49","")</f>
        <v/>
      </c>
    </row>
    <row r="101" spans="1:8">
      <c r="A101" s="3">
        <v>18</v>
      </c>
      <c r="B101" s="3">
        <v>16</v>
      </c>
      <c r="C101" s="3">
        <v>41</v>
      </c>
      <c r="D101" s="3">
        <v>1</v>
      </c>
      <c r="E101" s="3">
        <f>((1/(INDEX(E0!J$4:J$87,C101,1)-INDEX(E0!J$4:J$87,D101,1))))*100000000</f>
        <v>0</v>
      </c>
      <c r="F101" s="4" t="str">
        <f>HYPERLINK("http://141.218.60.56/~jnz1568/getInfo.php?workbook=18_16.xlsx&amp;sheet=A0&amp;row=101&amp;col=6&amp;number=114500000&amp;sourceID=48","114500000")</f>
        <v>114500000</v>
      </c>
      <c r="G101" s="4" t="str">
        <f>HYPERLINK("http://141.218.60.56/~jnz1568/getInfo.php?workbook=18_16.xlsx&amp;sheet=A0&amp;row=101&amp;col=7&amp;number=&amp;sourceID=49","")</f>
        <v/>
      </c>
      <c r="H101" s="4" t="str">
        <f>HYPERLINK("http://141.218.60.56/~jnz1568/getInfo.php?workbook=18_16.xlsx&amp;sheet=A0&amp;row=101&amp;col=8&amp;number=&amp;sourceID=49","")</f>
        <v/>
      </c>
    </row>
    <row r="102" spans="1:8">
      <c r="A102" s="3">
        <v>18</v>
      </c>
      <c r="B102" s="3">
        <v>16</v>
      </c>
      <c r="C102" s="3">
        <v>41</v>
      </c>
      <c r="D102" s="3">
        <v>2</v>
      </c>
      <c r="E102" s="3">
        <f>((1/(INDEX(E0!J$4:J$87,C102,1)-INDEX(E0!J$4:J$87,D102,1))))*100000000</f>
        <v>0</v>
      </c>
      <c r="F102" s="4" t="str">
        <f>HYPERLINK("http://141.218.60.56/~jnz1568/getInfo.php?workbook=18_16.xlsx&amp;sheet=A0&amp;row=102&amp;col=6&amp;number=20127000&amp;sourceID=48","20127000")</f>
        <v>20127000</v>
      </c>
      <c r="G102" s="4" t="str">
        <f>HYPERLINK("http://141.218.60.56/~jnz1568/getInfo.php?workbook=18_16.xlsx&amp;sheet=A0&amp;row=102&amp;col=7&amp;number=&amp;sourceID=49","")</f>
        <v/>
      </c>
      <c r="H102" s="4" t="str">
        <f>HYPERLINK("http://141.218.60.56/~jnz1568/getInfo.php?workbook=18_16.xlsx&amp;sheet=A0&amp;row=102&amp;col=8&amp;number=&amp;sourceID=49","")</f>
        <v/>
      </c>
    </row>
    <row r="103" spans="1:8">
      <c r="A103" s="3">
        <v>18</v>
      </c>
      <c r="B103" s="3">
        <v>16</v>
      </c>
      <c r="C103" s="3">
        <v>41</v>
      </c>
      <c r="D103" s="3">
        <v>4</v>
      </c>
      <c r="E103" s="3">
        <f>((1/(INDEX(E0!J$4:J$87,C103,1)-INDEX(E0!J$4:J$87,D103,1))))*100000000</f>
        <v>0</v>
      </c>
      <c r="F103" s="4" t="str">
        <f>HYPERLINK("http://141.218.60.56/~jnz1568/getInfo.php?workbook=18_16.xlsx&amp;sheet=A0&amp;row=103&amp;col=6&amp;number=6905400000&amp;sourceID=48","6905400000")</f>
        <v>6905400000</v>
      </c>
      <c r="G103" s="4" t="str">
        <f>HYPERLINK("http://141.218.60.56/~jnz1568/getInfo.php?workbook=18_16.xlsx&amp;sheet=A0&amp;row=103&amp;col=7&amp;number=&amp;sourceID=49","")</f>
        <v/>
      </c>
      <c r="H103" s="4" t="str">
        <f>HYPERLINK("http://141.218.60.56/~jnz1568/getInfo.php?workbook=18_16.xlsx&amp;sheet=A0&amp;row=103&amp;col=8&amp;number=&amp;sourceID=49","")</f>
        <v/>
      </c>
    </row>
    <row r="104" spans="1:8">
      <c r="A104" s="3">
        <v>18</v>
      </c>
      <c r="B104" s="3">
        <v>16</v>
      </c>
      <c r="C104" s="3">
        <v>41</v>
      </c>
      <c r="D104" s="3">
        <v>4</v>
      </c>
      <c r="E104" s="3">
        <f>((1/(INDEX(E0!J$4:J$87,C104,1)-INDEX(E0!J$4:J$87,D104,1))))*100000000</f>
        <v>0</v>
      </c>
      <c r="F104" s="4" t="str">
        <f>HYPERLINK("http://141.218.60.56/~jnz1568/getInfo.php?workbook=18_16.xlsx&amp;sheet=A0&amp;row=104&amp;col=6&amp;number=6905400000&amp;sourceID=48","6905400000")</f>
        <v>6905400000</v>
      </c>
      <c r="G104" s="4" t="str">
        <f>HYPERLINK("http://141.218.60.56/~jnz1568/getInfo.php?workbook=18_16.xlsx&amp;sheet=A0&amp;row=104&amp;col=7&amp;number=&amp;sourceID=49","")</f>
        <v/>
      </c>
      <c r="H104" s="4" t="str">
        <f>HYPERLINK("http://141.218.60.56/~jnz1568/getInfo.php?workbook=18_16.xlsx&amp;sheet=A0&amp;row=104&amp;col=8&amp;number=&amp;sourceID=49","")</f>
        <v/>
      </c>
    </row>
    <row r="105" spans="1:8">
      <c r="A105" s="3">
        <v>18</v>
      </c>
      <c r="B105" s="3">
        <v>16</v>
      </c>
      <c r="C105" s="3">
        <v>42</v>
      </c>
      <c r="D105" s="3">
        <v>1</v>
      </c>
      <c r="E105" s="3">
        <f>((1/(INDEX(E0!J$4:J$87,C105,1)-INDEX(E0!J$4:J$87,D105,1))))*100000000</f>
        <v>0</v>
      </c>
      <c r="F105" s="4" t="str">
        <f>HYPERLINK("http://141.218.60.56/~jnz1568/getInfo.php?workbook=18_16.xlsx&amp;sheet=A0&amp;row=105&amp;col=6&amp;number=248600&amp;sourceID=48","248600")</f>
        <v>248600</v>
      </c>
      <c r="G105" s="4" t="str">
        <f>HYPERLINK("http://141.218.60.56/~jnz1568/getInfo.php?workbook=18_16.xlsx&amp;sheet=A0&amp;row=105&amp;col=7&amp;number=&amp;sourceID=49","")</f>
        <v/>
      </c>
      <c r="H105" s="4" t="str">
        <f>HYPERLINK("http://141.218.60.56/~jnz1568/getInfo.php?workbook=18_16.xlsx&amp;sheet=A0&amp;row=105&amp;col=8&amp;number=&amp;sourceID=49","")</f>
        <v/>
      </c>
    </row>
    <row r="106" spans="1:8">
      <c r="A106" s="3">
        <v>18</v>
      </c>
      <c r="B106" s="3">
        <v>16</v>
      </c>
      <c r="C106" s="3">
        <v>42</v>
      </c>
      <c r="D106" s="3">
        <v>4</v>
      </c>
      <c r="E106" s="3">
        <f>((1/(INDEX(E0!J$4:J$87,C106,1)-INDEX(E0!J$4:J$87,D106,1))))*100000000</f>
        <v>0</v>
      </c>
      <c r="F106" s="4" t="str">
        <f>HYPERLINK("http://141.218.60.56/~jnz1568/getInfo.php?workbook=18_16.xlsx&amp;sheet=A0&amp;row=106&amp;col=6&amp;number=100480000&amp;sourceID=48","100480000")</f>
        <v>100480000</v>
      </c>
      <c r="G106" s="4" t="str">
        <f>HYPERLINK("http://141.218.60.56/~jnz1568/getInfo.php?workbook=18_16.xlsx&amp;sheet=A0&amp;row=106&amp;col=7&amp;number=&amp;sourceID=49","")</f>
        <v/>
      </c>
      <c r="H106" s="4" t="str">
        <f>HYPERLINK("http://141.218.60.56/~jnz1568/getInfo.php?workbook=18_16.xlsx&amp;sheet=A0&amp;row=106&amp;col=8&amp;number=&amp;sourceID=49","")</f>
        <v/>
      </c>
    </row>
    <row r="107" spans="1:8">
      <c r="A107" s="3">
        <v>18</v>
      </c>
      <c r="B107" s="3">
        <v>16</v>
      </c>
      <c r="C107" s="3">
        <v>43</v>
      </c>
      <c r="D107" s="3">
        <v>6</v>
      </c>
      <c r="E107" s="3">
        <f>((1/(INDEX(E0!J$4:J$87,C107,1)-INDEX(E0!J$4:J$87,D107,1))))*100000000</f>
        <v>0</v>
      </c>
      <c r="F107" s="4" t="str">
        <f>HYPERLINK("http://141.218.60.56/~jnz1568/getInfo.php?workbook=18_16.xlsx&amp;sheet=A0&amp;row=107&amp;col=6&amp;number=7858.6&amp;sourceID=48","7858.6")</f>
        <v>7858.6</v>
      </c>
      <c r="G107" s="4" t="str">
        <f>HYPERLINK("http://141.218.60.56/~jnz1568/getInfo.php?workbook=18_16.xlsx&amp;sheet=A0&amp;row=107&amp;col=7&amp;number=&amp;sourceID=49","")</f>
        <v/>
      </c>
      <c r="H107" s="4" t="str">
        <f>HYPERLINK("http://141.218.60.56/~jnz1568/getInfo.php?workbook=18_16.xlsx&amp;sheet=A0&amp;row=107&amp;col=8&amp;number=&amp;sourceID=49","")</f>
        <v/>
      </c>
    </row>
    <row r="108" spans="1:8">
      <c r="A108" s="3">
        <v>18</v>
      </c>
      <c r="B108" s="3">
        <v>16</v>
      </c>
      <c r="C108" s="3">
        <v>43</v>
      </c>
      <c r="D108" s="3">
        <v>7</v>
      </c>
      <c r="E108" s="3">
        <f>((1/(INDEX(E0!J$4:J$87,C108,1)-INDEX(E0!J$4:J$87,D108,1))))*100000000</f>
        <v>0</v>
      </c>
      <c r="F108" s="4" t="str">
        <f>HYPERLINK("http://141.218.60.56/~jnz1568/getInfo.php?workbook=18_16.xlsx&amp;sheet=A0&amp;row=108&amp;col=6&amp;number=46812&amp;sourceID=48","46812")</f>
        <v>46812</v>
      </c>
      <c r="G108" s="4" t="str">
        <f>HYPERLINK("http://141.218.60.56/~jnz1568/getInfo.php?workbook=18_16.xlsx&amp;sheet=A0&amp;row=108&amp;col=7&amp;number=&amp;sourceID=49","")</f>
        <v/>
      </c>
      <c r="H108" s="4" t="str">
        <f>HYPERLINK("http://141.218.60.56/~jnz1568/getInfo.php?workbook=18_16.xlsx&amp;sheet=A0&amp;row=108&amp;col=8&amp;number=&amp;sourceID=49","")</f>
        <v/>
      </c>
    </row>
    <row r="109" spans="1:8">
      <c r="A109" s="3">
        <v>18</v>
      </c>
      <c r="B109" s="3">
        <v>16</v>
      </c>
      <c r="C109" s="3">
        <v>43</v>
      </c>
      <c r="D109" s="3">
        <v>8</v>
      </c>
      <c r="E109" s="3">
        <f>((1/(INDEX(E0!J$4:J$87,C109,1)-INDEX(E0!J$4:J$87,D109,1))))*100000000</f>
        <v>0</v>
      </c>
      <c r="F109" s="4" t="str">
        <f>HYPERLINK("http://141.218.60.56/~jnz1568/getInfo.php?workbook=18_16.xlsx&amp;sheet=A0&amp;row=109&amp;col=6&amp;number=27902&amp;sourceID=48","27902")</f>
        <v>27902</v>
      </c>
      <c r="G109" s="4" t="str">
        <f>HYPERLINK("http://141.218.60.56/~jnz1568/getInfo.php?workbook=18_16.xlsx&amp;sheet=A0&amp;row=109&amp;col=7&amp;number=&amp;sourceID=49","")</f>
        <v/>
      </c>
      <c r="H109" s="4" t="str">
        <f>HYPERLINK("http://141.218.60.56/~jnz1568/getInfo.php?workbook=18_16.xlsx&amp;sheet=A0&amp;row=109&amp;col=8&amp;number=&amp;sourceID=49","")</f>
        <v/>
      </c>
    </row>
    <row r="110" spans="1:8">
      <c r="A110" s="3">
        <v>18</v>
      </c>
      <c r="B110" s="3">
        <v>16</v>
      </c>
      <c r="C110" s="3">
        <v>43</v>
      </c>
      <c r="D110" s="3">
        <v>9</v>
      </c>
      <c r="E110" s="3">
        <f>((1/(INDEX(E0!J$4:J$87,C110,1)-INDEX(E0!J$4:J$87,D110,1))))*100000000</f>
        <v>0</v>
      </c>
      <c r="F110" s="4" t="str">
        <f>HYPERLINK("http://141.218.60.56/~jnz1568/getInfo.php?workbook=18_16.xlsx&amp;sheet=A0&amp;row=110&amp;col=6&amp;number=423.1&amp;sourceID=48","423.1")</f>
        <v>423.1</v>
      </c>
      <c r="G110" s="4" t="str">
        <f>HYPERLINK("http://141.218.60.56/~jnz1568/getInfo.php?workbook=18_16.xlsx&amp;sheet=A0&amp;row=110&amp;col=7&amp;number=&amp;sourceID=49","")</f>
        <v/>
      </c>
      <c r="H110" s="4" t="str">
        <f>HYPERLINK("http://141.218.60.56/~jnz1568/getInfo.php?workbook=18_16.xlsx&amp;sheet=A0&amp;row=110&amp;col=8&amp;number=&amp;sourceID=49","")</f>
        <v/>
      </c>
    </row>
    <row r="111" spans="1:8">
      <c r="A111" s="3">
        <v>18</v>
      </c>
      <c r="B111" s="3">
        <v>16</v>
      </c>
      <c r="C111" s="3">
        <v>43</v>
      </c>
      <c r="D111" s="3">
        <v>10</v>
      </c>
      <c r="E111" s="3">
        <f>((1/(INDEX(E0!J$4:J$87,C111,1)-INDEX(E0!J$4:J$87,D111,1))))*100000000</f>
        <v>0</v>
      </c>
      <c r="F111" s="4" t="str">
        <f>HYPERLINK("http://141.218.60.56/~jnz1568/getInfo.php?workbook=18_16.xlsx&amp;sheet=A0&amp;row=111&amp;col=6&amp;number=96893000&amp;sourceID=48","96893000")</f>
        <v>96893000</v>
      </c>
      <c r="G111" s="4" t="str">
        <f>HYPERLINK("http://141.218.60.56/~jnz1568/getInfo.php?workbook=18_16.xlsx&amp;sheet=A0&amp;row=111&amp;col=7&amp;number=&amp;sourceID=49","")</f>
        <v/>
      </c>
      <c r="H111" s="4" t="str">
        <f>HYPERLINK("http://141.218.60.56/~jnz1568/getInfo.php?workbook=18_16.xlsx&amp;sheet=A0&amp;row=111&amp;col=8&amp;number=&amp;sourceID=49","")</f>
        <v/>
      </c>
    </row>
    <row r="112" spans="1:8">
      <c r="A112" s="3">
        <v>18</v>
      </c>
      <c r="B112" s="3">
        <v>16</v>
      </c>
      <c r="C112" s="3">
        <v>43</v>
      </c>
      <c r="D112" s="3">
        <v>11</v>
      </c>
      <c r="E112" s="3">
        <f>((1/(INDEX(E0!J$4:J$87,C112,1)-INDEX(E0!J$4:J$87,D112,1))))*100000000</f>
        <v>0</v>
      </c>
      <c r="F112" s="4" t="str">
        <f>HYPERLINK("http://141.218.60.56/~jnz1568/getInfo.php?workbook=18_16.xlsx&amp;sheet=A0&amp;row=112&amp;col=6&amp;number=217980000&amp;sourceID=48","217980000")</f>
        <v>217980000</v>
      </c>
      <c r="G112" s="4" t="str">
        <f>HYPERLINK("http://141.218.60.56/~jnz1568/getInfo.php?workbook=18_16.xlsx&amp;sheet=A0&amp;row=112&amp;col=7&amp;number=&amp;sourceID=49","")</f>
        <v/>
      </c>
      <c r="H112" s="4" t="str">
        <f>HYPERLINK("http://141.218.60.56/~jnz1568/getInfo.php?workbook=18_16.xlsx&amp;sheet=A0&amp;row=112&amp;col=8&amp;number=&amp;sourceID=49","")</f>
        <v/>
      </c>
    </row>
    <row r="113" spans="1:8">
      <c r="A113" s="3">
        <v>18</v>
      </c>
      <c r="B113" s="3">
        <v>16</v>
      </c>
      <c r="C113" s="3">
        <v>43</v>
      </c>
      <c r="D113" s="3">
        <v>12</v>
      </c>
      <c r="E113" s="3">
        <f>((1/(INDEX(E0!J$4:J$87,C113,1)-INDEX(E0!J$4:J$87,D113,1))))*100000000</f>
        <v>0</v>
      </c>
      <c r="F113" s="4" t="str">
        <f>HYPERLINK("http://141.218.60.56/~jnz1568/getInfo.php?workbook=18_16.xlsx&amp;sheet=A0&amp;row=113&amp;col=6&amp;number=169580000&amp;sourceID=48","169580000")</f>
        <v>169580000</v>
      </c>
      <c r="G113" s="4" t="str">
        <f>HYPERLINK("http://141.218.60.56/~jnz1568/getInfo.php?workbook=18_16.xlsx&amp;sheet=A0&amp;row=113&amp;col=7&amp;number=&amp;sourceID=49","")</f>
        <v/>
      </c>
      <c r="H113" s="4" t="str">
        <f>HYPERLINK("http://141.218.60.56/~jnz1568/getInfo.php?workbook=18_16.xlsx&amp;sheet=A0&amp;row=113&amp;col=8&amp;number=&amp;sourceID=49","")</f>
        <v/>
      </c>
    </row>
    <row r="114" spans="1:8">
      <c r="A114" s="3">
        <v>18</v>
      </c>
      <c r="B114" s="3">
        <v>16</v>
      </c>
      <c r="C114" s="3">
        <v>43</v>
      </c>
      <c r="D114" s="3">
        <v>16</v>
      </c>
      <c r="E114" s="3">
        <f>((1/(INDEX(E0!J$4:J$87,C114,1)-INDEX(E0!J$4:J$87,D114,1))))*100000000</f>
        <v>0</v>
      </c>
      <c r="F114" s="4" t="str">
        <f>HYPERLINK("http://141.218.60.56/~jnz1568/getInfo.php?workbook=18_16.xlsx&amp;sheet=A0&amp;row=114&amp;col=6&amp;number=84142&amp;sourceID=48","84142")</f>
        <v>84142</v>
      </c>
      <c r="G114" s="4" t="str">
        <f>HYPERLINK("http://141.218.60.56/~jnz1568/getInfo.php?workbook=18_16.xlsx&amp;sheet=A0&amp;row=114&amp;col=7&amp;number=&amp;sourceID=49","")</f>
        <v/>
      </c>
      <c r="H114" s="4" t="str">
        <f>HYPERLINK("http://141.218.60.56/~jnz1568/getInfo.php?workbook=18_16.xlsx&amp;sheet=A0&amp;row=114&amp;col=8&amp;number=&amp;sourceID=49","")</f>
        <v/>
      </c>
    </row>
    <row r="115" spans="1:8">
      <c r="A115" s="3">
        <v>18</v>
      </c>
      <c r="B115" s="3">
        <v>16</v>
      </c>
      <c r="C115" s="3">
        <v>43</v>
      </c>
      <c r="D115" s="3">
        <v>17</v>
      </c>
      <c r="E115" s="3">
        <f>((1/(INDEX(E0!J$4:J$87,C115,1)-INDEX(E0!J$4:J$87,D115,1))))*100000000</f>
        <v>0</v>
      </c>
      <c r="F115" s="4" t="str">
        <f>HYPERLINK("http://141.218.60.56/~jnz1568/getInfo.php?workbook=18_16.xlsx&amp;sheet=A0&amp;row=115&amp;col=6&amp;number=59038&amp;sourceID=48","59038")</f>
        <v>59038</v>
      </c>
      <c r="G115" s="4" t="str">
        <f>HYPERLINK("http://141.218.60.56/~jnz1568/getInfo.php?workbook=18_16.xlsx&amp;sheet=A0&amp;row=115&amp;col=7&amp;number=&amp;sourceID=49","")</f>
        <v/>
      </c>
      <c r="H115" s="4" t="str">
        <f>HYPERLINK("http://141.218.60.56/~jnz1568/getInfo.php?workbook=18_16.xlsx&amp;sheet=A0&amp;row=115&amp;col=8&amp;number=&amp;sourceID=49","")</f>
        <v/>
      </c>
    </row>
    <row r="116" spans="1:8">
      <c r="A116" s="3">
        <v>18</v>
      </c>
      <c r="B116" s="3">
        <v>16</v>
      </c>
      <c r="C116" s="3">
        <v>43</v>
      </c>
      <c r="D116" s="3">
        <v>18</v>
      </c>
      <c r="E116" s="3">
        <f>((1/(INDEX(E0!J$4:J$87,C116,1)-INDEX(E0!J$4:J$87,D116,1))))*100000000</f>
        <v>0</v>
      </c>
      <c r="F116" s="4" t="str">
        <f>HYPERLINK("http://141.218.60.56/~jnz1568/getInfo.php?workbook=18_16.xlsx&amp;sheet=A0&amp;row=116&amp;col=6&amp;number=34.515&amp;sourceID=48","34.515")</f>
        <v>34.515</v>
      </c>
      <c r="G116" s="4" t="str">
        <f>HYPERLINK("http://141.218.60.56/~jnz1568/getInfo.php?workbook=18_16.xlsx&amp;sheet=A0&amp;row=116&amp;col=7&amp;number=&amp;sourceID=49","")</f>
        <v/>
      </c>
      <c r="H116" s="4" t="str">
        <f>HYPERLINK("http://141.218.60.56/~jnz1568/getInfo.php?workbook=18_16.xlsx&amp;sheet=A0&amp;row=116&amp;col=8&amp;number=&amp;sourceID=49","")</f>
        <v/>
      </c>
    </row>
    <row r="117" spans="1:8">
      <c r="A117" s="3">
        <v>18</v>
      </c>
      <c r="B117" s="3">
        <v>16</v>
      </c>
      <c r="C117" s="3">
        <v>43</v>
      </c>
      <c r="D117" s="3">
        <v>19</v>
      </c>
      <c r="E117" s="3">
        <f>((1/(INDEX(E0!J$4:J$87,C117,1)-INDEX(E0!J$4:J$87,D117,1))))*100000000</f>
        <v>0</v>
      </c>
      <c r="F117" s="4" t="str">
        <f>HYPERLINK("http://141.218.60.56/~jnz1568/getInfo.php?workbook=18_16.xlsx&amp;sheet=A0&amp;row=117&amp;col=6&amp;number=184.02&amp;sourceID=48","184.02")</f>
        <v>184.02</v>
      </c>
      <c r="G117" s="4" t="str">
        <f>HYPERLINK("http://141.218.60.56/~jnz1568/getInfo.php?workbook=18_16.xlsx&amp;sheet=A0&amp;row=117&amp;col=7&amp;number=&amp;sourceID=49","")</f>
        <v/>
      </c>
      <c r="H117" s="4" t="str">
        <f>HYPERLINK("http://141.218.60.56/~jnz1568/getInfo.php?workbook=18_16.xlsx&amp;sheet=A0&amp;row=117&amp;col=8&amp;number=&amp;sourceID=49","")</f>
        <v/>
      </c>
    </row>
    <row r="118" spans="1:8">
      <c r="A118" s="3">
        <v>18</v>
      </c>
      <c r="B118" s="3">
        <v>16</v>
      </c>
      <c r="C118" s="3">
        <v>43</v>
      </c>
      <c r="D118" s="3">
        <v>25</v>
      </c>
      <c r="E118" s="3">
        <f>((1/(INDEX(E0!J$4:J$87,C118,1)-INDEX(E0!J$4:J$87,D118,1))))*100000000</f>
        <v>0</v>
      </c>
      <c r="F118" s="4" t="str">
        <f>HYPERLINK("http://141.218.60.56/~jnz1568/getInfo.php?workbook=18_16.xlsx&amp;sheet=A0&amp;row=118&amp;col=6&amp;number=203400000&amp;sourceID=48","203400000")</f>
        <v>203400000</v>
      </c>
      <c r="G118" s="4" t="str">
        <f>HYPERLINK("http://141.218.60.56/~jnz1568/getInfo.php?workbook=18_16.xlsx&amp;sheet=A0&amp;row=118&amp;col=7&amp;number=&amp;sourceID=49","")</f>
        <v/>
      </c>
      <c r="H118" s="4" t="str">
        <f>HYPERLINK("http://141.218.60.56/~jnz1568/getInfo.php?workbook=18_16.xlsx&amp;sheet=A0&amp;row=118&amp;col=8&amp;number=&amp;sourceID=49","")</f>
        <v/>
      </c>
    </row>
    <row r="119" spans="1:8">
      <c r="A119" s="3">
        <v>18</v>
      </c>
      <c r="B119" s="3">
        <v>16</v>
      </c>
      <c r="C119" s="3">
        <v>43</v>
      </c>
      <c r="D119" s="3">
        <v>27</v>
      </c>
      <c r="E119" s="3">
        <f>((1/(INDEX(E0!J$4:J$87,C119,1)-INDEX(E0!J$4:J$87,D119,1))))*100000000</f>
        <v>0</v>
      </c>
      <c r="F119" s="4" t="str">
        <f>HYPERLINK("http://141.218.60.56/~jnz1568/getInfo.php?workbook=18_16.xlsx&amp;sheet=A0&amp;row=119&amp;col=6&amp;number=28.937&amp;sourceID=48","28.937")</f>
        <v>28.937</v>
      </c>
      <c r="G119" s="4" t="str">
        <f>HYPERLINK("http://141.218.60.56/~jnz1568/getInfo.php?workbook=18_16.xlsx&amp;sheet=A0&amp;row=119&amp;col=7&amp;number=&amp;sourceID=49","")</f>
        <v/>
      </c>
      <c r="H119" s="4" t="str">
        <f>HYPERLINK("http://141.218.60.56/~jnz1568/getInfo.php?workbook=18_16.xlsx&amp;sheet=A0&amp;row=119&amp;col=8&amp;number=&amp;sourceID=49","")</f>
        <v/>
      </c>
    </row>
    <row r="120" spans="1:8">
      <c r="A120" s="3">
        <v>18</v>
      </c>
      <c r="B120" s="3">
        <v>16</v>
      </c>
      <c r="C120" s="3">
        <v>43</v>
      </c>
      <c r="D120" s="3">
        <v>28</v>
      </c>
      <c r="E120" s="3">
        <f>((1/(INDEX(E0!J$4:J$87,C120,1)-INDEX(E0!J$4:J$87,D120,1))))*100000000</f>
        <v>0</v>
      </c>
      <c r="F120" s="4" t="str">
        <f>HYPERLINK("http://141.218.60.56/~jnz1568/getInfo.php?workbook=18_16.xlsx&amp;sheet=A0&amp;row=120&amp;col=6&amp;number=112220&amp;sourceID=48","112220")</f>
        <v>112220</v>
      </c>
      <c r="G120" s="4" t="str">
        <f>HYPERLINK("http://141.218.60.56/~jnz1568/getInfo.php?workbook=18_16.xlsx&amp;sheet=A0&amp;row=120&amp;col=7&amp;number=&amp;sourceID=49","")</f>
        <v/>
      </c>
      <c r="H120" s="4" t="str">
        <f>HYPERLINK("http://141.218.60.56/~jnz1568/getInfo.php?workbook=18_16.xlsx&amp;sheet=A0&amp;row=120&amp;col=8&amp;number=&amp;sourceID=49","")</f>
        <v/>
      </c>
    </row>
    <row r="121" spans="1:8">
      <c r="A121" s="3">
        <v>18</v>
      </c>
      <c r="B121" s="3">
        <v>16</v>
      </c>
      <c r="C121" s="3">
        <v>43</v>
      </c>
      <c r="D121" s="3">
        <v>31</v>
      </c>
      <c r="E121" s="3">
        <f>((1/(INDEX(E0!J$4:J$87,C121,1)-INDEX(E0!J$4:J$87,D121,1))))*100000000</f>
        <v>0</v>
      </c>
      <c r="F121" s="4" t="str">
        <f>HYPERLINK("http://141.218.60.56/~jnz1568/getInfo.php?workbook=18_16.xlsx&amp;sheet=A0&amp;row=121&amp;col=6&amp;number=0.15515&amp;sourceID=48","0.15515")</f>
        <v>0.15515</v>
      </c>
      <c r="G121" s="4" t="str">
        <f>HYPERLINK("http://141.218.60.56/~jnz1568/getInfo.php?workbook=18_16.xlsx&amp;sheet=A0&amp;row=121&amp;col=7&amp;number=&amp;sourceID=49","")</f>
        <v/>
      </c>
      <c r="H121" s="4" t="str">
        <f>HYPERLINK("http://141.218.60.56/~jnz1568/getInfo.php?workbook=18_16.xlsx&amp;sheet=A0&amp;row=121&amp;col=8&amp;number=&amp;sourceID=49","")</f>
        <v/>
      </c>
    </row>
    <row r="122" spans="1:8">
      <c r="A122" s="3">
        <v>18</v>
      </c>
      <c r="B122" s="3">
        <v>16</v>
      </c>
      <c r="C122" s="3">
        <v>43</v>
      </c>
      <c r="D122" s="3">
        <v>32</v>
      </c>
      <c r="E122" s="3">
        <f>((1/(INDEX(E0!J$4:J$87,C122,1)-INDEX(E0!J$4:J$87,D122,1))))*100000000</f>
        <v>0</v>
      </c>
      <c r="F122" s="4" t="str">
        <f>HYPERLINK("http://141.218.60.56/~jnz1568/getInfo.php?workbook=18_16.xlsx&amp;sheet=A0&amp;row=122&amp;col=6&amp;number=3074.7&amp;sourceID=48","3074.7")</f>
        <v>3074.7</v>
      </c>
      <c r="G122" s="4" t="str">
        <f>HYPERLINK("http://141.218.60.56/~jnz1568/getInfo.php?workbook=18_16.xlsx&amp;sheet=A0&amp;row=122&amp;col=7&amp;number=&amp;sourceID=49","")</f>
        <v/>
      </c>
      <c r="H122" s="4" t="str">
        <f>HYPERLINK("http://141.218.60.56/~jnz1568/getInfo.php?workbook=18_16.xlsx&amp;sheet=A0&amp;row=122&amp;col=8&amp;number=&amp;sourceID=49","")</f>
        <v/>
      </c>
    </row>
    <row r="123" spans="1:8">
      <c r="A123" s="3">
        <v>18</v>
      </c>
      <c r="B123" s="3">
        <v>16</v>
      </c>
      <c r="C123" s="3">
        <v>43</v>
      </c>
      <c r="D123" s="3">
        <v>33</v>
      </c>
      <c r="E123" s="3">
        <f>((1/(INDEX(E0!J$4:J$87,C123,1)-INDEX(E0!J$4:J$87,D123,1))))*100000000</f>
        <v>0</v>
      </c>
      <c r="F123" s="4" t="str">
        <f>HYPERLINK("http://141.218.60.56/~jnz1568/getInfo.php?workbook=18_16.xlsx&amp;sheet=A0&amp;row=123&amp;col=6&amp;number=2718.1&amp;sourceID=48","2718.1")</f>
        <v>2718.1</v>
      </c>
      <c r="G123" s="4" t="str">
        <f>HYPERLINK("http://141.218.60.56/~jnz1568/getInfo.php?workbook=18_16.xlsx&amp;sheet=A0&amp;row=123&amp;col=7&amp;number=&amp;sourceID=49","")</f>
        <v/>
      </c>
      <c r="H123" s="4" t="str">
        <f>HYPERLINK("http://141.218.60.56/~jnz1568/getInfo.php?workbook=18_16.xlsx&amp;sheet=A0&amp;row=123&amp;col=8&amp;number=&amp;sourceID=49","")</f>
        <v/>
      </c>
    </row>
    <row r="124" spans="1:8">
      <c r="A124" s="3">
        <v>18</v>
      </c>
      <c r="B124" s="3">
        <v>16</v>
      </c>
      <c r="C124" s="3">
        <v>43</v>
      </c>
      <c r="D124" s="3">
        <v>34</v>
      </c>
      <c r="E124" s="3">
        <f>((1/(INDEX(E0!J$4:J$87,C124,1)-INDEX(E0!J$4:J$87,D124,1))))*100000000</f>
        <v>0</v>
      </c>
      <c r="F124" s="4" t="str">
        <f>HYPERLINK("http://141.218.60.56/~jnz1568/getInfo.php?workbook=18_16.xlsx&amp;sheet=A0&amp;row=124&amp;col=6&amp;number=131.58&amp;sourceID=48","131.58")</f>
        <v>131.58</v>
      </c>
      <c r="G124" s="4" t="str">
        <f>HYPERLINK("http://141.218.60.56/~jnz1568/getInfo.php?workbook=18_16.xlsx&amp;sheet=A0&amp;row=124&amp;col=7&amp;number=&amp;sourceID=49","")</f>
        <v/>
      </c>
      <c r="H124" s="4" t="str">
        <f>HYPERLINK("http://141.218.60.56/~jnz1568/getInfo.php?workbook=18_16.xlsx&amp;sheet=A0&amp;row=124&amp;col=8&amp;number=&amp;sourceID=49","")</f>
        <v/>
      </c>
    </row>
    <row r="125" spans="1:8">
      <c r="A125" s="3">
        <v>18</v>
      </c>
      <c r="B125" s="3">
        <v>16</v>
      </c>
      <c r="C125" s="3">
        <v>43</v>
      </c>
      <c r="D125" s="3">
        <v>35</v>
      </c>
      <c r="E125" s="3">
        <f>((1/(INDEX(E0!J$4:J$87,C125,1)-INDEX(E0!J$4:J$87,D125,1))))*100000000</f>
        <v>0</v>
      </c>
      <c r="F125" s="4" t="str">
        <f>HYPERLINK("http://141.218.60.56/~jnz1568/getInfo.php?workbook=18_16.xlsx&amp;sheet=A0&amp;row=125&amp;col=6&amp;number=1760.9&amp;sourceID=48","1760.9")</f>
        <v>1760.9</v>
      </c>
      <c r="G125" s="4" t="str">
        <f>HYPERLINK("http://141.218.60.56/~jnz1568/getInfo.php?workbook=18_16.xlsx&amp;sheet=A0&amp;row=125&amp;col=7&amp;number=&amp;sourceID=49","")</f>
        <v/>
      </c>
      <c r="H125" s="4" t="str">
        <f>HYPERLINK("http://141.218.60.56/~jnz1568/getInfo.php?workbook=18_16.xlsx&amp;sheet=A0&amp;row=125&amp;col=8&amp;number=&amp;sourceID=49","")</f>
        <v/>
      </c>
    </row>
    <row r="126" spans="1:8">
      <c r="A126" s="3">
        <v>18</v>
      </c>
      <c r="B126" s="3">
        <v>16</v>
      </c>
      <c r="C126" s="3">
        <v>43</v>
      </c>
      <c r="D126" s="3">
        <v>37</v>
      </c>
      <c r="E126" s="3">
        <f>((1/(INDEX(E0!J$4:J$87,C126,1)-INDEX(E0!J$4:J$87,D126,1))))*100000000</f>
        <v>0</v>
      </c>
      <c r="F126" s="4" t="str">
        <f>HYPERLINK("http://141.218.60.56/~jnz1568/getInfo.php?workbook=18_16.xlsx&amp;sheet=A0&amp;row=126&amp;col=6&amp;number=214.85&amp;sourceID=48","214.85")</f>
        <v>214.85</v>
      </c>
      <c r="G126" s="4" t="str">
        <f>HYPERLINK("http://141.218.60.56/~jnz1568/getInfo.php?workbook=18_16.xlsx&amp;sheet=A0&amp;row=126&amp;col=7&amp;number=&amp;sourceID=49","")</f>
        <v/>
      </c>
      <c r="H126" s="4" t="str">
        <f>HYPERLINK("http://141.218.60.56/~jnz1568/getInfo.php?workbook=18_16.xlsx&amp;sheet=A0&amp;row=126&amp;col=8&amp;number=&amp;sourceID=49","")</f>
        <v/>
      </c>
    </row>
    <row r="127" spans="1:8">
      <c r="A127" s="3">
        <v>18</v>
      </c>
      <c r="B127" s="3">
        <v>16</v>
      </c>
      <c r="C127" s="3">
        <v>43</v>
      </c>
      <c r="D127" s="3">
        <v>38</v>
      </c>
      <c r="E127" s="3">
        <f>((1/(INDEX(E0!J$4:J$87,C127,1)-INDEX(E0!J$4:J$87,D127,1))))*100000000</f>
        <v>0</v>
      </c>
      <c r="F127" s="4" t="str">
        <f>HYPERLINK("http://141.218.60.56/~jnz1568/getInfo.php?workbook=18_16.xlsx&amp;sheet=A0&amp;row=127&amp;col=6&amp;number=80.913&amp;sourceID=48","80.913")</f>
        <v>80.913</v>
      </c>
      <c r="G127" s="4" t="str">
        <f>HYPERLINK("http://141.218.60.56/~jnz1568/getInfo.php?workbook=18_16.xlsx&amp;sheet=A0&amp;row=127&amp;col=7&amp;number=&amp;sourceID=49","")</f>
        <v/>
      </c>
      <c r="H127" s="4" t="str">
        <f>HYPERLINK("http://141.218.60.56/~jnz1568/getInfo.php?workbook=18_16.xlsx&amp;sheet=A0&amp;row=127&amp;col=8&amp;number=&amp;sourceID=49","")</f>
        <v/>
      </c>
    </row>
    <row r="128" spans="1:8">
      <c r="A128" s="3">
        <v>18</v>
      </c>
      <c r="B128" s="3">
        <v>16</v>
      </c>
      <c r="C128" s="3">
        <v>43</v>
      </c>
      <c r="D128" s="3">
        <v>39</v>
      </c>
      <c r="E128" s="3">
        <f>((1/(INDEX(E0!J$4:J$87,C128,1)-INDEX(E0!J$4:J$87,D128,1))))*100000000</f>
        <v>0</v>
      </c>
      <c r="F128" s="4" t="str">
        <f>HYPERLINK("http://141.218.60.56/~jnz1568/getInfo.php?workbook=18_16.xlsx&amp;sheet=A0&amp;row=128&amp;col=6&amp;number=140&amp;sourceID=48","140")</f>
        <v>140</v>
      </c>
      <c r="G128" s="4" t="str">
        <f>HYPERLINK("http://141.218.60.56/~jnz1568/getInfo.php?workbook=18_16.xlsx&amp;sheet=A0&amp;row=128&amp;col=7&amp;number=&amp;sourceID=49","")</f>
        <v/>
      </c>
      <c r="H128" s="4" t="str">
        <f>HYPERLINK("http://141.218.60.56/~jnz1568/getInfo.php?workbook=18_16.xlsx&amp;sheet=A0&amp;row=128&amp;col=8&amp;number=&amp;sourceID=49","")</f>
        <v/>
      </c>
    </row>
    <row r="129" spans="1:8">
      <c r="A129" s="3">
        <v>18</v>
      </c>
      <c r="B129" s="3">
        <v>16</v>
      </c>
      <c r="C129" s="3">
        <v>43</v>
      </c>
      <c r="D129" s="3">
        <v>41</v>
      </c>
      <c r="E129" s="3">
        <f>((1/(INDEX(E0!J$4:J$87,C129,1)-INDEX(E0!J$4:J$87,D129,1))))*100000000</f>
        <v>0</v>
      </c>
      <c r="F129" s="4" t="str">
        <f>HYPERLINK("http://141.218.60.56/~jnz1568/getInfo.php?workbook=18_16.xlsx&amp;sheet=A0&amp;row=129&amp;col=6&amp;number=0.72208&amp;sourceID=48","0.72208")</f>
        <v>0.72208</v>
      </c>
      <c r="G129" s="4" t="str">
        <f>HYPERLINK("http://141.218.60.56/~jnz1568/getInfo.php?workbook=18_16.xlsx&amp;sheet=A0&amp;row=129&amp;col=7&amp;number=&amp;sourceID=49","")</f>
        <v/>
      </c>
      <c r="H129" s="4" t="str">
        <f>HYPERLINK("http://141.218.60.56/~jnz1568/getInfo.php?workbook=18_16.xlsx&amp;sheet=A0&amp;row=129&amp;col=8&amp;number=&amp;sourceID=49","")</f>
        <v/>
      </c>
    </row>
    <row r="130" spans="1:8">
      <c r="A130" s="3">
        <v>18</v>
      </c>
      <c r="B130" s="3">
        <v>16</v>
      </c>
      <c r="C130" s="3">
        <v>44</v>
      </c>
      <c r="D130" s="3">
        <v>6</v>
      </c>
      <c r="E130" s="3">
        <f>((1/(INDEX(E0!J$4:J$87,C130,1)-INDEX(E0!J$4:J$87,D130,1))))*100000000</f>
        <v>0</v>
      </c>
      <c r="F130" s="4" t="str">
        <f>HYPERLINK("http://141.218.60.56/~jnz1568/getInfo.php?workbook=18_16.xlsx&amp;sheet=A0&amp;row=130&amp;col=6&amp;number=33046&amp;sourceID=48","33046")</f>
        <v>33046</v>
      </c>
      <c r="G130" s="4" t="str">
        <f>HYPERLINK("http://141.218.60.56/~jnz1568/getInfo.php?workbook=18_16.xlsx&amp;sheet=A0&amp;row=130&amp;col=7&amp;number=&amp;sourceID=49","")</f>
        <v/>
      </c>
      <c r="H130" s="4" t="str">
        <f>HYPERLINK("http://141.218.60.56/~jnz1568/getInfo.php?workbook=18_16.xlsx&amp;sheet=A0&amp;row=130&amp;col=8&amp;number=&amp;sourceID=49","")</f>
        <v/>
      </c>
    </row>
    <row r="131" spans="1:8">
      <c r="A131" s="3">
        <v>18</v>
      </c>
      <c r="B131" s="3">
        <v>16</v>
      </c>
      <c r="C131" s="3">
        <v>44</v>
      </c>
      <c r="D131" s="3">
        <v>7</v>
      </c>
      <c r="E131" s="3">
        <f>((1/(INDEX(E0!J$4:J$87,C131,1)-INDEX(E0!J$4:J$87,D131,1))))*100000000</f>
        <v>0</v>
      </c>
      <c r="F131" s="4" t="str">
        <f>HYPERLINK("http://141.218.60.56/~jnz1568/getInfo.php?workbook=18_16.xlsx&amp;sheet=A0&amp;row=131&amp;col=6&amp;number=17288&amp;sourceID=48","17288")</f>
        <v>17288</v>
      </c>
      <c r="G131" s="4" t="str">
        <f>HYPERLINK("http://141.218.60.56/~jnz1568/getInfo.php?workbook=18_16.xlsx&amp;sheet=A0&amp;row=131&amp;col=7&amp;number=&amp;sourceID=49","")</f>
        <v/>
      </c>
      <c r="H131" s="4" t="str">
        <f>HYPERLINK("http://141.218.60.56/~jnz1568/getInfo.php?workbook=18_16.xlsx&amp;sheet=A0&amp;row=131&amp;col=8&amp;number=&amp;sourceID=49","")</f>
        <v/>
      </c>
    </row>
    <row r="132" spans="1:8">
      <c r="A132" s="3">
        <v>18</v>
      </c>
      <c r="B132" s="3">
        <v>16</v>
      </c>
      <c r="C132" s="3">
        <v>44</v>
      </c>
      <c r="D132" s="3">
        <v>9</v>
      </c>
      <c r="E132" s="3">
        <f>((1/(INDEX(E0!J$4:J$87,C132,1)-INDEX(E0!J$4:J$87,D132,1))))*100000000</f>
        <v>0</v>
      </c>
      <c r="F132" s="4" t="str">
        <f>HYPERLINK("http://141.218.60.56/~jnz1568/getInfo.php?workbook=18_16.xlsx&amp;sheet=A0&amp;row=132&amp;col=6&amp;number=56.98&amp;sourceID=48","56.98")</f>
        <v>56.98</v>
      </c>
      <c r="G132" s="4" t="str">
        <f>HYPERLINK("http://141.218.60.56/~jnz1568/getInfo.php?workbook=18_16.xlsx&amp;sheet=A0&amp;row=132&amp;col=7&amp;number=&amp;sourceID=49","")</f>
        <v/>
      </c>
      <c r="H132" s="4" t="str">
        <f>HYPERLINK("http://141.218.60.56/~jnz1568/getInfo.php?workbook=18_16.xlsx&amp;sheet=A0&amp;row=132&amp;col=8&amp;number=&amp;sourceID=49","")</f>
        <v/>
      </c>
    </row>
    <row r="133" spans="1:8">
      <c r="A133" s="3">
        <v>18</v>
      </c>
      <c r="B133" s="3">
        <v>16</v>
      </c>
      <c r="C133" s="3">
        <v>44</v>
      </c>
      <c r="D133" s="3">
        <v>11</v>
      </c>
      <c r="E133" s="3">
        <f>((1/(INDEX(E0!J$4:J$87,C133,1)-INDEX(E0!J$4:J$87,D133,1))))*100000000</f>
        <v>0</v>
      </c>
      <c r="F133" s="4" t="str">
        <f>HYPERLINK("http://141.218.60.56/~jnz1568/getInfo.php?workbook=18_16.xlsx&amp;sheet=A0&amp;row=133&amp;col=6&amp;number=43695000&amp;sourceID=48","43695000")</f>
        <v>43695000</v>
      </c>
      <c r="G133" s="4" t="str">
        <f>HYPERLINK("http://141.218.60.56/~jnz1568/getInfo.php?workbook=18_16.xlsx&amp;sheet=A0&amp;row=133&amp;col=7&amp;number=&amp;sourceID=49","")</f>
        <v/>
      </c>
      <c r="H133" s="4" t="str">
        <f>HYPERLINK("http://141.218.60.56/~jnz1568/getInfo.php?workbook=18_16.xlsx&amp;sheet=A0&amp;row=133&amp;col=8&amp;number=&amp;sourceID=49","")</f>
        <v/>
      </c>
    </row>
    <row r="134" spans="1:8">
      <c r="A134" s="3">
        <v>18</v>
      </c>
      <c r="B134" s="3">
        <v>16</v>
      </c>
      <c r="C134" s="3">
        <v>44</v>
      </c>
      <c r="D134" s="3">
        <v>12</v>
      </c>
      <c r="E134" s="3">
        <f>((1/(INDEX(E0!J$4:J$87,C134,1)-INDEX(E0!J$4:J$87,D134,1))))*100000000</f>
        <v>0</v>
      </c>
      <c r="F134" s="4" t="str">
        <f>HYPERLINK("http://141.218.60.56/~jnz1568/getInfo.php?workbook=18_16.xlsx&amp;sheet=A0&amp;row=134&amp;col=6&amp;number=169930000&amp;sourceID=48","169930000")</f>
        <v>169930000</v>
      </c>
      <c r="G134" s="4" t="str">
        <f>HYPERLINK("http://141.218.60.56/~jnz1568/getInfo.php?workbook=18_16.xlsx&amp;sheet=A0&amp;row=134&amp;col=7&amp;number=&amp;sourceID=49","")</f>
        <v/>
      </c>
      <c r="H134" s="4" t="str">
        <f>HYPERLINK("http://141.218.60.56/~jnz1568/getInfo.php?workbook=18_16.xlsx&amp;sheet=A0&amp;row=134&amp;col=8&amp;number=&amp;sourceID=49","")</f>
        <v/>
      </c>
    </row>
    <row r="135" spans="1:8">
      <c r="A135" s="3">
        <v>18</v>
      </c>
      <c r="B135" s="3">
        <v>16</v>
      </c>
      <c r="C135" s="3">
        <v>44</v>
      </c>
      <c r="D135" s="3">
        <v>13</v>
      </c>
      <c r="E135" s="3">
        <f>((1/(INDEX(E0!J$4:J$87,C135,1)-INDEX(E0!J$4:J$87,D135,1))))*100000000</f>
        <v>0</v>
      </c>
      <c r="F135" s="4" t="str">
        <f>HYPERLINK("http://141.218.60.56/~jnz1568/getInfo.php?workbook=18_16.xlsx&amp;sheet=A0&amp;row=135&amp;col=6&amp;number=271870000&amp;sourceID=48","271870000")</f>
        <v>271870000</v>
      </c>
      <c r="G135" s="4" t="str">
        <f>HYPERLINK("http://141.218.60.56/~jnz1568/getInfo.php?workbook=18_16.xlsx&amp;sheet=A0&amp;row=135&amp;col=7&amp;number=&amp;sourceID=49","")</f>
        <v/>
      </c>
      <c r="H135" s="4" t="str">
        <f>HYPERLINK("http://141.218.60.56/~jnz1568/getInfo.php?workbook=18_16.xlsx&amp;sheet=A0&amp;row=135&amp;col=8&amp;number=&amp;sourceID=49","")</f>
        <v/>
      </c>
    </row>
    <row r="136" spans="1:8">
      <c r="A136" s="3">
        <v>18</v>
      </c>
      <c r="B136" s="3">
        <v>16</v>
      </c>
      <c r="C136" s="3">
        <v>44</v>
      </c>
      <c r="D136" s="3">
        <v>15</v>
      </c>
      <c r="E136" s="3">
        <f>((1/(INDEX(E0!J$4:J$87,C136,1)-INDEX(E0!J$4:J$87,D136,1))))*100000000</f>
        <v>0</v>
      </c>
      <c r="F136" s="4" t="str">
        <f>HYPERLINK("http://141.218.60.56/~jnz1568/getInfo.php?workbook=18_16.xlsx&amp;sheet=A0&amp;row=136&amp;col=6&amp;number=206830&amp;sourceID=48","206830")</f>
        <v>206830</v>
      </c>
      <c r="G136" s="4" t="str">
        <f>HYPERLINK("http://141.218.60.56/~jnz1568/getInfo.php?workbook=18_16.xlsx&amp;sheet=A0&amp;row=136&amp;col=7&amp;number=&amp;sourceID=49","")</f>
        <v/>
      </c>
      <c r="H136" s="4" t="str">
        <f>HYPERLINK("http://141.218.60.56/~jnz1568/getInfo.php?workbook=18_16.xlsx&amp;sheet=A0&amp;row=136&amp;col=8&amp;number=&amp;sourceID=49","")</f>
        <v/>
      </c>
    </row>
    <row r="137" spans="1:8">
      <c r="A137" s="3">
        <v>18</v>
      </c>
      <c r="B137" s="3">
        <v>16</v>
      </c>
      <c r="C137" s="3">
        <v>44</v>
      </c>
      <c r="D137" s="3">
        <v>16</v>
      </c>
      <c r="E137" s="3">
        <f>((1/(INDEX(E0!J$4:J$87,C137,1)-INDEX(E0!J$4:J$87,D137,1))))*100000000</f>
        <v>0</v>
      </c>
      <c r="F137" s="4" t="str">
        <f>HYPERLINK("http://141.218.60.56/~jnz1568/getInfo.php?workbook=18_16.xlsx&amp;sheet=A0&amp;row=137&amp;col=6&amp;number=21704&amp;sourceID=48","21704")</f>
        <v>21704</v>
      </c>
      <c r="G137" s="4" t="str">
        <f>HYPERLINK("http://141.218.60.56/~jnz1568/getInfo.php?workbook=18_16.xlsx&amp;sheet=A0&amp;row=137&amp;col=7&amp;number=&amp;sourceID=49","")</f>
        <v/>
      </c>
      <c r="H137" s="4" t="str">
        <f>HYPERLINK("http://141.218.60.56/~jnz1568/getInfo.php?workbook=18_16.xlsx&amp;sheet=A0&amp;row=137&amp;col=8&amp;number=&amp;sourceID=49","")</f>
        <v/>
      </c>
    </row>
    <row r="138" spans="1:8">
      <c r="A138" s="3">
        <v>18</v>
      </c>
      <c r="B138" s="3">
        <v>16</v>
      </c>
      <c r="C138" s="3">
        <v>44</v>
      </c>
      <c r="D138" s="3">
        <v>17</v>
      </c>
      <c r="E138" s="3">
        <f>((1/(INDEX(E0!J$4:J$87,C138,1)-INDEX(E0!J$4:J$87,D138,1))))*100000000</f>
        <v>0</v>
      </c>
      <c r="F138" s="4" t="str">
        <f>HYPERLINK("http://141.218.60.56/~jnz1568/getInfo.php?workbook=18_16.xlsx&amp;sheet=A0&amp;row=138&amp;col=6&amp;number=5002.2&amp;sourceID=48","5002.2")</f>
        <v>5002.2</v>
      </c>
      <c r="G138" s="4" t="str">
        <f>HYPERLINK("http://141.218.60.56/~jnz1568/getInfo.php?workbook=18_16.xlsx&amp;sheet=A0&amp;row=138&amp;col=7&amp;number=&amp;sourceID=49","")</f>
        <v/>
      </c>
      <c r="H138" s="4" t="str">
        <f>HYPERLINK("http://141.218.60.56/~jnz1568/getInfo.php?workbook=18_16.xlsx&amp;sheet=A0&amp;row=138&amp;col=8&amp;number=&amp;sourceID=49","")</f>
        <v/>
      </c>
    </row>
    <row r="139" spans="1:8">
      <c r="A139" s="3">
        <v>18</v>
      </c>
      <c r="B139" s="3">
        <v>16</v>
      </c>
      <c r="C139" s="3">
        <v>44</v>
      </c>
      <c r="D139" s="3">
        <v>19</v>
      </c>
      <c r="E139" s="3">
        <f>((1/(INDEX(E0!J$4:J$87,C139,1)-INDEX(E0!J$4:J$87,D139,1))))*100000000</f>
        <v>0</v>
      </c>
      <c r="F139" s="4" t="str">
        <f>HYPERLINK("http://141.218.60.56/~jnz1568/getInfo.php?workbook=18_16.xlsx&amp;sheet=A0&amp;row=139&amp;col=6&amp;number=108.11&amp;sourceID=48","108.11")</f>
        <v>108.11</v>
      </c>
      <c r="G139" s="4" t="str">
        <f>HYPERLINK("http://141.218.60.56/~jnz1568/getInfo.php?workbook=18_16.xlsx&amp;sheet=A0&amp;row=139&amp;col=7&amp;number=&amp;sourceID=49","")</f>
        <v/>
      </c>
      <c r="H139" s="4" t="str">
        <f>HYPERLINK("http://141.218.60.56/~jnz1568/getInfo.php?workbook=18_16.xlsx&amp;sheet=A0&amp;row=139&amp;col=8&amp;number=&amp;sourceID=49","")</f>
        <v/>
      </c>
    </row>
    <row r="140" spans="1:8">
      <c r="A140" s="3">
        <v>18</v>
      </c>
      <c r="B140" s="3">
        <v>16</v>
      </c>
      <c r="C140" s="3">
        <v>44</v>
      </c>
      <c r="D140" s="3">
        <v>20</v>
      </c>
      <c r="E140" s="3">
        <f>((1/(INDEX(E0!J$4:J$87,C140,1)-INDEX(E0!J$4:J$87,D140,1))))*100000000</f>
        <v>0</v>
      </c>
      <c r="F140" s="4" t="str">
        <f>HYPERLINK("http://141.218.60.56/~jnz1568/getInfo.php?workbook=18_16.xlsx&amp;sheet=A0&amp;row=140&amp;col=6&amp;number=1250.7&amp;sourceID=48","1250.7")</f>
        <v>1250.7</v>
      </c>
      <c r="G140" s="4" t="str">
        <f>HYPERLINK("http://141.218.60.56/~jnz1568/getInfo.php?workbook=18_16.xlsx&amp;sheet=A0&amp;row=140&amp;col=7&amp;number=&amp;sourceID=49","")</f>
        <v/>
      </c>
      <c r="H140" s="4" t="str">
        <f>HYPERLINK("http://141.218.60.56/~jnz1568/getInfo.php?workbook=18_16.xlsx&amp;sheet=A0&amp;row=140&amp;col=8&amp;number=&amp;sourceID=49","")</f>
        <v/>
      </c>
    </row>
    <row r="141" spans="1:8">
      <c r="A141" s="3">
        <v>18</v>
      </c>
      <c r="B141" s="3">
        <v>16</v>
      </c>
      <c r="C141" s="3">
        <v>44</v>
      </c>
      <c r="D141" s="3">
        <v>22</v>
      </c>
      <c r="E141" s="3">
        <f>((1/(INDEX(E0!J$4:J$87,C141,1)-INDEX(E0!J$4:J$87,D141,1))))*100000000</f>
        <v>0</v>
      </c>
      <c r="F141" s="4" t="str">
        <f>HYPERLINK("http://141.218.60.56/~jnz1568/getInfo.php?workbook=18_16.xlsx&amp;sheet=A0&amp;row=141&amp;col=6&amp;number=23.131&amp;sourceID=48","23.131")</f>
        <v>23.131</v>
      </c>
      <c r="G141" s="4" t="str">
        <f>HYPERLINK("http://141.218.60.56/~jnz1568/getInfo.php?workbook=18_16.xlsx&amp;sheet=A0&amp;row=141&amp;col=7&amp;number=&amp;sourceID=49","")</f>
        <v/>
      </c>
      <c r="H141" s="4" t="str">
        <f>HYPERLINK("http://141.218.60.56/~jnz1568/getInfo.php?workbook=18_16.xlsx&amp;sheet=A0&amp;row=141&amp;col=8&amp;number=&amp;sourceID=49","")</f>
        <v/>
      </c>
    </row>
    <row r="142" spans="1:8">
      <c r="A142" s="3">
        <v>18</v>
      </c>
      <c r="B142" s="3">
        <v>16</v>
      </c>
      <c r="C142" s="3">
        <v>44</v>
      </c>
      <c r="D142" s="3">
        <v>25</v>
      </c>
      <c r="E142" s="3">
        <f>((1/(INDEX(E0!J$4:J$87,C142,1)-INDEX(E0!J$4:J$87,D142,1))))*100000000</f>
        <v>0</v>
      </c>
      <c r="F142" s="4" t="str">
        <f>HYPERLINK("http://141.218.60.56/~jnz1568/getInfo.php?workbook=18_16.xlsx&amp;sheet=A0&amp;row=142&amp;col=6&amp;number=204830000&amp;sourceID=48","204830000")</f>
        <v>204830000</v>
      </c>
      <c r="G142" s="4" t="str">
        <f>HYPERLINK("http://141.218.60.56/~jnz1568/getInfo.php?workbook=18_16.xlsx&amp;sheet=A0&amp;row=142&amp;col=7&amp;number=&amp;sourceID=49","")</f>
        <v/>
      </c>
      <c r="H142" s="4" t="str">
        <f>HYPERLINK("http://141.218.60.56/~jnz1568/getInfo.php?workbook=18_16.xlsx&amp;sheet=A0&amp;row=142&amp;col=8&amp;number=&amp;sourceID=49","")</f>
        <v/>
      </c>
    </row>
    <row r="143" spans="1:8">
      <c r="A143" s="3">
        <v>18</v>
      </c>
      <c r="B143" s="3">
        <v>16</v>
      </c>
      <c r="C143" s="3">
        <v>44</v>
      </c>
      <c r="D143" s="3">
        <v>27</v>
      </c>
      <c r="E143" s="3">
        <f>((1/(INDEX(E0!J$4:J$87,C143,1)-INDEX(E0!J$4:J$87,D143,1))))*100000000</f>
        <v>0</v>
      </c>
      <c r="F143" s="4" t="str">
        <f>HYPERLINK("http://141.218.60.56/~jnz1568/getInfo.php?workbook=18_16.xlsx&amp;sheet=A0&amp;row=143&amp;col=6&amp;number=3.7582&amp;sourceID=48","3.7582")</f>
        <v>3.7582</v>
      </c>
      <c r="G143" s="4" t="str">
        <f>HYPERLINK("http://141.218.60.56/~jnz1568/getInfo.php?workbook=18_16.xlsx&amp;sheet=A0&amp;row=143&amp;col=7&amp;number=&amp;sourceID=49","")</f>
        <v/>
      </c>
      <c r="H143" s="4" t="str">
        <f>HYPERLINK("http://141.218.60.56/~jnz1568/getInfo.php?workbook=18_16.xlsx&amp;sheet=A0&amp;row=143&amp;col=8&amp;number=&amp;sourceID=49","")</f>
        <v/>
      </c>
    </row>
    <row r="144" spans="1:8">
      <c r="A144" s="3">
        <v>18</v>
      </c>
      <c r="B144" s="3">
        <v>16</v>
      </c>
      <c r="C144" s="3">
        <v>44</v>
      </c>
      <c r="D144" s="3">
        <v>28</v>
      </c>
      <c r="E144" s="3">
        <f>((1/(INDEX(E0!J$4:J$87,C144,1)-INDEX(E0!J$4:J$87,D144,1))))*100000000</f>
        <v>0</v>
      </c>
      <c r="F144" s="4" t="str">
        <f>HYPERLINK("http://141.218.60.56/~jnz1568/getInfo.php?workbook=18_16.xlsx&amp;sheet=A0&amp;row=144&amp;col=6&amp;number=234970&amp;sourceID=48","234970")</f>
        <v>234970</v>
      </c>
      <c r="G144" s="4" t="str">
        <f>HYPERLINK("http://141.218.60.56/~jnz1568/getInfo.php?workbook=18_16.xlsx&amp;sheet=A0&amp;row=144&amp;col=7&amp;number=&amp;sourceID=49","")</f>
        <v/>
      </c>
      <c r="H144" s="4" t="str">
        <f>HYPERLINK("http://141.218.60.56/~jnz1568/getInfo.php?workbook=18_16.xlsx&amp;sheet=A0&amp;row=144&amp;col=8&amp;number=&amp;sourceID=49","")</f>
        <v/>
      </c>
    </row>
    <row r="145" spans="1:8">
      <c r="A145" s="3">
        <v>18</v>
      </c>
      <c r="B145" s="3">
        <v>16</v>
      </c>
      <c r="C145" s="3">
        <v>44</v>
      </c>
      <c r="D145" s="3">
        <v>30</v>
      </c>
      <c r="E145" s="3">
        <f>((1/(INDEX(E0!J$4:J$87,C145,1)-INDEX(E0!J$4:J$87,D145,1))))*100000000</f>
        <v>0</v>
      </c>
      <c r="F145" s="4" t="str">
        <f>HYPERLINK("http://141.218.60.56/~jnz1568/getInfo.php?workbook=18_16.xlsx&amp;sheet=A0&amp;row=145&amp;col=6&amp;number=111.32&amp;sourceID=48","111.32")</f>
        <v>111.32</v>
      </c>
      <c r="G145" s="4" t="str">
        <f>HYPERLINK("http://141.218.60.56/~jnz1568/getInfo.php?workbook=18_16.xlsx&amp;sheet=A0&amp;row=145&amp;col=7&amp;number=&amp;sourceID=49","")</f>
        <v/>
      </c>
      <c r="H145" s="4" t="str">
        <f>HYPERLINK("http://141.218.60.56/~jnz1568/getInfo.php?workbook=18_16.xlsx&amp;sheet=A0&amp;row=145&amp;col=8&amp;number=&amp;sourceID=49","")</f>
        <v/>
      </c>
    </row>
    <row r="146" spans="1:8">
      <c r="A146" s="3">
        <v>18</v>
      </c>
      <c r="B146" s="3">
        <v>16</v>
      </c>
      <c r="C146" s="3">
        <v>44</v>
      </c>
      <c r="D146" s="3">
        <v>31</v>
      </c>
      <c r="E146" s="3">
        <f>((1/(INDEX(E0!J$4:J$87,C146,1)-INDEX(E0!J$4:J$87,D146,1))))*100000000</f>
        <v>0</v>
      </c>
      <c r="F146" s="4" t="str">
        <f>HYPERLINK("http://141.218.60.56/~jnz1568/getInfo.php?workbook=18_16.xlsx&amp;sheet=A0&amp;row=146&amp;col=6&amp;number=0.0040896&amp;sourceID=48","0.0040896")</f>
        <v>0.0040896</v>
      </c>
      <c r="G146" s="4" t="str">
        <f>HYPERLINK("http://141.218.60.56/~jnz1568/getInfo.php?workbook=18_16.xlsx&amp;sheet=A0&amp;row=146&amp;col=7&amp;number=&amp;sourceID=49","")</f>
        <v/>
      </c>
      <c r="H146" s="4" t="str">
        <f>HYPERLINK("http://141.218.60.56/~jnz1568/getInfo.php?workbook=18_16.xlsx&amp;sheet=A0&amp;row=146&amp;col=8&amp;number=&amp;sourceID=49","")</f>
        <v/>
      </c>
    </row>
    <row r="147" spans="1:8">
      <c r="A147" s="3">
        <v>18</v>
      </c>
      <c r="B147" s="3">
        <v>16</v>
      </c>
      <c r="C147" s="3">
        <v>44</v>
      </c>
      <c r="D147" s="3">
        <v>32</v>
      </c>
      <c r="E147" s="3">
        <f>((1/(INDEX(E0!J$4:J$87,C147,1)-INDEX(E0!J$4:J$87,D147,1))))*100000000</f>
        <v>0</v>
      </c>
      <c r="F147" s="4" t="str">
        <f>HYPERLINK("http://141.218.60.56/~jnz1568/getInfo.php?workbook=18_16.xlsx&amp;sheet=A0&amp;row=147&amp;col=6&amp;number=467.85&amp;sourceID=48","467.85")</f>
        <v>467.85</v>
      </c>
      <c r="G147" s="4" t="str">
        <f>HYPERLINK("http://141.218.60.56/~jnz1568/getInfo.php?workbook=18_16.xlsx&amp;sheet=A0&amp;row=147&amp;col=7&amp;number=&amp;sourceID=49","")</f>
        <v/>
      </c>
      <c r="H147" s="4" t="str">
        <f>HYPERLINK("http://141.218.60.56/~jnz1568/getInfo.php?workbook=18_16.xlsx&amp;sheet=A0&amp;row=147&amp;col=8&amp;number=&amp;sourceID=49","")</f>
        <v/>
      </c>
    </row>
    <row r="148" spans="1:8">
      <c r="A148" s="3">
        <v>18</v>
      </c>
      <c r="B148" s="3">
        <v>16</v>
      </c>
      <c r="C148" s="3">
        <v>44</v>
      </c>
      <c r="D148" s="3">
        <v>33</v>
      </c>
      <c r="E148" s="3">
        <f>((1/(INDEX(E0!J$4:J$87,C148,1)-INDEX(E0!J$4:J$87,D148,1))))*100000000</f>
        <v>0</v>
      </c>
      <c r="F148" s="4" t="str">
        <f>HYPERLINK("http://141.218.60.56/~jnz1568/getInfo.php?workbook=18_16.xlsx&amp;sheet=A0&amp;row=148&amp;col=6&amp;number=1804.7&amp;sourceID=48","1804.7")</f>
        <v>1804.7</v>
      </c>
      <c r="G148" s="4" t="str">
        <f>HYPERLINK("http://141.218.60.56/~jnz1568/getInfo.php?workbook=18_16.xlsx&amp;sheet=A0&amp;row=148&amp;col=7&amp;number=&amp;sourceID=49","")</f>
        <v/>
      </c>
      <c r="H148" s="4" t="str">
        <f>HYPERLINK("http://141.218.60.56/~jnz1568/getInfo.php?workbook=18_16.xlsx&amp;sheet=A0&amp;row=148&amp;col=8&amp;number=&amp;sourceID=49","")</f>
        <v/>
      </c>
    </row>
    <row r="149" spans="1:8">
      <c r="A149" s="3">
        <v>18</v>
      </c>
      <c r="B149" s="3">
        <v>16</v>
      </c>
      <c r="C149" s="3">
        <v>44</v>
      </c>
      <c r="D149" s="3">
        <v>35</v>
      </c>
      <c r="E149" s="3">
        <f>((1/(INDEX(E0!J$4:J$87,C149,1)-INDEX(E0!J$4:J$87,D149,1))))*100000000</f>
        <v>0</v>
      </c>
      <c r="F149" s="4" t="str">
        <f>HYPERLINK("http://141.218.60.56/~jnz1568/getInfo.php?workbook=18_16.xlsx&amp;sheet=A0&amp;row=149&amp;col=6&amp;number=371.02&amp;sourceID=48","371.02")</f>
        <v>371.02</v>
      </c>
      <c r="G149" s="4" t="str">
        <f>HYPERLINK("http://141.218.60.56/~jnz1568/getInfo.php?workbook=18_16.xlsx&amp;sheet=A0&amp;row=149&amp;col=7&amp;number=&amp;sourceID=49","")</f>
        <v/>
      </c>
      <c r="H149" s="4" t="str">
        <f>HYPERLINK("http://141.218.60.56/~jnz1568/getInfo.php?workbook=18_16.xlsx&amp;sheet=A0&amp;row=149&amp;col=8&amp;number=&amp;sourceID=49","")</f>
        <v/>
      </c>
    </row>
    <row r="150" spans="1:8">
      <c r="A150" s="3">
        <v>18</v>
      </c>
      <c r="B150" s="3">
        <v>16</v>
      </c>
      <c r="C150" s="3">
        <v>44</v>
      </c>
      <c r="D150" s="3">
        <v>36</v>
      </c>
      <c r="E150" s="3">
        <f>((1/(INDEX(E0!J$4:J$87,C150,1)-INDEX(E0!J$4:J$87,D150,1))))*100000000</f>
        <v>0</v>
      </c>
      <c r="F150" s="4" t="str">
        <f>HYPERLINK("http://141.218.60.56/~jnz1568/getInfo.php?workbook=18_16.xlsx&amp;sheet=A0&amp;row=150&amp;col=6&amp;number=5101.6&amp;sourceID=48","5101.6")</f>
        <v>5101.6</v>
      </c>
      <c r="G150" s="4" t="str">
        <f>HYPERLINK("http://141.218.60.56/~jnz1568/getInfo.php?workbook=18_16.xlsx&amp;sheet=A0&amp;row=150&amp;col=7&amp;number=&amp;sourceID=49","")</f>
        <v/>
      </c>
      <c r="H150" s="4" t="str">
        <f>HYPERLINK("http://141.218.60.56/~jnz1568/getInfo.php?workbook=18_16.xlsx&amp;sheet=A0&amp;row=150&amp;col=8&amp;number=&amp;sourceID=49","")</f>
        <v/>
      </c>
    </row>
    <row r="151" spans="1:8">
      <c r="A151" s="3">
        <v>18</v>
      </c>
      <c r="B151" s="3">
        <v>16</v>
      </c>
      <c r="C151" s="3">
        <v>44</v>
      </c>
      <c r="D151" s="3">
        <v>37</v>
      </c>
      <c r="E151" s="3">
        <f>((1/(INDEX(E0!J$4:J$87,C151,1)-INDEX(E0!J$4:J$87,D151,1))))*100000000</f>
        <v>0</v>
      </c>
      <c r="F151" s="4" t="str">
        <f>HYPERLINK("http://141.218.60.56/~jnz1568/getInfo.php?workbook=18_16.xlsx&amp;sheet=A0&amp;row=151&amp;col=6&amp;number=0.10091&amp;sourceID=48","0.10091")</f>
        <v>0.10091</v>
      </c>
      <c r="G151" s="4" t="str">
        <f>HYPERLINK("http://141.218.60.56/~jnz1568/getInfo.php?workbook=18_16.xlsx&amp;sheet=A0&amp;row=151&amp;col=7&amp;number=&amp;sourceID=49","")</f>
        <v/>
      </c>
      <c r="H151" s="4" t="str">
        <f>HYPERLINK("http://141.218.60.56/~jnz1568/getInfo.php?workbook=18_16.xlsx&amp;sheet=A0&amp;row=151&amp;col=8&amp;number=&amp;sourceID=49","")</f>
        <v/>
      </c>
    </row>
    <row r="152" spans="1:8">
      <c r="A152" s="3">
        <v>18</v>
      </c>
      <c r="B152" s="3">
        <v>16</v>
      </c>
      <c r="C152" s="3">
        <v>44</v>
      </c>
      <c r="D152" s="3">
        <v>38</v>
      </c>
      <c r="E152" s="3">
        <f>((1/(INDEX(E0!J$4:J$87,C152,1)-INDEX(E0!J$4:J$87,D152,1))))*100000000</f>
        <v>0</v>
      </c>
      <c r="F152" s="4" t="str">
        <f>HYPERLINK("http://141.218.60.56/~jnz1568/getInfo.php?workbook=18_16.xlsx&amp;sheet=A0&amp;row=152&amp;col=6&amp;number=15.922&amp;sourceID=48","15.922")</f>
        <v>15.922</v>
      </c>
      <c r="G152" s="4" t="str">
        <f>HYPERLINK("http://141.218.60.56/~jnz1568/getInfo.php?workbook=18_16.xlsx&amp;sheet=A0&amp;row=152&amp;col=7&amp;number=&amp;sourceID=49","")</f>
        <v/>
      </c>
      <c r="H152" s="4" t="str">
        <f>HYPERLINK("http://141.218.60.56/~jnz1568/getInfo.php?workbook=18_16.xlsx&amp;sheet=A0&amp;row=152&amp;col=8&amp;number=&amp;sourceID=49","")</f>
        <v/>
      </c>
    </row>
    <row r="153" spans="1:8">
      <c r="A153" s="3">
        <v>18</v>
      </c>
      <c r="B153" s="3">
        <v>16</v>
      </c>
      <c r="C153" s="3">
        <v>44</v>
      </c>
      <c r="D153" s="3">
        <v>39</v>
      </c>
      <c r="E153" s="3">
        <f>((1/(INDEX(E0!J$4:J$87,C153,1)-INDEX(E0!J$4:J$87,D153,1))))*100000000</f>
        <v>0</v>
      </c>
      <c r="F153" s="4" t="str">
        <f>HYPERLINK("http://141.218.60.56/~jnz1568/getInfo.php?workbook=18_16.xlsx&amp;sheet=A0&amp;row=153&amp;col=6&amp;number=151.44&amp;sourceID=48","151.44")</f>
        <v>151.44</v>
      </c>
      <c r="G153" s="4" t="str">
        <f>HYPERLINK("http://141.218.60.56/~jnz1568/getInfo.php?workbook=18_16.xlsx&amp;sheet=A0&amp;row=153&amp;col=7&amp;number=&amp;sourceID=49","")</f>
        <v/>
      </c>
      <c r="H153" s="4" t="str">
        <f>HYPERLINK("http://141.218.60.56/~jnz1568/getInfo.php?workbook=18_16.xlsx&amp;sheet=A0&amp;row=153&amp;col=8&amp;number=&amp;sourceID=49","")</f>
        <v/>
      </c>
    </row>
    <row r="154" spans="1:8">
      <c r="A154" s="3">
        <v>18</v>
      </c>
      <c r="B154" s="3">
        <v>16</v>
      </c>
      <c r="C154" s="3">
        <v>44</v>
      </c>
      <c r="D154" s="3">
        <v>40</v>
      </c>
      <c r="E154" s="3">
        <f>((1/(INDEX(E0!J$4:J$87,C154,1)-INDEX(E0!J$4:J$87,D154,1))))*100000000</f>
        <v>0</v>
      </c>
      <c r="F154" s="4" t="str">
        <f>HYPERLINK("http://141.218.60.56/~jnz1568/getInfo.php?workbook=18_16.xlsx&amp;sheet=A0&amp;row=154&amp;col=6&amp;number=289.87&amp;sourceID=48","289.87")</f>
        <v>289.87</v>
      </c>
      <c r="G154" s="4" t="str">
        <f>HYPERLINK("http://141.218.60.56/~jnz1568/getInfo.php?workbook=18_16.xlsx&amp;sheet=A0&amp;row=154&amp;col=7&amp;number=&amp;sourceID=49","")</f>
        <v/>
      </c>
      <c r="H154" s="4" t="str">
        <f>HYPERLINK("http://141.218.60.56/~jnz1568/getInfo.php?workbook=18_16.xlsx&amp;sheet=A0&amp;row=154&amp;col=8&amp;number=&amp;sourceID=49","")</f>
        <v/>
      </c>
    </row>
    <row r="155" spans="1:8">
      <c r="A155" s="3">
        <v>18</v>
      </c>
      <c r="B155" s="3">
        <v>16</v>
      </c>
      <c r="C155" s="3">
        <v>44</v>
      </c>
      <c r="D155" s="3">
        <v>41</v>
      </c>
      <c r="E155" s="3">
        <f>((1/(INDEX(E0!J$4:J$87,C155,1)-INDEX(E0!J$4:J$87,D155,1))))*100000000</f>
        <v>0</v>
      </c>
      <c r="F155" s="4" t="str">
        <f>HYPERLINK("http://141.218.60.56/~jnz1568/getInfo.php?workbook=18_16.xlsx&amp;sheet=A0&amp;row=155&amp;col=6&amp;number=0.031065&amp;sourceID=48","0.031065")</f>
        <v>0.031065</v>
      </c>
      <c r="G155" s="4" t="str">
        <f>HYPERLINK("http://141.218.60.56/~jnz1568/getInfo.php?workbook=18_16.xlsx&amp;sheet=A0&amp;row=155&amp;col=7&amp;number=&amp;sourceID=49","")</f>
        <v/>
      </c>
      <c r="H155" s="4" t="str">
        <f>HYPERLINK("http://141.218.60.56/~jnz1568/getInfo.php?workbook=18_16.xlsx&amp;sheet=A0&amp;row=155&amp;col=8&amp;number=&amp;sourceID=49","")</f>
        <v/>
      </c>
    </row>
    <row r="156" spans="1:8">
      <c r="A156" s="3">
        <v>18</v>
      </c>
      <c r="B156" s="3">
        <v>16</v>
      </c>
      <c r="C156" s="3">
        <v>44</v>
      </c>
      <c r="D156" s="3">
        <v>42</v>
      </c>
      <c r="E156" s="3">
        <f>((1/(INDEX(E0!J$4:J$87,C156,1)-INDEX(E0!J$4:J$87,D156,1))))*100000000</f>
        <v>0</v>
      </c>
      <c r="F156" s="4" t="str">
        <f>HYPERLINK("http://141.218.60.56/~jnz1568/getInfo.php?workbook=18_16.xlsx&amp;sheet=A0&amp;row=156&amp;col=6&amp;number=0.0025446&amp;sourceID=48","0.0025446")</f>
        <v>0.0025446</v>
      </c>
      <c r="G156" s="4" t="str">
        <f>HYPERLINK("http://141.218.60.56/~jnz1568/getInfo.php?workbook=18_16.xlsx&amp;sheet=A0&amp;row=156&amp;col=7&amp;number=&amp;sourceID=49","")</f>
        <v/>
      </c>
      <c r="H156" s="4" t="str">
        <f>HYPERLINK("http://141.218.60.56/~jnz1568/getInfo.php?workbook=18_16.xlsx&amp;sheet=A0&amp;row=156&amp;col=8&amp;number=&amp;sourceID=49","")</f>
        <v/>
      </c>
    </row>
    <row r="157" spans="1:8">
      <c r="A157" s="3">
        <v>18</v>
      </c>
      <c r="B157" s="3">
        <v>16</v>
      </c>
      <c r="C157" s="3">
        <v>45</v>
      </c>
      <c r="D157" s="3">
        <v>1</v>
      </c>
      <c r="E157" s="3">
        <f>((1/(INDEX(E0!J$4:J$87,C157,1)-INDEX(E0!J$4:J$87,D157,1))))*100000000</f>
        <v>0</v>
      </c>
      <c r="F157" s="4" t="str">
        <f>HYPERLINK("http://141.218.60.56/~jnz1568/getInfo.php?workbook=18_16.xlsx&amp;sheet=A0&amp;row=157&amp;col=6&amp;number=13766000000&amp;sourceID=48","13766000000")</f>
        <v>13766000000</v>
      </c>
      <c r="G157" s="4" t="str">
        <f>HYPERLINK("http://141.218.60.56/~jnz1568/getInfo.php?workbook=18_16.xlsx&amp;sheet=A0&amp;row=157&amp;col=7&amp;number=&amp;sourceID=49","")</f>
        <v/>
      </c>
      <c r="H157" s="4" t="str">
        <f>HYPERLINK("http://141.218.60.56/~jnz1568/getInfo.php?workbook=18_16.xlsx&amp;sheet=A0&amp;row=157&amp;col=8&amp;number=&amp;sourceID=49","")</f>
        <v/>
      </c>
    </row>
    <row r="158" spans="1:8">
      <c r="A158" s="3">
        <v>18</v>
      </c>
      <c r="B158" s="3">
        <v>16</v>
      </c>
      <c r="C158" s="3">
        <v>45</v>
      </c>
      <c r="D158" s="3">
        <v>2</v>
      </c>
      <c r="E158" s="3">
        <f>((1/(INDEX(E0!J$4:J$87,C158,1)-INDEX(E0!J$4:J$87,D158,1))))*100000000</f>
        <v>0</v>
      </c>
      <c r="F158" s="4" t="str">
        <f>HYPERLINK("http://141.218.60.56/~jnz1568/getInfo.php?workbook=18_16.xlsx&amp;sheet=A0&amp;row=158&amp;col=6&amp;number=6066800000&amp;sourceID=48","6066800000")</f>
        <v>6066800000</v>
      </c>
      <c r="G158" s="4" t="str">
        <f>HYPERLINK("http://141.218.60.56/~jnz1568/getInfo.php?workbook=18_16.xlsx&amp;sheet=A0&amp;row=158&amp;col=7&amp;number=&amp;sourceID=49","")</f>
        <v/>
      </c>
      <c r="H158" s="4" t="str">
        <f>HYPERLINK("http://141.218.60.56/~jnz1568/getInfo.php?workbook=18_16.xlsx&amp;sheet=A0&amp;row=158&amp;col=8&amp;number=&amp;sourceID=49","")</f>
        <v/>
      </c>
    </row>
    <row r="159" spans="1:8">
      <c r="A159" s="3">
        <v>18</v>
      </c>
      <c r="B159" s="3">
        <v>16</v>
      </c>
      <c r="C159" s="3">
        <v>45</v>
      </c>
      <c r="D159" s="3">
        <v>3</v>
      </c>
      <c r="E159" s="3">
        <f>((1/(INDEX(E0!J$4:J$87,C159,1)-INDEX(E0!J$4:J$87,D159,1))))*100000000</f>
        <v>0</v>
      </c>
      <c r="F159" s="4" t="str">
        <f>HYPERLINK("http://141.218.60.56/~jnz1568/getInfo.php?workbook=18_16.xlsx&amp;sheet=A0&amp;row=159&amp;col=6&amp;number=1735400000&amp;sourceID=48","1735400000")</f>
        <v>1735400000</v>
      </c>
      <c r="G159" s="4" t="str">
        <f>HYPERLINK("http://141.218.60.56/~jnz1568/getInfo.php?workbook=18_16.xlsx&amp;sheet=A0&amp;row=159&amp;col=7&amp;number=&amp;sourceID=49","")</f>
        <v/>
      </c>
      <c r="H159" s="4" t="str">
        <f>HYPERLINK("http://141.218.60.56/~jnz1568/getInfo.php?workbook=18_16.xlsx&amp;sheet=A0&amp;row=159&amp;col=8&amp;number=&amp;sourceID=49","")</f>
        <v/>
      </c>
    </row>
    <row r="160" spans="1:8">
      <c r="A160" s="3">
        <v>18</v>
      </c>
      <c r="B160" s="3">
        <v>16</v>
      </c>
      <c r="C160" s="3">
        <v>45</v>
      </c>
      <c r="D160" s="3">
        <v>4</v>
      </c>
      <c r="E160" s="3">
        <f>((1/(INDEX(E0!J$4:J$87,C160,1)-INDEX(E0!J$4:J$87,D160,1))))*100000000</f>
        <v>0</v>
      </c>
      <c r="F160" s="4" t="str">
        <f>HYPERLINK("http://141.218.60.56/~jnz1568/getInfo.php?workbook=18_16.xlsx&amp;sheet=A0&amp;row=160&amp;col=6&amp;number=28998000&amp;sourceID=48","28998000")</f>
        <v>28998000</v>
      </c>
      <c r="G160" s="4" t="str">
        <f>HYPERLINK("http://141.218.60.56/~jnz1568/getInfo.php?workbook=18_16.xlsx&amp;sheet=A0&amp;row=160&amp;col=7&amp;number=&amp;sourceID=49","")</f>
        <v/>
      </c>
      <c r="H160" s="4" t="str">
        <f>HYPERLINK("http://141.218.60.56/~jnz1568/getInfo.php?workbook=18_16.xlsx&amp;sheet=A0&amp;row=160&amp;col=8&amp;number=&amp;sourceID=49","")</f>
        <v/>
      </c>
    </row>
    <row r="161" spans="1:8">
      <c r="A161" s="3">
        <v>18</v>
      </c>
      <c r="B161" s="3">
        <v>16</v>
      </c>
      <c r="C161" s="3">
        <v>45</v>
      </c>
      <c r="D161" s="3">
        <v>5</v>
      </c>
      <c r="E161" s="3">
        <f>((1/(INDEX(E0!J$4:J$87,C161,1)-INDEX(E0!J$4:J$87,D161,1))))*100000000</f>
        <v>0</v>
      </c>
      <c r="F161" s="4" t="str">
        <f>HYPERLINK("http://141.218.60.56/~jnz1568/getInfo.php?workbook=18_16.xlsx&amp;sheet=A0&amp;row=161&amp;col=6&amp;number=157690&amp;sourceID=48","157690")</f>
        <v>157690</v>
      </c>
      <c r="G161" s="4" t="str">
        <f>HYPERLINK("http://141.218.60.56/~jnz1568/getInfo.php?workbook=18_16.xlsx&amp;sheet=A0&amp;row=161&amp;col=7&amp;number=&amp;sourceID=49","")</f>
        <v/>
      </c>
      <c r="H161" s="4" t="str">
        <f>HYPERLINK("http://141.218.60.56/~jnz1568/getInfo.php?workbook=18_16.xlsx&amp;sheet=A0&amp;row=161&amp;col=8&amp;number=&amp;sourceID=49","")</f>
        <v/>
      </c>
    </row>
    <row r="162" spans="1:8">
      <c r="A162" s="3">
        <v>18</v>
      </c>
      <c r="B162" s="3">
        <v>16</v>
      </c>
      <c r="C162" s="3">
        <v>45</v>
      </c>
      <c r="D162" s="3">
        <v>43</v>
      </c>
      <c r="E162" s="3">
        <f>((1/(INDEX(E0!J$4:J$87,C162,1)-INDEX(E0!J$4:J$87,D162,1))))*100000000</f>
        <v>0</v>
      </c>
      <c r="F162" s="4" t="str">
        <f>HYPERLINK("http://141.218.60.56/~jnz1568/getInfo.php?workbook=18_16.xlsx&amp;sheet=A0&amp;row=162&amp;col=6&amp;number=1.7581&amp;sourceID=48","1.7581")</f>
        <v>1.7581</v>
      </c>
      <c r="G162" s="4" t="str">
        <f>HYPERLINK("http://141.218.60.56/~jnz1568/getInfo.php?workbook=18_16.xlsx&amp;sheet=A0&amp;row=162&amp;col=7&amp;number=&amp;sourceID=49","")</f>
        <v/>
      </c>
      <c r="H162" s="4" t="str">
        <f>HYPERLINK("http://141.218.60.56/~jnz1568/getInfo.php?workbook=18_16.xlsx&amp;sheet=A0&amp;row=162&amp;col=8&amp;number=&amp;sourceID=49","")</f>
        <v/>
      </c>
    </row>
    <row r="163" spans="1:8">
      <c r="A163" s="3">
        <v>18</v>
      </c>
      <c r="B163" s="3">
        <v>16</v>
      </c>
      <c r="C163" s="3">
        <v>45</v>
      </c>
      <c r="D163" s="3">
        <v>44</v>
      </c>
      <c r="E163" s="3">
        <f>((1/(INDEX(E0!J$4:J$87,C163,1)-INDEX(E0!J$4:J$87,D163,1))))*100000000</f>
        <v>0</v>
      </c>
      <c r="F163" s="4" t="str">
        <f>HYPERLINK("http://141.218.60.56/~jnz1568/getInfo.php?workbook=18_16.xlsx&amp;sheet=A0&amp;row=163&amp;col=6&amp;number=7.3959&amp;sourceID=48","7.3959")</f>
        <v>7.3959</v>
      </c>
      <c r="G163" s="4" t="str">
        <f>HYPERLINK("http://141.218.60.56/~jnz1568/getInfo.php?workbook=18_16.xlsx&amp;sheet=A0&amp;row=163&amp;col=7&amp;number=&amp;sourceID=49","")</f>
        <v/>
      </c>
      <c r="H163" s="4" t="str">
        <f>HYPERLINK("http://141.218.60.56/~jnz1568/getInfo.php?workbook=18_16.xlsx&amp;sheet=A0&amp;row=163&amp;col=8&amp;number=&amp;sourceID=49","")</f>
        <v/>
      </c>
    </row>
    <row r="164" spans="1:8">
      <c r="A164" s="3">
        <v>18</v>
      </c>
      <c r="B164" s="3">
        <v>16</v>
      </c>
      <c r="C164" s="3">
        <v>46</v>
      </c>
      <c r="D164" s="3">
        <v>6</v>
      </c>
      <c r="E164" s="3">
        <f>((1/(INDEX(E0!J$4:J$87,C164,1)-INDEX(E0!J$4:J$87,D164,1))))*100000000</f>
        <v>0</v>
      </c>
      <c r="F164" s="4" t="str">
        <f>HYPERLINK("http://141.218.60.56/~jnz1568/getInfo.php?workbook=18_16.xlsx&amp;sheet=A0&amp;row=164&amp;col=6&amp;number=2365.7&amp;sourceID=48","2365.7")</f>
        <v>2365.7</v>
      </c>
      <c r="G164" s="4" t="str">
        <f>HYPERLINK("http://141.218.60.56/~jnz1568/getInfo.php?workbook=18_16.xlsx&amp;sheet=A0&amp;row=164&amp;col=7&amp;number=&amp;sourceID=49","")</f>
        <v/>
      </c>
      <c r="H164" s="4" t="str">
        <f>HYPERLINK("http://141.218.60.56/~jnz1568/getInfo.php?workbook=18_16.xlsx&amp;sheet=A0&amp;row=164&amp;col=8&amp;number=&amp;sourceID=49","")</f>
        <v/>
      </c>
    </row>
    <row r="165" spans="1:8">
      <c r="A165" s="3">
        <v>18</v>
      </c>
      <c r="B165" s="3">
        <v>16</v>
      </c>
      <c r="C165" s="3">
        <v>46</v>
      </c>
      <c r="D165" s="3">
        <v>12</v>
      </c>
      <c r="E165" s="3">
        <f>((1/(INDEX(E0!J$4:J$87,C165,1)-INDEX(E0!J$4:J$87,D165,1))))*100000000</f>
        <v>0</v>
      </c>
      <c r="F165" s="4" t="str">
        <f>HYPERLINK("http://141.218.60.56/~jnz1568/getInfo.php?workbook=18_16.xlsx&amp;sheet=A0&amp;row=165&amp;col=6&amp;number=13977000&amp;sourceID=48","13977000")</f>
        <v>13977000</v>
      </c>
      <c r="G165" s="4" t="str">
        <f>HYPERLINK("http://141.218.60.56/~jnz1568/getInfo.php?workbook=18_16.xlsx&amp;sheet=A0&amp;row=165&amp;col=7&amp;number=&amp;sourceID=49","")</f>
        <v/>
      </c>
      <c r="H165" s="4" t="str">
        <f>HYPERLINK("http://141.218.60.56/~jnz1568/getInfo.php?workbook=18_16.xlsx&amp;sheet=A0&amp;row=165&amp;col=8&amp;number=&amp;sourceID=49","")</f>
        <v/>
      </c>
    </row>
    <row r="166" spans="1:8">
      <c r="A166" s="3">
        <v>18</v>
      </c>
      <c r="B166" s="3">
        <v>16</v>
      </c>
      <c r="C166" s="3">
        <v>46</v>
      </c>
      <c r="D166" s="3">
        <v>13</v>
      </c>
      <c r="E166" s="3">
        <f>((1/(INDEX(E0!J$4:J$87,C166,1)-INDEX(E0!J$4:J$87,D166,1))))*100000000</f>
        <v>0</v>
      </c>
      <c r="F166" s="4" t="str">
        <f>HYPERLINK("http://141.218.60.56/~jnz1568/getInfo.php?workbook=18_16.xlsx&amp;sheet=A0&amp;row=166&amp;col=6&amp;number=97766000&amp;sourceID=48","97766000")</f>
        <v>97766000</v>
      </c>
      <c r="G166" s="4" t="str">
        <f>HYPERLINK("http://141.218.60.56/~jnz1568/getInfo.php?workbook=18_16.xlsx&amp;sheet=A0&amp;row=166&amp;col=7&amp;number=&amp;sourceID=49","")</f>
        <v/>
      </c>
      <c r="H166" s="4" t="str">
        <f>HYPERLINK("http://141.218.60.56/~jnz1568/getInfo.php?workbook=18_16.xlsx&amp;sheet=A0&amp;row=166&amp;col=8&amp;number=&amp;sourceID=49","")</f>
        <v/>
      </c>
    </row>
    <row r="167" spans="1:8">
      <c r="A167" s="3">
        <v>18</v>
      </c>
      <c r="B167" s="3">
        <v>16</v>
      </c>
      <c r="C167" s="3">
        <v>46</v>
      </c>
      <c r="D167" s="3">
        <v>14</v>
      </c>
      <c r="E167" s="3">
        <f>((1/(INDEX(E0!J$4:J$87,C167,1)-INDEX(E0!J$4:J$87,D167,1))))*100000000</f>
        <v>0</v>
      </c>
      <c r="F167" s="4" t="str">
        <f>HYPERLINK("http://141.218.60.56/~jnz1568/getInfo.php?workbook=18_16.xlsx&amp;sheet=A0&amp;row=167&amp;col=6&amp;number=376700000&amp;sourceID=48","376700000")</f>
        <v>376700000</v>
      </c>
      <c r="G167" s="4" t="str">
        <f>HYPERLINK("http://141.218.60.56/~jnz1568/getInfo.php?workbook=18_16.xlsx&amp;sheet=A0&amp;row=167&amp;col=7&amp;number=&amp;sourceID=49","")</f>
        <v/>
      </c>
      <c r="H167" s="4" t="str">
        <f>HYPERLINK("http://141.218.60.56/~jnz1568/getInfo.php?workbook=18_16.xlsx&amp;sheet=A0&amp;row=167&amp;col=8&amp;number=&amp;sourceID=49","")</f>
        <v/>
      </c>
    </row>
    <row r="168" spans="1:8">
      <c r="A168" s="3">
        <v>18</v>
      </c>
      <c r="B168" s="3">
        <v>16</v>
      </c>
      <c r="C168" s="3">
        <v>46</v>
      </c>
      <c r="D168" s="3">
        <v>15</v>
      </c>
      <c r="E168" s="3">
        <f>((1/(INDEX(E0!J$4:J$87,C168,1)-INDEX(E0!J$4:J$87,D168,1))))*100000000</f>
        <v>0</v>
      </c>
      <c r="F168" s="4" t="str">
        <f>HYPERLINK("http://141.218.60.56/~jnz1568/getInfo.php?workbook=18_16.xlsx&amp;sheet=A0&amp;row=168&amp;col=6&amp;number=8241.6&amp;sourceID=48","8241.6")</f>
        <v>8241.6</v>
      </c>
      <c r="G168" s="4" t="str">
        <f>HYPERLINK("http://141.218.60.56/~jnz1568/getInfo.php?workbook=18_16.xlsx&amp;sheet=A0&amp;row=168&amp;col=7&amp;number=&amp;sourceID=49","")</f>
        <v/>
      </c>
      <c r="H168" s="4" t="str">
        <f>HYPERLINK("http://141.218.60.56/~jnz1568/getInfo.php?workbook=18_16.xlsx&amp;sheet=A0&amp;row=168&amp;col=8&amp;number=&amp;sourceID=49","")</f>
        <v/>
      </c>
    </row>
    <row r="169" spans="1:8">
      <c r="A169" s="3">
        <v>18</v>
      </c>
      <c r="B169" s="3">
        <v>16</v>
      </c>
      <c r="C169" s="3">
        <v>46</v>
      </c>
      <c r="D169" s="3">
        <v>16</v>
      </c>
      <c r="E169" s="3">
        <f>((1/(INDEX(E0!J$4:J$87,C169,1)-INDEX(E0!J$4:J$87,D169,1))))*100000000</f>
        <v>0</v>
      </c>
      <c r="F169" s="4" t="str">
        <f>HYPERLINK("http://141.218.60.56/~jnz1568/getInfo.php?workbook=18_16.xlsx&amp;sheet=A0&amp;row=169&amp;col=6&amp;number=1032.2&amp;sourceID=48","1032.2")</f>
        <v>1032.2</v>
      </c>
      <c r="G169" s="4" t="str">
        <f>HYPERLINK("http://141.218.60.56/~jnz1568/getInfo.php?workbook=18_16.xlsx&amp;sheet=A0&amp;row=169&amp;col=7&amp;number=&amp;sourceID=49","")</f>
        <v/>
      </c>
      <c r="H169" s="4" t="str">
        <f>HYPERLINK("http://141.218.60.56/~jnz1568/getInfo.php?workbook=18_16.xlsx&amp;sheet=A0&amp;row=169&amp;col=8&amp;number=&amp;sourceID=49","")</f>
        <v/>
      </c>
    </row>
    <row r="170" spans="1:8">
      <c r="A170" s="3">
        <v>18</v>
      </c>
      <c r="B170" s="3">
        <v>16</v>
      </c>
      <c r="C170" s="3">
        <v>46</v>
      </c>
      <c r="D170" s="3">
        <v>19</v>
      </c>
      <c r="E170" s="3">
        <f>((1/(INDEX(E0!J$4:J$87,C170,1)-INDEX(E0!J$4:J$87,D170,1))))*100000000</f>
        <v>0</v>
      </c>
      <c r="F170" s="4" t="str">
        <f>HYPERLINK("http://141.218.60.56/~jnz1568/getInfo.php?workbook=18_16.xlsx&amp;sheet=A0&amp;row=170&amp;col=6&amp;number=1.5259&amp;sourceID=48","1.5259")</f>
        <v>1.5259</v>
      </c>
      <c r="G170" s="4" t="str">
        <f>HYPERLINK("http://141.218.60.56/~jnz1568/getInfo.php?workbook=18_16.xlsx&amp;sheet=A0&amp;row=170&amp;col=7&amp;number=&amp;sourceID=49","")</f>
        <v/>
      </c>
      <c r="H170" s="4" t="str">
        <f>HYPERLINK("http://141.218.60.56/~jnz1568/getInfo.php?workbook=18_16.xlsx&amp;sheet=A0&amp;row=170&amp;col=8&amp;number=&amp;sourceID=49","")</f>
        <v/>
      </c>
    </row>
    <row r="171" spans="1:8">
      <c r="A171" s="3">
        <v>18</v>
      </c>
      <c r="B171" s="3">
        <v>16</v>
      </c>
      <c r="C171" s="3">
        <v>46</v>
      </c>
      <c r="D171" s="3">
        <v>20</v>
      </c>
      <c r="E171" s="3">
        <f>((1/(INDEX(E0!J$4:J$87,C171,1)-INDEX(E0!J$4:J$87,D171,1))))*100000000</f>
        <v>0</v>
      </c>
      <c r="F171" s="4" t="str">
        <f>HYPERLINK("http://141.218.60.56/~jnz1568/getInfo.php?workbook=18_16.xlsx&amp;sheet=A0&amp;row=171&amp;col=6&amp;number=147.28&amp;sourceID=48","147.28")</f>
        <v>147.28</v>
      </c>
      <c r="G171" s="4" t="str">
        <f>HYPERLINK("http://141.218.60.56/~jnz1568/getInfo.php?workbook=18_16.xlsx&amp;sheet=A0&amp;row=171&amp;col=7&amp;number=&amp;sourceID=49","")</f>
        <v/>
      </c>
      <c r="H171" s="4" t="str">
        <f>HYPERLINK("http://141.218.60.56/~jnz1568/getInfo.php?workbook=18_16.xlsx&amp;sheet=A0&amp;row=171&amp;col=8&amp;number=&amp;sourceID=49","")</f>
        <v/>
      </c>
    </row>
    <row r="172" spans="1:8">
      <c r="A172" s="3">
        <v>18</v>
      </c>
      <c r="B172" s="3">
        <v>16</v>
      </c>
      <c r="C172" s="3">
        <v>46</v>
      </c>
      <c r="D172" s="3">
        <v>21</v>
      </c>
      <c r="E172" s="3">
        <f>((1/(INDEX(E0!J$4:J$87,C172,1)-INDEX(E0!J$4:J$87,D172,1))))*100000000</f>
        <v>0</v>
      </c>
      <c r="F172" s="4" t="str">
        <f>HYPERLINK("http://141.218.60.56/~jnz1568/getInfo.php?workbook=18_16.xlsx&amp;sheet=A0&amp;row=172&amp;col=6&amp;number=3438.8&amp;sourceID=48","3438.8")</f>
        <v>3438.8</v>
      </c>
      <c r="G172" s="4" t="str">
        <f>HYPERLINK("http://141.218.60.56/~jnz1568/getInfo.php?workbook=18_16.xlsx&amp;sheet=A0&amp;row=172&amp;col=7&amp;number=&amp;sourceID=49","")</f>
        <v/>
      </c>
      <c r="H172" s="4" t="str">
        <f>HYPERLINK("http://141.218.60.56/~jnz1568/getInfo.php?workbook=18_16.xlsx&amp;sheet=A0&amp;row=172&amp;col=8&amp;number=&amp;sourceID=49","")</f>
        <v/>
      </c>
    </row>
    <row r="173" spans="1:8">
      <c r="A173" s="3">
        <v>18</v>
      </c>
      <c r="B173" s="3">
        <v>16</v>
      </c>
      <c r="C173" s="3">
        <v>46</v>
      </c>
      <c r="D173" s="3">
        <v>22</v>
      </c>
      <c r="E173" s="3">
        <f>((1/(INDEX(E0!J$4:J$87,C173,1)-INDEX(E0!J$4:J$87,D173,1))))*100000000</f>
        <v>0</v>
      </c>
      <c r="F173" s="4" t="str">
        <f>HYPERLINK("http://141.218.60.56/~jnz1568/getInfo.php?workbook=18_16.xlsx&amp;sheet=A0&amp;row=173&amp;col=6&amp;number=5.2927&amp;sourceID=48","5.2927")</f>
        <v>5.2927</v>
      </c>
      <c r="G173" s="4" t="str">
        <f>HYPERLINK("http://141.218.60.56/~jnz1568/getInfo.php?workbook=18_16.xlsx&amp;sheet=A0&amp;row=173&amp;col=7&amp;number=&amp;sourceID=49","")</f>
        <v/>
      </c>
      <c r="H173" s="4" t="str">
        <f>HYPERLINK("http://141.218.60.56/~jnz1568/getInfo.php?workbook=18_16.xlsx&amp;sheet=A0&amp;row=173&amp;col=8&amp;number=&amp;sourceID=49","")</f>
        <v/>
      </c>
    </row>
    <row r="174" spans="1:8">
      <c r="A174" s="3">
        <v>18</v>
      </c>
      <c r="B174" s="3">
        <v>16</v>
      </c>
      <c r="C174" s="3">
        <v>46</v>
      </c>
      <c r="D174" s="3">
        <v>23</v>
      </c>
      <c r="E174" s="3">
        <f>((1/(INDEX(E0!J$4:J$87,C174,1)-INDEX(E0!J$4:J$87,D174,1))))*100000000</f>
        <v>0</v>
      </c>
      <c r="F174" s="4" t="str">
        <f>HYPERLINK("http://141.218.60.56/~jnz1568/getInfo.php?workbook=18_16.xlsx&amp;sheet=A0&amp;row=174&amp;col=6&amp;number=93.043&amp;sourceID=48","93.043")</f>
        <v>93.043</v>
      </c>
      <c r="G174" s="4" t="str">
        <f>HYPERLINK("http://141.218.60.56/~jnz1568/getInfo.php?workbook=18_16.xlsx&amp;sheet=A0&amp;row=174&amp;col=7&amp;number=&amp;sourceID=49","")</f>
        <v/>
      </c>
      <c r="H174" s="4" t="str">
        <f>HYPERLINK("http://141.218.60.56/~jnz1568/getInfo.php?workbook=18_16.xlsx&amp;sheet=A0&amp;row=174&amp;col=8&amp;number=&amp;sourceID=49","")</f>
        <v/>
      </c>
    </row>
    <row r="175" spans="1:8">
      <c r="A175" s="3">
        <v>18</v>
      </c>
      <c r="B175" s="3">
        <v>16</v>
      </c>
      <c r="C175" s="3">
        <v>46</v>
      </c>
      <c r="D175" s="3">
        <v>25</v>
      </c>
      <c r="E175" s="3">
        <f>((1/(INDEX(E0!J$4:J$87,C175,1)-INDEX(E0!J$4:J$87,D175,1))))*100000000</f>
        <v>0</v>
      </c>
      <c r="F175" s="4" t="str">
        <f>HYPERLINK("http://141.218.60.56/~jnz1568/getInfo.php?workbook=18_16.xlsx&amp;sheet=A0&amp;row=175&amp;col=6&amp;number=208030000&amp;sourceID=48","208030000")</f>
        <v>208030000</v>
      </c>
      <c r="G175" s="4" t="str">
        <f>HYPERLINK("http://141.218.60.56/~jnz1568/getInfo.php?workbook=18_16.xlsx&amp;sheet=A0&amp;row=175&amp;col=7&amp;number=&amp;sourceID=49","")</f>
        <v/>
      </c>
      <c r="H175" s="4" t="str">
        <f>HYPERLINK("http://141.218.60.56/~jnz1568/getInfo.php?workbook=18_16.xlsx&amp;sheet=A0&amp;row=175&amp;col=8&amp;number=&amp;sourceID=49","")</f>
        <v/>
      </c>
    </row>
    <row r="176" spans="1:8">
      <c r="A176" s="3">
        <v>18</v>
      </c>
      <c r="B176" s="3">
        <v>16</v>
      </c>
      <c r="C176" s="3">
        <v>46</v>
      </c>
      <c r="D176" s="3">
        <v>26</v>
      </c>
      <c r="E176" s="3">
        <f>((1/(INDEX(E0!J$4:J$87,C176,1)-INDEX(E0!J$4:J$87,D176,1))))*100000000</f>
        <v>0</v>
      </c>
      <c r="F176" s="4" t="str">
        <f>HYPERLINK("http://141.218.60.56/~jnz1568/getInfo.php?workbook=18_16.xlsx&amp;sheet=A0&amp;row=176&amp;col=6&amp;number=61.331&amp;sourceID=48","61.331")</f>
        <v>61.331</v>
      </c>
      <c r="G176" s="4" t="str">
        <f>HYPERLINK("http://141.218.60.56/~jnz1568/getInfo.php?workbook=18_16.xlsx&amp;sheet=A0&amp;row=176&amp;col=7&amp;number=&amp;sourceID=49","")</f>
        <v/>
      </c>
      <c r="H176" s="4" t="str">
        <f>HYPERLINK("http://141.218.60.56/~jnz1568/getInfo.php?workbook=18_16.xlsx&amp;sheet=A0&amp;row=176&amp;col=8&amp;number=&amp;sourceID=49","")</f>
        <v/>
      </c>
    </row>
    <row r="177" spans="1:8">
      <c r="A177" s="3">
        <v>18</v>
      </c>
      <c r="B177" s="3">
        <v>16</v>
      </c>
      <c r="C177" s="3">
        <v>46</v>
      </c>
      <c r="D177" s="3">
        <v>27</v>
      </c>
      <c r="E177" s="3">
        <f>((1/(INDEX(E0!J$4:J$87,C177,1)-INDEX(E0!J$4:J$87,D177,1))))*100000000</f>
        <v>0</v>
      </c>
      <c r="F177" s="4" t="str">
        <f>HYPERLINK("http://141.218.60.56/~jnz1568/getInfo.php?workbook=18_16.xlsx&amp;sheet=A0&amp;row=177&amp;col=6&amp;number=1.0168&amp;sourceID=48","1.0168")</f>
        <v>1.0168</v>
      </c>
      <c r="G177" s="4" t="str">
        <f>HYPERLINK("http://141.218.60.56/~jnz1568/getInfo.php?workbook=18_16.xlsx&amp;sheet=A0&amp;row=177&amp;col=7&amp;number=&amp;sourceID=49","")</f>
        <v/>
      </c>
      <c r="H177" s="4" t="str">
        <f>HYPERLINK("http://141.218.60.56/~jnz1568/getInfo.php?workbook=18_16.xlsx&amp;sheet=A0&amp;row=177&amp;col=8&amp;number=&amp;sourceID=49","")</f>
        <v/>
      </c>
    </row>
    <row r="178" spans="1:8">
      <c r="A178" s="3">
        <v>18</v>
      </c>
      <c r="B178" s="3">
        <v>16</v>
      </c>
      <c r="C178" s="3">
        <v>46</v>
      </c>
      <c r="D178" s="3">
        <v>29</v>
      </c>
      <c r="E178" s="3">
        <f>((1/(INDEX(E0!J$4:J$87,C178,1)-INDEX(E0!J$4:J$87,D178,1))))*100000000</f>
        <v>0</v>
      </c>
      <c r="F178" s="4" t="str">
        <f>HYPERLINK("http://141.218.60.56/~jnz1568/getInfo.php?workbook=18_16.xlsx&amp;sheet=A0&amp;row=178&amp;col=6&amp;number=872.09&amp;sourceID=48","872.09")</f>
        <v>872.09</v>
      </c>
      <c r="G178" s="4" t="str">
        <f>HYPERLINK("http://141.218.60.56/~jnz1568/getInfo.php?workbook=18_16.xlsx&amp;sheet=A0&amp;row=178&amp;col=7&amp;number=&amp;sourceID=49","")</f>
        <v/>
      </c>
      <c r="H178" s="4" t="str">
        <f>HYPERLINK("http://141.218.60.56/~jnz1568/getInfo.php?workbook=18_16.xlsx&amp;sheet=A0&amp;row=178&amp;col=8&amp;number=&amp;sourceID=49","")</f>
        <v/>
      </c>
    </row>
    <row r="179" spans="1:8">
      <c r="A179" s="3">
        <v>18</v>
      </c>
      <c r="B179" s="3">
        <v>16</v>
      </c>
      <c r="C179" s="3">
        <v>46</v>
      </c>
      <c r="D179" s="3">
        <v>30</v>
      </c>
      <c r="E179" s="3">
        <f>((1/(INDEX(E0!J$4:J$87,C179,1)-INDEX(E0!J$4:J$87,D179,1))))*100000000</f>
        <v>0</v>
      </c>
      <c r="F179" s="4" t="str">
        <f>HYPERLINK("http://141.218.60.56/~jnz1568/getInfo.php?workbook=18_16.xlsx&amp;sheet=A0&amp;row=179&amp;col=6&amp;number=45.192&amp;sourceID=48","45.192")</f>
        <v>45.192</v>
      </c>
      <c r="G179" s="4" t="str">
        <f>HYPERLINK("http://141.218.60.56/~jnz1568/getInfo.php?workbook=18_16.xlsx&amp;sheet=A0&amp;row=179&amp;col=7&amp;number=&amp;sourceID=49","")</f>
        <v/>
      </c>
      <c r="H179" s="4" t="str">
        <f>HYPERLINK("http://141.218.60.56/~jnz1568/getInfo.php?workbook=18_16.xlsx&amp;sheet=A0&amp;row=179&amp;col=8&amp;number=&amp;sourceID=49","")</f>
        <v/>
      </c>
    </row>
    <row r="180" spans="1:8">
      <c r="A180" s="3">
        <v>18</v>
      </c>
      <c r="B180" s="3">
        <v>16</v>
      </c>
      <c r="C180" s="3">
        <v>46</v>
      </c>
      <c r="D180" s="3">
        <v>31</v>
      </c>
      <c r="E180" s="3">
        <f>((1/(INDEX(E0!J$4:J$87,C180,1)-INDEX(E0!J$4:J$87,D180,1))))*100000000</f>
        <v>0</v>
      </c>
      <c r="F180" s="4" t="str">
        <f>HYPERLINK("http://141.218.60.56/~jnz1568/getInfo.php?workbook=18_16.xlsx&amp;sheet=A0&amp;row=180&amp;col=6&amp;number=0.50132&amp;sourceID=48","0.50132")</f>
        <v>0.50132</v>
      </c>
      <c r="G180" s="4" t="str">
        <f>HYPERLINK("http://141.218.60.56/~jnz1568/getInfo.php?workbook=18_16.xlsx&amp;sheet=A0&amp;row=180&amp;col=7&amp;number=&amp;sourceID=49","")</f>
        <v/>
      </c>
      <c r="H180" s="4" t="str">
        <f>HYPERLINK("http://141.218.60.56/~jnz1568/getInfo.php?workbook=18_16.xlsx&amp;sheet=A0&amp;row=180&amp;col=8&amp;number=&amp;sourceID=49","")</f>
        <v/>
      </c>
    </row>
    <row r="181" spans="1:8">
      <c r="A181" s="3">
        <v>18</v>
      </c>
      <c r="B181" s="3">
        <v>16</v>
      </c>
      <c r="C181" s="3">
        <v>46</v>
      </c>
      <c r="D181" s="3">
        <v>33</v>
      </c>
      <c r="E181" s="3">
        <f>((1/(INDEX(E0!J$4:J$87,C181,1)-INDEX(E0!J$4:J$87,D181,1))))*100000000</f>
        <v>0</v>
      </c>
      <c r="F181" s="4" t="str">
        <f>HYPERLINK("http://141.218.60.56/~jnz1568/getInfo.php?workbook=18_16.xlsx&amp;sheet=A0&amp;row=181&amp;col=6&amp;number=19.046&amp;sourceID=48","19.046")</f>
        <v>19.046</v>
      </c>
      <c r="G181" s="4" t="str">
        <f>HYPERLINK("http://141.218.60.56/~jnz1568/getInfo.php?workbook=18_16.xlsx&amp;sheet=A0&amp;row=181&amp;col=7&amp;number=&amp;sourceID=49","")</f>
        <v/>
      </c>
      <c r="H181" s="4" t="str">
        <f>HYPERLINK("http://141.218.60.56/~jnz1568/getInfo.php?workbook=18_16.xlsx&amp;sheet=A0&amp;row=181&amp;col=8&amp;number=&amp;sourceID=49","")</f>
        <v/>
      </c>
    </row>
    <row r="182" spans="1:8">
      <c r="A182" s="3">
        <v>18</v>
      </c>
      <c r="B182" s="3">
        <v>16</v>
      </c>
      <c r="C182" s="3">
        <v>46</v>
      </c>
      <c r="D182" s="3">
        <v>36</v>
      </c>
      <c r="E182" s="3">
        <f>((1/(INDEX(E0!J$4:J$87,C182,1)-INDEX(E0!J$4:J$87,D182,1))))*100000000</f>
        <v>0</v>
      </c>
      <c r="F182" s="4" t="str">
        <f>HYPERLINK("http://141.218.60.56/~jnz1568/getInfo.php?workbook=18_16.xlsx&amp;sheet=A0&amp;row=182&amp;col=6&amp;number=154.52&amp;sourceID=48","154.52")</f>
        <v>154.52</v>
      </c>
      <c r="G182" s="4" t="str">
        <f>HYPERLINK("http://141.218.60.56/~jnz1568/getInfo.php?workbook=18_16.xlsx&amp;sheet=A0&amp;row=182&amp;col=7&amp;number=&amp;sourceID=49","")</f>
        <v/>
      </c>
      <c r="H182" s="4" t="str">
        <f>HYPERLINK("http://141.218.60.56/~jnz1568/getInfo.php?workbook=18_16.xlsx&amp;sheet=A0&amp;row=182&amp;col=8&amp;number=&amp;sourceID=49","")</f>
        <v/>
      </c>
    </row>
    <row r="183" spans="1:8">
      <c r="A183" s="3">
        <v>18</v>
      </c>
      <c r="B183" s="3">
        <v>16</v>
      </c>
      <c r="C183" s="3">
        <v>46</v>
      </c>
      <c r="D183" s="3">
        <v>37</v>
      </c>
      <c r="E183" s="3">
        <f>((1/(INDEX(E0!J$4:J$87,C183,1)-INDEX(E0!J$4:J$87,D183,1))))*100000000</f>
        <v>0</v>
      </c>
      <c r="F183" s="4" t="str">
        <f>HYPERLINK("http://141.218.60.56/~jnz1568/getInfo.php?workbook=18_16.xlsx&amp;sheet=A0&amp;row=183&amp;col=6&amp;number=39.873&amp;sourceID=48","39.873")</f>
        <v>39.873</v>
      </c>
      <c r="G183" s="4" t="str">
        <f>HYPERLINK("http://141.218.60.56/~jnz1568/getInfo.php?workbook=18_16.xlsx&amp;sheet=A0&amp;row=183&amp;col=7&amp;number=&amp;sourceID=49","")</f>
        <v/>
      </c>
      <c r="H183" s="4" t="str">
        <f>HYPERLINK("http://141.218.60.56/~jnz1568/getInfo.php?workbook=18_16.xlsx&amp;sheet=A0&amp;row=183&amp;col=8&amp;number=&amp;sourceID=49","")</f>
        <v/>
      </c>
    </row>
    <row r="184" spans="1:8">
      <c r="A184" s="3">
        <v>18</v>
      </c>
      <c r="B184" s="3">
        <v>16</v>
      </c>
      <c r="C184" s="3">
        <v>46</v>
      </c>
      <c r="D184" s="3">
        <v>39</v>
      </c>
      <c r="E184" s="3">
        <f>((1/(INDEX(E0!J$4:J$87,C184,1)-INDEX(E0!J$4:J$87,D184,1))))*100000000</f>
        <v>0</v>
      </c>
      <c r="F184" s="4" t="str">
        <f>HYPERLINK("http://141.218.60.56/~jnz1568/getInfo.php?workbook=18_16.xlsx&amp;sheet=A0&amp;row=184&amp;col=6&amp;number=5.5897&amp;sourceID=48","5.5897")</f>
        <v>5.5897</v>
      </c>
      <c r="G184" s="4" t="str">
        <f>HYPERLINK("http://141.218.60.56/~jnz1568/getInfo.php?workbook=18_16.xlsx&amp;sheet=A0&amp;row=184&amp;col=7&amp;number=&amp;sourceID=49","")</f>
        <v/>
      </c>
      <c r="H184" s="4" t="str">
        <f>HYPERLINK("http://141.218.60.56/~jnz1568/getInfo.php?workbook=18_16.xlsx&amp;sheet=A0&amp;row=184&amp;col=8&amp;number=&amp;sourceID=49","")</f>
        <v/>
      </c>
    </row>
    <row r="185" spans="1:8">
      <c r="A185" s="3">
        <v>18</v>
      </c>
      <c r="B185" s="3">
        <v>16</v>
      </c>
      <c r="C185" s="3">
        <v>46</v>
      </c>
      <c r="D185" s="3">
        <v>40</v>
      </c>
      <c r="E185" s="3">
        <f>((1/(INDEX(E0!J$4:J$87,C185,1)-INDEX(E0!J$4:J$87,D185,1))))*100000000</f>
        <v>0</v>
      </c>
      <c r="F185" s="4" t="str">
        <f>HYPERLINK("http://141.218.60.56/~jnz1568/getInfo.php?workbook=18_16.xlsx&amp;sheet=A0&amp;row=185&amp;col=6&amp;number=56.546&amp;sourceID=48","56.546")</f>
        <v>56.546</v>
      </c>
      <c r="G185" s="4" t="str">
        <f>HYPERLINK("http://141.218.60.56/~jnz1568/getInfo.php?workbook=18_16.xlsx&amp;sheet=A0&amp;row=185&amp;col=7&amp;number=&amp;sourceID=49","")</f>
        <v/>
      </c>
      <c r="H185" s="4" t="str">
        <f>HYPERLINK("http://141.218.60.56/~jnz1568/getInfo.php?workbook=18_16.xlsx&amp;sheet=A0&amp;row=185&amp;col=8&amp;number=&amp;sourceID=49","")</f>
        <v/>
      </c>
    </row>
    <row r="186" spans="1:8">
      <c r="A186" s="3">
        <v>18</v>
      </c>
      <c r="B186" s="3">
        <v>16</v>
      </c>
      <c r="C186" s="3">
        <v>46</v>
      </c>
      <c r="D186" s="3">
        <v>41</v>
      </c>
      <c r="E186" s="3">
        <f>((1/(INDEX(E0!J$4:J$87,C186,1)-INDEX(E0!J$4:J$87,D186,1))))*100000000</f>
        <v>0</v>
      </c>
      <c r="F186" s="4" t="str">
        <f>HYPERLINK("http://141.218.60.56/~jnz1568/getInfo.php?workbook=18_16.xlsx&amp;sheet=A0&amp;row=186&amp;col=6&amp;number=0.061048&amp;sourceID=48","0.061048")</f>
        <v>0.061048</v>
      </c>
      <c r="G186" s="4" t="str">
        <f>HYPERLINK("http://141.218.60.56/~jnz1568/getInfo.php?workbook=18_16.xlsx&amp;sheet=A0&amp;row=186&amp;col=7&amp;number=&amp;sourceID=49","")</f>
        <v/>
      </c>
      <c r="H186" s="4" t="str">
        <f>HYPERLINK("http://141.218.60.56/~jnz1568/getInfo.php?workbook=18_16.xlsx&amp;sheet=A0&amp;row=186&amp;col=8&amp;number=&amp;sourceID=49","")</f>
        <v/>
      </c>
    </row>
    <row r="187" spans="1:8">
      <c r="A187" s="3">
        <v>18</v>
      </c>
      <c r="B187" s="3">
        <v>16</v>
      </c>
      <c r="C187" s="3">
        <v>46</v>
      </c>
      <c r="D187" s="3">
        <v>42</v>
      </c>
      <c r="E187" s="3">
        <f>((1/(INDEX(E0!J$4:J$87,C187,1)-INDEX(E0!J$4:J$87,D187,1))))*100000000</f>
        <v>0</v>
      </c>
      <c r="F187" s="4" t="str">
        <f>HYPERLINK("http://141.218.60.56/~jnz1568/getInfo.php?workbook=18_16.xlsx&amp;sheet=A0&amp;row=187&amp;col=6&amp;number=3.3399e-06&amp;sourceID=48","3.3399e-06")</f>
        <v>3.3399e-06</v>
      </c>
      <c r="G187" s="4" t="str">
        <f>HYPERLINK("http://141.218.60.56/~jnz1568/getInfo.php?workbook=18_16.xlsx&amp;sheet=A0&amp;row=187&amp;col=7&amp;number=&amp;sourceID=49","")</f>
        <v/>
      </c>
      <c r="H187" s="4" t="str">
        <f>HYPERLINK("http://141.218.60.56/~jnz1568/getInfo.php?workbook=18_16.xlsx&amp;sheet=A0&amp;row=187&amp;col=8&amp;number=&amp;sourceID=49","")</f>
        <v/>
      </c>
    </row>
    <row r="188" spans="1:8">
      <c r="A188" s="3">
        <v>18</v>
      </c>
      <c r="B188" s="3">
        <v>16</v>
      </c>
      <c r="C188" s="3">
        <v>47</v>
      </c>
      <c r="D188" s="3">
        <v>1</v>
      </c>
      <c r="E188" s="3">
        <f>((1/(INDEX(E0!J$4:J$87,C188,1)-INDEX(E0!J$4:J$87,D188,1))))*100000000</f>
        <v>0</v>
      </c>
      <c r="F188" s="4" t="str">
        <f>HYPERLINK("http://141.218.60.56/~jnz1568/getInfo.php?workbook=18_16.xlsx&amp;sheet=A0&amp;row=188&amp;col=6&amp;number=14514000000&amp;sourceID=48","14514000000")</f>
        <v>14514000000</v>
      </c>
      <c r="G188" s="4" t="str">
        <f>HYPERLINK("http://141.218.60.56/~jnz1568/getInfo.php?workbook=18_16.xlsx&amp;sheet=A0&amp;row=188&amp;col=7&amp;number=&amp;sourceID=49","")</f>
        <v/>
      </c>
      <c r="H188" s="4" t="str">
        <f>HYPERLINK("http://141.218.60.56/~jnz1568/getInfo.php?workbook=18_16.xlsx&amp;sheet=A0&amp;row=188&amp;col=8&amp;number=&amp;sourceID=49","")</f>
        <v/>
      </c>
    </row>
    <row r="189" spans="1:8">
      <c r="A189" s="3">
        <v>18</v>
      </c>
      <c r="B189" s="3">
        <v>16</v>
      </c>
      <c r="C189" s="3">
        <v>47</v>
      </c>
      <c r="D189" s="3">
        <v>2</v>
      </c>
      <c r="E189" s="3">
        <f>((1/(INDEX(E0!J$4:J$87,C189,1)-INDEX(E0!J$4:J$87,D189,1))))*100000000</f>
        <v>0</v>
      </c>
      <c r="F189" s="4" t="str">
        <f>HYPERLINK("http://141.218.60.56/~jnz1568/getInfo.php?workbook=18_16.xlsx&amp;sheet=A0&amp;row=189&amp;col=6&amp;number=5238300000&amp;sourceID=48","5238300000")</f>
        <v>5238300000</v>
      </c>
      <c r="G189" s="4" t="str">
        <f>HYPERLINK("http://141.218.60.56/~jnz1568/getInfo.php?workbook=18_16.xlsx&amp;sheet=A0&amp;row=189&amp;col=7&amp;number=&amp;sourceID=49","")</f>
        <v/>
      </c>
      <c r="H189" s="4" t="str">
        <f>HYPERLINK("http://141.218.60.56/~jnz1568/getInfo.php?workbook=18_16.xlsx&amp;sheet=A0&amp;row=189&amp;col=8&amp;number=&amp;sourceID=49","")</f>
        <v/>
      </c>
    </row>
    <row r="190" spans="1:8">
      <c r="A190" s="3">
        <v>18</v>
      </c>
      <c r="B190" s="3">
        <v>16</v>
      </c>
      <c r="C190" s="3">
        <v>47</v>
      </c>
      <c r="D190" s="3">
        <v>4</v>
      </c>
      <c r="E190" s="3">
        <f>((1/(INDEX(E0!J$4:J$87,C190,1)-INDEX(E0!J$4:J$87,D190,1))))*100000000</f>
        <v>0</v>
      </c>
      <c r="F190" s="4" t="str">
        <f>HYPERLINK("http://141.218.60.56/~jnz1568/getInfo.php?workbook=18_16.xlsx&amp;sheet=A0&amp;row=190&amp;col=6&amp;number=133990000&amp;sourceID=48","133990000")</f>
        <v>133990000</v>
      </c>
      <c r="G190" s="4" t="str">
        <f>HYPERLINK("http://141.218.60.56/~jnz1568/getInfo.php?workbook=18_16.xlsx&amp;sheet=A0&amp;row=190&amp;col=7&amp;number=&amp;sourceID=49","")</f>
        <v/>
      </c>
      <c r="H190" s="4" t="str">
        <f>HYPERLINK("http://141.218.60.56/~jnz1568/getInfo.php?workbook=18_16.xlsx&amp;sheet=A0&amp;row=190&amp;col=8&amp;number=&amp;sourceID=49","")</f>
        <v/>
      </c>
    </row>
    <row r="191" spans="1:8">
      <c r="A191" s="3">
        <v>18</v>
      </c>
      <c r="B191" s="3">
        <v>16</v>
      </c>
      <c r="C191" s="3">
        <v>47</v>
      </c>
      <c r="D191" s="3">
        <v>43</v>
      </c>
      <c r="E191" s="3">
        <f>((1/(INDEX(E0!J$4:J$87,C191,1)-INDEX(E0!J$4:J$87,D191,1))))*100000000</f>
        <v>0</v>
      </c>
      <c r="F191" s="4" t="str">
        <f>HYPERLINK("http://141.218.60.56/~jnz1568/getInfo.php?workbook=18_16.xlsx&amp;sheet=A0&amp;row=191&amp;col=6&amp;number=0.2066&amp;sourceID=48","0.2066")</f>
        <v>0.2066</v>
      </c>
      <c r="G191" s="4" t="str">
        <f>HYPERLINK("http://141.218.60.56/~jnz1568/getInfo.php?workbook=18_16.xlsx&amp;sheet=A0&amp;row=191&amp;col=7&amp;number=&amp;sourceID=49","")</f>
        <v/>
      </c>
      <c r="H191" s="4" t="str">
        <f>HYPERLINK("http://141.218.60.56/~jnz1568/getInfo.php?workbook=18_16.xlsx&amp;sheet=A0&amp;row=191&amp;col=8&amp;number=&amp;sourceID=49","")</f>
        <v/>
      </c>
    </row>
    <row r="192" spans="1:8">
      <c r="A192" s="3">
        <v>18</v>
      </c>
      <c r="B192" s="3">
        <v>16</v>
      </c>
      <c r="C192" s="3">
        <v>47</v>
      </c>
      <c r="D192" s="3">
        <v>44</v>
      </c>
      <c r="E192" s="3">
        <f>((1/(INDEX(E0!J$4:J$87,C192,1)-INDEX(E0!J$4:J$87,D192,1))))*100000000</f>
        <v>0</v>
      </c>
      <c r="F192" s="4" t="str">
        <f>HYPERLINK("http://141.218.60.56/~jnz1568/getInfo.php?workbook=18_16.xlsx&amp;sheet=A0&amp;row=192&amp;col=6&amp;number=9.5031&amp;sourceID=48","9.5031")</f>
        <v>9.5031</v>
      </c>
      <c r="G192" s="4" t="str">
        <f>HYPERLINK("http://141.218.60.56/~jnz1568/getInfo.php?workbook=18_16.xlsx&amp;sheet=A0&amp;row=192&amp;col=7&amp;number=&amp;sourceID=49","")</f>
        <v/>
      </c>
      <c r="H192" s="4" t="str">
        <f>HYPERLINK("http://141.218.60.56/~jnz1568/getInfo.php?workbook=18_16.xlsx&amp;sheet=A0&amp;row=192&amp;col=8&amp;number=&amp;sourceID=49","")</f>
        <v/>
      </c>
    </row>
    <row r="193" spans="1:8">
      <c r="A193" s="3">
        <v>18</v>
      </c>
      <c r="B193" s="3">
        <v>16</v>
      </c>
      <c r="C193" s="3">
        <v>47</v>
      </c>
      <c r="D193" s="3">
        <v>46</v>
      </c>
      <c r="E193" s="3">
        <f>((1/(INDEX(E0!J$4:J$87,C193,1)-INDEX(E0!J$4:J$87,D193,1))))*100000000</f>
        <v>0</v>
      </c>
      <c r="F193" s="4" t="str">
        <f>HYPERLINK("http://141.218.60.56/~jnz1568/getInfo.php?workbook=18_16.xlsx&amp;sheet=A0&amp;row=193&amp;col=6&amp;number=0.16974&amp;sourceID=48","0.16974")</f>
        <v>0.16974</v>
      </c>
      <c r="G193" s="4" t="str">
        <f>HYPERLINK("http://141.218.60.56/~jnz1568/getInfo.php?workbook=18_16.xlsx&amp;sheet=A0&amp;row=193&amp;col=7&amp;number=&amp;sourceID=49","")</f>
        <v/>
      </c>
      <c r="H193" s="4" t="str">
        <f>HYPERLINK("http://141.218.60.56/~jnz1568/getInfo.php?workbook=18_16.xlsx&amp;sheet=A0&amp;row=193&amp;col=8&amp;number=&amp;sourceID=49","")</f>
        <v/>
      </c>
    </row>
    <row r="194" spans="1:8">
      <c r="A194" s="3">
        <v>18</v>
      </c>
      <c r="B194" s="3">
        <v>16</v>
      </c>
      <c r="C194" s="3">
        <v>48</v>
      </c>
      <c r="D194" s="3">
        <v>1</v>
      </c>
      <c r="E194" s="3">
        <f>((1/(INDEX(E0!J$4:J$87,C194,1)-INDEX(E0!J$4:J$87,D194,1))))*100000000</f>
        <v>0</v>
      </c>
      <c r="F194" s="4" t="str">
        <f>HYPERLINK("http://141.218.60.56/~jnz1568/getInfo.php?workbook=18_16.xlsx&amp;sheet=A0&amp;row=194&amp;col=6&amp;number=6168600000&amp;sourceID=48","6168600000")</f>
        <v>6168600000</v>
      </c>
      <c r="G194" s="4" t="str">
        <f>HYPERLINK("http://141.218.60.56/~jnz1568/getInfo.php?workbook=18_16.xlsx&amp;sheet=A0&amp;row=194&amp;col=7&amp;number=&amp;sourceID=49","")</f>
        <v/>
      </c>
      <c r="H194" s="4" t="str">
        <f>HYPERLINK("http://141.218.60.56/~jnz1568/getInfo.php?workbook=18_16.xlsx&amp;sheet=A0&amp;row=194&amp;col=8&amp;number=&amp;sourceID=49","")</f>
        <v/>
      </c>
    </row>
    <row r="195" spans="1:8">
      <c r="A195" s="3">
        <v>18</v>
      </c>
      <c r="B195" s="3">
        <v>16</v>
      </c>
      <c r="C195" s="3">
        <v>48</v>
      </c>
      <c r="D195" s="3">
        <v>2</v>
      </c>
      <c r="E195" s="3">
        <f>((1/(INDEX(E0!J$4:J$87,C195,1)-INDEX(E0!J$4:J$87,D195,1))))*100000000</f>
        <v>0</v>
      </c>
      <c r="F195" s="4" t="str">
        <f>HYPERLINK("http://141.218.60.56/~jnz1568/getInfo.php?workbook=18_16.xlsx&amp;sheet=A0&amp;row=195&amp;col=6&amp;number=5238000000&amp;sourceID=48","5238000000")</f>
        <v>5238000000</v>
      </c>
      <c r="G195" s="4" t="str">
        <f>HYPERLINK("http://141.218.60.56/~jnz1568/getInfo.php?workbook=18_16.xlsx&amp;sheet=A0&amp;row=195&amp;col=7&amp;number=&amp;sourceID=49","")</f>
        <v/>
      </c>
      <c r="H195" s="4" t="str">
        <f>HYPERLINK("http://141.218.60.56/~jnz1568/getInfo.php?workbook=18_16.xlsx&amp;sheet=A0&amp;row=195&amp;col=8&amp;number=&amp;sourceID=49","")</f>
        <v/>
      </c>
    </row>
    <row r="196" spans="1:8">
      <c r="A196" s="3">
        <v>18</v>
      </c>
      <c r="B196" s="3">
        <v>16</v>
      </c>
      <c r="C196" s="3">
        <v>48</v>
      </c>
      <c r="D196" s="3">
        <v>3</v>
      </c>
      <c r="E196" s="3">
        <f>((1/(INDEX(E0!J$4:J$87,C196,1)-INDEX(E0!J$4:J$87,D196,1))))*100000000</f>
        <v>0</v>
      </c>
      <c r="F196" s="4" t="str">
        <f>HYPERLINK("http://141.218.60.56/~jnz1568/getInfo.php?workbook=18_16.xlsx&amp;sheet=A0&amp;row=196&amp;col=6&amp;number=7077300000&amp;sourceID=48","7077300000")</f>
        <v>7077300000</v>
      </c>
      <c r="G196" s="4" t="str">
        <f>HYPERLINK("http://141.218.60.56/~jnz1568/getInfo.php?workbook=18_16.xlsx&amp;sheet=A0&amp;row=196&amp;col=7&amp;number=&amp;sourceID=49","")</f>
        <v/>
      </c>
      <c r="H196" s="4" t="str">
        <f>HYPERLINK("http://141.218.60.56/~jnz1568/getInfo.php?workbook=18_16.xlsx&amp;sheet=A0&amp;row=196&amp;col=8&amp;number=&amp;sourceID=49","")</f>
        <v/>
      </c>
    </row>
    <row r="197" spans="1:8">
      <c r="A197" s="3">
        <v>18</v>
      </c>
      <c r="B197" s="3">
        <v>16</v>
      </c>
      <c r="C197" s="3">
        <v>48</v>
      </c>
      <c r="D197" s="3">
        <v>4</v>
      </c>
      <c r="E197" s="3">
        <f>((1/(INDEX(E0!J$4:J$87,C197,1)-INDEX(E0!J$4:J$87,D197,1))))*100000000</f>
        <v>0</v>
      </c>
      <c r="F197" s="4" t="str">
        <f>HYPERLINK("http://141.218.60.56/~jnz1568/getInfo.php?workbook=18_16.xlsx&amp;sheet=A0&amp;row=197&amp;col=6&amp;number=805000&amp;sourceID=48","805000")</f>
        <v>805000</v>
      </c>
      <c r="G197" s="4" t="str">
        <f>HYPERLINK("http://141.218.60.56/~jnz1568/getInfo.php?workbook=18_16.xlsx&amp;sheet=A0&amp;row=197&amp;col=7&amp;number=&amp;sourceID=49","")</f>
        <v/>
      </c>
      <c r="H197" s="4" t="str">
        <f>HYPERLINK("http://141.218.60.56/~jnz1568/getInfo.php?workbook=18_16.xlsx&amp;sheet=A0&amp;row=197&amp;col=8&amp;number=&amp;sourceID=49","")</f>
        <v/>
      </c>
    </row>
    <row r="198" spans="1:8">
      <c r="A198" s="3">
        <v>18</v>
      </c>
      <c r="B198" s="3">
        <v>16</v>
      </c>
      <c r="C198" s="3">
        <v>48</v>
      </c>
      <c r="D198" s="3">
        <v>5</v>
      </c>
      <c r="E198" s="3">
        <f>((1/(INDEX(E0!J$4:J$87,C198,1)-INDEX(E0!J$4:J$87,D198,1))))*100000000</f>
        <v>0</v>
      </c>
      <c r="F198" s="4" t="str">
        <f>HYPERLINK("http://141.218.60.56/~jnz1568/getInfo.php?workbook=18_16.xlsx&amp;sheet=A0&amp;row=198&amp;col=6&amp;number=1523200&amp;sourceID=48","1523200")</f>
        <v>1523200</v>
      </c>
      <c r="G198" s="4" t="str">
        <f>HYPERLINK("http://141.218.60.56/~jnz1568/getInfo.php?workbook=18_16.xlsx&amp;sheet=A0&amp;row=198&amp;col=7&amp;number=&amp;sourceID=49","")</f>
        <v/>
      </c>
      <c r="H198" s="4" t="str">
        <f>HYPERLINK("http://141.218.60.56/~jnz1568/getInfo.php?workbook=18_16.xlsx&amp;sheet=A0&amp;row=198&amp;col=8&amp;number=&amp;sourceID=49","")</f>
        <v/>
      </c>
    </row>
    <row r="199" spans="1:8">
      <c r="A199" s="3">
        <v>18</v>
      </c>
      <c r="B199" s="3">
        <v>16</v>
      </c>
      <c r="C199" s="3">
        <v>48</v>
      </c>
      <c r="D199" s="3">
        <v>43</v>
      </c>
      <c r="E199" s="3">
        <f>((1/(INDEX(E0!J$4:J$87,C199,1)-INDEX(E0!J$4:J$87,D199,1))))*100000000</f>
        <v>0</v>
      </c>
      <c r="F199" s="4" t="str">
        <f>HYPERLINK("http://141.218.60.56/~jnz1568/getInfo.php?workbook=18_16.xlsx&amp;sheet=A0&amp;row=199&amp;col=6&amp;number=5.4206&amp;sourceID=48","5.4206")</f>
        <v>5.4206</v>
      </c>
      <c r="G199" s="4" t="str">
        <f>HYPERLINK("http://141.218.60.56/~jnz1568/getInfo.php?workbook=18_16.xlsx&amp;sheet=A0&amp;row=199&amp;col=7&amp;number=&amp;sourceID=49","")</f>
        <v/>
      </c>
      <c r="H199" s="4" t="str">
        <f>HYPERLINK("http://141.218.60.56/~jnz1568/getInfo.php?workbook=18_16.xlsx&amp;sheet=A0&amp;row=199&amp;col=8&amp;number=&amp;sourceID=49","")</f>
        <v/>
      </c>
    </row>
    <row r="200" spans="1:8">
      <c r="A200" s="3">
        <v>18</v>
      </c>
      <c r="B200" s="3">
        <v>16</v>
      </c>
      <c r="C200" s="3">
        <v>48</v>
      </c>
      <c r="D200" s="3">
        <v>44</v>
      </c>
      <c r="E200" s="3">
        <f>((1/(INDEX(E0!J$4:J$87,C200,1)-INDEX(E0!J$4:J$87,D200,1))))*100000000</f>
        <v>0</v>
      </c>
      <c r="F200" s="4" t="str">
        <f>HYPERLINK("http://141.218.60.56/~jnz1568/getInfo.php?workbook=18_16.xlsx&amp;sheet=A0&amp;row=200&amp;col=6&amp;number=3.4364&amp;sourceID=48","3.4364")</f>
        <v>3.4364</v>
      </c>
      <c r="G200" s="4" t="str">
        <f>HYPERLINK("http://141.218.60.56/~jnz1568/getInfo.php?workbook=18_16.xlsx&amp;sheet=A0&amp;row=200&amp;col=7&amp;number=&amp;sourceID=49","")</f>
        <v/>
      </c>
      <c r="H200" s="4" t="str">
        <f>HYPERLINK("http://141.218.60.56/~jnz1568/getInfo.php?workbook=18_16.xlsx&amp;sheet=A0&amp;row=200&amp;col=8&amp;number=&amp;sourceID=49","")</f>
        <v/>
      </c>
    </row>
    <row r="201" spans="1:8">
      <c r="A201" s="3">
        <v>18</v>
      </c>
      <c r="B201" s="3">
        <v>16</v>
      </c>
      <c r="C201" s="3">
        <v>49</v>
      </c>
      <c r="D201" s="3">
        <v>2</v>
      </c>
      <c r="E201" s="3">
        <f>((1/(INDEX(E0!J$4:J$87,C201,1)-INDEX(E0!J$4:J$87,D201,1))))*100000000</f>
        <v>0</v>
      </c>
      <c r="F201" s="4" t="str">
        <f>HYPERLINK("http://141.218.60.56/~jnz1568/getInfo.php?workbook=18_16.xlsx&amp;sheet=A0&amp;row=201&amp;col=6&amp;number=17240000000&amp;sourceID=48","17240000000")</f>
        <v>17240000000</v>
      </c>
      <c r="G201" s="4" t="str">
        <f>HYPERLINK("http://141.218.60.56/~jnz1568/getInfo.php?workbook=18_16.xlsx&amp;sheet=A0&amp;row=201&amp;col=7&amp;number=&amp;sourceID=49","")</f>
        <v/>
      </c>
      <c r="H201" s="4" t="str">
        <f>HYPERLINK("http://141.218.60.56/~jnz1568/getInfo.php?workbook=18_16.xlsx&amp;sheet=A0&amp;row=201&amp;col=8&amp;number=&amp;sourceID=49","")</f>
        <v/>
      </c>
    </row>
    <row r="202" spans="1:8">
      <c r="A202" s="3">
        <v>18</v>
      </c>
      <c r="B202" s="3">
        <v>16</v>
      </c>
      <c r="C202" s="3">
        <v>49</v>
      </c>
      <c r="D202" s="3">
        <v>43</v>
      </c>
      <c r="E202" s="3">
        <f>((1/(INDEX(E0!J$4:J$87,C202,1)-INDEX(E0!J$4:J$87,D202,1))))*100000000</f>
        <v>0</v>
      </c>
      <c r="F202" s="4" t="str">
        <f>HYPERLINK("http://141.218.60.56/~jnz1568/getInfo.php?workbook=18_16.xlsx&amp;sheet=A0&amp;row=202&amp;col=6&amp;number=10.502&amp;sourceID=48","10.502")</f>
        <v>10.502</v>
      </c>
      <c r="G202" s="4" t="str">
        <f>HYPERLINK("http://141.218.60.56/~jnz1568/getInfo.php?workbook=18_16.xlsx&amp;sheet=A0&amp;row=202&amp;col=7&amp;number=&amp;sourceID=49","")</f>
        <v/>
      </c>
      <c r="H202" s="4" t="str">
        <f>HYPERLINK("http://141.218.60.56/~jnz1568/getInfo.php?workbook=18_16.xlsx&amp;sheet=A0&amp;row=202&amp;col=8&amp;number=&amp;sourceID=49","")</f>
        <v/>
      </c>
    </row>
    <row r="203" spans="1:8">
      <c r="A203" s="3">
        <v>18</v>
      </c>
      <c r="B203" s="3">
        <v>16</v>
      </c>
      <c r="C203" s="3">
        <v>50</v>
      </c>
      <c r="D203" s="3">
        <v>6</v>
      </c>
      <c r="E203" s="3">
        <f>((1/(INDEX(E0!J$4:J$87,C203,1)-INDEX(E0!J$4:J$87,D203,1))))*100000000</f>
        <v>0</v>
      </c>
      <c r="F203" s="4" t="str">
        <f>HYPERLINK("http://141.218.60.56/~jnz1568/getInfo.php?workbook=18_16.xlsx&amp;sheet=A0&amp;row=203&amp;col=6&amp;number=2726000&amp;sourceID=48","2726000")</f>
        <v>2726000</v>
      </c>
      <c r="G203" s="4" t="str">
        <f>HYPERLINK("http://141.218.60.56/~jnz1568/getInfo.php?workbook=18_16.xlsx&amp;sheet=A0&amp;row=203&amp;col=7&amp;number=&amp;sourceID=49","")</f>
        <v/>
      </c>
      <c r="H203" s="4" t="str">
        <f>HYPERLINK("http://141.218.60.56/~jnz1568/getInfo.php?workbook=18_16.xlsx&amp;sheet=A0&amp;row=203&amp;col=8&amp;number=&amp;sourceID=49","")</f>
        <v/>
      </c>
    </row>
    <row r="204" spans="1:8">
      <c r="A204" s="3">
        <v>18</v>
      </c>
      <c r="B204" s="3">
        <v>16</v>
      </c>
      <c r="C204" s="3">
        <v>50</v>
      </c>
      <c r="D204" s="3">
        <v>7</v>
      </c>
      <c r="E204" s="3">
        <f>((1/(INDEX(E0!J$4:J$87,C204,1)-INDEX(E0!J$4:J$87,D204,1))))*100000000</f>
        <v>0</v>
      </c>
      <c r="F204" s="4" t="str">
        <f>HYPERLINK("http://141.218.60.56/~jnz1568/getInfo.php?workbook=18_16.xlsx&amp;sheet=A0&amp;row=204&amp;col=6&amp;number=1091000&amp;sourceID=48","1091000")</f>
        <v>1091000</v>
      </c>
      <c r="G204" s="4" t="str">
        <f>HYPERLINK("http://141.218.60.56/~jnz1568/getInfo.php?workbook=18_16.xlsx&amp;sheet=A0&amp;row=204&amp;col=7&amp;number=&amp;sourceID=49","")</f>
        <v/>
      </c>
      <c r="H204" s="4" t="str">
        <f>HYPERLINK("http://141.218.60.56/~jnz1568/getInfo.php?workbook=18_16.xlsx&amp;sheet=A0&amp;row=204&amp;col=8&amp;number=&amp;sourceID=49","")</f>
        <v/>
      </c>
    </row>
    <row r="205" spans="1:8">
      <c r="A205" s="3">
        <v>18</v>
      </c>
      <c r="B205" s="3">
        <v>16</v>
      </c>
      <c r="C205" s="3">
        <v>50</v>
      </c>
      <c r="D205" s="3">
        <v>8</v>
      </c>
      <c r="E205" s="3">
        <f>((1/(INDEX(E0!J$4:J$87,C205,1)-INDEX(E0!J$4:J$87,D205,1))))*100000000</f>
        <v>0</v>
      </c>
      <c r="F205" s="4" t="str">
        <f>HYPERLINK("http://141.218.60.56/~jnz1568/getInfo.php?workbook=18_16.xlsx&amp;sheet=A0&amp;row=205&amp;col=6&amp;number=1574800&amp;sourceID=48","1574800")</f>
        <v>1574800</v>
      </c>
      <c r="G205" s="4" t="str">
        <f>HYPERLINK("http://141.218.60.56/~jnz1568/getInfo.php?workbook=18_16.xlsx&amp;sheet=A0&amp;row=205&amp;col=7&amp;number=&amp;sourceID=49","")</f>
        <v/>
      </c>
      <c r="H205" s="4" t="str">
        <f>HYPERLINK("http://141.218.60.56/~jnz1568/getInfo.php?workbook=18_16.xlsx&amp;sheet=A0&amp;row=205&amp;col=8&amp;number=&amp;sourceID=49","")</f>
        <v/>
      </c>
    </row>
    <row r="206" spans="1:8">
      <c r="A206" s="3">
        <v>18</v>
      </c>
      <c r="B206" s="3">
        <v>16</v>
      </c>
      <c r="C206" s="3">
        <v>50</v>
      </c>
      <c r="D206" s="3">
        <v>9</v>
      </c>
      <c r="E206" s="3">
        <f>((1/(INDEX(E0!J$4:J$87,C206,1)-INDEX(E0!J$4:J$87,D206,1))))*100000000</f>
        <v>0</v>
      </c>
      <c r="F206" s="4" t="str">
        <f>HYPERLINK("http://141.218.60.56/~jnz1568/getInfo.php?workbook=18_16.xlsx&amp;sheet=A0&amp;row=206&amp;col=6&amp;number=67807&amp;sourceID=48","67807")</f>
        <v>67807</v>
      </c>
      <c r="G206" s="4" t="str">
        <f>HYPERLINK("http://141.218.60.56/~jnz1568/getInfo.php?workbook=18_16.xlsx&amp;sheet=A0&amp;row=206&amp;col=7&amp;number=&amp;sourceID=49","")</f>
        <v/>
      </c>
      <c r="H206" s="4" t="str">
        <f>HYPERLINK("http://141.218.60.56/~jnz1568/getInfo.php?workbook=18_16.xlsx&amp;sheet=A0&amp;row=206&amp;col=8&amp;number=&amp;sourceID=49","")</f>
        <v/>
      </c>
    </row>
    <row r="207" spans="1:8">
      <c r="A207" s="3">
        <v>18</v>
      </c>
      <c r="B207" s="3">
        <v>16</v>
      </c>
      <c r="C207" s="3">
        <v>50</v>
      </c>
      <c r="D207" s="3">
        <v>10</v>
      </c>
      <c r="E207" s="3">
        <f>((1/(INDEX(E0!J$4:J$87,C207,1)-INDEX(E0!J$4:J$87,D207,1))))*100000000</f>
        <v>0</v>
      </c>
      <c r="F207" s="4" t="str">
        <f>HYPERLINK("http://141.218.60.56/~jnz1568/getInfo.php?workbook=18_16.xlsx&amp;sheet=A0&amp;row=207&amp;col=6&amp;number=142580&amp;sourceID=48","142580")</f>
        <v>142580</v>
      </c>
      <c r="G207" s="4" t="str">
        <f>HYPERLINK("http://141.218.60.56/~jnz1568/getInfo.php?workbook=18_16.xlsx&amp;sheet=A0&amp;row=207&amp;col=7&amp;number=&amp;sourceID=49","")</f>
        <v/>
      </c>
      <c r="H207" s="4" t="str">
        <f>HYPERLINK("http://141.218.60.56/~jnz1568/getInfo.php?workbook=18_16.xlsx&amp;sheet=A0&amp;row=207&amp;col=8&amp;number=&amp;sourceID=49","")</f>
        <v/>
      </c>
    </row>
    <row r="208" spans="1:8">
      <c r="A208" s="3">
        <v>18</v>
      </c>
      <c r="B208" s="3">
        <v>16</v>
      </c>
      <c r="C208" s="3">
        <v>50</v>
      </c>
      <c r="D208" s="3">
        <v>11</v>
      </c>
      <c r="E208" s="3">
        <f>((1/(INDEX(E0!J$4:J$87,C208,1)-INDEX(E0!J$4:J$87,D208,1))))*100000000</f>
        <v>0</v>
      </c>
      <c r="F208" s="4" t="str">
        <f>HYPERLINK("http://141.218.60.56/~jnz1568/getInfo.php?workbook=18_16.xlsx&amp;sheet=A0&amp;row=208&amp;col=6&amp;number=233680&amp;sourceID=48","233680")</f>
        <v>233680</v>
      </c>
      <c r="G208" s="4" t="str">
        <f>HYPERLINK("http://141.218.60.56/~jnz1568/getInfo.php?workbook=18_16.xlsx&amp;sheet=A0&amp;row=208&amp;col=7&amp;number=&amp;sourceID=49","")</f>
        <v/>
      </c>
      <c r="H208" s="4" t="str">
        <f>HYPERLINK("http://141.218.60.56/~jnz1568/getInfo.php?workbook=18_16.xlsx&amp;sheet=A0&amp;row=208&amp;col=8&amp;number=&amp;sourceID=49","")</f>
        <v/>
      </c>
    </row>
    <row r="209" spans="1:8">
      <c r="A209" s="3">
        <v>18</v>
      </c>
      <c r="B209" s="3">
        <v>16</v>
      </c>
      <c r="C209" s="3">
        <v>50</v>
      </c>
      <c r="D209" s="3">
        <v>12</v>
      </c>
      <c r="E209" s="3">
        <f>((1/(INDEX(E0!J$4:J$87,C209,1)-INDEX(E0!J$4:J$87,D209,1))))*100000000</f>
        <v>0</v>
      </c>
      <c r="F209" s="4" t="str">
        <f>HYPERLINK("http://141.218.60.56/~jnz1568/getInfo.php?workbook=18_16.xlsx&amp;sheet=A0&amp;row=209&amp;col=6&amp;number=67720&amp;sourceID=48","67720")</f>
        <v>67720</v>
      </c>
      <c r="G209" s="4" t="str">
        <f>HYPERLINK("http://141.218.60.56/~jnz1568/getInfo.php?workbook=18_16.xlsx&amp;sheet=A0&amp;row=209&amp;col=7&amp;number=&amp;sourceID=49","")</f>
        <v/>
      </c>
      <c r="H209" s="4" t="str">
        <f>HYPERLINK("http://141.218.60.56/~jnz1568/getInfo.php?workbook=18_16.xlsx&amp;sheet=A0&amp;row=209&amp;col=8&amp;number=&amp;sourceID=49","")</f>
        <v/>
      </c>
    </row>
    <row r="210" spans="1:8">
      <c r="A210" s="3">
        <v>18</v>
      </c>
      <c r="B210" s="3">
        <v>16</v>
      </c>
      <c r="C210" s="3">
        <v>50</v>
      </c>
      <c r="D210" s="3">
        <v>16</v>
      </c>
      <c r="E210" s="3">
        <f>((1/(INDEX(E0!J$4:J$87,C210,1)-INDEX(E0!J$4:J$87,D210,1))))*100000000</f>
        <v>0</v>
      </c>
      <c r="F210" s="4" t="str">
        <f>HYPERLINK("http://141.218.60.56/~jnz1568/getInfo.php?workbook=18_16.xlsx&amp;sheet=A0&amp;row=210&amp;col=6&amp;number=161130000&amp;sourceID=48","161130000")</f>
        <v>161130000</v>
      </c>
      <c r="G210" s="4" t="str">
        <f>HYPERLINK("http://141.218.60.56/~jnz1568/getInfo.php?workbook=18_16.xlsx&amp;sheet=A0&amp;row=210&amp;col=7&amp;number=&amp;sourceID=49","")</f>
        <v/>
      </c>
      <c r="H210" s="4" t="str">
        <f>HYPERLINK("http://141.218.60.56/~jnz1568/getInfo.php?workbook=18_16.xlsx&amp;sheet=A0&amp;row=210&amp;col=8&amp;number=&amp;sourceID=49","")</f>
        <v/>
      </c>
    </row>
    <row r="211" spans="1:8">
      <c r="A211" s="3">
        <v>18</v>
      </c>
      <c r="B211" s="3">
        <v>16</v>
      </c>
      <c r="C211" s="3">
        <v>50</v>
      </c>
      <c r="D211" s="3">
        <v>17</v>
      </c>
      <c r="E211" s="3">
        <f>((1/(INDEX(E0!J$4:J$87,C211,1)-INDEX(E0!J$4:J$87,D211,1))))*100000000</f>
        <v>0</v>
      </c>
      <c r="F211" s="4" t="str">
        <f>HYPERLINK("http://141.218.60.56/~jnz1568/getInfo.php?workbook=18_16.xlsx&amp;sheet=A0&amp;row=211&amp;col=6&amp;number=56062000&amp;sourceID=48","56062000")</f>
        <v>56062000</v>
      </c>
      <c r="G211" s="4" t="str">
        <f>HYPERLINK("http://141.218.60.56/~jnz1568/getInfo.php?workbook=18_16.xlsx&amp;sheet=A0&amp;row=211&amp;col=7&amp;number=&amp;sourceID=49","")</f>
        <v/>
      </c>
      <c r="H211" s="4" t="str">
        <f>HYPERLINK("http://141.218.60.56/~jnz1568/getInfo.php?workbook=18_16.xlsx&amp;sheet=A0&amp;row=211&amp;col=8&amp;number=&amp;sourceID=49","")</f>
        <v/>
      </c>
    </row>
    <row r="212" spans="1:8">
      <c r="A212" s="3">
        <v>18</v>
      </c>
      <c r="B212" s="3">
        <v>16</v>
      </c>
      <c r="C212" s="3">
        <v>50</v>
      </c>
      <c r="D212" s="3">
        <v>18</v>
      </c>
      <c r="E212" s="3">
        <f>((1/(INDEX(E0!J$4:J$87,C212,1)-INDEX(E0!J$4:J$87,D212,1))))*100000000</f>
        <v>0</v>
      </c>
      <c r="F212" s="4" t="str">
        <f>HYPERLINK("http://141.218.60.56/~jnz1568/getInfo.php?workbook=18_16.xlsx&amp;sheet=A0&amp;row=212&amp;col=6&amp;number=5254.2&amp;sourceID=48","5254.2")</f>
        <v>5254.2</v>
      </c>
      <c r="G212" s="4" t="str">
        <f>HYPERLINK("http://141.218.60.56/~jnz1568/getInfo.php?workbook=18_16.xlsx&amp;sheet=A0&amp;row=212&amp;col=7&amp;number=&amp;sourceID=49","")</f>
        <v/>
      </c>
      <c r="H212" s="4" t="str">
        <f>HYPERLINK("http://141.218.60.56/~jnz1568/getInfo.php?workbook=18_16.xlsx&amp;sheet=A0&amp;row=212&amp;col=8&amp;number=&amp;sourceID=49","")</f>
        <v/>
      </c>
    </row>
    <row r="213" spans="1:8">
      <c r="A213" s="3">
        <v>18</v>
      </c>
      <c r="B213" s="3">
        <v>16</v>
      </c>
      <c r="C213" s="3">
        <v>50</v>
      </c>
      <c r="D213" s="3">
        <v>19</v>
      </c>
      <c r="E213" s="3">
        <f>((1/(INDEX(E0!J$4:J$87,C213,1)-INDEX(E0!J$4:J$87,D213,1))))*100000000</f>
        <v>0</v>
      </c>
      <c r="F213" s="4" t="str">
        <f>HYPERLINK("http://141.218.60.56/~jnz1568/getInfo.php?workbook=18_16.xlsx&amp;sheet=A0&amp;row=213&amp;col=6&amp;number=60321&amp;sourceID=48","60321")</f>
        <v>60321</v>
      </c>
      <c r="G213" s="4" t="str">
        <f>HYPERLINK("http://141.218.60.56/~jnz1568/getInfo.php?workbook=18_16.xlsx&amp;sheet=A0&amp;row=213&amp;col=7&amp;number=&amp;sourceID=49","")</f>
        <v/>
      </c>
      <c r="H213" s="4" t="str">
        <f>HYPERLINK("http://141.218.60.56/~jnz1568/getInfo.php?workbook=18_16.xlsx&amp;sheet=A0&amp;row=213&amp;col=8&amp;number=&amp;sourceID=49","")</f>
        <v/>
      </c>
    </row>
    <row r="214" spans="1:8">
      <c r="A214" s="3">
        <v>18</v>
      </c>
      <c r="B214" s="3">
        <v>16</v>
      </c>
      <c r="C214" s="3">
        <v>50</v>
      </c>
      <c r="D214" s="3">
        <v>25</v>
      </c>
      <c r="E214" s="3">
        <f>((1/(INDEX(E0!J$4:J$87,C214,1)-INDEX(E0!J$4:J$87,D214,1))))*100000000</f>
        <v>0</v>
      </c>
      <c r="F214" s="4" t="str">
        <f>HYPERLINK("http://141.218.60.56/~jnz1568/getInfo.php?workbook=18_16.xlsx&amp;sheet=A0&amp;row=214&amp;col=6&amp;number=350180&amp;sourceID=48","350180")</f>
        <v>350180</v>
      </c>
      <c r="G214" s="4" t="str">
        <f>HYPERLINK("http://141.218.60.56/~jnz1568/getInfo.php?workbook=18_16.xlsx&amp;sheet=A0&amp;row=214&amp;col=7&amp;number=&amp;sourceID=49","")</f>
        <v/>
      </c>
      <c r="H214" s="4" t="str">
        <f>HYPERLINK("http://141.218.60.56/~jnz1568/getInfo.php?workbook=18_16.xlsx&amp;sheet=A0&amp;row=214&amp;col=8&amp;number=&amp;sourceID=49","")</f>
        <v/>
      </c>
    </row>
    <row r="215" spans="1:8">
      <c r="A215" s="3">
        <v>18</v>
      </c>
      <c r="B215" s="3">
        <v>16</v>
      </c>
      <c r="C215" s="3">
        <v>50</v>
      </c>
      <c r="D215" s="3">
        <v>27</v>
      </c>
      <c r="E215" s="3">
        <f>((1/(INDEX(E0!J$4:J$87,C215,1)-INDEX(E0!J$4:J$87,D215,1))))*100000000</f>
        <v>0</v>
      </c>
      <c r="F215" s="4" t="str">
        <f>HYPERLINK("http://141.218.60.56/~jnz1568/getInfo.php?workbook=18_16.xlsx&amp;sheet=A0&amp;row=215&amp;col=6&amp;number=9956.6&amp;sourceID=48","9956.6")</f>
        <v>9956.6</v>
      </c>
      <c r="G215" s="4" t="str">
        <f>HYPERLINK("http://141.218.60.56/~jnz1568/getInfo.php?workbook=18_16.xlsx&amp;sheet=A0&amp;row=215&amp;col=7&amp;number=&amp;sourceID=49","")</f>
        <v/>
      </c>
      <c r="H215" s="4" t="str">
        <f>HYPERLINK("http://141.218.60.56/~jnz1568/getInfo.php?workbook=18_16.xlsx&amp;sheet=A0&amp;row=215&amp;col=8&amp;number=&amp;sourceID=49","")</f>
        <v/>
      </c>
    </row>
    <row r="216" spans="1:8">
      <c r="A216" s="3">
        <v>18</v>
      </c>
      <c r="B216" s="3">
        <v>16</v>
      </c>
      <c r="C216" s="3">
        <v>50</v>
      </c>
      <c r="D216" s="3">
        <v>28</v>
      </c>
      <c r="E216" s="3">
        <f>((1/(INDEX(E0!J$4:J$87,C216,1)-INDEX(E0!J$4:J$87,D216,1))))*100000000</f>
        <v>0</v>
      </c>
      <c r="F216" s="4" t="str">
        <f>HYPERLINK("http://141.218.60.56/~jnz1568/getInfo.php?workbook=18_16.xlsx&amp;sheet=A0&amp;row=216&amp;col=6&amp;number=158700000&amp;sourceID=48","158700000")</f>
        <v>158700000</v>
      </c>
      <c r="G216" s="4" t="str">
        <f>HYPERLINK("http://141.218.60.56/~jnz1568/getInfo.php?workbook=18_16.xlsx&amp;sheet=A0&amp;row=216&amp;col=7&amp;number=&amp;sourceID=49","")</f>
        <v/>
      </c>
      <c r="H216" s="4" t="str">
        <f>HYPERLINK("http://141.218.60.56/~jnz1568/getInfo.php?workbook=18_16.xlsx&amp;sheet=A0&amp;row=216&amp;col=8&amp;number=&amp;sourceID=49","")</f>
        <v/>
      </c>
    </row>
    <row r="217" spans="1:8">
      <c r="A217" s="3">
        <v>18</v>
      </c>
      <c r="B217" s="3">
        <v>16</v>
      </c>
      <c r="C217" s="3">
        <v>50</v>
      </c>
      <c r="D217" s="3">
        <v>31</v>
      </c>
      <c r="E217" s="3">
        <f>((1/(INDEX(E0!J$4:J$87,C217,1)-INDEX(E0!J$4:J$87,D217,1))))*100000000</f>
        <v>0</v>
      </c>
      <c r="F217" s="4" t="str">
        <f>HYPERLINK("http://141.218.60.56/~jnz1568/getInfo.php?workbook=18_16.xlsx&amp;sheet=A0&amp;row=217&amp;col=6&amp;number=22746&amp;sourceID=48","22746")</f>
        <v>22746</v>
      </c>
      <c r="G217" s="4" t="str">
        <f>HYPERLINK("http://141.218.60.56/~jnz1568/getInfo.php?workbook=18_16.xlsx&amp;sheet=A0&amp;row=217&amp;col=7&amp;number=&amp;sourceID=49","")</f>
        <v/>
      </c>
      <c r="H217" s="4" t="str">
        <f>HYPERLINK("http://141.218.60.56/~jnz1568/getInfo.php?workbook=18_16.xlsx&amp;sheet=A0&amp;row=217&amp;col=8&amp;number=&amp;sourceID=49","")</f>
        <v/>
      </c>
    </row>
    <row r="218" spans="1:8">
      <c r="A218" s="3">
        <v>18</v>
      </c>
      <c r="B218" s="3">
        <v>16</v>
      </c>
      <c r="C218" s="3">
        <v>50</v>
      </c>
      <c r="D218" s="3">
        <v>32</v>
      </c>
      <c r="E218" s="3">
        <f>((1/(INDEX(E0!J$4:J$87,C218,1)-INDEX(E0!J$4:J$87,D218,1))))*100000000</f>
        <v>0</v>
      </c>
      <c r="F218" s="4" t="str">
        <f>HYPERLINK("http://141.218.60.56/~jnz1568/getInfo.php?workbook=18_16.xlsx&amp;sheet=A0&amp;row=218&amp;col=6&amp;number=1397400&amp;sourceID=48","1397400")</f>
        <v>1397400</v>
      </c>
      <c r="G218" s="4" t="str">
        <f>HYPERLINK("http://141.218.60.56/~jnz1568/getInfo.php?workbook=18_16.xlsx&amp;sheet=A0&amp;row=218&amp;col=7&amp;number=&amp;sourceID=49","")</f>
        <v/>
      </c>
      <c r="H218" s="4" t="str">
        <f>HYPERLINK("http://141.218.60.56/~jnz1568/getInfo.php?workbook=18_16.xlsx&amp;sheet=A0&amp;row=218&amp;col=8&amp;number=&amp;sourceID=49","")</f>
        <v/>
      </c>
    </row>
    <row r="219" spans="1:8">
      <c r="A219" s="3">
        <v>18</v>
      </c>
      <c r="B219" s="3">
        <v>16</v>
      </c>
      <c r="C219" s="3">
        <v>50</v>
      </c>
      <c r="D219" s="3">
        <v>33</v>
      </c>
      <c r="E219" s="3">
        <f>((1/(INDEX(E0!J$4:J$87,C219,1)-INDEX(E0!J$4:J$87,D219,1))))*100000000</f>
        <v>0</v>
      </c>
      <c r="F219" s="4" t="str">
        <f>HYPERLINK("http://141.218.60.56/~jnz1568/getInfo.php?workbook=18_16.xlsx&amp;sheet=A0&amp;row=219&amp;col=6&amp;number=3294900&amp;sourceID=48","3294900")</f>
        <v>3294900</v>
      </c>
      <c r="G219" s="4" t="str">
        <f>HYPERLINK("http://141.218.60.56/~jnz1568/getInfo.php?workbook=18_16.xlsx&amp;sheet=A0&amp;row=219&amp;col=7&amp;number=&amp;sourceID=49","")</f>
        <v/>
      </c>
      <c r="H219" s="4" t="str">
        <f>HYPERLINK("http://141.218.60.56/~jnz1568/getInfo.php?workbook=18_16.xlsx&amp;sheet=A0&amp;row=219&amp;col=8&amp;number=&amp;sourceID=49","")</f>
        <v/>
      </c>
    </row>
    <row r="220" spans="1:8">
      <c r="A220" s="3">
        <v>18</v>
      </c>
      <c r="B220" s="3">
        <v>16</v>
      </c>
      <c r="C220" s="3">
        <v>50</v>
      </c>
      <c r="D220" s="3">
        <v>34</v>
      </c>
      <c r="E220" s="3">
        <f>((1/(INDEX(E0!J$4:J$87,C220,1)-INDEX(E0!J$4:J$87,D220,1))))*100000000</f>
        <v>0</v>
      </c>
      <c r="F220" s="4" t="str">
        <f>HYPERLINK("http://141.218.60.56/~jnz1568/getInfo.php?workbook=18_16.xlsx&amp;sheet=A0&amp;row=220&amp;col=6&amp;number=12835&amp;sourceID=48","12835")</f>
        <v>12835</v>
      </c>
      <c r="G220" s="4" t="str">
        <f>HYPERLINK("http://141.218.60.56/~jnz1568/getInfo.php?workbook=18_16.xlsx&amp;sheet=A0&amp;row=220&amp;col=7&amp;number=&amp;sourceID=49","")</f>
        <v/>
      </c>
      <c r="H220" s="4" t="str">
        <f>HYPERLINK("http://141.218.60.56/~jnz1568/getInfo.php?workbook=18_16.xlsx&amp;sheet=A0&amp;row=220&amp;col=8&amp;number=&amp;sourceID=49","")</f>
        <v/>
      </c>
    </row>
    <row r="221" spans="1:8">
      <c r="A221" s="3">
        <v>18</v>
      </c>
      <c r="B221" s="3">
        <v>16</v>
      </c>
      <c r="C221" s="3">
        <v>50</v>
      </c>
      <c r="D221" s="3">
        <v>35</v>
      </c>
      <c r="E221" s="3">
        <f>((1/(INDEX(E0!J$4:J$87,C221,1)-INDEX(E0!J$4:J$87,D221,1))))*100000000</f>
        <v>0</v>
      </c>
      <c r="F221" s="4" t="str">
        <f>HYPERLINK("http://141.218.60.56/~jnz1568/getInfo.php?workbook=18_16.xlsx&amp;sheet=A0&amp;row=221&amp;col=6&amp;number=33419&amp;sourceID=48","33419")</f>
        <v>33419</v>
      </c>
      <c r="G221" s="4" t="str">
        <f>HYPERLINK("http://141.218.60.56/~jnz1568/getInfo.php?workbook=18_16.xlsx&amp;sheet=A0&amp;row=221&amp;col=7&amp;number=&amp;sourceID=49","")</f>
        <v/>
      </c>
      <c r="H221" s="4" t="str">
        <f>HYPERLINK("http://141.218.60.56/~jnz1568/getInfo.php?workbook=18_16.xlsx&amp;sheet=A0&amp;row=221&amp;col=8&amp;number=&amp;sourceID=49","")</f>
        <v/>
      </c>
    </row>
    <row r="222" spans="1:8">
      <c r="A222" s="3">
        <v>18</v>
      </c>
      <c r="B222" s="3">
        <v>16</v>
      </c>
      <c r="C222" s="3">
        <v>50</v>
      </c>
      <c r="D222" s="3">
        <v>37</v>
      </c>
      <c r="E222" s="3">
        <f>((1/(INDEX(E0!J$4:J$87,C222,1)-INDEX(E0!J$4:J$87,D222,1))))*100000000</f>
        <v>0</v>
      </c>
      <c r="F222" s="4" t="str">
        <f>HYPERLINK("http://141.218.60.56/~jnz1568/getInfo.php?workbook=18_16.xlsx&amp;sheet=A0&amp;row=222&amp;col=6&amp;number=3258.3&amp;sourceID=48","3258.3")</f>
        <v>3258.3</v>
      </c>
      <c r="G222" s="4" t="str">
        <f>HYPERLINK("http://141.218.60.56/~jnz1568/getInfo.php?workbook=18_16.xlsx&amp;sheet=A0&amp;row=222&amp;col=7&amp;number=&amp;sourceID=49","")</f>
        <v/>
      </c>
      <c r="H222" s="4" t="str">
        <f>HYPERLINK("http://141.218.60.56/~jnz1568/getInfo.php?workbook=18_16.xlsx&amp;sheet=A0&amp;row=222&amp;col=8&amp;number=&amp;sourceID=49","")</f>
        <v/>
      </c>
    </row>
    <row r="223" spans="1:8">
      <c r="A223" s="3">
        <v>18</v>
      </c>
      <c r="B223" s="3">
        <v>16</v>
      </c>
      <c r="C223" s="3">
        <v>50</v>
      </c>
      <c r="D223" s="3">
        <v>38</v>
      </c>
      <c r="E223" s="3">
        <f>((1/(INDEX(E0!J$4:J$87,C223,1)-INDEX(E0!J$4:J$87,D223,1))))*100000000</f>
        <v>0</v>
      </c>
      <c r="F223" s="4" t="str">
        <f>HYPERLINK("http://141.218.60.56/~jnz1568/getInfo.php?workbook=18_16.xlsx&amp;sheet=A0&amp;row=223&amp;col=6&amp;number=172350&amp;sourceID=48","172350")</f>
        <v>172350</v>
      </c>
      <c r="G223" s="4" t="str">
        <f>HYPERLINK("http://141.218.60.56/~jnz1568/getInfo.php?workbook=18_16.xlsx&amp;sheet=A0&amp;row=223&amp;col=7&amp;number=&amp;sourceID=49","")</f>
        <v/>
      </c>
      <c r="H223" s="4" t="str">
        <f>HYPERLINK("http://141.218.60.56/~jnz1568/getInfo.php?workbook=18_16.xlsx&amp;sheet=A0&amp;row=223&amp;col=8&amp;number=&amp;sourceID=49","")</f>
        <v/>
      </c>
    </row>
    <row r="224" spans="1:8">
      <c r="A224" s="3">
        <v>18</v>
      </c>
      <c r="B224" s="3">
        <v>16</v>
      </c>
      <c r="C224" s="3">
        <v>50</v>
      </c>
      <c r="D224" s="3">
        <v>39</v>
      </c>
      <c r="E224" s="3">
        <f>((1/(INDEX(E0!J$4:J$87,C224,1)-INDEX(E0!J$4:J$87,D224,1))))*100000000</f>
        <v>0</v>
      </c>
      <c r="F224" s="4" t="str">
        <f>HYPERLINK("http://141.218.60.56/~jnz1568/getInfo.php?workbook=18_16.xlsx&amp;sheet=A0&amp;row=224&amp;col=6&amp;number=394880&amp;sourceID=48","394880")</f>
        <v>394880</v>
      </c>
      <c r="G224" s="4" t="str">
        <f>HYPERLINK("http://141.218.60.56/~jnz1568/getInfo.php?workbook=18_16.xlsx&amp;sheet=A0&amp;row=224&amp;col=7&amp;number=&amp;sourceID=49","")</f>
        <v/>
      </c>
      <c r="H224" s="4" t="str">
        <f>HYPERLINK("http://141.218.60.56/~jnz1568/getInfo.php?workbook=18_16.xlsx&amp;sheet=A0&amp;row=224&amp;col=8&amp;number=&amp;sourceID=49","")</f>
        <v/>
      </c>
    </row>
    <row r="225" spans="1:8">
      <c r="A225" s="3">
        <v>18</v>
      </c>
      <c r="B225" s="3">
        <v>16</v>
      </c>
      <c r="C225" s="3">
        <v>50</v>
      </c>
      <c r="D225" s="3">
        <v>41</v>
      </c>
      <c r="E225" s="3">
        <f>((1/(INDEX(E0!J$4:J$87,C225,1)-INDEX(E0!J$4:J$87,D225,1))))*100000000</f>
        <v>0</v>
      </c>
      <c r="F225" s="4" t="str">
        <f>HYPERLINK("http://141.218.60.56/~jnz1568/getInfo.php?workbook=18_16.xlsx&amp;sheet=A0&amp;row=225&amp;col=6&amp;number=4088.1&amp;sourceID=48","4088.1")</f>
        <v>4088.1</v>
      </c>
      <c r="G225" s="4" t="str">
        <f>HYPERLINK("http://141.218.60.56/~jnz1568/getInfo.php?workbook=18_16.xlsx&amp;sheet=A0&amp;row=225&amp;col=7&amp;number=&amp;sourceID=49","")</f>
        <v/>
      </c>
      <c r="H225" s="4" t="str">
        <f>HYPERLINK("http://141.218.60.56/~jnz1568/getInfo.php?workbook=18_16.xlsx&amp;sheet=A0&amp;row=225&amp;col=8&amp;number=&amp;sourceID=49","")</f>
        <v/>
      </c>
    </row>
    <row r="226" spans="1:8">
      <c r="A226" s="3">
        <v>18</v>
      </c>
      <c r="B226" s="3">
        <v>16</v>
      </c>
      <c r="C226" s="3">
        <v>50</v>
      </c>
      <c r="D226" s="3">
        <v>45</v>
      </c>
      <c r="E226" s="3">
        <f>((1/(INDEX(E0!J$4:J$87,C226,1)-INDEX(E0!J$4:J$87,D226,1))))*100000000</f>
        <v>0</v>
      </c>
      <c r="F226" s="4" t="str">
        <f>HYPERLINK("http://141.218.60.56/~jnz1568/getInfo.php?workbook=18_16.xlsx&amp;sheet=A0&amp;row=226&amp;col=6&amp;number=1756.5&amp;sourceID=48","1756.5")</f>
        <v>1756.5</v>
      </c>
      <c r="G226" s="4" t="str">
        <f>HYPERLINK("http://141.218.60.56/~jnz1568/getInfo.php?workbook=18_16.xlsx&amp;sheet=A0&amp;row=226&amp;col=7&amp;number=&amp;sourceID=49","")</f>
        <v/>
      </c>
      <c r="H226" s="4" t="str">
        <f>HYPERLINK("http://141.218.60.56/~jnz1568/getInfo.php?workbook=18_16.xlsx&amp;sheet=A0&amp;row=226&amp;col=8&amp;number=&amp;sourceID=49","")</f>
        <v/>
      </c>
    </row>
    <row r="227" spans="1:8">
      <c r="A227" s="3">
        <v>18</v>
      </c>
      <c r="B227" s="3">
        <v>16</v>
      </c>
      <c r="C227" s="3">
        <v>50</v>
      </c>
      <c r="D227" s="3">
        <v>47</v>
      </c>
      <c r="E227" s="3">
        <f>((1/(INDEX(E0!J$4:J$87,C227,1)-INDEX(E0!J$4:J$87,D227,1))))*100000000</f>
        <v>0</v>
      </c>
      <c r="F227" s="4" t="str">
        <f>HYPERLINK("http://141.218.60.56/~jnz1568/getInfo.php?workbook=18_16.xlsx&amp;sheet=A0&amp;row=227&amp;col=6&amp;number=55.57&amp;sourceID=48","55.57")</f>
        <v>55.57</v>
      </c>
      <c r="G227" s="4" t="str">
        <f>HYPERLINK("http://141.218.60.56/~jnz1568/getInfo.php?workbook=18_16.xlsx&amp;sheet=A0&amp;row=227&amp;col=7&amp;number=&amp;sourceID=49","")</f>
        <v/>
      </c>
      <c r="H227" s="4" t="str">
        <f>HYPERLINK("http://141.218.60.56/~jnz1568/getInfo.php?workbook=18_16.xlsx&amp;sheet=A0&amp;row=227&amp;col=8&amp;number=&amp;sourceID=49","")</f>
        <v/>
      </c>
    </row>
    <row r="228" spans="1:8">
      <c r="A228" s="3">
        <v>18</v>
      </c>
      <c r="B228" s="3">
        <v>16</v>
      </c>
      <c r="C228" s="3">
        <v>50</v>
      </c>
      <c r="D228" s="3">
        <v>48</v>
      </c>
      <c r="E228" s="3">
        <f>((1/(INDEX(E0!J$4:J$87,C228,1)-INDEX(E0!J$4:J$87,D228,1))))*100000000</f>
        <v>0</v>
      </c>
      <c r="F228" s="4" t="str">
        <f>HYPERLINK("http://141.218.60.56/~jnz1568/getInfo.php?workbook=18_16.xlsx&amp;sheet=A0&amp;row=228&amp;col=6&amp;number=13.815&amp;sourceID=48","13.815")</f>
        <v>13.815</v>
      </c>
      <c r="G228" s="4" t="str">
        <f>HYPERLINK("http://141.218.60.56/~jnz1568/getInfo.php?workbook=18_16.xlsx&amp;sheet=A0&amp;row=228&amp;col=7&amp;number=&amp;sourceID=49","")</f>
        <v/>
      </c>
      <c r="H228" s="4" t="str">
        <f>HYPERLINK("http://141.218.60.56/~jnz1568/getInfo.php?workbook=18_16.xlsx&amp;sheet=A0&amp;row=228&amp;col=8&amp;number=&amp;sourceID=49","")</f>
        <v/>
      </c>
    </row>
    <row r="229" spans="1:8">
      <c r="A229" s="3">
        <v>18</v>
      </c>
      <c r="B229" s="3">
        <v>16</v>
      </c>
      <c r="C229" s="3">
        <v>50</v>
      </c>
      <c r="D229" s="3">
        <v>49</v>
      </c>
      <c r="E229" s="3">
        <f>((1/(INDEX(E0!J$4:J$87,C229,1)-INDEX(E0!J$4:J$87,D229,1))))*100000000</f>
        <v>0</v>
      </c>
      <c r="F229" s="4" t="str">
        <f>HYPERLINK("http://141.218.60.56/~jnz1568/getInfo.php?workbook=18_16.xlsx&amp;sheet=A0&amp;row=229&amp;col=6&amp;number=13.872&amp;sourceID=48","13.872")</f>
        <v>13.872</v>
      </c>
      <c r="G229" s="4" t="str">
        <f>HYPERLINK("http://141.218.60.56/~jnz1568/getInfo.php?workbook=18_16.xlsx&amp;sheet=A0&amp;row=229&amp;col=7&amp;number=&amp;sourceID=49","")</f>
        <v/>
      </c>
      <c r="H229" s="4" t="str">
        <f>HYPERLINK("http://141.218.60.56/~jnz1568/getInfo.php?workbook=18_16.xlsx&amp;sheet=A0&amp;row=229&amp;col=8&amp;number=&amp;sourceID=49","")</f>
        <v/>
      </c>
    </row>
    <row r="230" spans="1:8">
      <c r="A230" s="3">
        <v>18</v>
      </c>
      <c r="B230" s="3">
        <v>16</v>
      </c>
      <c r="C230" s="3">
        <v>51</v>
      </c>
      <c r="D230" s="3">
        <v>6</v>
      </c>
      <c r="E230" s="3">
        <f>((1/(INDEX(E0!J$4:J$87,C230,1)-INDEX(E0!J$4:J$87,D230,1))))*100000000</f>
        <v>0</v>
      </c>
      <c r="F230" s="4" t="str">
        <f>HYPERLINK("http://141.218.60.56/~jnz1568/getInfo.php?workbook=18_16.xlsx&amp;sheet=A0&amp;row=230&amp;col=6&amp;number=3939400&amp;sourceID=48","3939400")</f>
        <v>3939400</v>
      </c>
      <c r="G230" s="4" t="str">
        <f>HYPERLINK("http://141.218.60.56/~jnz1568/getInfo.php?workbook=18_16.xlsx&amp;sheet=A0&amp;row=230&amp;col=7&amp;number=&amp;sourceID=49","")</f>
        <v/>
      </c>
      <c r="H230" s="4" t="str">
        <f>HYPERLINK("http://141.218.60.56/~jnz1568/getInfo.php?workbook=18_16.xlsx&amp;sheet=A0&amp;row=230&amp;col=8&amp;number=&amp;sourceID=49","")</f>
        <v/>
      </c>
    </row>
    <row r="231" spans="1:8">
      <c r="A231" s="3">
        <v>18</v>
      </c>
      <c r="B231" s="3">
        <v>16</v>
      </c>
      <c r="C231" s="3">
        <v>51</v>
      </c>
      <c r="D231" s="3">
        <v>7</v>
      </c>
      <c r="E231" s="3">
        <f>((1/(INDEX(E0!J$4:J$87,C231,1)-INDEX(E0!J$4:J$87,D231,1))))*100000000</f>
        <v>0</v>
      </c>
      <c r="F231" s="4" t="str">
        <f>HYPERLINK("http://141.218.60.56/~jnz1568/getInfo.php?workbook=18_16.xlsx&amp;sheet=A0&amp;row=231&amp;col=6&amp;number=1484700&amp;sourceID=48","1484700")</f>
        <v>1484700</v>
      </c>
      <c r="G231" s="4" t="str">
        <f>HYPERLINK("http://141.218.60.56/~jnz1568/getInfo.php?workbook=18_16.xlsx&amp;sheet=A0&amp;row=231&amp;col=7&amp;number=&amp;sourceID=49","")</f>
        <v/>
      </c>
      <c r="H231" s="4" t="str">
        <f>HYPERLINK("http://141.218.60.56/~jnz1568/getInfo.php?workbook=18_16.xlsx&amp;sheet=A0&amp;row=231&amp;col=8&amp;number=&amp;sourceID=49","")</f>
        <v/>
      </c>
    </row>
    <row r="232" spans="1:8">
      <c r="A232" s="3">
        <v>18</v>
      </c>
      <c r="B232" s="3">
        <v>16</v>
      </c>
      <c r="C232" s="3">
        <v>51</v>
      </c>
      <c r="D232" s="3">
        <v>9</v>
      </c>
      <c r="E232" s="3">
        <f>((1/(INDEX(E0!J$4:J$87,C232,1)-INDEX(E0!J$4:J$87,D232,1))))*100000000</f>
        <v>0</v>
      </c>
      <c r="F232" s="4" t="str">
        <f>HYPERLINK("http://141.218.60.56/~jnz1568/getInfo.php?workbook=18_16.xlsx&amp;sheet=A0&amp;row=232&amp;col=6&amp;number=6059.1&amp;sourceID=48","6059.1")</f>
        <v>6059.1</v>
      </c>
      <c r="G232" s="4" t="str">
        <f>HYPERLINK("http://141.218.60.56/~jnz1568/getInfo.php?workbook=18_16.xlsx&amp;sheet=A0&amp;row=232&amp;col=7&amp;number=&amp;sourceID=49","")</f>
        <v/>
      </c>
      <c r="H232" s="4" t="str">
        <f>HYPERLINK("http://141.218.60.56/~jnz1568/getInfo.php?workbook=18_16.xlsx&amp;sheet=A0&amp;row=232&amp;col=8&amp;number=&amp;sourceID=49","")</f>
        <v/>
      </c>
    </row>
    <row r="233" spans="1:8">
      <c r="A233" s="3">
        <v>18</v>
      </c>
      <c r="B233" s="3">
        <v>16</v>
      </c>
      <c r="C233" s="3">
        <v>51</v>
      </c>
      <c r="D233" s="3">
        <v>11</v>
      </c>
      <c r="E233" s="3">
        <f>((1/(INDEX(E0!J$4:J$87,C233,1)-INDEX(E0!J$4:J$87,D233,1))))*100000000</f>
        <v>0</v>
      </c>
      <c r="F233" s="4" t="str">
        <f>HYPERLINK("http://141.218.60.56/~jnz1568/getInfo.php?workbook=18_16.xlsx&amp;sheet=A0&amp;row=233&amp;col=6&amp;number=124750&amp;sourceID=48","124750")</f>
        <v>124750</v>
      </c>
      <c r="G233" s="4" t="str">
        <f>HYPERLINK("http://141.218.60.56/~jnz1568/getInfo.php?workbook=18_16.xlsx&amp;sheet=A0&amp;row=233&amp;col=7&amp;number=&amp;sourceID=49","")</f>
        <v/>
      </c>
      <c r="H233" s="4" t="str">
        <f>HYPERLINK("http://141.218.60.56/~jnz1568/getInfo.php?workbook=18_16.xlsx&amp;sheet=A0&amp;row=233&amp;col=8&amp;number=&amp;sourceID=49","")</f>
        <v/>
      </c>
    </row>
    <row r="234" spans="1:8">
      <c r="A234" s="3">
        <v>18</v>
      </c>
      <c r="B234" s="3">
        <v>16</v>
      </c>
      <c r="C234" s="3">
        <v>51</v>
      </c>
      <c r="D234" s="3">
        <v>12</v>
      </c>
      <c r="E234" s="3">
        <f>((1/(INDEX(E0!J$4:J$87,C234,1)-INDEX(E0!J$4:J$87,D234,1))))*100000000</f>
        <v>0</v>
      </c>
      <c r="F234" s="4" t="str">
        <f>HYPERLINK("http://141.218.60.56/~jnz1568/getInfo.php?workbook=18_16.xlsx&amp;sheet=A0&amp;row=234&amp;col=6&amp;number=384970&amp;sourceID=48","384970")</f>
        <v>384970</v>
      </c>
      <c r="G234" s="4" t="str">
        <f>HYPERLINK("http://141.218.60.56/~jnz1568/getInfo.php?workbook=18_16.xlsx&amp;sheet=A0&amp;row=234&amp;col=7&amp;number=&amp;sourceID=49","")</f>
        <v/>
      </c>
      <c r="H234" s="4" t="str">
        <f>HYPERLINK("http://141.218.60.56/~jnz1568/getInfo.php?workbook=18_16.xlsx&amp;sheet=A0&amp;row=234&amp;col=8&amp;number=&amp;sourceID=49","")</f>
        <v/>
      </c>
    </row>
    <row r="235" spans="1:8">
      <c r="A235" s="3">
        <v>18</v>
      </c>
      <c r="B235" s="3">
        <v>16</v>
      </c>
      <c r="C235" s="3">
        <v>51</v>
      </c>
      <c r="D235" s="3">
        <v>13</v>
      </c>
      <c r="E235" s="3">
        <f>((1/(INDEX(E0!J$4:J$87,C235,1)-INDEX(E0!J$4:J$87,D235,1))))*100000000</f>
        <v>0</v>
      </c>
      <c r="F235" s="4" t="str">
        <f>HYPERLINK("http://141.218.60.56/~jnz1568/getInfo.php?workbook=18_16.xlsx&amp;sheet=A0&amp;row=235&amp;col=6&amp;number=398400&amp;sourceID=48","398400")</f>
        <v>398400</v>
      </c>
      <c r="G235" s="4" t="str">
        <f>HYPERLINK("http://141.218.60.56/~jnz1568/getInfo.php?workbook=18_16.xlsx&amp;sheet=A0&amp;row=235&amp;col=7&amp;number=&amp;sourceID=49","")</f>
        <v/>
      </c>
      <c r="H235" s="4" t="str">
        <f>HYPERLINK("http://141.218.60.56/~jnz1568/getInfo.php?workbook=18_16.xlsx&amp;sheet=A0&amp;row=235&amp;col=8&amp;number=&amp;sourceID=49","")</f>
        <v/>
      </c>
    </row>
    <row r="236" spans="1:8">
      <c r="A236" s="3">
        <v>18</v>
      </c>
      <c r="B236" s="3">
        <v>16</v>
      </c>
      <c r="C236" s="3">
        <v>51</v>
      </c>
      <c r="D236" s="3">
        <v>15</v>
      </c>
      <c r="E236" s="3">
        <f>((1/(INDEX(E0!J$4:J$87,C236,1)-INDEX(E0!J$4:J$87,D236,1))))*100000000</f>
        <v>0</v>
      </c>
      <c r="F236" s="4" t="str">
        <f>HYPERLINK("http://141.218.60.56/~jnz1568/getInfo.php?workbook=18_16.xlsx&amp;sheet=A0&amp;row=236&amp;col=6&amp;number=179030000&amp;sourceID=48","179030000")</f>
        <v>179030000</v>
      </c>
      <c r="G236" s="4" t="str">
        <f>HYPERLINK("http://141.218.60.56/~jnz1568/getInfo.php?workbook=18_16.xlsx&amp;sheet=A0&amp;row=236&amp;col=7&amp;number=&amp;sourceID=49","")</f>
        <v/>
      </c>
      <c r="H236" s="4" t="str">
        <f>HYPERLINK("http://141.218.60.56/~jnz1568/getInfo.php?workbook=18_16.xlsx&amp;sheet=A0&amp;row=236&amp;col=8&amp;number=&amp;sourceID=49","")</f>
        <v/>
      </c>
    </row>
    <row r="237" spans="1:8">
      <c r="A237" s="3">
        <v>18</v>
      </c>
      <c r="B237" s="3">
        <v>16</v>
      </c>
      <c r="C237" s="3">
        <v>51</v>
      </c>
      <c r="D237" s="3">
        <v>16</v>
      </c>
      <c r="E237" s="3">
        <f>((1/(INDEX(E0!J$4:J$87,C237,1)-INDEX(E0!J$4:J$87,D237,1))))*100000000</f>
        <v>0</v>
      </c>
      <c r="F237" s="4" t="str">
        <f>HYPERLINK("http://141.218.60.56/~jnz1568/getInfo.php?workbook=18_16.xlsx&amp;sheet=A0&amp;row=237&amp;col=6&amp;number=32187000&amp;sourceID=48","32187000")</f>
        <v>32187000</v>
      </c>
      <c r="G237" s="4" t="str">
        <f>HYPERLINK("http://141.218.60.56/~jnz1568/getInfo.php?workbook=18_16.xlsx&amp;sheet=A0&amp;row=237&amp;col=7&amp;number=&amp;sourceID=49","")</f>
        <v/>
      </c>
      <c r="H237" s="4" t="str">
        <f>HYPERLINK("http://141.218.60.56/~jnz1568/getInfo.php?workbook=18_16.xlsx&amp;sheet=A0&amp;row=237&amp;col=8&amp;number=&amp;sourceID=49","")</f>
        <v/>
      </c>
    </row>
    <row r="238" spans="1:8">
      <c r="A238" s="3">
        <v>18</v>
      </c>
      <c r="B238" s="3">
        <v>16</v>
      </c>
      <c r="C238" s="3">
        <v>51</v>
      </c>
      <c r="D238" s="3">
        <v>17</v>
      </c>
      <c r="E238" s="3">
        <f>((1/(INDEX(E0!J$4:J$87,C238,1)-INDEX(E0!J$4:J$87,D238,1))))*100000000</f>
        <v>0</v>
      </c>
      <c r="F238" s="4" t="str">
        <f>HYPERLINK("http://141.218.60.56/~jnz1568/getInfo.php?workbook=18_16.xlsx&amp;sheet=A0&amp;row=238&amp;col=6&amp;number=2236500&amp;sourceID=48","2236500")</f>
        <v>2236500</v>
      </c>
      <c r="G238" s="4" t="str">
        <f>HYPERLINK("http://141.218.60.56/~jnz1568/getInfo.php?workbook=18_16.xlsx&amp;sheet=A0&amp;row=238&amp;col=7&amp;number=&amp;sourceID=49","")</f>
        <v/>
      </c>
      <c r="H238" s="4" t="str">
        <f>HYPERLINK("http://141.218.60.56/~jnz1568/getInfo.php?workbook=18_16.xlsx&amp;sheet=A0&amp;row=238&amp;col=8&amp;number=&amp;sourceID=49","")</f>
        <v/>
      </c>
    </row>
    <row r="239" spans="1:8">
      <c r="A239" s="3">
        <v>18</v>
      </c>
      <c r="B239" s="3">
        <v>16</v>
      </c>
      <c r="C239" s="3">
        <v>51</v>
      </c>
      <c r="D239" s="3">
        <v>19</v>
      </c>
      <c r="E239" s="3">
        <f>((1/(INDEX(E0!J$4:J$87,C239,1)-INDEX(E0!J$4:J$87,D239,1))))*100000000</f>
        <v>0</v>
      </c>
      <c r="F239" s="4" t="str">
        <f>HYPERLINK("http://141.218.60.56/~jnz1568/getInfo.php?workbook=18_16.xlsx&amp;sheet=A0&amp;row=239&amp;col=6&amp;number=12581&amp;sourceID=48","12581")</f>
        <v>12581</v>
      </c>
      <c r="G239" s="4" t="str">
        <f>HYPERLINK("http://141.218.60.56/~jnz1568/getInfo.php?workbook=18_16.xlsx&amp;sheet=A0&amp;row=239&amp;col=7&amp;number=&amp;sourceID=49","")</f>
        <v/>
      </c>
      <c r="H239" s="4" t="str">
        <f>HYPERLINK("http://141.218.60.56/~jnz1568/getInfo.php?workbook=18_16.xlsx&amp;sheet=A0&amp;row=239&amp;col=8&amp;number=&amp;sourceID=49","")</f>
        <v/>
      </c>
    </row>
    <row r="240" spans="1:8">
      <c r="A240" s="3">
        <v>18</v>
      </c>
      <c r="B240" s="3">
        <v>16</v>
      </c>
      <c r="C240" s="3">
        <v>51</v>
      </c>
      <c r="D240" s="3">
        <v>20</v>
      </c>
      <c r="E240" s="3">
        <f>((1/(INDEX(E0!J$4:J$87,C240,1)-INDEX(E0!J$4:J$87,D240,1))))*100000000</f>
        <v>0</v>
      </c>
      <c r="F240" s="4" t="str">
        <f>HYPERLINK("http://141.218.60.56/~jnz1568/getInfo.php?workbook=18_16.xlsx&amp;sheet=A0&amp;row=240&amp;col=6&amp;number=80747&amp;sourceID=48","80747")</f>
        <v>80747</v>
      </c>
      <c r="G240" s="4" t="str">
        <f>HYPERLINK("http://141.218.60.56/~jnz1568/getInfo.php?workbook=18_16.xlsx&amp;sheet=A0&amp;row=240&amp;col=7&amp;number=&amp;sourceID=49","")</f>
        <v/>
      </c>
      <c r="H240" s="4" t="str">
        <f>HYPERLINK("http://141.218.60.56/~jnz1568/getInfo.php?workbook=18_16.xlsx&amp;sheet=A0&amp;row=240&amp;col=8&amp;number=&amp;sourceID=49","")</f>
        <v/>
      </c>
    </row>
    <row r="241" spans="1:8">
      <c r="A241" s="3">
        <v>18</v>
      </c>
      <c r="B241" s="3">
        <v>16</v>
      </c>
      <c r="C241" s="3">
        <v>51</v>
      </c>
      <c r="D241" s="3">
        <v>22</v>
      </c>
      <c r="E241" s="3">
        <f>((1/(INDEX(E0!J$4:J$87,C241,1)-INDEX(E0!J$4:J$87,D241,1))))*100000000</f>
        <v>0</v>
      </c>
      <c r="F241" s="4" t="str">
        <f>HYPERLINK("http://141.218.60.56/~jnz1568/getInfo.php?workbook=18_16.xlsx&amp;sheet=A0&amp;row=241&amp;col=6&amp;number=605.73&amp;sourceID=48","605.73")</f>
        <v>605.73</v>
      </c>
      <c r="G241" s="4" t="str">
        <f>HYPERLINK("http://141.218.60.56/~jnz1568/getInfo.php?workbook=18_16.xlsx&amp;sheet=A0&amp;row=241&amp;col=7&amp;number=&amp;sourceID=49","")</f>
        <v/>
      </c>
      <c r="H241" s="4" t="str">
        <f>HYPERLINK("http://141.218.60.56/~jnz1568/getInfo.php?workbook=18_16.xlsx&amp;sheet=A0&amp;row=241&amp;col=8&amp;number=&amp;sourceID=49","")</f>
        <v/>
      </c>
    </row>
    <row r="242" spans="1:8">
      <c r="A242" s="3">
        <v>18</v>
      </c>
      <c r="B242" s="3">
        <v>16</v>
      </c>
      <c r="C242" s="3">
        <v>51</v>
      </c>
      <c r="D242" s="3">
        <v>25</v>
      </c>
      <c r="E242" s="3">
        <f>((1/(INDEX(E0!J$4:J$87,C242,1)-INDEX(E0!J$4:J$87,D242,1))))*100000000</f>
        <v>0</v>
      </c>
      <c r="F242" s="4" t="str">
        <f>HYPERLINK("http://141.218.60.56/~jnz1568/getInfo.php?workbook=18_16.xlsx&amp;sheet=A0&amp;row=242&amp;col=6&amp;number=729170&amp;sourceID=48","729170")</f>
        <v>729170</v>
      </c>
      <c r="G242" s="4" t="str">
        <f>HYPERLINK("http://141.218.60.56/~jnz1568/getInfo.php?workbook=18_16.xlsx&amp;sheet=A0&amp;row=242&amp;col=7&amp;number=&amp;sourceID=49","")</f>
        <v/>
      </c>
      <c r="H242" s="4" t="str">
        <f>HYPERLINK("http://141.218.60.56/~jnz1568/getInfo.php?workbook=18_16.xlsx&amp;sheet=A0&amp;row=242&amp;col=8&amp;number=&amp;sourceID=49","")</f>
        <v/>
      </c>
    </row>
    <row r="243" spans="1:8">
      <c r="A243" s="3">
        <v>18</v>
      </c>
      <c r="B243" s="3">
        <v>16</v>
      </c>
      <c r="C243" s="3">
        <v>51</v>
      </c>
      <c r="D243" s="3">
        <v>27</v>
      </c>
      <c r="E243" s="3">
        <f>((1/(INDEX(E0!J$4:J$87,C243,1)-INDEX(E0!J$4:J$87,D243,1))))*100000000</f>
        <v>0</v>
      </c>
      <c r="F243" s="4" t="str">
        <f>HYPERLINK("http://141.218.60.56/~jnz1568/getInfo.php?workbook=18_16.xlsx&amp;sheet=A0&amp;row=243&amp;col=6&amp;number=146.41&amp;sourceID=48","146.41")</f>
        <v>146.41</v>
      </c>
      <c r="G243" s="4" t="str">
        <f>HYPERLINK("http://141.218.60.56/~jnz1568/getInfo.php?workbook=18_16.xlsx&amp;sheet=A0&amp;row=243&amp;col=7&amp;number=&amp;sourceID=49","")</f>
        <v/>
      </c>
      <c r="H243" s="4" t="str">
        <f>HYPERLINK("http://141.218.60.56/~jnz1568/getInfo.php?workbook=18_16.xlsx&amp;sheet=A0&amp;row=243&amp;col=8&amp;number=&amp;sourceID=49","")</f>
        <v/>
      </c>
    </row>
    <row r="244" spans="1:8">
      <c r="A244" s="3">
        <v>18</v>
      </c>
      <c r="B244" s="3">
        <v>16</v>
      </c>
      <c r="C244" s="3">
        <v>51</v>
      </c>
      <c r="D244" s="3">
        <v>28</v>
      </c>
      <c r="E244" s="3">
        <f>((1/(INDEX(E0!J$4:J$87,C244,1)-INDEX(E0!J$4:J$87,D244,1))))*100000000</f>
        <v>0</v>
      </c>
      <c r="F244" s="4" t="str">
        <f>HYPERLINK("http://141.218.60.56/~jnz1568/getInfo.php?workbook=18_16.xlsx&amp;sheet=A0&amp;row=244&amp;col=6&amp;number=158250000&amp;sourceID=48","158250000")</f>
        <v>158250000</v>
      </c>
      <c r="G244" s="4" t="str">
        <f>HYPERLINK("http://141.218.60.56/~jnz1568/getInfo.php?workbook=18_16.xlsx&amp;sheet=A0&amp;row=244&amp;col=7&amp;number=&amp;sourceID=49","")</f>
        <v/>
      </c>
      <c r="H244" s="4" t="str">
        <f>HYPERLINK("http://141.218.60.56/~jnz1568/getInfo.php?workbook=18_16.xlsx&amp;sheet=A0&amp;row=244&amp;col=8&amp;number=&amp;sourceID=49","")</f>
        <v/>
      </c>
    </row>
    <row r="245" spans="1:8">
      <c r="A245" s="3">
        <v>18</v>
      </c>
      <c r="B245" s="3">
        <v>16</v>
      </c>
      <c r="C245" s="3">
        <v>51</v>
      </c>
      <c r="D245" s="3">
        <v>30</v>
      </c>
      <c r="E245" s="3">
        <f>((1/(INDEX(E0!J$4:J$87,C245,1)-INDEX(E0!J$4:J$87,D245,1))))*100000000</f>
        <v>0</v>
      </c>
      <c r="F245" s="4" t="str">
        <f>HYPERLINK("http://141.218.60.56/~jnz1568/getInfo.php?workbook=18_16.xlsx&amp;sheet=A0&amp;row=245&amp;col=6&amp;number=2153.5&amp;sourceID=48","2153.5")</f>
        <v>2153.5</v>
      </c>
      <c r="G245" s="4" t="str">
        <f>HYPERLINK("http://141.218.60.56/~jnz1568/getInfo.php?workbook=18_16.xlsx&amp;sheet=A0&amp;row=245&amp;col=7&amp;number=&amp;sourceID=49","")</f>
        <v/>
      </c>
      <c r="H245" s="4" t="str">
        <f>HYPERLINK("http://141.218.60.56/~jnz1568/getInfo.php?workbook=18_16.xlsx&amp;sheet=A0&amp;row=245&amp;col=8&amp;number=&amp;sourceID=49","")</f>
        <v/>
      </c>
    </row>
    <row r="246" spans="1:8">
      <c r="A246" s="3">
        <v>18</v>
      </c>
      <c r="B246" s="3">
        <v>16</v>
      </c>
      <c r="C246" s="3">
        <v>51</v>
      </c>
      <c r="D246" s="3">
        <v>31</v>
      </c>
      <c r="E246" s="3">
        <f>((1/(INDEX(E0!J$4:J$87,C246,1)-INDEX(E0!J$4:J$87,D246,1))))*100000000</f>
        <v>0</v>
      </c>
      <c r="F246" s="4" t="str">
        <f>HYPERLINK("http://141.218.60.56/~jnz1568/getInfo.php?workbook=18_16.xlsx&amp;sheet=A0&amp;row=246&amp;col=6&amp;number=5214.6&amp;sourceID=48","5214.6")</f>
        <v>5214.6</v>
      </c>
      <c r="G246" s="4" t="str">
        <f>HYPERLINK("http://141.218.60.56/~jnz1568/getInfo.php?workbook=18_16.xlsx&amp;sheet=A0&amp;row=246&amp;col=7&amp;number=&amp;sourceID=49","")</f>
        <v/>
      </c>
      <c r="H246" s="4" t="str">
        <f>HYPERLINK("http://141.218.60.56/~jnz1568/getInfo.php?workbook=18_16.xlsx&amp;sheet=A0&amp;row=246&amp;col=8&amp;number=&amp;sourceID=49","")</f>
        <v/>
      </c>
    </row>
    <row r="247" spans="1:8">
      <c r="A247" s="3">
        <v>18</v>
      </c>
      <c r="B247" s="3">
        <v>16</v>
      </c>
      <c r="C247" s="3">
        <v>51</v>
      </c>
      <c r="D247" s="3">
        <v>32</v>
      </c>
      <c r="E247" s="3">
        <f>((1/(INDEX(E0!J$4:J$87,C247,1)-INDEX(E0!J$4:J$87,D247,1))))*100000000</f>
        <v>0</v>
      </c>
      <c r="F247" s="4" t="str">
        <f>HYPERLINK("http://141.218.60.56/~jnz1568/getInfo.php?workbook=18_16.xlsx&amp;sheet=A0&amp;row=247&amp;col=6&amp;number=61144&amp;sourceID=48","61144")</f>
        <v>61144</v>
      </c>
      <c r="G247" s="4" t="str">
        <f>HYPERLINK("http://141.218.60.56/~jnz1568/getInfo.php?workbook=18_16.xlsx&amp;sheet=A0&amp;row=247&amp;col=7&amp;number=&amp;sourceID=49","")</f>
        <v/>
      </c>
      <c r="H247" s="4" t="str">
        <f>HYPERLINK("http://141.218.60.56/~jnz1568/getInfo.php?workbook=18_16.xlsx&amp;sheet=A0&amp;row=247&amp;col=8&amp;number=&amp;sourceID=49","")</f>
        <v/>
      </c>
    </row>
    <row r="248" spans="1:8">
      <c r="A248" s="3">
        <v>18</v>
      </c>
      <c r="B248" s="3">
        <v>16</v>
      </c>
      <c r="C248" s="3">
        <v>51</v>
      </c>
      <c r="D248" s="3">
        <v>33</v>
      </c>
      <c r="E248" s="3">
        <f>((1/(INDEX(E0!J$4:J$87,C248,1)-INDEX(E0!J$4:J$87,D248,1))))*100000000</f>
        <v>0</v>
      </c>
      <c r="F248" s="4" t="str">
        <f>HYPERLINK("http://141.218.60.56/~jnz1568/getInfo.php?workbook=18_16.xlsx&amp;sheet=A0&amp;row=248&amp;col=6&amp;number=703560&amp;sourceID=48","703560")</f>
        <v>703560</v>
      </c>
      <c r="G248" s="4" t="str">
        <f>HYPERLINK("http://141.218.60.56/~jnz1568/getInfo.php?workbook=18_16.xlsx&amp;sheet=A0&amp;row=248&amp;col=7&amp;number=&amp;sourceID=49","")</f>
        <v/>
      </c>
      <c r="H248" s="4" t="str">
        <f>HYPERLINK("http://141.218.60.56/~jnz1568/getInfo.php?workbook=18_16.xlsx&amp;sheet=A0&amp;row=248&amp;col=8&amp;number=&amp;sourceID=49","")</f>
        <v/>
      </c>
    </row>
    <row r="249" spans="1:8">
      <c r="A249" s="3">
        <v>18</v>
      </c>
      <c r="B249" s="3">
        <v>16</v>
      </c>
      <c r="C249" s="3">
        <v>51</v>
      </c>
      <c r="D249" s="3">
        <v>35</v>
      </c>
      <c r="E249" s="3">
        <f>((1/(INDEX(E0!J$4:J$87,C249,1)-INDEX(E0!J$4:J$87,D249,1))))*100000000</f>
        <v>0</v>
      </c>
      <c r="F249" s="4" t="str">
        <f>HYPERLINK("http://141.218.60.56/~jnz1568/getInfo.php?workbook=18_16.xlsx&amp;sheet=A0&amp;row=249&amp;col=6&amp;number=1320.4&amp;sourceID=48","1320.4")</f>
        <v>1320.4</v>
      </c>
      <c r="G249" s="4" t="str">
        <f>HYPERLINK("http://141.218.60.56/~jnz1568/getInfo.php?workbook=18_16.xlsx&amp;sheet=A0&amp;row=249&amp;col=7&amp;number=&amp;sourceID=49","")</f>
        <v/>
      </c>
      <c r="H249" s="4" t="str">
        <f>HYPERLINK("http://141.218.60.56/~jnz1568/getInfo.php?workbook=18_16.xlsx&amp;sheet=A0&amp;row=249&amp;col=8&amp;number=&amp;sourceID=49","")</f>
        <v/>
      </c>
    </row>
    <row r="250" spans="1:8">
      <c r="A250" s="3">
        <v>18</v>
      </c>
      <c r="B250" s="3">
        <v>16</v>
      </c>
      <c r="C250" s="3">
        <v>51</v>
      </c>
      <c r="D250" s="3">
        <v>36</v>
      </c>
      <c r="E250" s="3">
        <f>((1/(INDEX(E0!J$4:J$87,C250,1)-INDEX(E0!J$4:J$87,D250,1))))*100000000</f>
        <v>0</v>
      </c>
      <c r="F250" s="4" t="str">
        <f>HYPERLINK("http://141.218.60.56/~jnz1568/getInfo.php?workbook=18_16.xlsx&amp;sheet=A0&amp;row=250&amp;col=6&amp;number=3262600&amp;sourceID=48","3262600")</f>
        <v>3262600</v>
      </c>
      <c r="G250" s="4" t="str">
        <f>HYPERLINK("http://141.218.60.56/~jnz1568/getInfo.php?workbook=18_16.xlsx&amp;sheet=A0&amp;row=250&amp;col=7&amp;number=&amp;sourceID=49","")</f>
        <v/>
      </c>
      <c r="H250" s="4" t="str">
        <f>HYPERLINK("http://141.218.60.56/~jnz1568/getInfo.php?workbook=18_16.xlsx&amp;sheet=A0&amp;row=250&amp;col=8&amp;number=&amp;sourceID=49","")</f>
        <v/>
      </c>
    </row>
    <row r="251" spans="1:8">
      <c r="A251" s="3">
        <v>18</v>
      </c>
      <c r="B251" s="3">
        <v>16</v>
      </c>
      <c r="C251" s="3">
        <v>51</v>
      </c>
      <c r="D251" s="3">
        <v>37</v>
      </c>
      <c r="E251" s="3">
        <f>((1/(INDEX(E0!J$4:J$87,C251,1)-INDEX(E0!J$4:J$87,D251,1))))*100000000</f>
        <v>0</v>
      </c>
      <c r="F251" s="4" t="str">
        <f>HYPERLINK("http://141.218.60.56/~jnz1568/getInfo.php?workbook=18_16.xlsx&amp;sheet=A0&amp;row=251&amp;col=6&amp;number=20366&amp;sourceID=48","20366")</f>
        <v>20366</v>
      </c>
      <c r="G251" s="4" t="str">
        <f>HYPERLINK("http://141.218.60.56/~jnz1568/getInfo.php?workbook=18_16.xlsx&amp;sheet=A0&amp;row=251&amp;col=7&amp;number=&amp;sourceID=49","")</f>
        <v/>
      </c>
      <c r="H251" s="4" t="str">
        <f>HYPERLINK("http://141.218.60.56/~jnz1568/getInfo.php?workbook=18_16.xlsx&amp;sheet=A0&amp;row=251&amp;col=8&amp;number=&amp;sourceID=49","")</f>
        <v/>
      </c>
    </row>
    <row r="252" spans="1:8">
      <c r="A252" s="3">
        <v>18</v>
      </c>
      <c r="B252" s="3">
        <v>16</v>
      </c>
      <c r="C252" s="3">
        <v>51</v>
      </c>
      <c r="D252" s="3">
        <v>38</v>
      </c>
      <c r="E252" s="3">
        <f>((1/(INDEX(E0!J$4:J$87,C252,1)-INDEX(E0!J$4:J$87,D252,1))))*100000000</f>
        <v>0</v>
      </c>
      <c r="F252" s="4" t="str">
        <f>HYPERLINK("http://141.218.60.56/~jnz1568/getInfo.php?workbook=18_16.xlsx&amp;sheet=A0&amp;row=252&amp;col=6&amp;number=10288&amp;sourceID=48","10288")</f>
        <v>10288</v>
      </c>
      <c r="G252" s="4" t="str">
        <f>HYPERLINK("http://141.218.60.56/~jnz1568/getInfo.php?workbook=18_16.xlsx&amp;sheet=A0&amp;row=252&amp;col=7&amp;number=&amp;sourceID=49","")</f>
        <v/>
      </c>
      <c r="H252" s="4" t="str">
        <f>HYPERLINK("http://141.218.60.56/~jnz1568/getInfo.php?workbook=18_16.xlsx&amp;sheet=A0&amp;row=252&amp;col=8&amp;number=&amp;sourceID=49","")</f>
        <v/>
      </c>
    </row>
    <row r="253" spans="1:8">
      <c r="A253" s="3">
        <v>18</v>
      </c>
      <c r="B253" s="3">
        <v>16</v>
      </c>
      <c r="C253" s="3">
        <v>51</v>
      </c>
      <c r="D253" s="3">
        <v>39</v>
      </c>
      <c r="E253" s="3">
        <f>((1/(INDEX(E0!J$4:J$87,C253,1)-INDEX(E0!J$4:J$87,D253,1))))*100000000</f>
        <v>0</v>
      </c>
      <c r="F253" s="4" t="str">
        <f>HYPERLINK("http://141.218.60.56/~jnz1568/getInfo.php?workbook=18_16.xlsx&amp;sheet=A0&amp;row=253&amp;col=6&amp;number=121550&amp;sourceID=48","121550")</f>
        <v>121550</v>
      </c>
      <c r="G253" s="4" t="str">
        <f>HYPERLINK("http://141.218.60.56/~jnz1568/getInfo.php?workbook=18_16.xlsx&amp;sheet=A0&amp;row=253&amp;col=7&amp;number=&amp;sourceID=49","")</f>
        <v/>
      </c>
      <c r="H253" s="4" t="str">
        <f>HYPERLINK("http://141.218.60.56/~jnz1568/getInfo.php?workbook=18_16.xlsx&amp;sheet=A0&amp;row=253&amp;col=8&amp;number=&amp;sourceID=49","")</f>
        <v/>
      </c>
    </row>
    <row r="254" spans="1:8">
      <c r="A254" s="3">
        <v>18</v>
      </c>
      <c r="B254" s="3">
        <v>16</v>
      </c>
      <c r="C254" s="3">
        <v>51</v>
      </c>
      <c r="D254" s="3">
        <v>40</v>
      </c>
      <c r="E254" s="3">
        <f>((1/(INDEX(E0!J$4:J$87,C254,1)-INDEX(E0!J$4:J$87,D254,1))))*100000000</f>
        <v>0</v>
      </c>
      <c r="F254" s="4" t="str">
        <f>HYPERLINK("http://141.218.60.56/~jnz1568/getInfo.php?workbook=18_16.xlsx&amp;sheet=A0&amp;row=254&amp;col=6&amp;number=466710&amp;sourceID=48","466710")</f>
        <v>466710</v>
      </c>
      <c r="G254" s="4" t="str">
        <f>HYPERLINK("http://141.218.60.56/~jnz1568/getInfo.php?workbook=18_16.xlsx&amp;sheet=A0&amp;row=254&amp;col=7&amp;number=&amp;sourceID=49","")</f>
        <v/>
      </c>
      <c r="H254" s="4" t="str">
        <f>HYPERLINK("http://141.218.60.56/~jnz1568/getInfo.php?workbook=18_16.xlsx&amp;sheet=A0&amp;row=254&amp;col=8&amp;number=&amp;sourceID=49","")</f>
        <v/>
      </c>
    </row>
    <row r="255" spans="1:8">
      <c r="A255" s="3">
        <v>18</v>
      </c>
      <c r="B255" s="3">
        <v>16</v>
      </c>
      <c r="C255" s="3">
        <v>51</v>
      </c>
      <c r="D255" s="3">
        <v>41</v>
      </c>
      <c r="E255" s="3">
        <f>((1/(INDEX(E0!J$4:J$87,C255,1)-INDEX(E0!J$4:J$87,D255,1))))*100000000</f>
        <v>0</v>
      </c>
      <c r="F255" s="4" t="str">
        <f>HYPERLINK("http://141.218.60.56/~jnz1568/getInfo.php?workbook=18_16.xlsx&amp;sheet=A0&amp;row=255&amp;col=6&amp;number=593.54&amp;sourceID=48","593.54")</f>
        <v>593.54</v>
      </c>
      <c r="G255" s="4" t="str">
        <f>HYPERLINK("http://141.218.60.56/~jnz1568/getInfo.php?workbook=18_16.xlsx&amp;sheet=A0&amp;row=255&amp;col=7&amp;number=&amp;sourceID=49","")</f>
        <v/>
      </c>
      <c r="H255" s="4" t="str">
        <f>HYPERLINK("http://141.218.60.56/~jnz1568/getInfo.php?workbook=18_16.xlsx&amp;sheet=A0&amp;row=255&amp;col=8&amp;number=&amp;sourceID=49","")</f>
        <v/>
      </c>
    </row>
    <row r="256" spans="1:8">
      <c r="A256" s="3">
        <v>18</v>
      </c>
      <c r="B256" s="3">
        <v>16</v>
      </c>
      <c r="C256" s="3">
        <v>51</v>
      </c>
      <c r="D256" s="3">
        <v>42</v>
      </c>
      <c r="E256" s="3">
        <f>((1/(INDEX(E0!J$4:J$87,C256,1)-INDEX(E0!J$4:J$87,D256,1))))*100000000</f>
        <v>0</v>
      </c>
      <c r="F256" s="4" t="str">
        <f>HYPERLINK("http://141.218.60.56/~jnz1568/getInfo.php?workbook=18_16.xlsx&amp;sheet=A0&amp;row=256&amp;col=6&amp;number=65.073&amp;sourceID=48","65.073")</f>
        <v>65.073</v>
      </c>
      <c r="G256" s="4" t="str">
        <f>HYPERLINK("http://141.218.60.56/~jnz1568/getInfo.php?workbook=18_16.xlsx&amp;sheet=A0&amp;row=256&amp;col=7&amp;number=&amp;sourceID=49","")</f>
        <v/>
      </c>
      <c r="H256" s="4" t="str">
        <f>HYPERLINK("http://141.218.60.56/~jnz1568/getInfo.php?workbook=18_16.xlsx&amp;sheet=A0&amp;row=256&amp;col=8&amp;number=&amp;sourceID=49","")</f>
        <v/>
      </c>
    </row>
    <row r="257" spans="1:8">
      <c r="A257" s="3">
        <v>18</v>
      </c>
      <c r="B257" s="3">
        <v>16</v>
      </c>
      <c r="C257" s="3">
        <v>51</v>
      </c>
      <c r="D257" s="3">
        <v>45</v>
      </c>
      <c r="E257" s="3">
        <f>((1/(INDEX(E0!J$4:J$87,C257,1)-INDEX(E0!J$4:J$87,D257,1))))*100000000</f>
        <v>0</v>
      </c>
      <c r="F257" s="4" t="str">
        <f>HYPERLINK("http://141.218.60.56/~jnz1568/getInfo.php?workbook=18_16.xlsx&amp;sheet=A0&amp;row=257&amp;col=6&amp;number=2070&amp;sourceID=48","2070")</f>
        <v>2070</v>
      </c>
      <c r="G257" s="4" t="str">
        <f>HYPERLINK("http://141.218.60.56/~jnz1568/getInfo.php?workbook=18_16.xlsx&amp;sheet=A0&amp;row=257&amp;col=7&amp;number=&amp;sourceID=49","")</f>
        <v/>
      </c>
      <c r="H257" s="4" t="str">
        <f>HYPERLINK("http://141.218.60.56/~jnz1568/getInfo.php?workbook=18_16.xlsx&amp;sheet=A0&amp;row=257&amp;col=8&amp;number=&amp;sourceID=49","")</f>
        <v/>
      </c>
    </row>
    <row r="258" spans="1:8">
      <c r="A258" s="3">
        <v>18</v>
      </c>
      <c r="B258" s="3">
        <v>16</v>
      </c>
      <c r="C258" s="3">
        <v>51</v>
      </c>
      <c r="D258" s="3">
        <v>47</v>
      </c>
      <c r="E258" s="3">
        <f>((1/(INDEX(E0!J$4:J$87,C258,1)-INDEX(E0!J$4:J$87,D258,1))))*100000000</f>
        <v>0</v>
      </c>
      <c r="F258" s="4" t="str">
        <f>HYPERLINK("http://141.218.60.56/~jnz1568/getInfo.php?workbook=18_16.xlsx&amp;sheet=A0&amp;row=258&amp;col=6&amp;number=75.777&amp;sourceID=48","75.777")</f>
        <v>75.777</v>
      </c>
      <c r="G258" s="4" t="str">
        <f>HYPERLINK("http://141.218.60.56/~jnz1568/getInfo.php?workbook=18_16.xlsx&amp;sheet=A0&amp;row=258&amp;col=7&amp;number=&amp;sourceID=49","")</f>
        <v/>
      </c>
      <c r="H258" s="4" t="str">
        <f>HYPERLINK("http://141.218.60.56/~jnz1568/getInfo.php?workbook=18_16.xlsx&amp;sheet=A0&amp;row=258&amp;col=8&amp;number=&amp;sourceID=49","")</f>
        <v/>
      </c>
    </row>
    <row r="259" spans="1:8">
      <c r="A259" s="3">
        <v>18</v>
      </c>
      <c r="B259" s="3">
        <v>16</v>
      </c>
      <c r="C259" s="3">
        <v>51</v>
      </c>
      <c r="D259" s="3">
        <v>48</v>
      </c>
      <c r="E259" s="3">
        <f>((1/(INDEX(E0!J$4:J$87,C259,1)-INDEX(E0!J$4:J$87,D259,1))))*100000000</f>
        <v>0</v>
      </c>
      <c r="F259" s="4" t="str">
        <f>HYPERLINK("http://141.218.60.56/~jnz1568/getInfo.php?workbook=18_16.xlsx&amp;sheet=A0&amp;row=259&amp;col=6&amp;number=11.239&amp;sourceID=48","11.239")</f>
        <v>11.239</v>
      </c>
      <c r="G259" s="4" t="str">
        <f>HYPERLINK("http://141.218.60.56/~jnz1568/getInfo.php?workbook=18_16.xlsx&amp;sheet=A0&amp;row=259&amp;col=7&amp;number=&amp;sourceID=49","")</f>
        <v/>
      </c>
      <c r="H259" s="4" t="str">
        <f>HYPERLINK("http://141.218.60.56/~jnz1568/getInfo.php?workbook=18_16.xlsx&amp;sheet=A0&amp;row=259&amp;col=8&amp;number=&amp;sourceID=49","")</f>
        <v/>
      </c>
    </row>
    <row r="260" spans="1:8">
      <c r="A260" s="3">
        <v>18</v>
      </c>
      <c r="B260" s="3">
        <v>16</v>
      </c>
      <c r="C260" s="3">
        <v>52</v>
      </c>
      <c r="D260" s="3">
        <v>7</v>
      </c>
      <c r="E260" s="3">
        <f>((1/(INDEX(E0!J$4:J$87,C260,1)-INDEX(E0!J$4:J$87,D260,1))))*100000000</f>
        <v>0</v>
      </c>
      <c r="F260" s="4" t="str">
        <f>HYPERLINK("http://141.218.60.56/~jnz1568/getInfo.php?workbook=18_16.xlsx&amp;sheet=A0&amp;row=260&amp;col=6&amp;number=6128200&amp;sourceID=48","6128200")</f>
        <v>6128200</v>
      </c>
      <c r="G260" s="4" t="str">
        <f>HYPERLINK("http://141.218.60.56/~jnz1568/getInfo.php?workbook=18_16.xlsx&amp;sheet=A0&amp;row=260&amp;col=7&amp;number=&amp;sourceID=49","")</f>
        <v/>
      </c>
      <c r="H260" s="4" t="str">
        <f>HYPERLINK("http://141.218.60.56/~jnz1568/getInfo.php?workbook=18_16.xlsx&amp;sheet=A0&amp;row=260&amp;col=8&amp;number=&amp;sourceID=49","")</f>
        <v/>
      </c>
    </row>
    <row r="261" spans="1:8">
      <c r="A261" s="3">
        <v>18</v>
      </c>
      <c r="B261" s="3">
        <v>16</v>
      </c>
      <c r="C261" s="3">
        <v>52</v>
      </c>
      <c r="D261" s="3">
        <v>9</v>
      </c>
      <c r="E261" s="3">
        <f>((1/(INDEX(E0!J$4:J$87,C261,1)-INDEX(E0!J$4:J$87,D261,1))))*100000000</f>
        <v>0</v>
      </c>
      <c r="F261" s="4" t="str">
        <f>HYPERLINK("http://141.218.60.56/~jnz1568/getInfo.php?workbook=18_16.xlsx&amp;sheet=A0&amp;row=261&amp;col=6&amp;number=66275&amp;sourceID=48","66275")</f>
        <v>66275</v>
      </c>
      <c r="G261" s="4" t="str">
        <f>HYPERLINK("http://141.218.60.56/~jnz1568/getInfo.php?workbook=18_16.xlsx&amp;sheet=A0&amp;row=261&amp;col=7&amp;number=&amp;sourceID=49","")</f>
        <v/>
      </c>
      <c r="H261" s="4" t="str">
        <f>HYPERLINK("http://141.218.60.56/~jnz1568/getInfo.php?workbook=18_16.xlsx&amp;sheet=A0&amp;row=261&amp;col=8&amp;number=&amp;sourceID=49","")</f>
        <v/>
      </c>
    </row>
    <row r="262" spans="1:8">
      <c r="A262" s="3">
        <v>18</v>
      </c>
      <c r="B262" s="3">
        <v>16</v>
      </c>
      <c r="C262" s="3">
        <v>52</v>
      </c>
      <c r="D262" s="3">
        <v>11</v>
      </c>
      <c r="E262" s="3">
        <f>((1/(INDEX(E0!J$4:J$87,C262,1)-INDEX(E0!J$4:J$87,D262,1))))*100000000</f>
        <v>0</v>
      </c>
      <c r="F262" s="4" t="str">
        <f>HYPERLINK("http://141.218.60.56/~jnz1568/getInfo.php?workbook=18_16.xlsx&amp;sheet=A0&amp;row=262&amp;col=6&amp;number=28258&amp;sourceID=48","28258")</f>
        <v>28258</v>
      </c>
      <c r="G262" s="4" t="str">
        <f>HYPERLINK("http://141.218.60.56/~jnz1568/getInfo.php?workbook=18_16.xlsx&amp;sheet=A0&amp;row=262&amp;col=7&amp;number=&amp;sourceID=49","")</f>
        <v/>
      </c>
      <c r="H262" s="4" t="str">
        <f>HYPERLINK("http://141.218.60.56/~jnz1568/getInfo.php?workbook=18_16.xlsx&amp;sheet=A0&amp;row=262&amp;col=8&amp;number=&amp;sourceID=49","")</f>
        <v/>
      </c>
    </row>
    <row r="263" spans="1:8">
      <c r="A263" s="3">
        <v>18</v>
      </c>
      <c r="B263" s="3">
        <v>16</v>
      </c>
      <c r="C263" s="3">
        <v>52</v>
      </c>
      <c r="D263" s="3">
        <v>17</v>
      </c>
      <c r="E263" s="3">
        <f>((1/(INDEX(E0!J$4:J$87,C263,1)-INDEX(E0!J$4:J$87,D263,1))))*100000000</f>
        <v>0</v>
      </c>
      <c r="F263" s="4" t="str">
        <f>HYPERLINK("http://141.218.60.56/~jnz1568/getInfo.php?workbook=18_16.xlsx&amp;sheet=A0&amp;row=263&amp;col=6&amp;number=226430000&amp;sourceID=48","226430000")</f>
        <v>226430000</v>
      </c>
      <c r="G263" s="4" t="str">
        <f>HYPERLINK("http://141.218.60.56/~jnz1568/getInfo.php?workbook=18_16.xlsx&amp;sheet=A0&amp;row=263&amp;col=7&amp;number=&amp;sourceID=49","")</f>
        <v/>
      </c>
      <c r="H263" s="4" t="str">
        <f>HYPERLINK("http://141.218.60.56/~jnz1568/getInfo.php?workbook=18_16.xlsx&amp;sheet=A0&amp;row=263&amp;col=8&amp;number=&amp;sourceID=49","")</f>
        <v/>
      </c>
    </row>
    <row r="264" spans="1:8">
      <c r="A264" s="3">
        <v>18</v>
      </c>
      <c r="B264" s="3">
        <v>16</v>
      </c>
      <c r="C264" s="3">
        <v>52</v>
      </c>
      <c r="D264" s="3">
        <v>28</v>
      </c>
      <c r="E264" s="3">
        <f>((1/(INDEX(E0!J$4:J$87,C264,1)-INDEX(E0!J$4:J$87,D264,1))))*100000000</f>
        <v>0</v>
      </c>
      <c r="F264" s="4" t="str">
        <f>HYPERLINK("http://141.218.60.56/~jnz1568/getInfo.php?workbook=18_16.xlsx&amp;sheet=A0&amp;row=264&amp;col=6&amp;number=159590000&amp;sourceID=48","159590000")</f>
        <v>159590000</v>
      </c>
      <c r="G264" s="4" t="str">
        <f>HYPERLINK("http://141.218.60.56/~jnz1568/getInfo.php?workbook=18_16.xlsx&amp;sheet=A0&amp;row=264&amp;col=7&amp;number=&amp;sourceID=49","")</f>
        <v/>
      </c>
      <c r="H264" s="4" t="str">
        <f>HYPERLINK("http://141.218.60.56/~jnz1568/getInfo.php?workbook=18_16.xlsx&amp;sheet=A0&amp;row=264&amp;col=8&amp;number=&amp;sourceID=49","")</f>
        <v/>
      </c>
    </row>
    <row r="265" spans="1:8">
      <c r="A265" s="3">
        <v>18</v>
      </c>
      <c r="B265" s="3">
        <v>16</v>
      </c>
      <c r="C265" s="3">
        <v>52</v>
      </c>
      <c r="D265" s="3">
        <v>32</v>
      </c>
      <c r="E265" s="3">
        <f>((1/(INDEX(E0!J$4:J$87,C265,1)-INDEX(E0!J$4:J$87,D265,1))))*100000000</f>
        <v>0</v>
      </c>
      <c r="F265" s="4" t="str">
        <f>HYPERLINK("http://141.218.60.56/~jnz1568/getInfo.php?workbook=18_16.xlsx&amp;sheet=A0&amp;row=265&amp;col=6&amp;number=5505600&amp;sourceID=48","5505600")</f>
        <v>5505600</v>
      </c>
      <c r="G265" s="4" t="str">
        <f>HYPERLINK("http://141.218.60.56/~jnz1568/getInfo.php?workbook=18_16.xlsx&amp;sheet=A0&amp;row=265&amp;col=7&amp;number=&amp;sourceID=49","")</f>
        <v/>
      </c>
      <c r="H265" s="4" t="str">
        <f>HYPERLINK("http://141.218.60.56/~jnz1568/getInfo.php?workbook=18_16.xlsx&amp;sheet=A0&amp;row=265&amp;col=8&amp;number=&amp;sourceID=49","")</f>
        <v/>
      </c>
    </row>
    <row r="266" spans="1:8">
      <c r="A266" s="3">
        <v>18</v>
      </c>
      <c r="B266" s="3">
        <v>16</v>
      </c>
      <c r="C266" s="3">
        <v>52</v>
      </c>
      <c r="D266" s="3">
        <v>35</v>
      </c>
      <c r="E266" s="3">
        <f>((1/(INDEX(E0!J$4:J$87,C266,1)-INDEX(E0!J$4:J$87,D266,1))))*100000000</f>
        <v>0</v>
      </c>
      <c r="F266" s="4" t="str">
        <f>HYPERLINK("http://141.218.60.56/~jnz1568/getInfo.php?workbook=18_16.xlsx&amp;sheet=A0&amp;row=266&amp;col=6&amp;number=49599&amp;sourceID=48","49599")</f>
        <v>49599</v>
      </c>
      <c r="G266" s="4" t="str">
        <f>HYPERLINK("http://141.218.60.56/~jnz1568/getInfo.php?workbook=18_16.xlsx&amp;sheet=A0&amp;row=266&amp;col=7&amp;number=&amp;sourceID=49","")</f>
        <v/>
      </c>
      <c r="H266" s="4" t="str">
        <f>HYPERLINK("http://141.218.60.56/~jnz1568/getInfo.php?workbook=18_16.xlsx&amp;sheet=A0&amp;row=266&amp;col=8&amp;number=&amp;sourceID=49","")</f>
        <v/>
      </c>
    </row>
    <row r="267" spans="1:8">
      <c r="A267" s="3">
        <v>18</v>
      </c>
      <c r="B267" s="3">
        <v>16</v>
      </c>
      <c r="C267" s="3">
        <v>52</v>
      </c>
      <c r="D267" s="3">
        <v>38</v>
      </c>
      <c r="E267" s="3">
        <f>((1/(INDEX(E0!J$4:J$87,C267,1)-INDEX(E0!J$4:J$87,D267,1))))*100000000</f>
        <v>0</v>
      </c>
      <c r="F267" s="4" t="str">
        <f>HYPERLINK("http://141.218.60.56/~jnz1568/getInfo.php?workbook=18_16.xlsx&amp;sheet=A0&amp;row=267&amp;col=6&amp;number=585110&amp;sourceID=48","585110")</f>
        <v>585110</v>
      </c>
      <c r="G267" s="4" t="str">
        <f>HYPERLINK("http://141.218.60.56/~jnz1568/getInfo.php?workbook=18_16.xlsx&amp;sheet=A0&amp;row=267&amp;col=7&amp;number=&amp;sourceID=49","")</f>
        <v/>
      </c>
      <c r="H267" s="4" t="str">
        <f>HYPERLINK("http://141.218.60.56/~jnz1568/getInfo.php?workbook=18_16.xlsx&amp;sheet=A0&amp;row=267&amp;col=8&amp;number=&amp;sourceID=49","")</f>
        <v/>
      </c>
    </row>
    <row r="268" spans="1:8">
      <c r="A268" s="3">
        <v>18</v>
      </c>
      <c r="B268" s="3">
        <v>16</v>
      </c>
      <c r="C268" s="3">
        <v>52</v>
      </c>
      <c r="D268" s="3">
        <v>45</v>
      </c>
      <c r="E268" s="3">
        <f>((1/(INDEX(E0!J$4:J$87,C268,1)-INDEX(E0!J$4:J$87,D268,1))))*100000000</f>
        <v>0</v>
      </c>
      <c r="F268" s="4" t="str">
        <f>HYPERLINK("http://141.218.60.56/~jnz1568/getInfo.php?workbook=18_16.xlsx&amp;sheet=A0&amp;row=268&amp;col=6&amp;number=1648.5&amp;sourceID=48","1648.5")</f>
        <v>1648.5</v>
      </c>
      <c r="G268" s="4" t="str">
        <f>HYPERLINK("http://141.218.60.56/~jnz1568/getInfo.php?workbook=18_16.xlsx&amp;sheet=A0&amp;row=268&amp;col=7&amp;number=&amp;sourceID=49","")</f>
        <v/>
      </c>
      <c r="H268" s="4" t="str">
        <f>HYPERLINK("http://141.218.60.56/~jnz1568/getInfo.php?workbook=18_16.xlsx&amp;sheet=A0&amp;row=268&amp;col=8&amp;number=&amp;sourceID=49","")</f>
        <v/>
      </c>
    </row>
    <row r="269" spans="1:8">
      <c r="A269" s="3">
        <v>18</v>
      </c>
      <c r="B269" s="3">
        <v>16</v>
      </c>
      <c r="C269" s="3">
        <v>52</v>
      </c>
      <c r="D269" s="3">
        <v>48</v>
      </c>
      <c r="E269" s="3">
        <f>((1/(INDEX(E0!J$4:J$87,C269,1)-INDEX(E0!J$4:J$87,D269,1))))*100000000</f>
        <v>0</v>
      </c>
      <c r="F269" s="4" t="str">
        <f>HYPERLINK("http://141.218.60.56/~jnz1568/getInfo.php?workbook=18_16.xlsx&amp;sheet=A0&amp;row=269&amp;col=6&amp;number=83.387&amp;sourceID=48","83.387")</f>
        <v>83.387</v>
      </c>
      <c r="G269" s="4" t="str">
        <f>HYPERLINK("http://141.218.60.56/~jnz1568/getInfo.php?workbook=18_16.xlsx&amp;sheet=A0&amp;row=269&amp;col=7&amp;number=&amp;sourceID=49","")</f>
        <v/>
      </c>
      <c r="H269" s="4" t="str">
        <f>HYPERLINK("http://141.218.60.56/~jnz1568/getInfo.php?workbook=18_16.xlsx&amp;sheet=A0&amp;row=269&amp;col=8&amp;number=&amp;sourceID=49","")</f>
        <v/>
      </c>
    </row>
    <row r="270" spans="1:8">
      <c r="A270" s="3">
        <v>18</v>
      </c>
      <c r="B270" s="3">
        <v>16</v>
      </c>
      <c r="C270" s="3">
        <v>53</v>
      </c>
      <c r="D270" s="3">
        <v>1</v>
      </c>
      <c r="E270" s="3">
        <f>((1/(INDEX(E0!J$4:J$87,C270,1)-INDEX(E0!J$4:J$87,D270,1))))*100000000</f>
        <v>0</v>
      </c>
      <c r="F270" s="4" t="str">
        <f>HYPERLINK("http://141.218.60.56/~jnz1568/getInfo.php?workbook=18_16.xlsx&amp;sheet=A0&amp;row=270&amp;col=6&amp;number=33384000000&amp;sourceID=48","33384000000")</f>
        <v>33384000000</v>
      </c>
      <c r="G270" s="4" t="str">
        <f>HYPERLINK("http://141.218.60.56/~jnz1568/getInfo.php?workbook=18_16.xlsx&amp;sheet=A0&amp;row=270&amp;col=7&amp;number=&amp;sourceID=49","")</f>
        <v/>
      </c>
      <c r="H270" s="4" t="str">
        <f>HYPERLINK("http://141.218.60.56/~jnz1568/getInfo.php?workbook=18_16.xlsx&amp;sheet=A0&amp;row=270&amp;col=8&amp;number=&amp;sourceID=49","")</f>
        <v/>
      </c>
    </row>
    <row r="271" spans="1:8">
      <c r="A271" s="3">
        <v>18</v>
      </c>
      <c r="B271" s="3">
        <v>16</v>
      </c>
      <c r="C271" s="3">
        <v>53</v>
      </c>
      <c r="D271" s="3">
        <v>4</v>
      </c>
      <c r="E271" s="3">
        <f>((1/(INDEX(E0!J$4:J$87,C271,1)-INDEX(E0!J$4:J$87,D271,1))))*100000000</f>
        <v>0</v>
      </c>
      <c r="F271" s="4" t="str">
        <f>HYPERLINK("http://141.218.60.56/~jnz1568/getInfo.php?workbook=18_16.xlsx&amp;sheet=A0&amp;row=271&amp;col=6&amp;number=355730&amp;sourceID=48","355730")</f>
        <v>355730</v>
      </c>
      <c r="G271" s="4" t="str">
        <f>HYPERLINK("http://141.218.60.56/~jnz1568/getInfo.php?workbook=18_16.xlsx&amp;sheet=A0&amp;row=271&amp;col=7&amp;number=&amp;sourceID=49","")</f>
        <v/>
      </c>
      <c r="H271" s="4" t="str">
        <f>HYPERLINK("http://141.218.60.56/~jnz1568/getInfo.php?workbook=18_16.xlsx&amp;sheet=A0&amp;row=271&amp;col=8&amp;number=&amp;sourceID=49","")</f>
        <v/>
      </c>
    </row>
    <row r="272" spans="1:8">
      <c r="A272" s="3">
        <v>18</v>
      </c>
      <c r="B272" s="3">
        <v>16</v>
      </c>
      <c r="C272" s="3">
        <v>53</v>
      </c>
      <c r="D272" s="3">
        <v>44</v>
      </c>
      <c r="E272" s="3">
        <f>((1/(INDEX(E0!J$4:J$87,C272,1)-INDEX(E0!J$4:J$87,D272,1))))*100000000</f>
        <v>0</v>
      </c>
      <c r="F272" s="4" t="str">
        <f>HYPERLINK("http://141.218.60.56/~jnz1568/getInfo.php?workbook=18_16.xlsx&amp;sheet=A0&amp;row=272&amp;col=6&amp;number=1637.8&amp;sourceID=48","1637.8")</f>
        <v>1637.8</v>
      </c>
      <c r="G272" s="4" t="str">
        <f>HYPERLINK("http://141.218.60.56/~jnz1568/getInfo.php?workbook=18_16.xlsx&amp;sheet=A0&amp;row=272&amp;col=7&amp;number=&amp;sourceID=49","")</f>
        <v/>
      </c>
      <c r="H272" s="4" t="str">
        <f>HYPERLINK("http://141.218.60.56/~jnz1568/getInfo.php?workbook=18_16.xlsx&amp;sheet=A0&amp;row=272&amp;col=8&amp;number=&amp;sourceID=49","")</f>
        <v/>
      </c>
    </row>
    <row r="273" spans="1:8">
      <c r="A273" s="3">
        <v>18</v>
      </c>
      <c r="B273" s="3">
        <v>16</v>
      </c>
      <c r="C273" s="3">
        <v>53</v>
      </c>
      <c r="D273" s="3">
        <v>46</v>
      </c>
      <c r="E273" s="3">
        <f>((1/(INDEX(E0!J$4:J$87,C273,1)-INDEX(E0!J$4:J$87,D273,1))))*100000000</f>
        <v>0</v>
      </c>
      <c r="F273" s="4" t="str">
        <f>HYPERLINK("http://141.218.60.56/~jnz1568/getInfo.php?workbook=18_16.xlsx&amp;sheet=A0&amp;row=273&amp;col=6&amp;number=95.975&amp;sourceID=48","95.975")</f>
        <v>95.975</v>
      </c>
      <c r="G273" s="4" t="str">
        <f>HYPERLINK("http://141.218.60.56/~jnz1568/getInfo.php?workbook=18_16.xlsx&amp;sheet=A0&amp;row=273&amp;col=7&amp;number=&amp;sourceID=49","")</f>
        <v/>
      </c>
      <c r="H273" s="4" t="str">
        <f>HYPERLINK("http://141.218.60.56/~jnz1568/getInfo.php?workbook=18_16.xlsx&amp;sheet=A0&amp;row=273&amp;col=8&amp;number=&amp;sourceID=49","")</f>
        <v/>
      </c>
    </row>
    <row r="274" spans="1:8">
      <c r="A274" s="3">
        <v>18</v>
      </c>
      <c r="B274" s="3">
        <v>16</v>
      </c>
      <c r="C274" s="3">
        <v>53</v>
      </c>
      <c r="D274" s="3">
        <v>51</v>
      </c>
      <c r="E274" s="3">
        <f>((1/(INDEX(E0!J$4:J$87,C274,1)-INDEX(E0!J$4:J$87,D274,1))))*100000000</f>
        <v>0</v>
      </c>
      <c r="F274" s="4" t="str">
        <f>HYPERLINK("http://141.218.60.56/~jnz1568/getInfo.php?workbook=18_16.xlsx&amp;sheet=A0&amp;row=274&amp;col=6&amp;number=167510&amp;sourceID=48","167510")</f>
        <v>167510</v>
      </c>
      <c r="G274" s="4" t="str">
        <f>HYPERLINK("http://141.218.60.56/~jnz1568/getInfo.php?workbook=18_16.xlsx&amp;sheet=A0&amp;row=274&amp;col=7&amp;number=&amp;sourceID=49","")</f>
        <v/>
      </c>
      <c r="H274" s="4" t="str">
        <f>HYPERLINK("http://141.218.60.56/~jnz1568/getInfo.php?workbook=18_16.xlsx&amp;sheet=A0&amp;row=274&amp;col=8&amp;number=&amp;sourceID=49","")</f>
        <v/>
      </c>
    </row>
    <row r="275" spans="1:8">
      <c r="A275" s="3">
        <v>18</v>
      </c>
      <c r="B275" s="3">
        <v>16</v>
      </c>
      <c r="C275" s="3">
        <v>54</v>
      </c>
      <c r="D275" s="3">
        <v>1</v>
      </c>
      <c r="E275" s="3">
        <f>((1/(INDEX(E0!J$4:J$87,C275,1)-INDEX(E0!J$4:J$87,D275,1))))*100000000</f>
        <v>0</v>
      </c>
      <c r="F275" s="4" t="str">
        <f>HYPERLINK("http://141.218.60.56/~jnz1568/getInfo.php?workbook=18_16.xlsx&amp;sheet=A0&amp;row=275&amp;col=6&amp;number=10177000000&amp;sourceID=48","10177000000")</f>
        <v>10177000000</v>
      </c>
      <c r="G275" s="4" t="str">
        <f>HYPERLINK("http://141.218.60.56/~jnz1568/getInfo.php?workbook=18_16.xlsx&amp;sheet=A0&amp;row=275&amp;col=7&amp;number=&amp;sourceID=49","")</f>
        <v/>
      </c>
      <c r="H275" s="4" t="str">
        <f>HYPERLINK("http://141.218.60.56/~jnz1568/getInfo.php?workbook=18_16.xlsx&amp;sheet=A0&amp;row=275&amp;col=8&amp;number=&amp;sourceID=49","")</f>
        <v/>
      </c>
    </row>
    <row r="276" spans="1:8">
      <c r="A276" s="3">
        <v>18</v>
      </c>
      <c r="B276" s="3">
        <v>16</v>
      </c>
      <c r="C276" s="3">
        <v>54</v>
      </c>
      <c r="D276" s="3">
        <v>2</v>
      </c>
      <c r="E276" s="3">
        <f>((1/(INDEX(E0!J$4:J$87,C276,1)-INDEX(E0!J$4:J$87,D276,1))))*100000000</f>
        <v>0</v>
      </c>
      <c r="F276" s="4" t="str">
        <f>HYPERLINK("http://141.218.60.56/~jnz1568/getInfo.php?workbook=18_16.xlsx&amp;sheet=A0&amp;row=276&amp;col=6&amp;number=23194000000&amp;sourceID=48","23194000000")</f>
        <v>23194000000</v>
      </c>
      <c r="G276" s="4" t="str">
        <f>HYPERLINK("http://141.218.60.56/~jnz1568/getInfo.php?workbook=18_16.xlsx&amp;sheet=A0&amp;row=276&amp;col=7&amp;number=&amp;sourceID=49","")</f>
        <v/>
      </c>
      <c r="H276" s="4" t="str">
        <f>HYPERLINK("http://141.218.60.56/~jnz1568/getInfo.php?workbook=18_16.xlsx&amp;sheet=A0&amp;row=276&amp;col=8&amp;number=&amp;sourceID=49","")</f>
        <v/>
      </c>
    </row>
    <row r="277" spans="1:8">
      <c r="A277" s="3">
        <v>18</v>
      </c>
      <c r="B277" s="3">
        <v>16</v>
      </c>
      <c r="C277" s="3">
        <v>54</v>
      </c>
      <c r="D277" s="3">
        <v>4</v>
      </c>
      <c r="E277" s="3">
        <f>((1/(INDEX(E0!J$4:J$87,C277,1)-INDEX(E0!J$4:J$87,D277,1))))*100000000</f>
        <v>0</v>
      </c>
      <c r="F277" s="4" t="str">
        <f>HYPERLINK("http://141.218.60.56/~jnz1568/getInfo.php?workbook=18_16.xlsx&amp;sheet=A0&amp;row=277&amp;col=6&amp;number=6114900&amp;sourceID=48","6114900")</f>
        <v>6114900</v>
      </c>
      <c r="G277" s="4" t="str">
        <f>HYPERLINK("http://141.218.60.56/~jnz1568/getInfo.php?workbook=18_16.xlsx&amp;sheet=A0&amp;row=277&amp;col=7&amp;number=&amp;sourceID=49","")</f>
        <v/>
      </c>
      <c r="H277" s="4" t="str">
        <f>HYPERLINK("http://141.218.60.56/~jnz1568/getInfo.php?workbook=18_16.xlsx&amp;sheet=A0&amp;row=277&amp;col=8&amp;number=&amp;sourceID=49","")</f>
        <v/>
      </c>
    </row>
    <row r="278" spans="1:8">
      <c r="A278" s="3">
        <v>18</v>
      </c>
      <c r="B278" s="3">
        <v>16</v>
      </c>
      <c r="C278" s="3">
        <v>54</v>
      </c>
      <c r="D278" s="3">
        <v>43</v>
      </c>
      <c r="E278" s="3">
        <f>((1/(INDEX(E0!J$4:J$87,C278,1)-INDEX(E0!J$4:J$87,D278,1))))*100000000</f>
        <v>0</v>
      </c>
      <c r="F278" s="4" t="str">
        <f>HYPERLINK("http://141.218.60.56/~jnz1568/getInfo.php?workbook=18_16.xlsx&amp;sheet=A0&amp;row=278&amp;col=6&amp;number=492.96&amp;sourceID=48","492.96")</f>
        <v>492.96</v>
      </c>
      <c r="G278" s="4" t="str">
        <f>HYPERLINK("http://141.218.60.56/~jnz1568/getInfo.php?workbook=18_16.xlsx&amp;sheet=A0&amp;row=278&amp;col=7&amp;number=&amp;sourceID=49","")</f>
        <v/>
      </c>
      <c r="H278" s="4" t="str">
        <f>HYPERLINK("http://141.218.60.56/~jnz1568/getInfo.php?workbook=18_16.xlsx&amp;sheet=A0&amp;row=278&amp;col=8&amp;number=&amp;sourceID=49","")</f>
        <v/>
      </c>
    </row>
    <row r="279" spans="1:8">
      <c r="A279" s="3">
        <v>18</v>
      </c>
      <c r="B279" s="3">
        <v>16</v>
      </c>
      <c r="C279" s="3">
        <v>54</v>
      </c>
      <c r="D279" s="3">
        <v>44</v>
      </c>
      <c r="E279" s="3">
        <f>((1/(INDEX(E0!J$4:J$87,C279,1)-INDEX(E0!J$4:J$87,D279,1))))*100000000</f>
        <v>0</v>
      </c>
      <c r="F279" s="4" t="str">
        <f>HYPERLINK("http://141.218.60.56/~jnz1568/getInfo.php?workbook=18_16.xlsx&amp;sheet=A0&amp;row=279&amp;col=6&amp;number=419.2&amp;sourceID=48","419.2")</f>
        <v>419.2</v>
      </c>
      <c r="G279" s="4" t="str">
        <f>HYPERLINK("http://141.218.60.56/~jnz1568/getInfo.php?workbook=18_16.xlsx&amp;sheet=A0&amp;row=279&amp;col=7&amp;number=&amp;sourceID=49","")</f>
        <v/>
      </c>
      <c r="H279" s="4" t="str">
        <f>HYPERLINK("http://141.218.60.56/~jnz1568/getInfo.php?workbook=18_16.xlsx&amp;sheet=A0&amp;row=279&amp;col=8&amp;number=&amp;sourceID=49","")</f>
        <v/>
      </c>
    </row>
    <row r="280" spans="1:8">
      <c r="A280" s="3">
        <v>18</v>
      </c>
      <c r="B280" s="3">
        <v>16</v>
      </c>
      <c r="C280" s="3">
        <v>54</v>
      </c>
      <c r="D280" s="3">
        <v>46</v>
      </c>
      <c r="E280" s="3">
        <f>((1/(INDEX(E0!J$4:J$87,C280,1)-INDEX(E0!J$4:J$87,D280,1))))*100000000</f>
        <v>0</v>
      </c>
      <c r="F280" s="4" t="str">
        <f>HYPERLINK("http://141.218.60.56/~jnz1568/getInfo.php?workbook=18_16.xlsx&amp;sheet=A0&amp;row=280&amp;col=6&amp;number=94.736&amp;sourceID=48","94.736")</f>
        <v>94.736</v>
      </c>
      <c r="G280" s="4" t="str">
        <f>HYPERLINK("http://141.218.60.56/~jnz1568/getInfo.php?workbook=18_16.xlsx&amp;sheet=A0&amp;row=280&amp;col=7&amp;number=&amp;sourceID=49","")</f>
        <v/>
      </c>
      <c r="H280" s="4" t="str">
        <f>HYPERLINK("http://141.218.60.56/~jnz1568/getInfo.php?workbook=18_16.xlsx&amp;sheet=A0&amp;row=280&amp;col=8&amp;number=&amp;sourceID=49","")</f>
        <v/>
      </c>
    </row>
    <row r="281" spans="1:8">
      <c r="A281" s="3">
        <v>18</v>
      </c>
      <c r="B281" s="3">
        <v>16</v>
      </c>
      <c r="C281" s="3">
        <v>54</v>
      </c>
      <c r="D281" s="3">
        <v>50</v>
      </c>
      <c r="E281" s="3">
        <f>((1/(INDEX(E0!J$4:J$87,C281,1)-INDEX(E0!J$4:J$87,D281,1))))*100000000</f>
        <v>0</v>
      </c>
      <c r="F281" s="4" t="str">
        <f>HYPERLINK("http://141.218.60.56/~jnz1568/getInfo.php?workbook=18_16.xlsx&amp;sheet=A0&amp;row=281&amp;col=6&amp;number=185570&amp;sourceID=48","185570")</f>
        <v>185570</v>
      </c>
      <c r="G281" s="4" t="str">
        <f>HYPERLINK("http://141.218.60.56/~jnz1568/getInfo.php?workbook=18_16.xlsx&amp;sheet=A0&amp;row=281&amp;col=7&amp;number=&amp;sourceID=49","")</f>
        <v/>
      </c>
      <c r="H281" s="4" t="str">
        <f>HYPERLINK("http://141.218.60.56/~jnz1568/getInfo.php?workbook=18_16.xlsx&amp;sheet=A0&amp;row=281&amp;col=8&amp;number=&amp;sourceID=49","")</f>
        <v/>
      </c>
    </row>
    <row r="282" spans="1:8">
      <c r="A282" s="3">
        <v>18</v>
      </c>
      <c r="B282" s="3">
        <v>16</v>
      </c>
      <c r="C282" s="3">
        <v>54</v>
      </c>
      <c r="D282" s="3">
        <v>51</v>
      </c>
      <c r="E282" s="3">
        <f>((1/(INDEX(E0!J$4:J$87,C282,1)-INDEX(E0!J$4:J$87,D282,1))))*100000000</f>
        <v>0</v>
      </c>
      <c r="F282" s="4" t="str">
        <f>HYPERLINK("http://141.218.60.56/~jnz1568/getInfo.php?workbook=18_16.xlsx&amp;sheet=A0&amp;row=282&amp;col=6&amp;number=59950&amp;sourceID=48","59950")</f>
        <v>59950</v>
      </c>
      <c r="G282" s="4" t="str">
        <f>HYPERLINK("http://141.218.60.56/~jnz1568/getInfo.php?workbook=18_16.xlsx&amp;sheet=A0&amp;row=282&amp;col=7&amp;number=&amp;sourceID=49","")</f>
        <v/>
      </c>
      <c r="H282" s="4" t="str">
        <f>HYPERLINK("http://141.218.60.56/~jnz1568/getInfo.php?workbook=18_16.xlsx&amp;sheet=A0&amp;row=282&amp;col=8&amp;number=&amp;sourceID=49","")</f>
        <v/>
      </c>
    </row>
    <row r="283" spans="1:8">
      <c r="A283" s="3">
        <v>18</v>
      </c>
      <c r="B283" s="3">
        <v>16</v>
      </c>
      <c r="C283" s="3">
        <v>55</v>
      </c>
      <c r="D283" s="3">
        <v>1</v>
      </c>
      <c r="E283" s="3">
        <f>((1/(INDEX(E0!J$4:J$87,C283,1)-INDEX(E0!J$4:J$87,D283,1))))*100000000</f>
        <v>0</v>
      </c>
      <c r="F283" s="4" t="str">
        <f>HYPERLINK("http://141.218.60.56/~jnz1568/getInfo.php?workbook=18_16.xlsx&amp;sheet=A0&amp;row=283&amp;col=6&amp;number=58120000&amp;sourceID=48","58120000")</f>
        <v>58120000</v>
      </c>
      <c r="G283" s="4" t="str">
        <f>HYPERLINK("http://141.218.60.56/~jnz1568/getInfo.php?workbook=18_16.xlsx&amp;sheet=A0&amp;row=283&amp;col=7&amp;number=&amp;sourceID=49","")</f>
        <v/>
      </c>
      <c r="H283" s="4" t="str">
        <f>HYPERLINK("http://141.218.60.56/~jnz1568/getInfo.php?workbook=18_16.xlsx&amp;sheet=A0&amp;row=283&amp;col=8&amp;number=&amp;sourceID=49","")</f>
        <v/>
      </c>
    </row>
    <row r="284" spans="1:8">
      <c r="A284" s="3">
        <v>18</v>
      </c>
      <c r="B284" s="3">
        <v>16</v>
      </c>
      <c r="C284" s="3">
        <v>55</v>
      </c>
      <c r="D284" s="3">
        <v>2</v>
      </c>
      <c r="E284" s="3">
        <f>((1/(INDEX(E0!J$4:J$87,C284,1)-INDEX(E0!J$4:J$87,D284,1))))*100000000</f>
        <v>0</v>
      </c>
      <c r="F284" s="4" t="str">
        <f>HYPERLINK("http://141.218.60.56/~jnz1568/getInfo.php?workbook=18_16.xlsx&amp;sheet=A0&amp;row=284&amp;col=6&amp;number=8397700&amp;sourceID=48","8397700")</f>
        <v>8397700</v>
      </c>
      <c r="G284" s="4" t="str">
        <f>HYPERLINK("http://141.218.60.56/~jnz1568/getInfo.php?workbook=18_16.xlsx&amp;sheet=A0&amp;row=284&amp;col=7&amp;number=&amp;sourceID=49","")</f>
        <v/>
      </c>
      <c r="H284" s="4" t="str">
        <f>HYPERLINK("http://141.218.60.56/~jnz1568/getInfo.php?workbook=18_16.xlsx&amp;sheet=A0&amp;row=284&amp;col=8&amp;number=&amp;sourceID=49","")</f>
        <v/>
      </c>
    </row>
    <row r="285" spans="1:8">
      <c r="A285" s="3">
        <v>18</v>
      </c>
      <c r="B285" s="3">
        <v>16</v>
      </c>
      <c r="C285" s="3">
        <v>55</v>
      </c>
      <c r="D285" s="3">
        <v>3</v>
      </c>
      <c r="E285" s="3">
        <f>((1/(INDEX(E0!J$4:J$87,C285,1)-INDEX(E0!J$4:J$87,D285,1))))*100000000</f>
        <v>0</v>
      </c>
      <c r="F285" s="4" t="str">
        <f>HYPERLINK("http://141.218.60.56/~jnz1568/getInfo.php?workbook=18_16.xlsx&amp;sheet=A0&amp;row=285&amp;col=6&amp;number=256120&amp;sourceID=48","256120")</f>
        <v>256120</v>
      </c>
      <c r="G285" s="4" t="str">
        <f>HYPERLINK("http://141.218.60.56/~jnz1568/getInfo.php?workbook=18_16.xlsx&amp;sheet=A0&amp;row=285&amp;col=7&amp;number=&amp;sourceID=49","")</f>
        <v/>
      </c>
      <c r="H285" s="4" t="str">
        <f>HYPERLINK("http://141.218.60.56/~jnz1568/getInfo.php?workbook=18_16.xlsx&amp;sheet=A0&amp;row=285&amp;col=8&amp;number=&amp;sourceID=49","")</f>
        <v/>
      </c>
    </row>
    <row r="286" spans="1:8">
      <c r="A286" s="3">
        <v>18</v>
      </c>
      <c r="B286" s="3">
        <v>16</v>
      </c>
      <c r="C286" s="3">
        <v>55</v>
      </c>
      <c r="D286" s="3">
        <v>4</v>
      </c>
      <c r="E286" s="3">
        <f>((1/(INDEX(E0!J$4:J$87,C286,1)-INDEX(E0!J$4:J$87,D286,1))))*100000000</f>
        <v>0</v>
      </c>
      <c r="F286" s="4" t="str">
        <f>HYPERLINK("http://141.218.60.56/~jnz1568/getInfo.php?workbook=18_16.xlsx&amp;sheet=A0&amp;row=286&amp;col=6&amp;number=15239000000&amp;sourceID=48","15239000000")</f>
        <v>15239000000</v>
      </c>
      <c r="G286" s="4" t="str">
        <f>HYPERLINK("http://141.218.60.56/~jnz1568/getInfo.php?workbook=18_16.xlsx&amp;sheet=A0&amp;row=286&amp;col=7&amp;number=&amp;sourceID=49","")</f>
        <v/>
      </c>
      <c r="H286" s="4" t="str">
        <f>HYPERLINK("http://141.218.60.56/~jnz1568/getInfo.php?workbook=18_16.xlsx&amp;sheet=A0&amp;row=286&amp;col=8&amp;number=&amp;sourceID=49","")</f>
        <v/>
      </c>
    </row>
    <row r="287" spans="1:8">
      <c r="A287" s="3">
        <v>18</v>
      </c>
      <c r="B287" s="3">
        <v>16</v>
      </c>
      <c r="C287" s="3">
        <v>55</v>
      </c>
      <c r="D287" s="3">
        <v>5</v>
      </c>
      <c r="E287" s="3">
        <f>((1/(INDEX(E0!J$4:J$87,C287,1)-INDEX(E0!J$4:J$87,D287,1))))*100000000</f>
        <v>0</v>
      </c>
      <c r="F287" s="4" t="str">
        <f>HYPERLINK("http://141.218.60.56/~jnz1568/getInfo.php?workbook=18_16.xlsx&amp;sheet=A0&amp;row=287&amp;col=6&amp;number=1384400000&amp;sourceID=48","1384400000")</f>
        <v>1384400000</v>
      </c>
      <c r="G287" s="4" t="str">
        <f>HYPERLINK("http://141.218.60.56/~jnz1568/getInfo.php?workbook=18_16.xlsx&amp;sheet=A0&amp;row=287&amp;col=7&amp;number=&amp;sourceID=49","")</f>
        <v/>
      </c>
      <c r="H287" s="4" t="str">
        <f>HYPERLINK("http://141.218.60.56/~jnz1568/getInfo.php?workbook=18_16.xlsx&amp;sheet=A0&amp;row=287&amp;col=8&amp;number=&amp;sourceID=49","")</f>
        <v/>
      </c>
    </row>
    <row r="288" spans="1:8">
      <c r="A288" s="3">
        <v>18</v>
      </c>
      <c r="B288" s="3">
        <v>16</v>
      </c>
      <c r="C288" s="3">
        <v>55</v>
      </c>
      <c r="D288" s="3">
        <v>43</v>
      </c>
      <c r="E288" s="3">
        <f>((1/(INDEX(E0!J$4:J$87,C288,1)-INDEX(E0!J$4:J$87,D288,1))))*100000000</f>
        <v>0</v>
      </c>
      <c r="F288" s="4" t="str">
        <f>HYPERLINK("http://141.218.60.56/~jnz1568/getInfo.php?workbook=18_16.xlsx&amp;sheet=A0&amp;row=288&amp;col=6&amp;number=0.10345&amp;sourceID=48","0.10345")</f>
        <v>0.10345</v>
      </c>
      <c r="G288" s="4" t="str">
        <f>HYPERLINK("http://141.218.60.56/~jnz1568/getInfo.php?workbook=18_16.xlsx&amp;sheet=A0&amp;row=288&amp;col=7&amp;number=&amp;sourceID=49","")</f>
        <v/>
      </c>
      <c r="H288" s="4" t="str">
        <f>HYPERLINK("http://141.218.60.56/~jnz1568/getInfo.php?workbook=18_16.xlsx&amp;sheet=A0&amp;row=288&amp;col=8&amp;number=&amp;sourceID=49","")</f>
        <v/>
      </c>
    </row>
    <row r="289" spans="1:8">
      <c r="A289" s="3">
        <v>18</v>
      </c>
      <c r="B289" s="3">
        <v>16</v>
      </c>
      <c r="C289" s="3">
        <v>55</v>
      </c>
      <c r="D289" s="3">
        <v>44</v>
      </c>
      <c r="E289" s="3">
        <f>((1/(INDEX(E0!J$4:J$87,C289,1)-INDEX(E0!J$4:J$87,D289,1))))*100000000</f>
        <v>0</v>
      </c>
      <c r="F289" s="4" t="str">
        <f>HYPERLINK("http://141.218.60.56/~jnz1568/getInfo.php?workbook=18_16.xlsx&amp;sheet=A0&amp;row=289&amp;col=6&amp;number=0.20338&amp;sourceID=48","0.20338")</f>
        <v>0.20338</v>
      </c>
      <c r="G289" s="4" t="str">
        <f>HYPERLINK("http://141.218.60.56/~jnz1568/getInfo.php?workbook=18_16.xlsx&amp;sheet=A0&amp;row=289&amp;col=7&amp;number=&amp;sourceID=49","")</f>
        <v/>
      </c>
      <c r="H289" s="4" t="str">
        <f>HYPERLINK("http://141.218.60.56/~jnz1568/getInfo.php?workbook=18_16.xlsx&amp;sheet=A0&amp;row=289&amp;col=8&amp;number=&amp;sourceID=49","")</f>
        <v/>
      </c>
    </row>
    <row r="290" spans="1:8">
      <c r="A290" s="3">
        <v>18</v>
      </c>
      <c r="B290" s="3">
        <v>16</v>
      </c>
      <c r="C290" s="3">
        <v>55</v>
      </c>
      <c r="D290" s="3">
        <v>50</v>
      </c>
      <c r="E290" s="3">
        <f>((1/(INDEX(E0!J$4:J$87,C290,1)-INDEX(E0!J$4:J$87,D290,1))))*100000000</f>
        <v>0</v>
      </c>
      <c r="F290" s="4" t="str">
        <f>HYPERLINK("http://141.218.60.56/~jnz1568/getInfo.php?workbook=18_16.xlsx&amp;sheet=A0&amp;row=290&amp;col=6&amp;number=6.1695&amp;sourceID=48","6.1695")</f>
        <v>6.1695</v>
      </c>
      <c r="G290" s="4" t="str">
        <f>HYPERLINK("http://141.218.60.56/~jnz1568/getInfo.php?workbook=18_16.xlsx&amp;sheet=A0&amp;row=290&amp;col=7&amp;number=&amp;sourceID=49","")</f>
        <v/>
      </c>
      <c r="H290" s="4" t="str">
        <f>HYPERLINK("http://141.218.60.56/~jnz1568/getInfo.php?workbook=18_16.xlsx&amp;sheet=A0&amp;row=290&amp;col=8&amp;number=&amp;sourceID=49","")</f>
        <v/>
      </c>
    </row>
    <row r="291" spans="1:8">
      <c r="A291" s="3">
        <v>18</v>
      </c>
      <c r="B291" s="3">
        <v>16</v>
      </c>
      <c r="C291" s="3">
        <v>55</v>
      </c>
      <c r="D291" s="3">
        <v>51</v>
      </c>
      <c r="E291" s="3">
        <f>((1/(INDEX(E0!J$4:J$87,C291,1)-INDEX(E0!J$4:J$87,D291,1))))*100000000</f>
        <v>0</v>
      </c>
      <c r="F291" s="4" t="str">
        <f>HYPERLINK("http://141.218.60.56/~jnz1568/getInfo.php?workbook=18_16.xlsx&amp;sheet=A0&amp;row=291&amp;col=6&amp;number=1.2824&amp;sourceID=48","1.2824")</f>
        <v>1.2824</v>
      </c>
      <c r="G291" s="4" t="str">
        <f>HYPERLINK("http://141.218.60.56/~jnz1568/getInfo.php?workbook=18_16.xlsx&amp;sheet=A0&amp;row=291&amp;col=7&amp;number=&amp;sourceID=49","")</f>
        <v/>
      </c>
      <c r="H291" s="4" t="str">
        <f>HYPERLINK("http://141.218.60.56/~jnz1568/getInfo.php?workbook=18_16.xlsx&amp;sheet=A0&amp;row=291&amp;col=8&amp;number=&amp;sourceID=49","")</f>
        <v/>
      </c>
    </row>
    <row r="292" spans="1:8">
      <c r="A292" s="3">
        <v>18</v>
      </c>
      <c r="B292" s="3">
        <v>16</v>
      </c>
      <c r="C292" s="3">
        <v>55</v>
      </c>
      <c r="D292" s="3">
        <v>52</v>
      </c>
      <c r="E292" s="3">
        <f>((1/(INDEX(E0!J$4:J$87,C292,1)-INDEX(E0!J$4:J$87,D292,1))))*100000000</f>
        <v>0</v>
      </c>
      <c r="F292" s="4" t="str">
        <f>HYPERLINK("http://141.218.60.56/~jnz1568/getInfo.php?workbook=18_16.xlsx&amp;sheet=A0&amp;row=292&amp;col=6&amp;number=0.0073941&amp;sourceID=48","0.0073941")</f>
        <v>0.0073941</v>
      </c>
      <c r="G292" s="4" t="str">
        <f>HYPERLINK("http://141.218.60.56/~jnz1568/getInfo.php?workbook=18_16.xlsx&amp;sheet=A0&amp;row=292&amp;col=7&amp;number=&amp;sourceID=49","")</f>
        <v/>
      </c>
      <c r="H292" s="4" t="str">
        <f>HYPERLINK("http://141.218.60.56/~jnz1568/getInfo.php?workbook=18_16.xlsx&amp;sheet=A0&amp;row=292&amp;col=8&amp;number=&amp;sourceID=49","")</f>
        <v/>
      </c>
    </row>
    <row r="293" spans="1:8">
      <c r="A293" s="3">
        <v>18</v>
      </c>
      <c r="B293" s="3">
        <v>16</v>
      </c>
      <c r="C293" s="3">
        <v>56</v>
      </c>
      <c r="D293" s="3">
        <v>1</v>
      </c>
      <c r="E293" s="3">
        <f>((1/(INDEX(E0!J$4:J$87,C293,1)-INDEX(E0!J$4:J$87,D293,1))))*100000000</f>
        <v>0</v>
      </c>
      <c r="F293" s="4" t="str">
        <f>HYPERLINK("http://141.218.60.56/~jnz1568/getInfo.php?workbook=18_16.xlsx&amp;sheet=A0&amp;row=293&amp;col=6&amp;number=1276500000&amp;sourceID=48","1276500000")</f>
        <v>1276500000</v>
      </c>
      <c r="G293" s="4" t="str">
        <f>HYPERLINK("http://141.218.60.56/~jnz1568/getInfo.php?workbook=18_16.xlsx&amp;sheet=A0&amp;row=293&amp;col=7&amp;number=&amp;sourceID=49","")</f>
        <v/>
      </c>
      <c r="H293" s="4" t="str">
        <f>HYPERLINK("http://141.218.60.56/~jnz1568/getInfo.php?workbook=18_16.xlsx&amp;sheet=A0&amp;row=293&amp;col=8&amp;number=&amp;sourceID=49","")</f>
        <v/>
      </c>
    </row>
    <row r="294" spans="1:8">
      <c r="A294" s="3">
        <v>18</v>
      </c>
      <c r="B294" s="3">
        <v>16</v>
      </c>
      <c r="C294" s="3">
        <v>56</v>
      </c>
      <c r="D294" s="3">
        <v>2</v>
      </c>
      <c r="E294" s="3">
        <f>((1/(INDEX(E0!J$4:J$87,C294,1)-INDEX(E0!J$4:J$87,D294,1))))*100000000</f>
        <v>0</v>
      </c>
      <c r="F294" s="4" t="str">
        <f>HYPERLINK("http://141.218.60.56/~jnz1568/getInfo.php?workbook=18_16.xlsx&amp;sheet=A0&amp;row=294&amp;col=6&amp;number=14915000000&amp;sourceID=48","14915000000")</f>
        <v>14915000000</v>
      </c>
      <c r="G294" s="4" t="str">
        <f>HYPERLINK("http://141.218.60.56/~jnz1568/getInfo.php?workbook=18_16.xlsx&amp;sheet=A0&amp;row=294&amp;col=7&amp;number=&amp;sourceID=49","")</f>
        <v/>
      </c>
      <c r="H294" s="4" t="str">
        <f>HYPERLINK("http://141.218.60.56/~jnz1568/getInfo.php?workbook=18_16.xlsx&amp;sheet=A0&amp;row=294&amp;col=8&amp;number=&amp;sourceID=49","")</f>
        <v/>
      </c>
    </row>
    <row r="295" spans="1:8">
      <c r="A295" s="3">
        <v>18</v>
      </c>
      <c r="B295" s="3">
        <v>16</v>
      </c>
      <c r="C295" s="3">
        <v>56</v>
      </c>
      <c r="D295" s="3">
        <v>3</v>
      </c>
      <c r="E295" s="3">
        <f>((1/(INDEX(E0!J$4:J$87,C295,1)-INDEX(E0!J$4:J$87,D295,1))))*100000000</f>
        <v>0</v>
      </c>
      <c r="F295" s="4" t="str">
        <f>HYPERLINK("http://141.218.60.56/~jnz1568/getInfo.php?workbook=18_16.xlsx&amp;sheet=A0&amp;row=295&amp;col=6&amp;number=17209000000&amp;sourceID=48","17209000000")</f>
        <v>17209000000</v>
      </c>
      <c r="G295" s="4" t="str">
        <f>HYPERLINK("http://141.218.60.56/~jnz1568/getInfo.php?workbook=18_16.xlsx&amp;sheet=A0&amp;row=295&amp;col=7&amp;number=&amp;sourceID=49","")</f>
        <v/>
      </c>
      <c r="H295" s="4" t="str">
        <f>HYPERLINK("http://141.218.60.56/~jnz1568/getInfo.php?workbook=18_16.xlsx&amp;sheet=A0&amp;row=295&amp;col=8&amp;number=&amp;sourceID=49","")</f>
        <v/>
      </c>
    </row>
    <row r="296" spans="1:8">
      <c r="A296" s="3">
        <v>18</v>
      </c>
      <c r="B296" s="3">
        <v>16</v>
      </c>
      <c r="C296" s="3">
        <v>56</v>
      </c>
      <c r="D296" s="3">
        <v>4</v>
      </c>
      <c r="E296" s="3">
        <f>((1/(INDEX(E0!J$4:J$87,C296,1)-INDEX(E0!J$4:J$87,D296,1))))*100000000</f>
        <v>0</v>
      </c>
      <c r="F296" s="4" t="str">
        <f>HYPERLINK("http://141.218.60.56/~jnz1568/getInfo.php?workbook=18_16.xlsx&amp;sheet=A0&amp;row=296&amp;col=6&amp;number=52532000&amp;sourceID=48","52532000")</f>
        <v>52532000</v>
      </c>
      <c r="G296" s="4" t="str">
        <f>HYPERLINK("http://141.218.60.56/~jnz1568/getInfo.php?workbook=18_16.xlsx&amp;sheet=A0&amp;row=296&amp;col=7&amp;number=&amp;sourceID=49","")</f>
        <v/>
      </c>
      <c r="H296" s="4" t="str">
        <f>HYPERLINK("http://141.218.60.56/~jnz1568/getInfo.php?workbook=18_16.xlsx&amp;sheet=A0&amp;row=296&amp;col=8&amp;number=&amp;sourceID=49","")</f>
        <v/>
      </c>
    </row>
    <row r="297" spans="1:8">
      <c r="A297" s="3">
        <v>18</v>
      </c>
      <c r="B297" s="3">
        <v>16</v>
      </c>
      <c r="C297" s="3">
        <v>56</v>
      </c>
      <c r="D297" s="3">
        <v>5</v>
      </c>
      <c r="E297" s="3">
        <f>((1/(INDEX(E0!J$4:J$87,C297,1)-INDEX(E0!J$4:J$87,D297,1))))*100000000</f>
        <v>0</v>
      </c>
      <c r="F297" s="4" t="str">
        <f>HYPERLINK("http://141.218.60.56/~jnz1568/getInfo.php?workbook=18_16.xlsx&amp;sheet=A0&amp;row=297&amp;col=6&amp;number=955340&amp;sourceID=48","955340")</f>
        <v>955340</v>
      </c>
      <c r="G297" s="4" t="str">
        <f>HYPERLINK("http://141.218.60.56/~jnz1568/getInfo.php?workbook=18_16.xlsx&amp;sheet=A0&amp;row=297&amp;col=7&amp;number=&amp;sourceID=49","")</f>
        <v/>
      </c>
      <c r="H297" s="4" t="str">
        <f>HYPERLINK("http://141.218.60.56/~jnz1568/getInfo.php?workbook=18_16.xlsx&amp;sheet=A0&amp;row=297&amp;col=8&amp;number=&amp;sourceID=49","")</f>
        <v/>
      </c>
    </row>
    <row r="298" spans="1:8">
      <c r="A298" s="3">
        <v>18</v>
      </c>
      <c r="B298" s="3">
        <v>16</v>
      </c>
      <c r="C298" s="3">
        <v>56</v>
      </c>
      <c r="D298" s="3">
        <v>43</v>
      </c>
      <c r="E298" s="3">
        <f>((1/(INDEX(E0!J$4:J$87,C298,1)-INDEX(E0!J$4:J$87,D298,1))))*100000000</f>
        <v>0</v>
      </c>
      <c r="F298" s="4" t="str">
        <f>HYPERLINK("http://141.218.60.56/~jnz1568/getInfo.php?workbook=18_16.xlsx&amp;sheet=A0&amp;row=298&amp;col=6&amp;number=318.08&amp;sourceID=48","318.08")</f>
        <v>318.08</v>
      </c>
      <c r="G298" s="4" t="str">
        <f>HYPERLINK("http://141.218.60.56/~jnz1568/getInfo.php?workbook=18_16.xlsx&amp;sheet=A0&amp;row=298&amp;col=7&amp;number=&amp;sourceID=49","")</f>
        <v/>
      </c>
      <c r="H298" s="4" t="str">
        <f>HYPERLINK("http://141.218.60.56/~jnz1568/getInfo.php?workbook=18_16.xlsx&amp;sheet=A0&amp;row=298&amp;col=8&amp;number=&amp;sourceID=49","")</f>
        <v/>
      </c>
    </row>
    <row r="299" spans="1:8">
      <c r="A299" s="3">
        <v>18</v>
      </c>
      <c r="B299" s="3">
        <v>16</v>
      </c>
      <c r="C299" s="3">
        <v>56</v>
      </c>
      <c r="D299" s="3">
        <v>44</v>
      </c>
      <c r="E299" s="3">
        <f>((1/(INDEX(E0!J$4:J$87,C299,1)-INDEX(E0!J$4:J$87,D299,1))))*100000000</f>
        <v>0</v>
      </c>
      <c r="F299" s="4" t="str">
        <f>HYPERLINK("http://141.218.60.56/~jnz1568/getInfo.php?workbook=18_16.xlsx&amp;sheet=A0&amp;row=299&amp;col=6&amp;number=18.563&amp;sourceID=48","18.563")</f>
        <v>18.563</v>
      </c>
      <c r="G299" s="4" t="str">
        <f>HYPERLINK("http://141.218.60.56/~jnz1568/getInfo.php?workbook=18_16.xlsx&amp;sheet=A0&amp;row=299&amp;col=7&amp;number=&amp;sourceID=49","")</f>
        <v/>
      </c>
      <c r="H299" s="4" t="str">
        <f>HYPERLINK("http://141.218.60.56/~jnz1568/getInfo.php?workbook=18_16.xlsx&amp;sheet=A0&amp;row=299&amp;col=8&amp;number=&amp;sourceID=49","")</f>
        <v/>
      </c>
    </row>
    <row r="300" spans="1:8">
      <c r="A300" s="3">
        <v>18</v>
      </c>
      <c r="B300" s="3">
        <v>16</v>
      </c>
      <c r="C300" s="3">
        <v>56</v>
      </c>
      <c r="D300" s="3">
        <v>50</v>
      </c>
      <c r="E300" s="3">
        <f>((1/(INDEX(E0!J$4:J$87,C300,1)-INDEX(E0!J$4:J$87,D300,1))))*100000000</f>
        <v>0</v>
      </c>
      <c r="F300" s="4" t="str">
        <f>HYPERLINK("http://141.218.60.56/~jnz1568/getInfo.php?workbook=18_16.xlsx&amp;sheet=A0&amp;row=300&amp;col=6&amp;number=128960&amp;sourceID=48","128960")</f>
        <v>128960</v>
      </c>
      <c r="G300" s="4" t="str">
        <f>HYPERLINK("http://141.218.60.56/~jnz1568/getInfo.php?workbook=18_16.xlsx&amp;sheet=A0&amp;row=300&amp;col=7&amp;number=&amp;sourceID=49","")</f>
        <v/>
      </c>
      <c r="H300" s="4" t="str">
        <f>HYPERLINK("http://141.218.60.56/~jnz1568/getInfo.php?workbook=18_16.xlsx&amp;sheet=A0&amp;row=300&amp;col=8&amp;number=&amp;sourceID=49","")</f>
        <v/>
      </c>
    </row>
    <row r="301" spans="1:8">
      <c r="A301" s="3">
        <v>18</v>
      </c>
      <c r="B301" s="3">
        <v>16</v>
      </c>
      <c r="C301" s="3">
        <v>56</v>
      </c>
      <c r="D301" s="3">
        <v>51</v>
      </c>
      <c r="E301" s="3">
        <f>((1/(INDEX(E0!J$4:J$87,C301,1)-INDEX(E0!J$4:J$87,D301,1))))*100000000</f>
        <v>0</v>
      </c>
      <c r="F301" s="4" t="str">
        <f>HYPERLINK("http://141.218.60.56/~jnz1568/getInfo.php?workbook=18_16.xlsx&amp;sheet=A0&amp;row=301&amp;col=6&amp;number=8391&amp;sourceID=48","8391")</f>
        <v>8391</v>
      </c>
      <c r="G301" s="4" t="str">
        <f>HYPERLINK("http://141.218.60.56/~jnz1568/getInfo.php?workbook=18_16.xlsx&amp;sheet=A0&amp;row=301&amp;col=7&amp;number=&amp;sourceID=49","")</f>
        <v/>
      </c>
      <c r="H301" s="4" t="str">
        <f>HYPERLINK("http://141.218.60.56/~jnz1568/getInfo.php?workbook=18_16.xlsx&amp;sheet=A0&amp;row=301&amp;col=8&amp;number=&amp;sourceID=49","")</f>
        <v/>
      </c>
    </row>
    <row r="302" spans="1:8">
      <c r="A302" s="3">
        <v>18</v>
      </c>
      <c r="B302" s="3">
        <v>16</v>
      </c>
      <c r="C302" s="3">
        <v>56</v>
      </c>
      <c r="D302" s="3">
        <v>52</v>
      </c>
      <c r="E302" s="3">
        <f>((1/(INDEX(E0!J$4:J$87,C302,1)-INDEX(E0!J$4:J$87,D302,1))))*100000000</f>
        <v>0</v>
      </c>
      <c r="F302" s="4" t="str">
        <f>HYPERLINK("http://141.218.60.56/~jnz1568/getInfo.php?workbook=18_16.xlsx&amp;sheet=A0&amp;row=302&amp;col=6&amp;number=170440&amp;sourceID=48","170440")</f>
        <v>170440</v>
      </c>
      <c r="G302" s="4" t="str">
        <f>HYPERLINK("http://141.218.60.56/~jnz1568/getInfo.php?workbook=18_16.xlsx&amp;sheet=A0&amp;row=302&amp;col=7&amp;number=&amp;sourceID=49","")</f>
        <v/>
      </c>
      <c r="H302" s="4" t="str">
        <f>HYPERLINK("http://141.218.60.56/~jnz1568/getInfo.php?workbook=18_16.xlsx&amp;sheet=A0&amp;row=302&amp;col=8&amp;number=&amp;sourceID=49","")</f>
        <v/>
      </c>
    </row>
    <row r="303" spans="1:8">
      <c r="A303" s="3">
        <v>18</v>
      </c>
      <c r="B303" s="3">
        <v>16</v>
      </c>
      <c r="C303" s="3">
        <v>57</v>
      </c>
      <c r="D303" s="3">
        <v>1</v>
      </c>
      <c r="E303" s="3">
        <f>((1/(INDEX(E0!J$4:J$87,C303,1)-INDEX(E0!J$4:J$87,D303,1))))*100000000</f>
        <v>0</v>
      </c>
      <c r="F303" s="4" t="str">
        <f>HYPERLINK("http://141.218.60.56/~jnz1568/getInfo.php?workbook=18_16.xlsx&amp;sheet=A0&amp;row=303&amp;col=6&amp;number=13079000000&amp;sourceID=48","13079000000")</f>
        <v>13079000000</v>
      </c>
      <c r="G303" s="4" t="str">
        <f>HYPERLINK("http://141.218.60.56/~jnz1568/getInfo.php?workbook=18_16.xlsx&amp;sheet=A0&amp;row=303&amp;col=7&amp;number=&amp;sourceID=49","")</f>
        <v/>
      </c>
      <c r="H303" s="4" t="str">
        <f>HYPERLINK("http://141.218.60.56/~jnz1568/getInfo.php?workbook=18_16.xlsx&amp;sheet=A0&amp;row=303&amp;col=8&amp;number=&amp;sourceID=49","")</f>
        <v/>
      </c>
    </row>
    <row r="304" spans="1:8">
      <c r="A304" s="3">
        <v>18</v>
      </c>
      <c r="B304" s="3">
        <v>16</v>
      </c>
      <c r="C304" s="3">
        <v>57</v>
      </c>
      <c r="D304" s="3">
        <v>2</v>
      </c>
      <c r="E304" s="3">
        <f>((1/(INDEX(E0!J$4:J$87,C304,1)-INDEX(E0!J$4:J$87,D304,1))))*100000000</f>
        <v>0</v>
      </c>
      <c r="F304" s="4" t="str">
        <f>HYPERLINK("http://141.218.60.56/~jnz1568/getInfo.php?workbook=18_16.xlsx&amp;sheet=A0&amp;row=304&amp;col=6&amp;number=6698200000&amp;sourceID=48","6698200000")</f>
        <v>6698200000</v>
      </c>
      <c r="G304" s="4" t="str">
        <f>HYPERLINK("http://141.218.60.56/~jnz1568/getInfo.php?workbook=18_16.xlsx&amp;sheet=A0&amp;row=304&amp;col=7&amp;number=&amp;sourceID=49","")</f>
        <v/>
      </c>
      <c r="H304" s="4" t="str">
        <f>HYPERLINK("http://141.218.60.56/~jnz1568/getInfo.php?workbook=18_16.xlsx&amp;sheet=A0&amp;row=304&amp;col=8&amp;number=&amp;sourceID=49","")</f>
        <v/>
      </c>
    </row>
    <row r="305" spans="1:8">
      <c r="A305" s="3">
        <v>18</v>
      </c>
      <c r="B305" s="3">
        <v>16</v>
      </c>
      <c r="C305" s="3">
        <v>57</v>
      </c>
      <c r="D305" s="3">
        <v>4</v>
      </c>
      <c r="E305" s="3">
        <f>((1/(INDEX(E0!J$4:J$87,C305,1)-INDEX(E0!J$4:J$87,D305,1))))*100000000</f>
        <v>0</v>
      </c>
      <c r="F305" s="4" t="str">
        <f>HYPERLINK("http://141.218.60.56/~jnz1568/getInfo.php?workbook=18_16.xlsx&amp;sheet=A0&amp;row=305&amp;col=6&amp;number=3463400&amp;sourceID=48","3463400")</f>
        <v>3463400</v>
      </c>
      <c r="G305" s="4" t="str">
        <f>HYPERLINK("http://141.218.60.56/~jnz1568/getInfo.php?workbook=18_16.xlsx&amp;sheet=A0&amp;row=305&amp;col=7&amp;number=&amp;sourceID=49","")</f>
        <v/>
      </c>
      <c r="H305" s="4" t="str">
        <f>HYPERLINK("http://141.218.60.56/~jnz1568/getInfo.php?workbook=18_16.xlsx&amp;sheet=A0&amp;row=305&amp;col=8&amp;number=&amp;sourceID=49","")</f>
        <v/>
      </c>
    </row>
    <row r="306" spans="1:8">
      <c r="A306" s="3">
        <v>18</v>
      </c>
      <c r="B306" s="3">
        <v>16</v>
      </c>
      <c r="C306" s="3">
        <v>57</v>
      </c>
      <c r="D306" s="3">
        <v>43</v>
      </c>
      <c r="E306" s="3">
        <f>((1/(INDEX(E0!J$4:J$87,C306,1)-INDEX(E0!J$4:J$87,D306,1))))*100000000</f>
        <v>0</v>
      </c>
      <c r="F306" s="4" t="str">
        <f>HYPERLINK("http://141.218.60.56/~jnz1568/getInfo.php?workbook=18_16.xlsx&amp;sheet=A0&amp;row=306&amp;col=6&amp;number=3459.4&amp;sourceID=48","3459.4")</f>
        <v>3459.4</v>
      </c>
      <c r="G306" s="4" t="str">
        <f>HYPERLINK("http://141.218.60.56/~jnz1568/getInfo.php?workbook=18_16.xlsx&amp;sheet=A0&amp;row=306&amp;col=7&amp;number=&amp;sourceID=49","")</f>
        <v/>
      </c>
      <c r="H306" s="4" t="str">
        <f>HYPERLINK("http://141.218.60.56/~jnz1568/getInfo.php?workbook=18_16.xlsx&amp;sheet=A0&amp;row=306&amp;col=8&amp;number=&amp;sourceID=49","")</f>
        <v/>
      </c>
    </row>
    <row r="307" spans="1:8">
      <c r="A307" s="3">
        <v>18</v>
      </c>
      <c r="B307" s="3">
        <v>16</v>
      </c>
      <c r="C307" s="3">
        <v>57</v>
      </c>
      <c r="D307" s="3">
        <v>44</v>
      </c>
      <c r="E307" s="3">
        <f>((1/(INDEX(E0!J$4:J$87,C307,1)-INDEX(E0!J$4:J$87,D307,1))))*100000000</f>
        <v>0</v>
      </c>
      <c r="F307" s="4" t="str">
        <f>HYPERLINK("http://141.218.60.56/~jnz1568/getInfo.php?workbook=18_16.xlsx&amp;sheet=A0&amp;row=307&amp;col=6&amp;number=1686.1&amp;sourceID=48","1686.1")</f>
        <v>1686.1</v>
      </c>
      <c r="G307" s="4" t="str">
        <f>HYPERLINK("http://141.218.60.56/~jnz1568/getInfo.php?workbook=18_16.xlsx&amp;sheet=A0&amp;row=307&amp;col=7&amp;number=&amp;sourceID=49","")</f>
        <v/>
      </c>
      <c r="H307" s="4" t="str">
        <f>HYPERLINK("http://141.218.60.56/~jnz1568/getInfo.php?workbook=18_16.xlsx&amp;sheet=A0&amp;row=307&amp;col=8&amp;number=&amp;sourceID=49","")</f>
        <v/>
      </c>
    </row>
    <row r="308" spans="1:8">
      <c r="A308" s="3">
        <v>18</v>
      </c>
      <c r="B308" s="3">
        <v>16</v>
      </c>
      <c r="C308" s="3">
        <v>57</v>
      </c>
      <c r="D308" s="3">
        <v>46</v>
      </c>
      <c r="E308" s="3">
        <f>((1/(INDEX(E0!J$4:J$87,C308,1)-INDEX(E0!J$4:J$87,D308,1))))*100000000</f>
        <v>0</v>
      </c>
      <c r="F308" s="4" t="str">
        <f>HYPERLINK("http://141.218.60.56/~jnz1568/getInfo.php?workbook=18_16.xlsx&amp;sheet=A0&amp;row=308&amp;col=6&amp;number=5423.1&amp;sourceID=48","5423.1")</f>
        <v>5423.1</v>
      </c>
      <c r="G308" s="4" t="str">
        <f>HYPERLINK("http://141.218.60.56/~jnz1568/getInfo.php?workbook=18_16.xlsx&amp;sheet=A0&amp;row=308&amp;col=7&amp;number=&amp;sourceID=49","")</f>
        <v/>
      </c>
      <c r="H308" s="4" t="str">
        <f>HYPERLINK("http://141.218.60.56/~jnz1568/getInfo.php?workbook=18_16.xlsx&amp;sheet=A0&amp;row=308&amp;col=8&amp;number=&amp;sourceID=49","")</f>
        <v/>
      </c>
    </row>
    <row r="309" spans="1:8">
      <c r="A309" s="3">
        <v>18</v>
      </c>
      <c r="B309" s="3">
        <v>16</v>
      </c>
      <c r="C309" s="3">
        <v>57</v>
      </c>
      <c r="D309" s="3">
        <v>50</v>
      </c>
      <c r="E309" s="3">
        <f>((1/(INDEX(E0!J$4:J$87,C309,1)-INDEX(E0!J$4:J$87,D309,1))))*100000000</f>
        <v>0</v>
      </c>
      <c r="F309" s="4" t="str">
        <f>HYPERLINK("http://141.218.60.56/~jnz1568/getInfo.php?workbook=18_16.xlsx&amp;sheet=A0&amp;row=309&amp;col=6&amp;number=409.36&amp;sourceID=48","409.36")</f>
        <v>409.36</v>
      </c>
      <c r="G309" s="4" t="str">
        <f>HYPERLINK("http://141.218.60.56/~jnz1568/getInfo.php?workbook=18_16.xlsx&amp;sheet=A0&amp;row=309&amp;col=7&amp;number=&amp;sourceID=49","")</f>
        <v/>
      </c>
      <c r="H309" s="4" t="str">
        <f>HYPERLINK("http://141.218.60.56/~jnz1568/getInfo.php?workbook=18_16.xlsx&amp;sheet=A0&amp;row=309&amp;col=8&amp;number=&amp;sourceID=49","")</f>
        <v/>
      </c>
    </row>
    <row r="310" spans="1:8">
      <c r="A310" s="3">
        <v>18</v>
      </c>
      <c r="B310" s="3">
        <v>16</v>
      </c>
      <c r="C310" s="3">
        <v>57</v>
      </c>
      <c r="D310" s="3">
        <v>51</v>
      </c>
      <c r="E310" s="3">
        <f>((1/(INDEX(E0!J$4:J$87,C310,1)-INDEX(E0!J$4:J$87,D310,1))))*100000000</f>
        <v>0</v>
      </c>
      <c r="F310" s="4" t="str">
        <f>HYPERLINK("http://141.218.60.56/~jnz1568/getInfo.php?workbook=18_16.xlsx&amp;sheet=A0&amp;row=310&amp;col=6&amp;number=12160&amp;sourceID=48","12160")</f>
        <v>12160</v>
      </c>
      <c r="G310" s="4" t="str">
        <f>HYPERLINK("http://141.218.60.56/~jnz1568/getInfo.php?workbook=18_16.xlsx&amp;sheet=A0&amp;row=310&amp;col=7&amp;number=&amp;sourceID=49","")</f>
        <v/>
      </c>
      <c r="H310" s="4" t="str">
        <f>HYPERLINK("http://141.218.60.56/~jnz1568/getInfo.php?workbook=18_16.xlsx&amp;sheet=A0&amp;row=310&amp;col=8&amp;number=&amp;sourceID=49","")</f>
        <v/>
      </c>
    </row>
    <row r="311" spans="1:8">
      <c r="A311" s="3">
        <v>18</v>
      </c>
      <c r="B311" s="3">
        <v>16</v>
      </c>
      <c r="C311" s="3">
        <v>58</v>
      </c>
      <c r="D311" s="3">
        <v>1</v>
      </c>
      <c r="E311" s="3">
        <f>((1/(INDEX(E0!J$4:J$87,C311,1)-INDEX(E0!J$4:J$87,D311,1))))*100000000</f>
        <v>0</v>
      </c>
      <c r="F311" s="4" t="str">
        <f>HYPERLINK("http://141.218.60.56/~jnz1568/getInfo.php?workbook=18_16.xlsx&amp;sheet=A0&amp;row=311&amp;col=6&amp;number=8025600000&amp;sourceID=48","8025600000")</f>
        <v>8025600000</v>
      </c>
      <c r="G311" s="4" t="str">
        <f>HYPERLINK("http://141.218.60.56/~jnz1568/getInfo.php?workbook=18_16.xlsx&amp;sheet=A0&amp;row=311&amp;col=7&amp;number=&amp;sourceID=49","")</f>
        <v/>
      </c>
      <c r="H311" s="4" t="str">
        <f>HYPERLINK("http://141.218.60.56/~jnz1568/getInfo.php?workbook=18_16.xlsx&amp;sheet=A0&amp;row=311&amp;col=8&amp;number=&amp;sourceID=49","")</f>
        <v/>
      </c>
    </row>
    <row r="312" spans="1:8">
      <c r="A312" s="3">
        <v>18</v>
      </c>
      <c r="B312" s="3">
        <v>16</v>
      </c>
      <c r="C312" s="3">
        <v>58</v>
      </c>
      <c r="D312" s="3">
        <v>2</v>
      </c>
      <c r="E312" s="3">
        <f>((1/(INDEX(E0!J$4:J$87,C312,1)-INDEX(E0!J$4:J$87,D312,1))))*100000000</f>
        <v>0</v>
      </c>
      <c r="F312" s="4" t="str">
        <f>HYPERLINK("http://141.218.60.56/~jnz1568/getInfo.php?workbook=18_16.xlsx&amp;sheet=A0&amp;row=312&amp;col=6&amp;number=4394200000&amp;sourceID=48","4394200000")</f>
        <v>4394200000</v>
      </c>
      <c r="G312" s="4" t="str">
        <f>HYPERLINK("http://141.218.60.56/~jnz1568/getInfo.php?workbook=18_16.xlsx&amp;sheet=A0&amp;row=312&amp;col=7&amp;number=&amp;sourceID=49","")</f>
        <v/>
      </c>
      <c r="H312" s="4" t="str">
        <f>HYPERLINK("http://141.218.60.56/~jnz1568/getInfo.php?workbook=18_16.xlsx&amp;sheet=A0&amp;row=312&amp;col=8&amp;number=&amp;sourceID=49","")</f>
        <v/>
      </c>
    </row>
    <row r="313" spans="1:8">
      <c r="A313" s="3">
        <v>18</v>
      </c>
      <c r="B313" s="3">
        <v>16</v>
      </c>
      <c r="C313" s="3">
        <v>58</v>
      </c>
      <c r="D313" s="3">
        <v>3</v>
      </c>
      <c r="E313" s="3">
        <f>((1/(INDEX(E0!J$4:J$87,C313,1)-INDEX(E0!J$4:J$87,D313,1))))*100000000</f>
        <v>0</v>
      </c>
      <c r="F313" s="4" t="str">
        <f>HYPERLINK("http://141.218.60.56/~jnz1568/getInfo.php?workbook=18_16.xlsx&amp;sheet=A0&amp;row=313&amp;col=6&amp;number=8729400000&amp;sourceID=48","8729400000")</f>
        <v>8729400000</v>
      </c>
      <c r="G313" s="4" t="str">
        <f>HYPERLINK("http://141.218.60.56/~jnz1568/getInfo.php?workbook=18_16.xlsx&amp;sheet=A0&amp;row=313&amp;col=7&amp;number=&amp;sourceID=49","")</f>
        <v/>
      </c>
      <c r="H313" s="4" t="str">
        <f>HYPERLINK("http://141.218.60.56/~jnz1568/getInfo.php?workbook=18_16.xlsx&amp;sheet=A0&amp;row=313&amp;col=8&amp;number=&amp;sourceID=49","")</f>
        <v/>
      </c>
    </row>
    <row r="314" spans="1:8">
      <c r="A314" s="3">
        <v>18</v>
      </c>
      <c r="B314" s="3">
        <v>16</v>
      </c>
      <c r="C314" s="3">
        <v>58</v>
      </c>
      <c r="D314" s="3">
        <v>4</v>
      </c>
      <c r="E314" s="3">
        <f>((1/(INDEX(E0!J$4:J$87,C314,1)-INDEX(E0!J$4:J$87,D314,1))))*100000000</f>
        <v>0</v>
      </c>
      <c r="F314" s="4" t="str">
        <f>HYPERLINK("http://141.218.60.56/~jnz1568/getInfo.php?workbook=18_16.xlsx&amp;sheet=A0&amp;row=314&amp;col=6&amp;number=6512400&amp;sourceID=48","6512400")</f>
        <v>6512400</v>
      </c>
      <c r="G314" s="4" t="str">
        <f>HYPERLINK("http://141.218.60.56/~jnz1568/getInfo.php?workbook=18_16.xlsx&amp;sheet=A0&amp;row=314&amp;col=7&amp;number=&amp;sourceID=49","")</f>
        <v/>
      </c>
      <c r="H314" s="4" t="str">
        <f>HYPERLINK("http://141.218.60.56/~jnz1568/getInfo.php?workbook=18_16.xlsx&amp;sheet=A0&amp;row=314&amp;col=8&amp;number=&amp;sourceID=49","")</f>
        <v/>
      </c>
    </row>
    <row r="315" spans="1:8">
      <c r="A315" s="3">
        <v>18</v>
      </c>
      <c r="B315" s="3">
        <v>16</v>
      </c>
      <c r="C315" s="3">
        <v>58</v>
      </c>
      <c r="D315" s="3">
        <v>5</v>
      </c>
      <c r="E315" s="3">
        <f>((1/(INDEX(E0!J$4:J$87,C315,1)-INDEX(E0!J$4:J$87,D315,1))))*100000000</f>
        <v>0</v>
      </c>
      <c r="F315" s="4" t="str">
        <f>HYPERLINK("http://141.218.60.56/~jnz1568/getInfo.php?workbook=18_16.xlsx&amp;sheet=A0&amp;row=315&amp;col=6&amp;number=5482800&amp;sourceID=48","5482800")</f>
        <v>5482800</v>
      </c>
      <c r="G315" s="4" t="str">
        <f>HYPERLINK("http://141.218.60.56/~jnz1568/getInfo.php?workbook=18_16.xlsx&amp;sheet=A0&amp;row=315&amp;col=7&amp;number=&amp;sourceID=49","")</f>
        <v/>
      </c>
      <c r="H315" s="4" t="str">
        <f>HYPERLINK("http://141.218.60.56/~jnz1568/getInfo.php?workbook=18_16.xlsx&amp;sheet=A0&amp;row=315&amp;col=8&amp;number=&amp;sourceID=49","")</f>
        <v/>
      </c>
    </row>
    <row r="316" spans="1:8">
      <c r="A316" s="3">
        <v>18</v>
      </c>
      <c r="B316" s="3">
        <v>16</v>
      </c>
      <c r="C316" s="3">
        <v>58</v>
      </c>
      <c r="D316" s="3">
        <v>43</v>
      </c>
      <c r="E316" s="3">
        <f>((1/(INDEX(E0!J$4:J$87,C316,1)-INDEX(E0!J$4:J$87,D316,1))))*100000000</f>
        <v>0</v>
      </c>
      <c r="F316" s="4" t="str">
        <f>HYPERLINK("http://141.218.60.56/~jnz1568/getInfo.php?workbook=18_16.xlsx&amp;sheet=A0&amp;row=316&amp;col=6&amp;number=491.28&amp;sourceID=48","491.28")</f>
        <v>491.28</v>
      </c>
      <c r="G316" s="4" t="str">
        <f>HYPERLINK("http://141.218.60.56/~jnz1568/getInfo.php?workbook=18_16.xlsx&amp;sheet=A0&amp;row=316&amp;col=7&amp;number=&amp;sourceID=49","")</f>
        <v/>
      </c>
      <c r="H316" s="4" t="str">
        <f>HYPERLINK("http://141.218.60.56/~jnz1568/getInfo.php?workbook=18_16.xlsx&amp;sheet=A0&amp;row=316&amp;col=8&amp;number=&amp;sourceID=49","")</f>
        <v/>
      </c>
    </row>
    <row r="317" spans="1:8">
      <c r="A317" s="3">
        <v>18</v>
      </c>
      <c r="B317" s="3">
        <v>16</v>
      </c>
      <c r="C317" s="3">
        <v>58</v>
      </c>
      <c r="D317" s="3">
        <v>44</v>
      </c>
      <c r="E317" s="3">
        <f>((1/(INDEX(E0!J$4:J$87,C317,1)-INDEX(E0!J$4:J$87,D317,1))))*100000000</f>
        <v>0</v>
      </c>
      <c r="F317" s="4" t="str">
        <f>HYPERLINK("http://141.218.60.56/~jnz1568/getInfo.php?workbook=18_16.xlsx&amp;sheet=A0&amp;row=317&amp;col=6&amp;number=178.34&amp;sourceID=48","178.34")</f>
        <v>178.34</v>
      </c>
      <c r="G317" s="4" t="str">
        <f>HYPERLINK("http://141.218.60.56/~jnz1568/getInfo.php?workbook=18_16.xlsx&amp;sheet=A0&amp;row=317&amp;col=7&amp;number=&amp;sourceID=49","")</f>
        <v/>
      </c>
      <c r="H317" s="4" t="str">
        <f>HYPERLINK("http://141.218.60.56/~jnz1568/getInfo.php?workbook=18_16.xlsx&amp;sheet=A0&amp;row=317&amp;col=8&amp;number=&amp;sourceID=49","")</f>
        <v/>
      </c>
    </row>
    <row r="318" spans="1:8">
      <c r="A318" s="3">
        <v>18</v>
      </c>
      <c r="B318" s="3">
        <v>16</v>
      </c>
      <c r="C318" s="3">
        <v>58</v>
      </c>
      <c r="D318" s="3">
        <v>50</v>
      </c>
      <c r="E318" s="3">
        <f>((1/(INDEX(E0!J$4:J$87,C318,1)-INDEX(E0!J$4:J$87,D318,1))))*100000000</f>
        <v>0</v>
      </c>
      <c r="F318" s="4" t="str">
        <f>HYPERLINK("http://141.218.60.56/~jnz1568/getInfo.php?workbook=18_16.xlsx&amp;sheet=A0&amp;row=318&amp;col=6&amp;number=5976.7&amp;sourceID=48","5976.7")</f>
        <v>5976.7</v>
      </c>
      <c r="G318" s="4" t="str">
        <f>HYPERLINK("http://141.218.60.56/~jnz1568/getInfo.php?workbook=18_16.xlsx&amp;sheet=A0&amp;row=318&amp;col=7&amp;number=&amp;sourceID=49","")</f>
        <v/>
      </c>
      <c r="H318" s="4" t="str">
        <f>HYPERLINK("http://141.218.60.56/~jnz1568/getInfo.php?workbook=18_16.xlsx&amp;sheet=A0&amp;row=318&amp;col=8&amp;number=&amp;sourceID=49","")</f>
        <v/>
      </c>
    </row>
    <row r="319" spans="1:8">
      <c r="A319" s="3">
        <v>18</v>
      </c>
      <c r="B319" s="3">
        <v>16</v>
      </c>
      <c r="C319" s="3">
        <v>58</v>
      </c>
      <c r="D319" s="3">
        <v>51</v>
      </c>
      <c r="E319" s="3">
        <f>((1/(INDEX(E0!J$4:J$87,C319,1)-INDEX(E0!J$4:J$87,D319,1))))*100000000</f>
        <v>0</v>
      </c>
      <c r="F319" s="4" t="str">
        <f>HYPERLINK("http://141.218.60.56/~jnz1568/getInfo.php?workbook=18_16.xlsx&amp;sheet=A0&amp;row=319&amp;col=6&amp;number=3166.8&amp;sourceID=48","3166.8")</f>
        <v>3166.8</v>
      </c>
      <c r="G319" s="4" t="str">
        <f>HYPERLINK("http://141.218.60.56/~jnz1568/getInfo.php?workbook=18_16.xlsx&amp;sheet=A0&amp;row=319&amp;col=7&amp;number=&amp;sourceID=49","")</f>
        <v/>
      </c>
      <c r="H319" s="4" t="str">
        <f>HYPERLINK("http://141.218.60.56/~jnz1568/getInfo.php?workbook=18_16.xlsx&amp;sheet=A0&amp;row=319&amp;col=8&amp;number=&amp;sourceID=49","")</f>
        <v/>
      </c>
    </row>
    <row r="320" spans="1:8">
      <c r="A320" s="3">
        <v>18</v>
      </c>
      <c r="B320" s="3">
        <v>16</v>
      </c>
      <c r="C320" s="3">
        <v>58</v>
      </c>
      <c r="D320" s="3">
        <v>52</v>
      </c>
      <c r="E320" s="3">
        <f>((1/(INDEX(E0!J$4:J$87,C320,1)-INDEX(E0!J$4:J$87,D320,1))))*100000000</f>
        <v>0</v>
      </c>
      <c r="F320" s="4" t="str">
        <f>HYPERLINK("http://141.218.60.56/~jnz1568/getInfo.php?workbook=18_16.xlsx&amp;sheet=A0&amp;row=320&amp;col=6&amp;number=19.95&amp;sourceID=48","19.95")</f>
        <v>19.95</v>
      </c>
      <c r="G320" s="4" t="str">
        <f>HYPERLINK("http://141.218.60.56/~jnz1568/getInfo.php?workbook=18_16.xlsx&amp;sheet=A0&amp;row=320&amp;col=7&amp;number=&amp;sourceID=49","")</f>
        <v/>
      </c>
      <c r="H320" s="4" t="str">
        <f>HYPERLINK("http://141.218.60.56/~jnz1568/getInfo.php?workbook=18_16.xlsx&amp;sheet=A0&amp;row=320&amp;col=8&amp;number=&amp;sourceID=49","")</f>
        <v/>
      </c>
    </row>
    <row r="321" spans="1:8">
      <c r="A321" s="3">
        <v>18</v>
      </c>
      <c r="B321" s="3">
        <v>16</v>
      </c>
      <c r="C321" s="3">
        <v>59</v>
      </c>
      <c r="D321" s="3">
        <v>2</v>
      </c>
      <c r="E321" s="3">
        <f>((1/(INDEX(E0!J$4:J$87,C321,1)-INDEX(E0!J$4:J$87,D321,1))))*100000000</f>
        <v>0</v>
      </c>
      <c r="F321" s="4" t="str">
        <f>HYPERLINK("http://141.218.60.56/~jnz1568/getInfo.php?workbook=18_16.xlsx&amp;sheet=A0&amp;row=321&amp;col=6&amp;number=22399000000&amp;sourceID=48","22399000000")</f>
        <v>22399000000</v>
      </c>
      <c r="G321" s="4" t="str">
        <f>HYPERLINK("http://141.218.60.56/~jnz1568/getInfo.php?workbook=18_16.xlsx&amp;sheet=A0&amp;row=321&amp;col=7&amp;number=&amp;sourceID=49","")</f>
        <v/>
      </c>
      <c r="H321" s="4" t="str">
        <f>HYPERLINK("http://141.218.60.56/~jnz1568/getInfo.php?workbook=18_16.xlsx&amp;sheet=A0&amp;row=321&amp;col=8&amp;number=&amp;sourceID=49","")</f>
        <v/>
      </c>
    </row>
    <row r="322" spans="1:8">
      <c r="A322" s="3">
        <v>18</v>
      </c>
      <c r="B322" s="3">
        <v>16</v>
      </c>
      <c r="C322" s="3">
        <v>59</v>
      </c>
      <c r="D322" s="3">
        <v>43</v>
      </c>
      <c r="E322" s="3">
        <f>((1/(INDEX(E0!J$4:J$87,C322,1)-INDEX(E0!J$4:J$87,D322,1))))*100000000</f>
        <v>0</v>
      </c>
      <c r="F322" s="4" t="str">
        <f>HYPERLINK("http://141.218.60.56/~jnz1568/getInfo.php?workbook=18_16.xlsx&amp;sheet=A0&amp;row=322&amp;col=6&amp;number=1069.5&amp;sourceID=48","1069.5")</f>
        <v>1069.5</v>
      </c>
      <c r="G322" s="4" t="str">
        <f>HYPERLINK("http://141.218.60.56/~jnz1568/getInfo.php?workbook=18_16.xlsx&amp;sheet=A0&amp;row=322&amp;col=7&amp;number=&amp;sourceID=49","")</f>
        <v/>
      </c>
      <c r="H322" s="4" t="str">
        <f>HYPERLINK("http://141.218.60.56/~jnz1568/getInfo.php?workbook=18_16.xlsx&amp;sheet=A0&amp;row=322&amp;col=8&amp;number=&amp;sourceID=49","")</f>
        <v/>
      </c>
    </row>
    <row r="323" spans="1:8">
      <c r="A323" s="3">
        <v>18</v>
      </c>
      <c r="B323" s="3">
        <v>16</v>
      </c>
      <c r="C323" s="3">
        <v>59</v>
      </c>
      <c r="D323" s="3">
        <v>50</v>
      </c>
      <c r="E323" s="3">
        <f>((1/(INDEX(E0!J$4:J$87,C323,1)-INDEX(E0!J$4:J$87,D323,1))))*100000000</f>
        <v>0</v>
      </c>
      <c r="F323" s="4" t="str">
        <f>HYPERLINK("http://141.218.60.56/~jnz1568/getInfo.php?workbook=18_16.xlsx&amp;sheet=A0&amp;row=323&amp;col=6&amp;number=11204&amp;sourceID=48","11204")</f>
        <v>11204</v>
      </c>
      <c r="G323" s="4" t="str">
        <f>HYPERLINK("http://141.218.60.56/~jnz1568/getInfo.php?workbook=18_16.xlsx&amp;sheet=A0&amp;row=323&amp;col=7&amp;number=&amp;sourceID=49","")</f>
        <v/>
      </c>
      <c r="H323" s="4" t="str">
        <f>HYPERLINK("http://141.218.60.56/~jnz1568/getInfo.php?workbook=18_16.xlsx&amp;sheet=A0&amp;row=323&amp;col=8&amp;number=&amp;sourceID=49","")</f>
        <v/>
      </c>
    </row>
    <row r="324" spans="1:8">
      <c r="A324" s="3">
        <v>18</v>
      </c>
      <c r="B324" s="3">
        <v>16</v>
      </c>
      <c r="C324" s="3">
        <v>60</v>
      </c>
      <c r="D324" s="3">
        <v>1</v>
      </c>
      <c r="E324" s="3">
        <f>((1/(INDEX(E0!J$4:J$87,C324,1)-INDEX(E0!J$4:J$87,D324,1))))*100000000</f>
        <v>0</v>
      </c>
      <c r="F324" s="4" t="str">
        <f>HYPERLINK("http://141.218.60.56/~jnz1568/getInfo.php?workbook=18_16.xlsx&amp;sheet=A0&amp;row=324&amp;col=6&amp;number=1606600&amp;sourceID=48","1606600")</f>
        <v>1606600</v>
      </c>
      <c r="G324" s="4" t="str">
        <f>HYPERLINK("http://141.218.60.56/~jnz1568/getInfo.php?workbook=18_16.xlsx&amp;sheet=A0&amp;row=324&amp;col=7&amp;number=&amp;sourceID=49","")</f>
        <v/>
      </c>
      <c r="H324" s="4" t="str">
        <f>HYPERLINK("http://141.218.60.56/~jnz1568/getInfo.php?workbook=18_16.xlsx&amp;sheet=A0&amp;row=324&amp;col=8&amp;number=&amp;sourceID=49","")</f>
        <v/>
      </c>
    </row>
    <row r="325" spans="1:8">
      <c r="A325" s="3">
        <v>18</v>
      </c>
      <c r="B325" s="3">
        <v>16</v>
      </c>
      <c r="C325" s="3">
        <v>60</v>
      </c>
      <c r="D325" s="3">
        <v>2</v>
      </c>
      <c r="E325" s="3">
        <f>((1/(INDEX(E0!J$4:J$87,C325,1)-INDEX(E0!J$4:J$87,D325,1))))*100000000</f>
        <v>0</v>
      </c>
      <c r="F325" s="4" t="str">
        <f>HYPERLINK("http://141.218.60.56/~jnz1568/getInfo.php?workbook=18_16.xlsx&amp;sheet=A0&amp;row=325&amp;col=6&amp;number=18252000&amp;sourceID=48","18252000")</f>
        <v>18252000</v>
      </c>
      <c r="G325" s="4" t="str">
        <f>HYPERLINK("http://141.218.60.56/~jnz1568/getInfo.php?workbook=18_16.xlsx&amp;sheet=A0&amp;row=325&amp;col=7&amp;number=&amp;sourceID=49","")</f>
        <v/>
      </c>
      <c r="H325" s="4" t="str">
        <f>HYPERLINK("http://141.218.60.56/~jnz1568/getInfo.php?workbook=18_16.xlsx&amp;sheet=A0&amp;row=325&amp;col=8&amp;number=&amp;sourceID=49","")</f>
        <v/>
      </c>
    </row>
    <row r="326" spans="1:8">
      <c r="A326" s="3">
        <v>18</v>
      </c>
      <c r="B326" s="3">
        <v>16</v>
      </c>
      <c r="C326" s="3">
        <v>60</v>
      </c>
      <c r="D326" s="3">
        <v>4</v>
      </c>
      <c r="E326" s="3">
        <f>((1/(INDEX(E0!J$4:J$87,C326,1)-INDEX(E0!J$4:J$87,D326,1))))*100000000</f>
        <v>0</v>
      </c>
      <c r="F326" s="4" t="str">
        <f>HYPERLINK("http://141.218.60.56/~jnz1568/getInfo.php?workbook=18_16.xlsx&amp;sheet=A0&amp;row=326&amp;col=6&amp;number=24837000000&amp;sourceID=48","24837000000")</f>
        <v>24837000000</v>
      </c>
      <c r="G326" s="4" t="str">
        <f>HYPERLINK("http://141.218.60.56/~jnz1568/getInfo.php?workbook=18_16.xlsx&amp;sheet=A0&amp;row=326&amp;col=7&amp;number=&amp;sourceID=49","")</f>
        <v/>
      </c>
      <c r="H326" s="4" t="str">
        <f>HYPERLINK("http://141.218.60.56/~jnz1568/getInfo.php?workbook=18_16.xlsx&amp;sheet=A0&amp;row=326&amp;col=8&amp;number=&amp;sourceID=49","")</f>
        <v/>
      </c>
    </row>
    <row r="327" spans="1:8">
      <c r="A327" s="3">
        <v>18</v>
      </c>
      <c r="B327" s="3">
        <v>16</v>
      </c>
      <c r="C327" s="3">
        <v>60</v>
      </c>
      <c r="D327" s="3">
        <v>4</v>
      </c>
      <c r="E327" s="3">
        <f>((1/(INDEX(E0!J$4:J$87,C327,1)-INDEX(E0!J$4:J$87,D327,1))))*100000000</f>
        <v>0</v>
      </c>
      <c r="F327" s="4" t="str">
        <f>HYPERLINK("http://141.218.60.56/~jnz1568/getInfo.php?workbook=18_16.xlsx&amp;sheet=A0&amp;row=327&amp;col=6&amp;number=24837000000&amp;sourceID=48","24837000000")</f>
        <v>24837000000</v>
      </c>
      <c r="G327" s="4" t="str">
        <f>HYPERLINK("http://141.218.60.56/~jnz1568/getInfo.php?workbook=18_16.xlsx&amp;sheet=A0&amp;row=327&amp;col=7&amp;number=&amp;sourceID=49","")</f>
        <v/>
      </c>
      <c r="H327" s="4" t="str">
        <f>HYPERLINK("http://141.218.60.56/~jnz1568/getInfo.php?workbook=18_16.xlsx&amp;sheet=A0&amp;row=327&amp;col=8&amp;number=&amp;sourceID=49","")</f>
        <v/>
      </c>
    </row>
    <row r="328" spans="1:8">
      <c r="A328" s="3">
        <v>18</v>
      </c>
      <c r="B328" s="3">
        <v>16</v>
      </c>
      <c r="C328" s="3">
        <v>60</v>
      </c>
      <c r="D328" s="3">
        <v>43</v>
      </c>
      <c r="E328" s="3">
        <f>((1/(INDEX(E0!J$4:J$87,C328,1)-INDEX(E0!J$4:J$87,D328,1))))*100000000</f>
        <v>0</v>
      </c>
      <c r="F328" s="4" t="str">
        <f>HYPERLINK("http://141.218.60.56/~jnz1568/getInfo.php?workbook=18_16.xlsx&amp;sheet=A0&amp;row=328&amp;col=6&amp;number=6.0434&amp;sourceID=48","6.0434")</f>
        <v>6.0434</v>
      </c>
      <c r="G328" s="4" t="str">
        <f>HYPERLINK("http://141.218.60.56/~jnz1568/getInfo.php?workbook=18_16.xlsx&amp;sheet=A0&amp;row=328&amp;col=7&amp;number=&amp;sourceID=49","")</f>
        <v/>
      </c>
      <c r="H328" s="4" t="str">
        <f>HYPERLINK("http://141.218.60.56/~jnz1568/getInfo.php?workbook=18_16.xlsx&amp;sheet=A0&amp;row=328&amp;col=8&amp;number=&amp;sourceID=49","")</f>
        <v/>
      </c>
    </row>
    <row r="329" spans="1:8">
      <c r="A329" s="3">
        <v>18</v>
      </c>
      <c r="B329" s="3">
        <v>16</v>
      </c>
      <c r="C329" s="3">
        <v>60</v>
      </c>
      <c r="D329" s="3">
        <v>44</v>
      </c>
      <c r="E329" s="3">
        <f>((1/(INDEX(E0!J$4:J$87,C329,1)-INDEX(E0!J$4:J$87,D329,1))))*100000000</f>
        <v>0</v>
      </c>
      <c r="F329" s="4" t="str">
        <f>HYPERLINK("http://141.218.60.56/~jnz1568/getInfo.php?workbook=18_16.xlsx&amp;sheet=A0&amp;row=329&amp;col=6&amp;number=27.725&amp;sourceID=48","27.725")</f>
        <v>27.725</v>
      </c>
      <c r="G329" s="4" t="str">
        <f>HYPERLINK("http://141.218.60.56/~jnz1568/getInfo.php?workbook=18_16.xlsx&amp;sheet=A0&amp;row=329&amp;col=7&amp;number=&amp;sourceID=49","")</f>
        <v/>
      </c>
      <c r="H329" s="4" t="str">
        <f>HYPERLINK("http://141.218.60.56/~jnz1568/getInfo.php?workbook=18_16.xlsx&amp;sheet=A0&amp;row=329&amp;col=8&amp;number=&amp;sourceID=49","")</f>
        <v/>
      </c>
    </row>
    <row r="330" spans="1:8">
      <c r="A330" s="3">
        <v>18</v>
      </c>
      <c r="B330" s="3">
        <v>16</v>
      </c>
      <c r="C330" s="3">
        <v>60</v>
      </c>
      <c r="D330" s="3">
        <v>46</v>
      </c>
      <c r="E330" s="3">
        <f>((1/(INDEX(E0!J$4:J$87,C330,1)-INDEX(E0!J$4:J$87,D330,1))))*100000000</f>
        <v>0</v>
      </c>
      <c r="F330" s="4" t="str">
        <f>HYPERLINK("http://141.218.60.56/~jnz1568/getInfo.php?workbook=18_16.xlsx&amp;sheet=A0&amp;row=330&amp;col=6&amp;number=7.4815&amp;sourceID=48","7.4815")</f>
        <v>7.4815</v>
      </c>
      <c r="G330" s="4" t="str">
        <f>HYPERLINK("http://141.218.60.56/~jnz1568/getInfo.php?workbook=18_16.xlsx&amp;sheet=A0&amp;row=330&amp;col=7&amp;number=&amp;sourceID=49","")</f>
        <v/>
      </c>
      <c r="H330" s="4" t="str">
        <f>HYPERLINK("http://141.218.60.56/~jnz1568/getInfo.php?workbook=18_16.xlsx&amp;sheet=A0&amp;row=330&amp;col=8&amp;number=&amp;sourceID=49","")</f>
        <v/>
      </c>
    </row>
    <row r="331" spans="1:8">
      <c r="A331" s="3">
        <v>18</v>
      </c>
      <c r="B331" s="3">
        <v>16</v>
      </c>
      <c r="C331" s="3">
        <v>60</v>
      </c>
      <c r="D331" s="3">
        <v>50</v>
      </c>
      <c r="E331" s="3">
        <f>((1/(INDEX(E0!J$4:J$87,C331,1)-INDEX(E0!J$4:J$87,D331,1))))*100000000</f>
        <v>0</v>
      </c>
      <c r="F331" s="4" t="str">
        <f>HYPERLINK("http://141.218.60.56/~jnz1568/getInfo.php?workbook=18_16.xlsx&amp;sheet=A0&amp;row=331&amp;col=6&amp;number=6170.8&amp;sourceID=48","6170.8")</f>
        <v>6170.8</v>
      </c>
      <c r="G331" s="4" t="str">
        <f>HYPERLINK("http://141.218.60.56/~jnz1568/getInfo.php?workbook=18_16.xlsx&amp;sheet=A0&amp;row=331&amp;col=7&amp;number=&amp;sourceID=49","")</f>
        <v/>
      </c>
      <c r="H331" s="4" t="str">
        <f>HYPERLINK("http://141.218.60.56/~jnz1568/getInfo.php?workbook=18_16.xlsx&amp;sheet=A0&amp;row=331&amp;col=8&amp;number=&amp;sourceID=49","")</f>
        <v/>
      </c>
    </row>
    <row r="332" spans="1:8">
      <c r="A332" s="3">
        <v>18</v>
      </c>
      <c r="B332" s="3">
        <v>16</v>
      </c>
      <c r="C332" s="3">
        <v>60</v>
      </c>
      <c r="D332" s="3">
        <v>51</v>
      </c>
      <c r="E332" s="3">
        <f>((1/(INDEX(E0!J$4:J$87,C332,1)-INDEX(E0!J$4:J$87,D332,1))))*100000000</f>
        <v>0</v>
      </c>
      <c r="F332" s="4" t="str">
        <f>HYPERLINK("http://141.218.60.56/~jnz1568/getInfo.php?workbook=18_16.xlsx&amp;sheet=A0&amp;row=332&amp;col=6&amp;number=1221.2&amp;sourceID=48","1221.2")</f>
        <v>1221.2</v>
      </c>
      <c r="G332" s="4" t="str">
        <f>HYPERLINK("http://141.218.60.56/~jnz1568/getInfo.php?workbook=18_16.xlsx&amp;sheet=A0&amp;row=332&amp;col=7&amp;number=&amp;sourceID=49","")</f>
        <v/>
      </c>
      <c r="H332" s="4" t="str">
        <f>HYPERLINK("http://141.218.60.56/~jnz1568/getInfo.php?workbook=18_16.xlsx&amp;sheet=A0&amp;row=332&amp;col=8&amp;number=&amp;sourceID=49","")</f>
        <v/>
      </c>
    </row>
    <row r="333" spans="1:8">
      <c r="A333" s="3">
        <v>18</v>
      </c>
      <c r="B333" s="3">
        <v>16</v>
      </c>
      <c r="C333" s="3">
        <v>61</v>
      </c>
      <c r="D333" s="3">
        <v>1</v>
      </c>
      <c r="E333" s="3">
        <f>((1/(INDEX(E0!J$4:J$87,C333,1)-INDEX(E0!J$4:J$87,D333,1))))*100000000</f>
        <v>0</v>
      </c>
      <c r="F333" s="4" t="str">
        <f>HYPERLINK("http://141.218.60.56/~jnz1568/getInfo.php?workbook=18_16.xlsx&amp;sheet=A0&amp;row=333&amp;col=6&amp;number=2431300&amp;sourceID=48","2431300")</f>
        <v>2431300</v>
      </c>
      <c r="G333" s="4" t="str">
        <f>HYPERLINK("http://141.218.60.56/~jnz1568/getInfo.php?workbook=18_16.xlsx&amp;sheet=A0&amp;row=333&amp;col=7&amp;number=&amp;sourceID=49","")</f>
        <v/>
      </c>
      <c r="H333" s="4" t="str">
        <f>HYPERLINK("http://141.218.60.56/~jnz1568/getInfo.php?workbook=18_16.xlsx&amp;sheet=A0&amp;row=333&amp;col=8&amp;number=&amp;sourceID=49","")</f>
        <v/>
      </c>
    </row>
    <row r="334" spans="1:8">
      <c r="A334" s="3">
        <v>18</v>
      </c>
      <c r="B334" s="3">
        <v>16</v>
      </c>
      <c r="C334" s="3">
        <v>61</v>
      </c>
      <c r="D334" s="3">
        <v>2</v>
      </c>
      <c r="E334" s="3">
        <f>((1/(INDEX(E0!J$4:J$87,C334,1)-INDEX(E0!J$4:J$87,D334,1))))*100000000</f>
        <v>0</v>
      </c>
      <c r="F334" s="4" t="str">
        <f>HYPERLINK("http://141.218.60.56/~jnz1568/getInfo.php?workbook=18_16.xlsx&amp;sheet=A0&amp;row=334&amp;col=6&amp;number=53328000&amp;sourceID=48","53328000")</f>
        <v>53328000</v>
      </c>
      <c r="G334" s="4" t="str">
        <f>HYPERLINK("http://141.218.60.56/~jnz1568/getInfo.php?workbook=18_16.xlsx&amp;sheet=A0&amp;row=334&amp;col=7&amp;number=&amp;sourceID=49","")</f>
        <v/>
      </c>
      <c r="H334" s="4" t="str">
        <f>HYPERLINK("http://141.218.60.56/~jnz1568/getInfo.php?workbook=18_16.xlsx&amp;sheet=A0&amp;row=334&amp;col=8&amp;number=&amp;sourceID=49","")</f>
        <v/>
      </c>
    </row>
    <row r="335" spans="1:8">
      <c r="A335" s="3">
        <v>18</v>
      </c>
      <c r="B335" s="3">
        <v>16</v>
      </c>
      <c r="C335" s="3">
        <v>61</v>
      </c>
      <c r="D335" s="3">
        <v>3</v>
      </c>
      <c r="E335" s="3">
        <f>((1/(INDEX(E0!J$4:J$87,C335,1)-INDEX(E0!J$4:J$87,D335,1))))*100000000</f>
        <v>0</v>
      </c>
      <c r="F335" s="4" t="str">
        <f>HYPERLINK("http://141.218.60.56/~jnz1568/getInfo.php?workbook=18_16.xlsx&amp;sheet=A0&amp;row=335&amp;col=6&amp;number=1269500&amp;sourceID=48","1269500")</f>
        <v>1269500</v>
      </c>
      <c r="G335" s="4" t="str">
        <f>HYPERLINK("http://141.218.60.56/~jnz1568/getInfo.php?workbook=18_16.xlsx&amp;sheet=A0&amp;row=335&amp;col=7&amp;number=&amp;sourceID=49","")</f>
        <v/>
      </c>
      <c r="H335" s="4" t="str">
        <f>HYPERLINK("http://141.218.60.56/~jnz1568/getInfo.php?workbook=18_16.xlsx&amp;sheet=A0&amp;row=335&amp;col=8&amp;number=&amp;sourceID=49","")</f>
        <v/>
      </c>
    </row>
    <row r="336" spans="1:8">
      <c r="A336" s="3">
        <v>18</v>
      </c>
      <c r="B336" s="3">
        <v>16</v>
      </c>
      <c r="C336" s="3">
        <v>61</v>
      </c>
      <c r="D336" s="3">
        <v>4</v>
      </c>
      <c r="E336" s="3">
        <f>((1/(INDEX(E0!J$4:J$87,C336,1)-INDEX(E0!J$4:J$87,D336,1))))*100000000</f>
        <v>0</v>
      </c>
      <c r="F336" s="4" t="str">
        <f>HYPERLINK("http://141.218.60.56/~jnz1568/getInfo.php?workbook=18_16.xlsx&amp;sheet=A0&amp;row=336&amp;col=6&amp;number=19716000000&amp;sourceID=48","19716000000")</f>
        <v>19716000000</v>
      </c>
      <c r="G336" s="4" t="str">
        <f>HYPERLINK("http://141.218.60.56/~jnz1568/getInfo.php?workbook=18_16.xlsx&amp;sheet=A0&amp;row=336&amp;col=7&amp;number=&amp;sourceID=49","")</f>
        <v/>
      </c>
      <c r="H336" s="4" t="str">
        <f>HYPERLINK("http://141.218.60.56/~jnz1568/getInfo.php?workbook=18_16.xlsx&amp;sheet=A0&amp;row=336&amp;col=8&amp;number=&amp;sourceID=49","")</f>
        <v/>
      </c>
    </row>
    <row r="337" spans="1:8">
      <c r="A337" s="3">
        <v>18</v>
      </c>
      <c r="B337" s="3">
        <v>16</v>
      </c>
      <c r="C337" s="3">
        <v>61</v>
      </c>
      <c r="D337" s="3">
        <v>5</v>
      </c>
      <c r="E337" s="3">
        <f>((1/(INDEX(E0!J$4:J$87,C337,1)-INDEX(E0!J$4:J$87,D337,1))))*100000000</f>
        <v>0</v>
      </c>
      <c r="F337" s="4" t="str">
        <f>HYPERLINK("http://141.218.60.56/~jnz1568/getInfo.php?workbook=18_16.xlsx&amp;sheet=A0&amp;row=337&amp;col=6&amp;number=1153600000&amp;sourceID=48","1153600000")</f>
        <v>1153600000</v>
      </c>
      <c r="G337" s="4" t="str">
        <f>HYPERLINK("http://141.218.60.56/~jnz1568/getInfo.php?workbook=18_16.xlsx&amp;sheet=A0&amp;row=337&amp;col=7&amp;number=&amp;sourceID=49","")</f>
        <v/>
      </c>
      <c r="H337" s="4" t="str">
        <f>HYPERLINK("http://141.218.60.56/~jnz1568/getInfo.php?workbook=18_16.xlsx&amp;sheet=A0&amp;row=337&amp;col=8&amp;number=&amp;sourceID=49","")</f>
        <v/>
      </c>
    </row>
    <row r="338" spans="1:8">
      <c r="A338" s="3">
        <v>18</v>
      </c>
      <c r="B338" s="3">
        <v>16</v>
      </c>
      <c r="C338" s="3">
        <v>61</v>
      </c>
      <c r="D338" s="3">
        <v>43</v>
      </c>
      <c r="E338" s="3">
        <f>((1/(INDEX(E0!J$4:J$87,C338,1)-INDEX(E0!J$4:J$87,D338,1))))*100000000</f>
        <v>0</v>
      </c>
      <c r="F338" s="4" t="str">
        <f>HYPERLINK("http://141.218.60.56/~jnz1568/getInfo.php?workbook=18_16.xlsx&amp;sheet=A0&amp;row=338&amp;col=6&amp;number=2.111&amp;sourceID=48","2.111")</f>
        <v>2.111</v>
      </c>
      <c r="G338" s="4" t="str">
        <f>HYPERLINK("http://141.218.60.56/~jnz1568/getInfo.php?workbook=18_16.xlsx&amp;sheet=A0&amp;row=338&amp;col=7&amp;number=&amp;sourceID=49","")</f>
        <v/>
      </c>
      <c r="H338" s="4" t="str">
        <f>HYPERLINK("http://141.218.60.56/~jnz1568/getInfo.php?workbook=18_16.xlsx&amp;sheet=A0&amp;row=338&amp;col=8&amp;number=&amp;sourceID=49","")</f>
        <v/>
      </c>
    </row>
    <row r="339" spans="1:8">
      <c r="A339" s="3">
        <v>18</v>
      </c>
      <c r="B339" s="3">
        <v>16</v>
      </c>
      <c r="C339" s="3">
        <v>61</v>
      </c>
      <c r="D339" s="3">
        <v>44</v>
      </c>
      <c r="E339" s="3">
        <f>((1/(INDEX(E0!J$4:J$87,C339,1)-INDEX(E0!J$4:J$87,D339,1))))*100000000</f>
        <v>0</v>
      </c>
      <c r="F339" s="4" t="str">
        <f>HYPERLINK("http://141.218.60.56/~jnz1568/getInfo.php?workbook=18_16.xlsx&amp;sheet=A0&amp;row=339&amp;col=6&amp;number=0.39437&amp;sourceID=48","0.39437")</f>
        <v>0.39437</v>
      </c>
      <c r="G339" s="4" t="str">
        <f>HYPERLINK("http://141.218.60.56/~jnz1568/getInfo.php?workbook=18_16.xlsx&amp;sheet=A0&amp;row=339&amp;col=7&amp;number=&amp;sourceID=49","")</f>
        <v/>
      </c>
      <c r="H339" s="4" t="str">
        <f>HYPERLINK("http://141.218.60.56/~jnz1568/getInfo.php?workbook=18_16.xlsx&amp;sheet=A0&amp;row=339&amp;col=8&amp;number=&amp;sourceID=49","")</f>
        <v/>
      </c>
    </row>
    <row r="340" spans="1:8">
      <c r="A340" s="3">
        <v>18</v>
      </c>
      <c r="B340" s="3">
        <v>16</v>
      </c>
      <c r="C340" s="3">
        <v>61</v>
      </c>
      <c r="D340" s="3">
        <v>50</v>
      </c>
      <c r="E340" s="3">
        <f>((1/(INDEX(E0!J$4:J$87,C340,1)-INDEX(E0!J$4:J$87,D340,1))))*100000000</f>
        <v>0</v>
      </c>
      <c r="F340" s="4" t="str">
        <f>HYPERLINK("http://141.218.60.56/~jnz1568/getInfo.php?workbook=18_16.xlsx&amp;sheet=A0&amp;row=340&amp;col=6&amp;number=1271.7&amp;sourceID=48","1271.7")</f>
        <v>1271.7</v>
      </c>
      <c r="G340" s="4" t="str">
        <f>HYPERLINK("http://141.218.60.56/~jnz1568/getInfo.php?workbook=18_16.xlsx&amp;sheet=A0&amp;row=340&amp;col=7&amp;number=&amp;sourceID=49","")</f>
        <v/>
      </c>
      <c r="H340" s="4" t="str">
        <f>HYPERLINK("http://141.218.60.56/~jnz1568/getInfo.php?workbook=18_16.xlsx&amp;sheet=A0&amp;row=340&amp;col=8&amp;number=&amp;sourceID=49","")</f>
        <v/>
      </c>
    </row>
    <row r="341" spans="1:8">
      <c r="A341" s="3">
        <v>18</v>
      </c>
      <c r="B341" s="3">
        <v>16</v>
      </c>
      <c r="C341" s="3">
        <v>61</v>
      </c>
      <c r="D341" s="3">
        <v>51</v>
      </c>
      <c r="E341" s="3">
        <f>((1/(INDEX(E0!J$4:J$87,C341,1)-INDEX(E0!J$4:J$87,D341,1))))*100000000</f>
        <v>0</v>
      </c>
      <c r="F341" s="4" t="str">
        <f>HYPERLINK("http://141.218.60.56/~jnz1568/getInfo.php?workbook=18_16.xlsx&amp;sheet=A0&amp;row=341&amp;col=6&amp;number=171.46&amp;sourceID=48","171.46")</f>
        <v>171.46</v>
      </c>
      <c r="G341" s="4" t="str">
        <f>HYPERLINK("http://141.218.60.56/~jnz1568/getInfo.php?workbook=18_16.xlsx&amp;sheet=A0&amp;row=341&amp;col=7&amp;number=&amp;sourceID=49","")</f>
        <v/>
      </c>
      <c r="H341" s="4" t="str">
        <f>HYPERLINK("http://141.218.60.56/~jnz1568/getInfo.php?workbook=18_16.xlsx&amp;sheet=A0&amp;row=341&amp;col=8&amp;number=&amp;sourceID=49","")</f>
        <v/>
      </c>
    </row>
    <row r="342" spans="1:8">
      <c r="A342" s="3">
        <v>18</v>
      </c>
      <c r="B342" s="3">
        <v>16</v>
      </c>
      <c r="C342" s="3">
        <v>61</v>
      </c>
      <c r="D342" s="3">
        <v>52</v>
      </c>
      <c r="E342" s="3">
        <f>((1/(INDEX(E0!J$4:J$87,C342,1)-INDEX(E0!J$4:J$87,D342,1))))*100000000</f>
        <v>0</v>
      </c>
      <c r="F342" s="4" t="str">
        <f>HYPERLINK("http://141.218.60.56/~jnz1568/getInfo.php?workbook=18_16.xlsx&amp;sheet=A0&amp;row=342&amp;col=6&amp;number=2004.1&amp;sourceID=48","2004.1")</f>
        <v>2004.1</v>
      </c>
      <c r="G342" s="4" t="str">
        <f>HYPERLINK("http://141.218.60.56/~jnz1568/getInfo.php?workbook=18_16.xlsx&amp;sheet=A0&amp;row=342&amp;col=7&amp;number=&amp;sourceID=49","")</f>
        <v/>
      </c>
      <c r="H342" s="4" t="str">
        <f>HYPERLINK("http://141.218.60.56/~jnz1568/getInfo.php?workbook=18_16.xlsx&amp;sheet=A0&amp;row=342&amp;col=8&amp;number=&amp;sourceID=49","")</f>
        <v/>
      </c>
    </row>
    <row r="343" spans="1:8">
      <c r="A343" s="3">
        <v>18</v>
      </c>
      <c r="B343" s="3">
        <v>16</v>
      </c>
      <c r="C343" s="3">
        <v>62</v>
      </c>
      <c r="D343" s="3">
        <v>6</v>
      </c>
      <c r="E343" s="3">
        <f>((1/(INDEX(E0!J$4:J$87,C343,1)-INDEX(E0!J$4:J$87,D343,1))))*100000000</f>
        <v>0</v>
      </c>
      <c r="F343" s="4" t="str">
        <f>HYPERLINK("http://141.218.60.56/~jnz1568/getInfo.php?workbook=18_16.xlsx&amp;sheet=A0&amp;row=343&amp;col=6&amp;number=3633.4&amp;sourceID=48","3633.4")</f>
        <v>3633.4</v>
      </c>
      <c r="G343" s="4" t="str">
        <f>HYPERLINK("http://141.218.60.56/~jnz1568/getInfo.php?workbook=18_16.xlsx&amp;sheet=A0&amp;row=343&amp;col=7&amp;number=&amp;sourceID=49","")</f>
        <v/>
      </c>
      <c r="H343" s="4" t="str">
        <f>HYPERLINK("http://141.218.60.56/~jnz1568/getInfo.php?workbook=18_16.xlsx&amp;sheet=A0&amp;row=343&amp;col=8&amp;number=&amp;sourceID=49","")</f>
        <v/>
      </c>
    </row>
    <row r="344" spans="1:8">
      <c r="A344" s="3">
        <v>18</v>
      </c>
      <c r="B344" s="3">
        <v>16</v>
      </c>
      <c r="C344" s="3">
        <v>62</v>
      </c>
      <c r="D344" s="3">
        <v>7</v>
      </c>
      <c r="E344" s="3">
        <f>((1/(INDEX(E0!J$4:J$87,C344,1)-INDEX(E0!J$4:J$87,D344,1))))*100000000</f>
        <v>0</v>
      </c>
      <c r="F344" s="4" t="str">
        <f>HYPERLINK("http://141.218.60.56/~jnz1568/getInfo.php?workbook=18_16.xlsx&amp;sheet=A0&amp;row=344&amp;col=6&amp;number=2926300&amp;sourceID=48","2926300")</f>
        <v>2926300</v>
      </c>
      <c r="G344" s="4" t="str">
        <f>HYPERLINK("http://141.218.60.56/~jnz1568/getInfo.php?workbook=18_16.xlsx&amp;sheet=A0&amp;row=344&amp;col=7&amp;number=&amp;sourceID=49","")</f>
        <v/>
      </c>
      <c r="H344" s="4" t="str">
        <f>HYPERLINK("http://141.218.60.56/~jnz1568/getInfo.php?workbook=18_16.xlsx&amp;sheet=A0&amp;row=344&amp;col=8&amp;number=&amp;sourceID=49","")</f>
        <v/>
      </c>
    </row>
    <row r="345" spans="1:8">
      <c r="A345" s="3">
        <v>18</v>
      </c>
      <c r="B345" s="3">
        <v>16</v>
      </c>
      <c r="C345" s="3">
        <v>62</v>
      </c>
      <c r="D345" s="3">
        <v>8</v>
      </c>
      <c r="E345" s="3">
        <f>((1/(INDEX(E0!J$4:J$87,C345,1)-INDEX(E0!J$4:J$87,D345,1))))*100000000</f>
        <v>0</v>
      </c>
      <c r="F345" s="4" t="str">
        <f>HYPERLINK("http://141.218.60.56/~jnz1568/getInfo.php?workbook=18_16.xlsx&amp;sheet=A0&amp;row=345&amp;col=6&amp;number=637760&amp;sourceID=48","637760")</f>
        <v>637760</v>
      </c>
      <c r="G345" s="4" t="str">
        <f>HYPERLINK("http://141.218.60.56/~jnz1568/getInfo.php?workbook=18_16.xlsx&amp;sheet=A0&amp;row=345&amp;col=7&amp;number=&amp;sourceID=49","")</f>
        <v/>
      </c>
      <c r="H345" s="4" t="str">
        <f>HYPERLINK("http://141.218.60.56/~jnz1568/getInfo.php?workbook=18_16.xlsx&amp;sheet=A0&amp;row=345&amp;col=8&amp;number=&amp;sourceID=49","")</f>
        <v/>
      </c>
    </row>
    <row r="346" spans="1:8">
      <c r="A346" s="3">
        <v>18</v>
      </c>
      <c r="B346" s="3">
        <v>16</v>
      </c>
      <c r="C346" s="3">
        <v>62</v>
      </c>
      <c r="D346" s="3">
        <v>9</v>
      </c>
      <c r="E346" s="3">
        <f>((1/(INDEX(E0!J$4:J$87,C346,1)-INDEX(E0!J$4:J$87,D346,1))))*100000000</f>
        <v>0</v>
      </c>
      <c r="F346" s="4" t="str">
        <f>HYPERLINK("http://141.218.60.56/~jnz1568/getInfo.php?workbook=18_16.xlsx&amp;sheet=A0&amp;row=346&amp;col=6&amp;number=190350000&amp;sourceID=48","190350000")</f>
        <v>190350000</v>
      </c>
      <c r="G346" s="4" t="str">
        <f>HYPERLINK("http://141.218.60.56/~jnz1568/getInfo.php?workbook=18_16.xlsx&amp;sheet=A0&amp;row=346&amp;col=7&amp;number=&amp;sourceID=49","")</f>
        <v/>
      </c>
      <c r="H346" s="4" t="str">
        <f>HYPERLINK("http://141.218.60.56/~jnz1568/getInfo.php?workbook=18_16.xlsx&amp;sheet=A0&amp;row=346&amp;col=8&amp;number=&amp;sourceID=49","")</f>
        <v/>
      </c>
    </row>
    <row r="347" spans="1:8">
      <c r="A347" s="3">
        <v>18</v>
      </c>
      <c r="B347" s="3">
        <v>16</v>
      </c>
      <c r="C347" s="3">
        <v>62</v>
      </c>
      <c r="D347" s="3">
        <v>10</v>
      </c>
      <c r="E347" s="3">
        <f>((1/(INDEX(E0!J$4:J$87,C347,1)-INDEX(E0!J$4:J$87,D347,1))))*100000000</f>
        <v>0</v>
      </c>
      <c r="F347" s="4" t="str">
        <f>HYPERLINK("http://141.218.60.56/~jnz1568/getInfo.php?workbook=18_16.xlsx&amp;sheet=A0&amp;row=347&amp;col=6&amp;number=93.23&amp;sourceID=48","93.23")</f>
        <v>93.23</v>
      </c>
      <c r="G347" s="4" t="str">
        <f>HYPERLINK("http://141.218.60.56/~jnz1568/getInfo.php?workbook=18_16.xlsx&amp;sheet=A0&amp;row=347&amp;col=7&amp;number=&amp;sourceID=49","")</f>
        <v/>
      </c>
      <c r="H347" s="4" t="str">
        <f>HYPERLINK("http://141.218.60.56/~jnz1568/getInfo.php?workbook=18_16.xlsx&amp;sheet=A0&amp;row=347&amp;col=8&amp;number=&amp;sourceID=49","")</f>
        <v/>
      </c>
    </row>
    <row r="348" spans="1:8">
      <c r="A348" s="3">
        <v>18</v>
      </c>
      <c r="B348" s="3">
        <v>16</v>
      </c>
      <c r="C348" s="3">
        <v>62</v>
      </c>
      <c r="D348" s="3">
        <v>11</v>
      </c>
      <c r="E348" s="3">
        <f>((1/(INDEX(E0!J$4:J$87,C348,1)-INDEX(E0!J$4:J$87,D348,1))))*100000000</f>
        <v>0</v>
      </c>
      <c r="F348" s="4" t="str">
        <f>HYPERLINK("http://141.218.60.56/~jnz1568/getInfo.php?workbook=18_16.xlsx&amp;sheet=A0&amp;row=348&amp;col=6&amp;number=44502&amp;sourceID=48","44502")</f>
        <v>44502</v>
      </c>
      <c r="G348" s="4" t="str">
        <f>HYPERLINK("http://141.218.60.56/~jnz1568/getInfo.php?workbook=18_16.xlsx&amp;sheet=A0&amp;row=348&amp;col=7&amp;number=&amp;sourceID=49","")</f>
        <v/>
      </c>
      <c r="H348" s="4" t="str">
        <f>HYPERLINK("http://141.218.60.56/~jnz1568/getInfo.php?workbook=18_16.xlsx&amp;sheet=A0&amp;row=348&amp;col=8&amp;number=&amp;sourceID=49","")</f>
        <v/>
      </c>
    </row>
    <row r="349" spans="1:8">
      <c r="A349" s="3">
        <v>18</v>
      </c>
      <c r="B349" s="3">
        <v>16</v>
      </c>
      <c r="C349" s="3">
        <v>62</v>
      </c>
      <c r="D349" s="3">
        <v>12</v>
      </c>
      <c r="E349" s="3">
        <f>((1/(INDEX(E0!J$4:J$87,C349,1)-INDEX(E0!J$4:J$87,D349,1))))*100000000</f>
        <v>0</v>
      </c>
      <c r="F349" s="4" t="str">
        <f>HYPERLINK("http://141.218.60.56/~jnz1568/getInfo.php?workbook=18_16.xlsx&amp;sheet=A0&amp;row=349&amp;col=6&amp;number=1.9903&amp;sourceID=48","1.9903")</f>
        <v>1.9903</v>
      </c>
      <c r="G349" s="4" t="str">
        <f>HYPERLINK("http://141.218.60.56/~jnz1568/getInfo.php?workbook=18_16.xlsx&amp;sheet=A0&amp;row=349&amp;col=7&amp;number=&amp;sourceID=49","")</f>
        <v/>
      </c>
      <c r="H349" s="4" t="str">
        <f>HYPERLINK("http://141.218.60.56/~jnz1568/getInfo.php?workbook=18_16.xlsx&amp;sheet=A0&amp;row=349&amp;col=8&amp;number=&amp;sourceID=49","")</f>
        <v/>
      </c>
    </row>
    <row r="350" spans="1:8">
      <c r="A350" s="3">
        <v>18</v>
      </c>
      <c r="B350" s="3">
        <v>16</v>
      </c>
      <c r="C350" s="3">
        <v>62</v>
      </c>
      <c r="D350" s="3">
        <v>16</v>
      </c>
      <c r="E350" s="3">
        <f>((1/(INDEX(E0!J$4:J$87,C350,1)-INDEX(E0!J$4:J$87,D350,1))))*100000000</f>
        <v>0</v>
      </c>
      <c r="F350" s="4" t="str">
        <f>HYPERLINK("http://141.218.60.56/~jnz1568/getInfo.php?workbook=18_16.xlsx&amp;sheet=A0&amp;row=350&amp;col=6&amp;number=2715400&amp;sourceID=48","2715400")</f>
        <v>2715400</v>
      </c>
      <c r="G350" s="4" t="str">
        <f>HYPERLINK("http://141.218.60.56/~jnz1568/getInfo.php?workbook=18_16.xlsx&amp;sheet=A0&amp;row=350&amp;col=7&amp;number=&amp;sourceID=49","")</f>
        <v/>
      </c>
      <c r="H350" s="4" t="str">
        <f>HYPERLINK("http://141.218.60.56/~jnz1568/getInfo.php?workbook=18_16.xlsx&amp;sheet=A0&amp;row=350&amp;col=8&amp;number=&amp;sourceID=49","")</f>
        <v/>
      </c>
    </row>
    <row r="351" spans="1:8">
      <c r="A351" s="3">
        <v>18</v>
      </c>
      <c r="B351" s="3">
        <v>16</v>
      </c>
      <c r="C351" s="3">
        <v>62</v>
      </c>
      <c r="D351" s="3">
        <v>17</v>
      </c>
      <c r="E351" s="3">
        <f>((1/(INDEX(E0!J$4:J$87,C351,1)-INDEX(E0!J$4:J$87,D351,1))))*100000000</f>
        <v>0</v>
      </c>
      <c r="F351" s="4" t="str">
        <f>HYPERLINK("http://141.218.60.56/~jnz1568/getInfo.php?workbook=18_16.xlsx&amp;sheet=A0&amp;row=351&amp;col=6&amp;number=7575000&amp;sourceID=48","7575000")</f>
        <v>7575000</v>
      </c>
      <c r="G351" s="4" t="str">
        <f>HYPERLINK("http://141.218.60.56/~jnz1568/getInfo.php?workbook=18_16.xlsx&amp;sheet=A0&amp;row=351&amp;col=7&amp;number=&amp;sourceID=49","")</f>
        <v/>
      </c>
      <c r="H351" s="4" t="str">
        <f>HYPERLINK("http://141.218.60.56/~jnz1568/getInfo.php?workbook=18_16.xlsx&amp;sheet=A0&amp;row=351&amp;col=8&amp;number=&amp;sourceID=49","")</f>
        <v/>
      </c>
    </row>
    <row r="352" spans="1:8">
      <c r="A352" s="3">
        <v>18</v>
      </c>
      <c r="B352" s="3">
        <v>16</v>
      </c>
      <c r="C352" s="3">
        <v>62</v>
      </c>
      <c r="D352" s="3">
        <v>18</v>
      </c>
      <c r="E352" s="3">
        <f>((1/(INDEX(E0!J$4:J$87,C352,1)-INDEX(E0!J$4:J$87,D352,1))))*100000000</f>
        <v>0</v>
      </c>
      <c r="F352" s="4" t="str">
        <f>HYPERLINK("http://141.218.60.56/~jnz1568/getInfo.php?workbook=18_16.xlsx&amp;sheet=A0&amp;row=352&amp;col=6&amp;number=81273000&amp;sourceID=48","81273000")</f>
        <v>81273000</v>
      </c>
      <c r="G352" s="4" t="str">
        <f>HYPERLINK("http://141.218.60.56/~jnz1568/getInfo.php?workbook=18_16.xlsx&amp;sheet=A0&amp;row=352&amp;col=7&amp;number=&amp;sourceID=49","")</f>
        <v/>
      </c>
      <c r="H352" s="4" t="str">
        <f>HYPERLINK("http://141.218.60.56/~jnz1568/getInfo.php?workbook=18_16.xlsx&amp;sheet=A0&amp;row=352&amp;col=8&amp;number=&amp;sourceID=49","")</f>
        <v/>
      </c>
    </row>
    <row r="353" spans="1:8">
      <c r="A353" s="3">
        <v>18</v>
      </c>
      <c r="B353" s="3">
        <v>16</v>
      </c>
      <c r="C353" s="3">
        <v>62</v>
      </c>
      <c r="D353" s="3">
        <v>19</v>
      </c>
      <c r="E353" s="3">
        <f>((1/(INDEX(E0!J$4:J$87,C353,1)-INDEX(E0!J$4:J$87,D353,1))))*100000000</f>
        <v>0</v>
      </c>
      <c r="F353" s="4" t="str">
        <f>HYPERLINK("http://141.218.60.56/~jnz1568/getInfo.php?workbook=18_16.xlsx&amp;sheet=A0&amp;row=353&amp;col=6&amp;number=25674000&amp;sourceID=48","25674000")</f>
        <v>25674000</v>
      </c>
      <c r="G353" s="4" t="str">
        <f>HYPERLINK("http://141.218.60.56/~jnz1568/getInfo.php?workbook=18_16.xlsx&amp;sheet=A0&amp;row=353&amp;col=7&amp;number=&amp;sourceID=49","")</f>
        <v/>
      </c>
      <c r="H353" s="4" t="str">
        <f>HYPERLINK("http://141.218.60.56/~jnz1568/getInfo.php?workbook=18_16.xlsx&amp;sheet=A0&amp;row=353&amp;col=8&amp;number=&amp;sourceID=49","")</f>
        <v/>
      </c>
    </row>
    <row r="354" spans="1:8">
      <c r="A354" s="3">
        <v>18</v>
      </c>
      <c r="B354" s="3">
        <v>16</v>
      </c>
      <c r="C354" s="3">
        <v>62</v>
      </c>
      <c r="D354" s="3">
        <v>25</v>
      </c>
      <c r="E354" s="3">
        <f>((1/(INDEX(E0!J$4:J$87,C354,1)-INDEX(E0!J$4:J$87,D354,1))))*100000000</f>
        <v>0</v>
      </c>
      <c r="F354" s="4" t="str">
        <f>HYPERLINK("http://141.218.60.56/~jnz1568/getInfo.php?workbook=18_16.xlsx&amp;sheet=A0&amp;row=354&amp;col=6&amp;number=79.535&amp;sourceID=48","79.535")</f>
        <v>79.535</v>
      </c>
      <c r="G354" s="4" t="str">
        <f>HYPERLINK("http://141.218.60.56/~jnz1568/getInfo.php?workbook=18_16.xlsx&amp;sheet=A0&amp;row=354&amp;col=7&amp;number=&amp;sourceID=49","")</f>
        <v/>
      </c>
      <c r="H354" s="4" t="str">
        <f>HYPERLINK("http://141.218.60.56/~jnz1568/getInfo.php?workbook=18_16.xlsx&amp;sheet=A0&amp;row=354&amp;col=8&amp;number=&amp;sourceID=49","")</f>
        <v/>
      </c>
    </row>
    <row r="355" spans="1:8">
      <c r="A355" s="3">
        <v>18</v>
      </c>
      <c r="B355" s="3">
        <v>16</v>
      </c>
      <c r="C355" s="3">
        <v>62</v>
      </c>
      <c r="D355" s="3">
        <v>27</v>
      </c>
      <c r="E355" s="3">
        <f>((1/(INDEX(E0!J$4:J$87,C355,1)-INDEX(E0!J$4:J$87,D355,1))))*100000000</f>
        <v>0</v>
      </c>
      <c r="F355" s="4" t="str">
        <f>HYPERLINK("http://141.218.60.56/~jnz1568/getInfo.php?workbook=18_16.xlsx&amp;sheet=A0&amp;row=355&amp;col=6&amp;number=45475000&amp;sourceID=48","45475000")</f>
        <v>45475000</v>
      </c>
      <c r="G355" s="4" t="str">
        <f>HYPERLINK("http://141.218.60.56/~jnz1568/getInfo.php?workbook=18_16.xlsx&amp;sheet=A0&amp;row=355&amp;col=7&amp;number=&amp;sourceID=49","")</f>
        <v/>
      </c>
      <c r="H355" s="4" t="str">
        <f>HYPERLINK("http://141.218.60.56/~jnz1568/getInfo.php?workbook=18_16.xlsx&amp;sheet=A0&amp;row=355&amp;col=8&amp;number=&amp;sourceID=49","")</f>
        <v/>
      </c>
    </row>
    <row r="356" spans="1:8">
      <c r="A356" s="3">
        <v>18</v>
      </c>
      <c r="B356" s="3">
        <v>16</v>
      </c>
      <c r="C356" s="3">
        <v>62</v>
      </c>
      <c r="D356" s="3">
        <v>28</v>
      </c>
      <c r="E356" s="3">
        <f>((1/(INDEX(E0!J$4:J$87,C356,1)-INDEX(E0!J$4:J$87,D356,1))))*100000000</f>
        <v>0</v>
      </c>
      <c r="F356" s="4" t="str">
        <f>HYPERLINK("http://141.218.60.56/~jnz1568/getInfo.php?workbook=18_16.xlsx&amp;sheet=A0&amp;row=356&amp;col=6&amp;number=167060&amp;sourceID=48","167060")</f>
        <v>167060</v>
      </c>
      <c r="G356" s="4" t="str">
        <f>HYPERLINK("http://141.218.60.56/~jnz1568/getInfo.php?workbook=18_16.xlsx&amp;sheet=A0&amp;row=356&amp;col=7&amp;number=&amp;sourceID=49","")</f>
        <v/>
      </c>
      <c r="H356" s="4" t="str">
        <f>HYPERLINK("http://141.218.60.56/~jnz1568/getInfo.php?workbook=18_16.xlsx&amp;sheet=A0&amp;row=356&amp;col=8&amp;number=&amp;sourceID=49","")</f>
        <v/>
      </c>
    </row>
    <row r="357" spans="1:8">
      <c r="A357" s="3">
        <v>18</v>
      </c>
      <c r="B357" s="3">
        <v>16</v>
      </c>
      <c r="C357" s="3">
        <v>62</v>
      </c>
      <c r="D357" s="3">
        <v>31</v>
      </c>
      <c r="E357" s="3">
        <f>((1/(INDEX(E0!J$4:J$87,C357,1)-INDEX(E0!J$4:J$87,D357,1))))*100000000</f>
        <v>0</v>
      </c>
      <c r="F357" s="4" t="str">
        <f>HYPERLINK("http://141.218.60.56/~jnz1568/getInfo.php?workbook=18_16.xlsx&amp;sheet=A0&amp;row=357&amp;col=6&amp;number=83155&amp;sourceID=48","83155")</f>
        <v>83155</v>
      </c>
      <c r="G357" s="4" t="str">
        <f>HYPERLINK("http://141.218.60.56/~jnz1568/getInfo.php?workbook=18_16.xlsx&amp;sheet=A0&amp;row=357&amp;col=7&amp;number=&amp;sourceID=49","")</f>
        <v/>
      </c>
      <c r="H357" s="4" t="str">
        <f>HYPERLINK("http://141.218.60.56/~jnz1568/getInfo.php?workbook=18_16.xlsx&amp;sheet=A0&amp;row=357&amp;col=8&amp;number=&amp;sourceID=49","")</f>
        <v/>
      </c>
    </row>
    <row r="358" spans="1:8">
      <c r="A358" s="3">
        <v>18</v>
      </c>
      <c r="B358" s="3">
        <v>16</v>
      </c>
      <c r="C358" s="3">
        <v>62</v>
      </c>
      <c r="D358" s="3">
        <v>32</v>
      </c>
      <c r="E358" s="3">
        <f>((1/(INDEX(E0!J$4:J$87,C358,1)-INDEX(E0!J$4:J$87,D358,1))))*100000000</f>
        <v>0</v>
      </c>
      <c r="F358" s="4" t="str">
        <f>HYPERLINK("http://141.218.60.56/~jnz1568/getInfo.php?workbook=18_16.xlsx&amp;sheet=A0&amp;row=358&amp;col=6&amp;number=1987900&amp;sourceID=48","1987900")</f>
        <v>1987900</v>
      </c>
      <c r="G358" s="4" t="str">
        <f>HYPERLINK("http://141.218.60.56/~jnz1568/getInfo.php?workbook=18_16.xlsx&amp;sheet=A0&amp;row=358&amp;col=7&amp;number=&amp;sourceID=49","")</f>
        <v/>
      </c>
      <c r="H358" s="4" t="str">
        <f>HYPERLINK("http://141.218.60.56/~jnz1568/getInfo.php?workbook=18_16.xlsx&amp;sheet=A0&amp;row=358&amp;col=8&amp;number=&amp;sourceID=49","")</f>
        <v/>
      </c>
    </row>
    <row r="359" spans="1:8">
      <c r="A359" s="3">
        <v>18</v>
      </c>
      <c r="B359" s="3">
        <v>16</v>
      </c>
      <c r="C359" s="3">
        <v>62</v>
      </c>
      <c r="D359" s="3">
        <v>33</v>
      </c>
      <c r="E359" s="3">
        <f>((1/(INDEX(E0!J$4:J$87,C359,1)-INDEX(E0!J$4:J$87,D359,1))))*100000000</f>
        <v>0</v>
      </c>
      <c r="F359" s="4" t="str">
        <f>HYPERLINK("http://141.218.60.56/~jnz1568/getInfo.php?workbook=18_16.xlsx&amp;sheet=A0&amp;row=359&amp;col=6&amp;number=646830&amp;sourceID=48","646830")</f>
        <v>646830</v>
      </c>
      <c r="G359" s="4" t="str">
        <f>HYPERLINK("http://141.218.60.56/~jnz1568/getInfo.php?workbook=18_16.xlsx&amp;sheet=A0&amp;row=359&amp;col=7&amp;number=&amp;sourceID=49","")</f>
        <v/>
      </c>
      <c r="H359" s="4" t="str">
        <f>HYPERLINK("http://141.218.60.56/~jnz1568/getInfo.php?workbook=18_16.xlsx&amp;sheet=A0&amp;row=359&amp;col=8&amp;number=&amp;sourceID=49","")</f>
        <v/>
      </c>
    </row>
    <row r="360" spans="1:8">
      <c r="A360" s="3">
        <v>18</v>
      </c>
      <c r="B360" s="3">
        <v>16</v>
      </c>
      <c r="C360" s="3">
        <v>62</v>
      </c>
      <c r="D360" s="3">
        <v>34</v>
      </c>
      <c r="E360" s="3">
        <f>((1/(INDEX(E0!J$4:J$87,C360,1)-INDEX(E0!J$4:J$87,D360,1))))*100000000</f>
        <v>0</v>
      </c>
      <c r="F360" s="4" t="str">
        <f>HYPERLINK("http://141.218.60.56/~jnz1568/getInfo.php?workbook=18_16.xlsx&amp;sheet=A0&amp;row=360&amp;col=6&amp;number=245920&amp;sourceID=48","245920")</f>
        <v>245920</v>
      </c>
      <c r="G360" s="4" t="str">
        <f>HYPERLINK("http://141.218.60.56/~jnz1568/getInfo.php?workbook=18_16.xlsx&amp;sheet=A0&amp;row=360&amp;col=7&amp;number=&amp;sourceID=49","")</f>
        <v/>
      </c>
      <c r="H360" s="4" t="str">
        <f>HYPERLINK("http://141.218.60.56/~jnz1568/getInfo.php?workbook=18_16.xlsx&amp;sheet=A0&amp;row=360&amp;col=8&amp;number=&amp;sourceID=49","")</f>
        <v/>
      </c>
    </row>
    <row r="361" spans="1:8">
      <c r="A361" s="3">
        <v>18</v>
      </c>
      <c r="B361" s="3">
        <v>16</v>
      </c>
      <c r="C361" s="3">
        <v>62</v>
      </c>
      <c r="D361" s="3">
        <v>35</v>
      </c>
      <c r="E361" s="3">
        <f>((1/(INDEX(E0!J$4:J$87,C361,1)-INDEX(E0!J$4:J$87,D361,1))))*100000000</f>
        <v>0</v>
      </c>
      <c r="F361" s="4" t="str">
        <f>HYPERLINK("http://141.218.60.56/~jnz1568/getInfo.php?workbook=18_16.xlsx&amp;sheet=A0&amp;row=361&amp;col=6&amp;number=2038.7&amp;sourceID=48","2038.7")</f>
        <v>2038.7</v>
      </c>
      <c r="G361" s="4" t="str">
        <f>HYPERLINK("http://141.218.60.56/~jnz1568/getInfo.php?workbook=18_16.xlsx&amp;sheet=A0&amp;row=361&amp;col=7&amp;number=&amp;sourceID=49","")</f>
        <v/>
      </c>
      <c r="H361" s="4" t="str">
        <f>HYPERLINK("http://141.218.60.56/~jnz1568/getInfo.php?workbook=18_16.xlsx&amp;sheet=A0&amp;row=361&amp;col=8&amp;number=&amp;sourceID=49","")</f>
        <v/>
      </c>
    </row>
    <row r="362" spans="1:8">
      <c r="A362" s="3">
        <v>18</v>
      </c>
      <c r="B362" s="3">
        <v>16</v>
      </c>
      <c r="C362" s="3">
        <v>62</v>
      </c>
      <c r="D362" s="3">
        <v>37</v>
      </c>
      <c r="E362" s="3">
        <f>((1/(INDEX(E0!J$4:J$87,C362,1)-INDEX(E0!J$4:J$87,D362,1))))*100000000</f>
        <v>0</v>
      </c>
      <c r="F362" s="4" t="str">
        <f>HYPERLINK("http://141.218.60.56/~jnz1568/getInfo.php?workbook=18_16.xlsx&amp;sheet=A0&amp;row=362&amp;col=6&amp;number=26796&amp;sourceID=48","26796")</f>
        <v>26796</v>
      </c>
      <c r="G362" s="4" t="str">
        <f>HYPERLINK("http://141.218.60.56/~jnz1568/getInfo.php?workbook=18_16.xlsx&amp;sheet=A0&amp;row=362&amp;col=7&amp;number=&amp;sourceID=49","")</f>
        <v/>
      </c>
      <c r="H362" s="4" t="str">
        <f>HYPERLINK("http://141.218.60.56/~jnz1568/getInfo.php?workbook=18_16.xlsx&amp;sheet=A0&amp;row=362&amp;col=8&amp;number=&amp;sourceID=49","")</f>
        <v/>
      </c>
    </row>
    <row r="363" spans="1:8">
      <c r="A363" s="3">
        <v>18</v>
      </c>
      <c r="B363" s="3">
        <v>16</v>
      </c>
      <c r="C363" s="3">
        <v>62</v>
      </c>
      <c r="D363" s="3">
        <v>38</v>
      </c>
      <c r="E363" s="3">
        <f>((1/(INDEX(E0!J$4:J$87,C363,1)-INDEX(E0!J$4:J$87,D363,1))))*100000000</f>
        <v>0</v>
      </c>
      <c r="F363" s="4" t="str">
        <f>HYPERLINK("http://141.218.60.56/~jnz1568/getInfo.php?workbook=18_16.xlsx&amp;sheet=A0&amp;row=363&amp;col=6&amp;number=10807000&amp;sourceID=48","10807000")</f>
        <v>10807000</v>
      </c>
      <c r="G363" s="4" t="str">
        <f>HYPERLINK("http://141.218.60.56/~jnz1568/getInfo.php?workbook=18_16.xlsx&amp;sheet=A0&amp;row=363&amp;col=7&amp;number=&amp;sourceID=49","")</f>
        <v/>
      </c>
      <c r="H363" s="4" t="str">
        <f>HYPERLINK("http://141.218.60.56/~jnz1568/getInfo.php?workbook=18_16.xlsx&amp;sheet=A0&amp;row=363&amp;col=8&amp;number=&amp;sourceID=49","")</f>
        <v/>
      </c>
    </row>
    <row r="364" spans="1:8">
      <c r="A364" s="3">
        <v>18</v>
      </c>
      <c r="B364" s="3">
        <v>16</v>
      </c>
      <c r="C364" s="3">
        <v>62</v>
      </c>
      <c r="D364" s="3">
        <v>39</v>
      </c>
      <c r="E364" s="3">
        <f>((1/(INDEX(E0!J$4:J$87,C364,1)-INDEX(E0!J$4:J$87,D364,1))))*100000000</f>
        <v>0</v>
      </c>
      <c r="F364" s="4" t="str">
        <f>HYPERLINK("http://141.218.60.56/~jnz1568/getInfo.php?workbook=18_16.xlsx&amp;sheet=A0&amp;row=364&amp;col=6&amp;number=3856400&amp;sourceID=48","3856400")</f>
        <v>3856400</v>
      </c>
      <c r="G364" s="4" t="str">
        <f>HYPERLINK("http://141.218.60.56/~jnz1568/getInfo.php?workbook=18_16.xlsx&amp;sheet=A0&amp;row=364&amp;col=7&amp;number=&amp;sourceID=49","")</f>
        <v/>
      </c>
      <c r="H364" s="4" t="str">
        <f>HYPERLINK("http://141.218.60.56/~jnz1568/getInfo.php?workbook=18_16.xlsx&amp;sheet=A0&amp;row=364&amp;col=8&amp;number=&amp;sourceID=49","")</f>
        <v/>
      </c>
    </row>
    <row r="365" spans="1:8">
      <c r="A365" s="3">
        <v>18</v>
      </c>
      <c r="B365" s="3">
        <v>16</v>
      </c>
      <c r="C365" s="3">
        <v>62</v>
      </c>
      <c r="D365" s="3">
        <v>41</v>
      </c>
      <c r="E365" s="3">
        <f>((1/(INDEX(E0!J$4:J$87,C365,1)-INDEX(E0!J$4:J$87,D365,1))))*100000000</f>
        <v>0</v>
      </c>
      <c r="F365" s="4" t="str">
        <f>HYPERLINK("http://141.218.60.56/~jnz1568/getInfo.php?workbook=18_16.xlsx&amp;sheet=A0&amp;row=365&amp;col=6&amp;number=84078000&amp;sourceID=48","84078000")</f>
        <v>84078000</v>
      </c>
      <c r="G365" s="4" t="str">
        <f>HYPERLINK("http://141.218.60.56/~jnz1568/getInfo.php?workbook=18_16.xlsx&amp;sheet=A0&amp;row=365&amp;col=7&amp;number=&amp;sourceID=49","")</f>
        <v/>
      </c>
      <c r="H365" s="4" t="str">
        <f>HYPERLINK("http://141.218.60.56/~jnz1568/getInfo.php?workbook=18_16.xlsx&amp;sheet=A0&amp;row=365&amp;col=8&amp;number=&amp;sourceID=49","")</f>
        <v/>
      </c>
    </row>
    <row r="366" spans="1:8">
      <c r="A366" s="3">
        <v>18</v>
      </c>
      <c r="B366" s="3">
        <v>16</v>
      </c>
      <c r="C366" s="3">
        <v>62</v>
      </c>
      <c r="D366" s="3">
        <v>45</v>
      </c>
      <c r="E366" s="3">
        <f>((1/(INDEX(E0!J$4:J$87,C366,1)-INDEX(E0!J$4:J$87,D366,1))))*100000000</f>
        <v>0</v>
      </c>
      <c r="F366" s="4" t="str">
        <f>HYPERLINK("http://141.218.60.56/~jnz1568/getInfo.php?workbook=18_16.xlsx&amp;sheet=A0&amp;row=366&amp;col=6&amp;number=560.17&amp;sourceID=48","560.17")</f>
        <v>560.17</v>
      </c>
      <c r="G366" s="4" t="str">
        <f>HYPERLINK("http://141.218.60.56/~jnz1568/getInfo.php?workbook=18_16.xlsx&amp;sheet=A0&amp;row=366&amp;col=7&amp;number=&amp;sourceID=49","")</f>
        <v/>
      </c>
      <c r="H366" s="4" t="str">
        <f>HYPERLINK("http://141.218.60.56/~jnz1568/getInfo.php?workbook=18_16.xlsx&amp;sheet=A0&amp;row=366&amp;col=8&amp;number=&amp;sourceID=49","")</f>
        <v/>
      </c>
    </row>
    <row r="367" spans="1:8">
      <c r="A367" s="3">
        <v>18</v>
      </c>
      <c r="B367" s="3">
        <v>16</v>
      </c>
      <c r="C367" s="3">
        <v>62</v>
      </c>
      <c r="D367" s="3">
        <v>47</v>
      </c>
      <c r="E367" s="3">
        <f>((1/(INDEX(E0!J$4:J$87,C367,1)-INDEX(E0!J$4:J$87,D367,1))))*100000000</f>
        <v>0</v>
      </c>
      <c r="F367" s="4" t="str">
        <f>HYPERLINK("http://141.218.60.56/~jnz1568/getInfo.php?workbook=18_16.xlsx&amp;sheet=A0&amp;row=367&amp;col=6&amp;number=43348&amp;sourceID=48","43348")</f>
        <v>43348</v>
      </c>
      <c r="G367" s="4" t="str">
        <f>HYPERLINK("http://141.218.60.56/~jnz1568/getInfo.php?workbook=18_16.xlsx&amp;sheet=A0&amp;row=367&amp;col=7&amp;number=&amp;sourceID=49","")</f>
        <v/>
      </c>
      <c r="H367" s="4" t="str">
        <f>HYPERLINK("http://141.218.60.56/~jnz1568/getInfo.php?workbook=18_16.xlsx&amp;sheet=A0&amp;row=367&amp;col=8&amp;number=&amp;sourceID=49","")</f>
        <v/>
      </c>
    </row>
    <row r="368" spans="1:8">
      <c r="A368" s="3">
        <v>18</v>
      </c>
      <c r="B368" s="3">
        <v>16</v>
      </c>
      <c r="C368" s="3">
        <v>62</v>
      </c>
      <c r="D368" s="3">
        <v>48</v>
      </c>
      <c r="E368" s="3">
        <f>((1/(INDEX(E0!J$4:J$87,C368,1)-INDEX(E0!J$4:J$87,D368,1))))*100000000</f>
        <v>0</v>
      </c>
      <c r="F368" s="4" t="str">
        <f>HYPERLINK("http://141.218.60.56/~jnz1568/getInfo.php?workbook=18_16.xlsx&amp;sheet=A0&amp;row=368&amp;col=6&amp;number=49238&amp;sourceID=48","49238")</f>
        <v>49238</v>
      </c>
      <c r="G368" s="4" t="str">
        <f>HYPERLINK("http://141.218.60.56/~jnz1568/getInfo.php?workbook=18_16.xlsx&amp;sheet=A0&amp;row=368&amp;col=7&amp;number=&amp;sourceID=49","")</f>
        <v/>
      </c>
      <c r="H368" s="4" t="str">
        <f>HYPERLINK("http://141.218.60.56/~jnz1568/getInfo.php?workbook=18_16.xlsx&amp;sheet=A0&amp;row=368&amp;col=8&amp;number=&amp;sourceID=49","")</f>
        <v/>
      </c>
    </row>
    <row r="369" spans="1:8">
      <c r="A369" s="3">
        <v>18</v>
      </c>
      <c r="B369" s="3">
        <v>16</v>
      </c>
      <c r="C369" s="3">
        <v>62</v>
      </c>
      <c r="D369" s="3">
        <v>49</v>
      </c>
      <c r="E369" s="3">
        <f>((1/(INDEX(E0!J$4:J$87,C369,1)-INDEX(E0!J$4:J$87,D369,1))))*100000000</f>
        <v>0</v>
      </c>
      <c r="F369" s="4" t="str">
        <f>HYPERLINK("http://141.218.60.56/~jnz1568/getInfo.php?workbook=18_16.xlsx&amp;sheet=A0&amp;row=369&amp;col=6&amp;number=78581&amp;sourceID=48","78581")</f>
        <v>78581</v>
      </c>
      <c r="G369" s="4" t="str">
        <f>HYPERLINK("http://141.218.60.56/~jnz1568/getInfo.php?workbook=18_16.xlsx&amp;sheet=A0&amp;row=369&amp;col=7&amp;number=&amp;sourceID=49","")</f>
        <v/>
      </c>
      <c r="H369" s="4" t="str">
        <f>HYPERLINK("http://141.218.60.56/~jnz1568/getInfo.php?workbook=18_16.xlsx&amp;sheet=A0&amp;row=369&amp;col=8&amp;number=&amp;sourceID=49","")</f>
        <v/>
      </c>
    </row>
    <row r="370" spans="1:8">
      <c r="A370" s="3">
        <v>18</v>
      </c>
      <c r="B370" s="3">
        <v>16</v>
      </c>
      <c r="C370" s="3">
        <v>62</v>
      </c>
      <c r="D370" s="3">
        <v>54</v>
      </c>
      <c r="E370" s="3">
        <f>((1/(INDEX(E0!J$4:J$87,C370,1)-INDEX(E0!J$4:J$87,D370,1))))*100000000</f>
        <v>0</v>
      </c>
      <c r="F370" s="4" t="str">
        <f>HYPERLINK("http://141.218.60.56/~jnz1568/getInfo.php?workbook=18_16.xlsx&amp;sheet=A0&amp;row=370&amp;col=6&amp;number=46128&amp;sourceID=48","46128")</f>
        <v>46128</v>
      </c>
      <c r="G370" s="4" t="str">
        <f>HYPERLINK("http://141.218.60.56/~jnz1568/getInfo.php?workbook=18_16.xlsx&amp;sheet=A0&amp;row=370&amp;col=7&amp;number=&amp;sourceID=49","")</f>
        <v/>
      </c>
      <c r="H370" s="4" t="str">
        <f>HYPERLINK("http://141.218.60.56/~jnz1568/getInfo.php?workbook=18_16.xlsx&amp;sheet=A0&amp;row=370&amp;col=8&amp;number=&amp;sourceID=49","")</f>
        <v/>
      </c>
    </row>
    <row r="371" spans="1:8">
      <c r="A371" s="3">
        <v>18</v>
      </c>
      <c r="B371" s="3">
        <v>16</v>
      </c>
      <c r="C371" s="3">
        <v>62</v>
      </c>
      <c r="D371" s="3">
        <v>55</v>
      </c>
      <c r="E371" s="3">
        <f>((1/(INDEX(E0!J$4:J$87,C371,1)-INDEX(E0!J$4:J$87,D371,1))))*100000000</f>
        <v>0</v>
      </c>
      <c r="F371" s="4" t="str">
        <f>HYPERLINK("http://141.218.60.56/~jnz1568/getInfo.php?workbook=18_16.xlsx&amp;sheet=A0&amp;row=371&amp;col=6&amp;number=3053000&amp;sourceID=48","3053000")</f>
        <v>3053000</v>
      </c>
      <c r="G371" s="4" t="str">
        <f>HYPERLINK("http://141.218.60.56/~jnz1568/getInfo.php?workbook=18_16.xlsx&amp;sheet=A0&amp;row=371&amp;col=7&amp;number=&amp;sourceID=49","")</f>
        <v/>
      </c>
      <c r="H371" s="4" t="str">
        <f>HYPERLINK("http://141.218.60.56/~jnz1568/getInfo.php?workbook=18_16.xlsx&amp;sheet=A0&amp;row=371&amp;col=8&amp;number=&amp;sourceID=49","")</f>
        <v/>
      </c>
    </row>
    <row r="372" spans="1:8">
      <c r="A372" s="3">
        <v>18</v>
      </c>
      <c r="B372" s="3">
        <v>16</v>
      </c>
      <c r="C372" s="3">
        <v>62</v>
      </c>
      <c r="D372" s="3">
        <v>56</v>
      </c>
      <c r="E372" s="3">
        <f>((1/(INDEX(E0!J$4:J$87,C372,1)-INDEX(E0!J$4:J$87,D372,1))))*100000000</f>
        <v>0</v>
      </c>
      <c r="F372" s="4" t="str">
        <f>HYPERLINK("http://141.218.60.56/~jnz1568/getInfo.php?workbook=18_16.xlsx&amp;sheet=A0&amp;row=372&amp;col=6&amp;number=2401.8&amp;sourceID=48","2401.8")</f>
        <v>2401.8</v>
      </c>
      <c r="G372" s="4" t="str">
        <f>HYPERLINK("http://141.218.60.56/~jnz1568/getInfo.php?workbook=18_16.xlsx&amp;sheet=A0&amp;row=372&amp;col=7&amp;number=&amp;sourceID=49","")</f>
        <v/>
      </c>
      <c r="H372" s="4" t="str">
        <f>HYPERLINK("http://141.218.60.56/~jnz1568/getInfo.php?workbook=18_16.xlsx&amp;sheet=A0&amp;row=372&amp;col=8&amp;number=&amp;sourceID=49","")</f>
        <v/>
      </c>
    </row>
    <row r="373" spans="1:8">
      <c r="A373" s="3">
        <v>18</v>
      </c>
      <c r="B373" s="3">
        <v>16</v>
      </c>
      <c r="C373" s="3">
        <v>62</v>
      </c>
      <c r="D373" s="3">
        <v>57</v>
      </c>
      <c r="E373" s="3">
        <f>((1/(INDEX(E0!J$4:J$87,C373,1)-INDEX(E0!J$4:J$87,D373,1))))*100000000</f>
        <v>0</v>
      </c>
      <c r="F373" s="4" t="str">
        <f>HYPERLINK("http://141.218.60.56/~jnz1568/getInfo.php?workbook=18_16.xlsx&amp;sheet=A0&amp;row=373&amp;col=6&amp;number=513.78&amp;sourceID=48","513.78")</f>
        <v>513.78</v>
      </c>
      <c r="G373" s="4" t="str">
        <f>HYPERLINK("http://141.218.60.56/~jnz1568/getInfo.php?workbook=18_16.xlsx&amp;sheet=A0&amp;row=373&amp;col=7&amp;number=&amp;sourceID=49","")</f>
        <v/>
      </c>
      <c r="H373" s="4" t="str">
        <f>HYPERLINK("http://141.218.60.56/~jnz1568/getInfo.php?workbook=18_16.xlsx&amp;sheet=A0&amp;row=373&amp;col=8&amp;number=&amp;sourceID=49","")</f>
        <v/>
      </c>
    </row>
    <row r="374" spans="1:8">
      <c r="A374" s="3">
        <v>18</v>
      </c>
      <c r="B374" s="3">
        <v>16</v>
      </c>
      <c r="C374" s="3">
        <v>62</v>
      </c>
      <c r="D374" s="3">
        <v>58</v>
      </c>
      <c r="E374" s="3">
        <f>((1/(INDEX(E0!J$4:J$87,C374,1)-INDEX(E0!J$4:J$87,D374,1))))*100000000</f>
        <v>0</v>
      </c>
      <c r="F374" s="4" t="str">
        <f>HYPERLINK("http://141.218.60.56/~jnz1568/getInfo.php?workbook=18_16.xlsx&amp;sheet=A0&amp;row=374&amp;col=6&amp;number=1814.8&amp;sourceID=48","1814.8")</f>
        <v>1814.8</v>
      </c>
      <c r="G374" s="4" t="str">
        <f>HYPERLINK("http://141.218.60.56/~jnz1568/getInfo.php?workbook=18_16.xlsx&amp;sheet=A0&amp;row=374&amp;col=7&amp;number=&amp;sourceID=49","")</f>
        <v/>
      </c>
      <c r="H374" s="4" t="str">
        <f>HYPERLINK("http://141.218.60.56/~jnz1568/getInfo.php?workbook=18_16.xlsx&amp;sheet=A0&amp;row=374&amp;col=8&amp;number=&amp;sourceID=49","")</f>
        <v/>
      </c>
    </row>
    <row r="375" spans="1:8">
      <c r="A375" s="3">
        <v>18</v>
      </c>
      <c r="B375" s="3">
        <v>16</v>
      </c>
      <c r="C375" s="3">
        <v>62</v>
      </c>
      <c r="D375" s="3">
        <v>59</v>
      </c>
      <c r="E375" s="3">
        <f>((1/(INDEX(E0!J$4:J$87,C375,1)-INDEX(E0!J$4:J$87,D375,1))))*100000000</f>
        <v>0</v>
      </c>
      <c r="F375" s="4" t="str">
        <f>HYPERLINK("http://141.218.60.56/~jnz1568/getInfo.php?workbook=18_16.xlsx&amp;sheet=A0&amp;row=375&amp;col=6&amp;number=223.48&amp;sourceID=48","223.48")</f>
        <v>223.48</v>
      </c>
      <c r="G375" s="4" t="str">
        <f>HYPERLINK("http://141.218.60.56/~jnz1568/getInfo.php?workbook=18_16.xlsx&amp;sheet=A0&amp;row=375&amp;col=7&amp;number=&amp;sourceID=49","")</f>
        <v/>
      </c>
      <c r="H375" s="4" t="str">
        <f>HYPERLINK("http://141.218.60.56/~jnz1568/getInfo.php?workbook=18_16.xlsx&amp;sheet=A0&amp;row=375&amp;col=8&amp;number=&amp;sourceID=49","")</f>
        <v/>
      </c>
    </row>
    <row r="376" spans="1:8">
      <c r="A376" s="3">
        <v>18</v>
      </c>
      <c r="B376" s="3">
        <v>16</v>
      </c>
      <c r="C376" s="3">
        <v>62</v>
      </c>
      <c r="D376" s="3">
        <v>60</v>
      </c>
      <c r="E376" s="3">
        <f>((1/(INDEX(E0!J$4:J$87,C376,1)-INDEX(E0!J$4:J$87,D376,1))))*100000000</f>
        <v>0</v>
      </c>
      <c r="F376" s="4" t="str">
        <f>HYPERLINK("http://141.218.60.56/~jnz1568/getInfo.php?workbook=18_16.xlsx&amp;sheet=A0&amp;row=376&amp;col=6&amp;number=356.44&amp;sourceID=48","356.44")</f>
        <v>356.44</v>
      </c>
      <c r="G376" s="4" t="str">
        <f>HYPERLINK("http://141.218.60.56/~jnz1568/getInfo.php?workbook=18_16.xlsx&amp;sheet=A0&amp;row=376&amp;col=7&amp;number=&amp;sourceID=49","")</f>
        <v/>
      </c>
      <c r="H376" s="4" t="str">
        <f>HYPERLINK("http://141.218.60.56/~jnz1568/getInfo.php?workbook=18_16.xlsx&amp;sheet=A0&amp;row=376&amp;col=8&amp;number=&amp;sourceID=49","")</f>
        <v/>
      </c>
    </row>
    <row r="377" spans="1:8">
      <c r="A377" s="3">
        <v>18</v>
      </c>
      <c r="B377" s="3">
        <v>16</v>
      </c>
      <c r="C377" s="3">
        <v>62</v>
      </c>
      <c r="D377" s="3">
        <v>61</v>
      </c>
      <c r="E377" s="3">
        <f>((1/(INDEX(E0!J$4:J$87,C377,1)-INDEX(E0!J$4:J$87,D377,1))))*100000000</f>
        <v>0</v>
      </c>
      <c r="F377" s="4" t="str">
        <f>HYPERLINK("http://141.218.60.56/~jnz1568/getInfo.php?workbook=18_16.xlsx&amp;sheet=A0&amp;row=377&amp;col=6&amp;number=509.26&amp;sourceID=48","509.26")</f>
        <v>509.26</v>
      </c>
      <c r="G377" s="4" t="str">
        <f>HYPERLINK("http://141.218.60.56/~jnz1568/getInfo.php?workbook=18_16.xlsx&amp;sheet=A0&amp;row=377&amp;col=7&amp;number=&amp;sourceID=49","")</f>
        <v/>
      </c>
      <c r="H377" s="4" t="str">
        <f>HYPERLINK("http://141.218.60.56/~jnz1568/getInfo.php?workbook=18_16.xlsx&amp;sheet=A0&amp;row=377&amp;col=8&amp;number=&amp;sourceID=49","")</f>
        <v/>
      </c>
    </row>
    <row r="378" spans="1:8">
      <c r="A378" s="3">
        <v>18</v>
      </c>
      <c r="B378" s="3">
        <v>16</v>
      </c>
      <c r="C378" s="3">
        <v>63</v>
      </c>
      <c r="D378" s="3">
        <v>1</v>
      </c>
      <c r="E378" s="3">
        <f>((1/(INDEX(E0!J$4:J$87,C378,1)-INDEX(E0!J$4:J$87,D378,1))))*100000000</f>
        <v>0</v>
      </c>
      <c r="F378" s="4" t="str">
        <f>HYPERLINK("http://141.218.60.56/~jnz1568/getInfo.php?workbook=18_16.xlsx&amp;sheet=A0&amp;row=378&amp;col=6&amp;number=7320100&amp;sourceID=48","7320100")</f>
        <v>7320100</v>
      </c>
      <c r="G378" s="4" t="str">
        <f>HYPERLINK("http://141.218.60.56/~jnz1568/getInfo.php?workbook=18_16.xlsx&amp;sheet=A0&amp;row=378&amp;col=7&amp;number=&amp;sourceID=49","")</f>
        <v/>
      </c>
      <c r="H378" s="4" t="str">
        <f>HYPERLINK("http://141.218.60.56/~jnz1568/getInfo.php?workbook=18_16.xlsx&amp;sheet=A0&amp;row=378&amp;col=8&amp;number=&amp;sourceID=49","")</f>
        <v/>
      </c>
    </row>
    <row r="379" spans="1:8">
      <c r="A379" s="3">
        <v>18</v>
      </c>
      <c r="B379" s="3">
        <v>16</v>
      </c>
      <c r="C379" s="3">
        <v>63</v>
      </c>
      <c r="D379" s="3">
        <v>4</v>
      </c>
      <c r="E379" s="3">
        <f>((1/(INDEX(E0!J$4:J$87,C379,1)-INDEX(E0!J$4:J$87,D379,1))))*100000000</f>
        <v>0</v>
      </c>
      <c r="F379" s="4" t="str">
        <f>HYPERLINK("http://141.218.60.56/~jnz1568/getInfo.php?workbook=18_16.xlsx&amp;sheet=A0&amp;row=379&amp;col=6&amp;number=41177000000&amp;sourceID=48","41177000000")</f>
        <v>41177000000</v>
      </c>
      <c r="G379" s="4" t="str">
        <f>HYPERLINK("http://141.218.60.56/~jnz1568/getInfo.php?workbook=18_16.xlsx&amp;sheet=A0&amp;row=379&amp;col=7&amp;number=&amp;sourceID=49","")</f>
        <v/>
      </c>
      <c r="H379" s="4" t="str">
        <f>HYPERLINK("http://141.218.60.56/~jnz1568/getInfo.php?workbook=18_16.xlsx&amp;sheet=A0&amp;row=379&amp;col=8&amp;number=&amp;sourceID=49","")</f>
        <v/>
      </c>
    </row>
    <row r="380" spans="1:8">
      <c r="A380" s="3">
        <v>18</v>
      </c>
      <c r="B380" s="3">
        <v>16</v>
      </c>
      <c r="C380" s="3">
        <v>63</v>
      </c>
      <c r="D380" s="3">
        <v>44</v>
      </c>
      <c r="E380" s="3">
        <f>((1/(INDEX(E0!J$4:J$87,C380,1)-INDEX(E0!J$4:J$87,D380,1))))*100000000</f>
        <v>0</v>
      </c>
      <c r="F380" s="4" t="str">
        <f>HYPERLINK("http://141.218.60.56/~jnz1568/getInfo.php?workbook=18_16.xlsx&amp;sheet=A0&amp;row=380&amp;col=6&amp;number=63.501&amp;sourceID=48","63.501")</f>
        <v>63.501</v>
      </c>
      <c r="G380" s="4" t="str">
        <f>HYPERLINK("http://141.218.60.56/~jnz1568/getInfo.php?workbook=18_16.xlsx&amp;sheet=A0&amp;row=380&amp;col=7&amp;number=&amp;sourceID=49","")</f>
        <v/>
      </c>
      <c r="H380" s="4" t="str">
        <f>HYPERLINK("http://141.218.60.56/~jnz1568/getInfo.php?workbook=18_16.xlsx&amp;sheet=A0&amp;row=380&amp;col=8&amp;number=&amp;sourceID=49","")</f>
        <v/>
      </c>
    </row>
    <row r="381" spans="1:8">
      <c r="A381" s="3">
        <v>18</v>
      </c>
      <c r="B381" s="3">
        <v>16</v>
      </c>
      <c r="C381" s="3">
        <v>63</v>
      </c>
      <c r="D381" s="3">
        <v>46</v>
      </c>
      <c r="E381" s="3">
        <f>((1/(INDEX(E0!J$4:J$87,C381,1)-INDEX(E0!J$4:J$87,D381,1))))*100000000</f>
        <v>0</v>
      </c>
      <c r="F381" s="4" t="str">
        <f>HYPERLINK("http://141.218.60.56/~jnz1568/getInfo.php?workbook=18_16.xlsx&amp;sheet=A0&amp;row=381&amp;col=6&amp;number=5.398&amp;sourceID=48","5.398")</f>
        <v>5.398</v>
      </c>
      <c r="G381" s="4" t="str">
        <f>HYPERLINK("http://141.218.60.56/~jnz1568/getInfo.php?workbook=18_16.xlsx&amp;sheet=A0&amp;row=381&amp;col=7&amp;number=&amp;sourceID=49","")</f>
        <v/>
      </c>
      <c r="H381" s="4" t="str">
        <f>HYPERLINK("http://141.218.60.56/~jnz1568/getInfo.php?workbook=18_16.xlsx&amp;sheet=A0&amp;row=381&amp;col=8&amp;number=&amp;sourceID=49","")</f>
        <v/>
      </c>
    </row>
    <row r="382" spans="1:8">
      <c r="A382" s="3">
        <v>18</v>
      </c>
      <c r="B382" s="3">
        <v>16</v>
      </c>
      <c r="C382" s="3">
        <v>63</v>
      </c>
      <c r="D382" s="3">
        <v>51</v>
      </c>
      <c r="E382" s="3">
        <f>((1/(INDEX(E0!J$4:J$87,C382,1)-INDEX(E0!J$4:J$87,D382,1))))*100000000</f>
        <v>0</v>
      </c>
      <c r="F382" s="4" t="str">
        <f>HYPERLINK("http://141.218.60.56/~jnz1568/getInfo.php?workbook=18_16.xlsx&amp;sheet=A0&amp;row=382&amp;col=6&amp;number=9216.8&amp;sourceID=48","9216.8")</f>
        <v>9216.8</v>
      </c>
      <c r="G382" s="4" t="str">
        <f>HYPERLINK("http://141.218.60.56/~jnz1568/getInfo.php?workbook=18_16.xlsx&amp;sheet=A0&amp;row=382&amp;col=7&amp;number=&amp;sourceID=49","")</f>
        <v/>
      </c>
      <c r="H382" s="4" t="str">
        <f>HYPERLINK("http://141.218.60.56/~jnz1568/getInfo.php?workbook=18_16.xlsx&amp;sheet=A0&amp;row=382&amp;col=8&amp;number=&amp;sourceID=49","")</f>
        <v/>
      </c>
    </row>
    <row r="383" spans="1:8">
      <c r="A383" s="3">
        <v>18</v>
      </c>
      <c r="B383" s="3">
        <v>16</v>
      </c>
      <c r="C383" s="3">
        <v>64</v>
      </c>
      <c r="D383" s="3">
        <v>6</v>
      </c>
      <c r="E383" s="3">
        <f>((1/(INDEX(E0!J$4:J$87,C383,1)-INDEX(E0!J$4:J$87,D383,1))))*100000000</f>
        <v>0</v>
      </c>
      <c r="F383" s="4" t="str">
        <f>HYPERLINK("http://141.218.60.56/~jnz1568/getInfo.php?workbook=18_16.xlsx&amp;sheet=A0&amp;row=383&amp;col=6&amp;number=7104400&amp;sourceID=48","7104400")</f>
        <v>7104400</v>
      </c>
      <c r="G383" s="4" t="str">
        <f>HYPERLINK("http://141.218.60.56/~jnz1568/getInfo.php?workbook=18_16.xlsx&amp;sheet=A0&amp;row=383&amp;col=7&amp;number=&amp;sourceID=49","")</f>
        <v/>
      </c>
      <c r="H383" s="4" t="str">
        <f>HYPERLINK("http://141.218.60.56/~jnz1568/getInfo.php?workbook=18_16.xlsx&amp;sheet=A0&amp;row=383&amp;col=8&amp;number=&amp;sourceID=49","")</f>
        <v/>
      </c>
    </row>
    <row r="384" spans="1:8">
      <c r="A384" s="3">
        <v>18</v>
      </c>
      <c r="B384" s="3">
        <v>16</v>
      </c>
      <c r="C384" s="3">
        <v>64</v>
      </c>
      <c r="D384" s="3">
        <v>7</v>
      </c>
      <c r="E384" s="3">
        <f>((1/(INDEX(E0!J$4:J$87,C384,1)-INDEX(E0!J$4:J$87,D384,1))))*100000000</f>
        <v>0</v>
      </c>
      <c r="F384" s="4" t="str">
        <f>HYPERLINK("http://141.218.60.56/~jnz1568/getInfo.php?workbook=18_16.xlsx&amp;sheet=A0&amp;row=384&amp;col=6&amp;number=18370000&amp;sourceID=48","18370000")</f>
        <v>18370000</v>
      </c>
      <c r="G384" s="4" t="str">
        <f>HYPERLINK("http://141.218.60.56/~jnz1568/getInfo.php?workbook=18_16.xlsx&amp;sheet=A0&amp;row=384&amp;col=7&amp;number=&amp;sourceID=49","")</f>
        <v/>
      </c>
      <c r="H384" s="4" t="str">
        <f>HYPERLINK("http://141.218.60.56/~jnz1568/getInfo.php?workbook=18_16.xlsx&amp;sheet=A0&amp;row=384&amp;col=8&amp;number=&amp;sourceID=49","")</f>
        <v/>
      </c>
    </row>
    <row r="385" spans="1:8">
      <c r="A385" s="3">
        <v>18</v>
      </c>
      <c r="B385" s="3">
        <v>16</v>
      </c>
      <c r="C385" s="3">
        <v>64</v>
      </c>
      <c r="D385" s="3">
        <v>9</v>
      </c>
      <c r="E385" s="3">
        <f>((1/(INDEX(E0!J$4:J$87,C385,1)-INDEX(E0!J$4:J$87,D385,1))))*100000000</f>
        <v>0</v>
      </c>
      <c r="F385" s="4" t="str">
        <f>HYPERLINK("http://141.218.60.56/~jnz1568/getInfo.php?workbook=18_16.xlsx&amp;sheet=A0&amp;row=385&amp;col=6&amp;number=9072.7&amp;sourceID=48","9072.7")</f>
        <v>9072.7</v>
      </c>
      <c r="G385" s="4" t="str">
        <f>HYPERLINK("http://141.218.60.56/~jnz1568/getInfo.php?workbook=18_16.xlsx&amp;sheet=A0&amp;row=385&amp;col=7&amp;number=&amp;sourceID=49","")</f>
        <v/>
      </c>
      <c r="H385" s="4" t="str">
        <f>HYPERLINK("http://141.218.60.56/~jnz1568/getInfo.php?workbook=18_16.xlsx&amp;sheet=A0&amp;row=385&amp;col=8&amp;number=&amp;sourceID=49","")</f>
        <v/>
      </c>
    </row>
    <row r="386" spans="1:8">
      <c r="A386" s="3">
        <v>18</v>
      </c>
      <c r="B386" s="3">
        <v>16</v>
      </c>
      <c r="C386" s="3">
        <v>64</v>
      </c>
      <c r="D386" s="3">
        <v>11</v>
      </c>
      <c r="E386" s="3">
        <f>((1/(INDEX(E0!J$4:J$87,C386,1)-INDEX(E0!J$4:J$87,D386,1))))*100000000</f>
        <v>0</v>
      </c>
      <c r="F386" s="4" t="str">
        <f>HYPERLINK("http://141.218.60.56/~jnz1568/getInfo.php?workbook=18_16.xlsx&amp;sheet=A0&amp;row=386&amp;col=6&amp;number=685.99&amp;sourceID=48","685.99")</f>
        <v>685.99</v>
      </c>
      <c r="G386" s="4" t="str">
        <f>HYPERLINK("http://141.218.60.56/~jnz1568/getInfo.php?workbook=18_16.xlsx&amp;sheet=A0&amp;row=386&amp;col=7&amp;number=&amp;sourceID=49","")</f>
        <v/>
      </c>
      <c r="H386" s="4" t="str">
        <f>HYPERLINK("http://141.218.60.56/~jnz1568/getInfo.php?workbook=18_16.xlsx&amp;sheet=A0&amp;row=386&amp;col=8&amp;number=&amp;sourceID=49","")</f>
        <v/>
      </c>
    </row>
    <row r="387" spans="1:8">
      <c r="A387" s="3">
        <v>18</v>
      </c>
      <c r="B387" s="3">
        <v>16</v>
      </c>
      <c r="C387" s="3">
        <v>64</v>
      </c>
      <c r="D387" s="3">
        <v>12</v>
      </c>
      <c r="E387" s="3">
        <f>((1/(INDEX(E0!J$4:J$87,C387,1)-INDEX(E0!J$4:J$87,D387,1))))*100000000</f>
        <v>0</v>
      </c>
      <c r="F387" s="4" t="str">
        <f>HYPERLINK("http://141.218.60.56/~jnz1568/getInfo.php?workbook=18_16.xlsx&amp;sheet=A0&amp;row=387&amp;col=6&amp;number=18837&amp;sourceID=48","18837")</f>
        <v>18837</v>
      </c>
      <c r="G387" s="4" t="str">
        <f>HYPERLINK("http://141.218.60.56/~jnz1568/getInfo.php?workbook=18_16.xlsx&amp;sheet=A0&amp;row=387&amp;col=7&amp;number=&amp;sourceID=49","")</f>
        <v/>
      </c>
      <c r="H387" s="4" t="str">
        <f>HYPERLINK("http://141.218.60.56/~jnz1568/getInfo.php?workbook=18_16.xlsx&amp;sheet=A0&amp;row=387&amp;col=8&amp;number=&amp;sourceID=49","")</f>
        <v/>
      </c>
    </row>
    <row r="388" spans="1:8">
      <c r="A388" s="3">
        <v>18</v>
      </c>
      <c r="B388" s="3">
        <v>16</v>
      </c>
      <c r="C388" s="3">
        <v>64</v>
      </c>
      <c r="D388" s="3">
        <v>13</v>
      </c>
      <c r="E388" s="3">
        <f>((1/(INDEX(E0!J$4:J$87,C388,1)-INDEX(E0!J$4:J$87,D388,1))))*100000000</f>
        <v>0</v>
      </c>
      <c r="F388" s="4" t="str">
        <f>HYPERLINK("http://141.218.60.56/~jnz1568/getInfo.php?workbook=18_16.xlsx&amp;sheet=A0&amp;row=388&amp;col=6&amp;number=8920.3&amp;sourceID=48","8920.3")</f>
        <v>8920.3</v>
      </c>
      <c r="G388" s="4" t="str">
        <f>HYPERLINK("http://141.218.60.56/~jnz1568/getInfo.php?workbook=18_16.xlsx&amp;sheet=A0&amp;row=388&amp;col=7&amp;number=&amp;sourceID=49","")</f>
        <v/>
      </c>
      <c r="H388" s="4" t="str">
        <f>HYPERLINK("http://141.218.60.56/~jnz1568/getInfo.php?workbook=18_16.xlsx&amp;sheet=A0&amp;row=388&amp;col=8&amp;number=&amp;sourceID=49","")</f>
        <v/>
      </c>
    </row>
    <row r="389" spans="1:8">
      <c r="A389" s="3">
        <v>18</v>
      </c>
      <c r="B389" s="3">
        <v>16</v>
      </c>
      <c r="C389" s="3">
        <v>64</v>
      </c>
      <c r="D389" s="3">
        <v>15</v>
      </c>
      <c r="E389" s="3">
        <f>((1/(INDEX(E0!J$4:J$87,C389,1)-INDEX(E0!J$4:J$87,D389,1))))*100000000</f>
        <v>0</v>
      </c>
      <c r="F389" s="4" t="str">
        <f>HYPERLINK("http://141.218.60.56/~jnz1568/getInfo.php?workbook=18_16.xlsx&amp;sheet=A0&amp;row=389&amp;col=6&amp;number=20242000&amp;sourceID=48","20242000")</f>
        <v>20242000</v>
      </c>
      <c r="G389" s="4" t="str">
        <f>HYPERLINK("http://141.218.60.56/~jnz1568/getInfo.php?workbook=18_16.xlsx&amp;sheet=A0&amp;row=389&amp;col=7&amp;number=&amp;sourceID=49","")</f>
        <v/>
      </c>
      <c r="H389" s="4" t="str">
        <f>HYPERLINK("http://141.218.60.56/~jnz1568/getInfo.php?workbook=18_16.xlsx&amp;sheet=A0&amp;row=389&amp;col=8&amp;number=&amp;sourceID=49","")</f>
        <v/>
      </c>
    </row>
    <row r="390" spans="1:8">
      <c r="A390" s="3">
        <v>18</v>
      </c>
      <c r="B390" s="3">
        <v>16</v>
      </c>
      <c r="C390" s="3">
        <v>64</v>
      </c>
      <c r="D390" s="3">
        <v>16</v>
      </c>
      <c r="E390" s="3">
        <f>((1/(INDEX(E0!J$4:J$87,C390,1)-INDEX(E0!J$4:J$87,D390,1))))*100000000</f>
        <v>0</v>
      </c>
      <c r="F390" s="4" t="str">
        <f>HYPERLINK("http://141.218.60.56/~jnz1568/getInfo.php?workbook=18_16.xlsx&amp;sheet=A0&amp;row=390&amp;col=6&amp;number=59411000&amp;sourceID=48","59411000")</f>
        <v>59411000</v>
      </c>
      <c r="G390" s="4" t="str">
        <f>HYPERLINK("http://141.218.60.56/~jnz1568/getInfo.php?workbook=18_16.xlsx&amp;sheet=A0&amp;row=390&amp;col=7&amp;number=&amp;sourceID=49","")</f>
        <v/>
      </c>
      <c r="H390" s="4" t="str">
        <f>HYPERLINK("http://141.218.60.56/~jnz1568/getInfo.php?workbook=18_16.xlsx&amp;sheet=A0&amp;row=390&amp;col=8&amp;number=&amp;sourceID=49","")</f>
        <v/>
      </c>
    </row>
    <row r="391" spans="1:8">
      <c r="A391" s="3">
        <v>18</v>
      </c>
      <c r="B391" s="3">
        <v>16</v>
      </c>
      <c r="C391" s="3">
        <v>64</v>
      </c>
      <c r="D391" s="3">
        <v>17</v>
      </c>
      <c r="E391" s="3">
        <f>((1/(INDEX(E0!J$4:J$87,C391,1)-INDEX(E0!J$4:J$87,D391,1))))*100000000</f>
        <v>0</v>
      </c>
      <c r="F391" s="4" t="str">
        <f>HYPERLINK("http://141.218.60.56/~jnz1568/getInfo.php?workbook=18_16.xlsx&amp;sheet=A0&amp;row=391&amp;col=6&amp;number=19365000&amp;sourceID=48","19365000")</f>
        <v>19365000</v>
      </c>
      <c r="G391" s="4" t="str">
        <f>HYPERLINK("http://141.218.60.56/~jnz1568/getInfo.php?workbook=18_16.xlsx&amp;sheet=A0&amp;row=391&amp;col=7&amp;number=&amp;sourceID=49","")</f>
        <v/>
      </c>
      <c r="H391" s="4" t="str">
        <f>HYPERLINK("http://141.218.60.56/~jnz1568/getInfo.php?workbook=18_16.xlsx&amp;sheet=A0&amp;row=391&amp;col=8&amp;number=&amp;sourceID=49","")</f>
        <v/>
      </c>
    </row>
    <row r="392" spans="1:8">
      <c r="A392" s="3">
        <v>18</v>
      </c>
      <c r="B392" s="3">
        <v>16</v>
      </c>
      <c r="C392" s="3">
        <v>64</v>
      </c>
      <c r="D392" s="3">
        <v>19</v>
      </c>
      <c r="E392" s="3">
        <f>((1/(INDEX(E0!J$4:J$87,C392,1)-INDEX(E0!J$4:J$87,D392,1))))*100000000</f>
        <v>0</v>
      </c>
      <c r="F392" s="4" t="str">
        <f>HYPERLINK("http://141.218.60.56/~jnz1568/getInfo.php?workbook=18_16.xlsx&amp;sheet=A0&amp;row=392&amp;col=6&amp;number=53008000&amp;sourceID=48","53008000")</f>
        <v>53008000</v>
      </c>
      <c r="G392" s="4" t="str">
        <f>HYPERLINK("http://141.218.60.56/~jnz1568/getInfo.php?workbook=18_16.xlsx&amp;sheet=A0&amp;row=392&amp;col=7&amp;number=&amp;sourceID=49","")</f>
        <v/>
      </c>
      <c r="H392" s="4" t="str">
        <f>HYPERLINK("http://141.218.60.56/~jnz1568/getInfo.php?workbook=18_16.xlsx&amp;sheet=A0&amp;row=392&amp;col=8&amp;number=&amp;sourceID=49","")</f>
        <v/>
      </c>
    </row>
    <row r="393" spans="1:8">
      <c r="A393" s="3">
        <v>18</v>
      </c>
      <c r="B393" s="3">
        <v>16</v>
      </c>
      <c r="C393" s="3">
        <v>64</v>
      </c>
      <c r="D393" s="3">
        <v>20</v>
      </c>
      <c r="E393" s="3">
        <f>((1/(INDEX(E0!J$4:J$87,C393,1)-INDEX(E0!J$4:J$87,D393,1))))*100000000</f>
        <v>0</v>
      </c>
      <c r="F393" s="4" t="str">
        <f>HYPERLINK("http://141.218.60.56/~jnz1568/getInfo.php?workbook=18_16.xlsx&amp;sheet=A0&amp;row=393&amp;col=6&amp;number=232770000&amp;sourceID=48","232770000")</f>
        <v>232770000</v>
      </c>
      <c r="G393" s="4" t="str">
        <f>HYPERLINK("http://141.218.60.56/~jnz1568/getInfo.php?workbook=18_16.xlsx&amp;sheet=A0&amp;row=393&amp;col=7&amp;number=&amp;sourceID=49","")</f>
        <v/>
      </c>
      <c r="H393" s="4" t="str">
        <f>HYPERLINK("http://141.218.60.56/~jnz1568/getInfo.php?workbook=18_16.xlsx&amp;sheet=A0&amp;row=393&amp;col=8&amp;number=&amp;sourceID=49","")</f>
        <v/>
      </c>
    </row>
    <row r="394" spans="1:8">
      <c r="A394" s="3">
        <v>18</v>
      </c>
      <c r="B394" s="3">
        <v>16</v>
      </c>
      <c r="C394" s="3">
        <v>64</v>
      </c>
      <c r="D394" s="3">
        <v>22</v>
      </c>
      <c r="E394" s="3">
        <f>((1/(INDEX(E0!J$4:J$87,C394,1)-INDEX(E0!J$4:J$87,D394,1))))*100000000</f>
        <v>0</v>
      </c>
      <c r="F394" s="4" t="str">
        <f>HYPERLINK("http://141.218.60.56/~jnz1568/getInfo.php?workbook=18_16.xlsx&amp;sheet=A0&amp;row=394&amp;col=6&amp;number=3582100&amp;sourceID=48","3582100")</f>
        <v>3582100</v>
      </c>
      <c r="G394" s="4" t="str">
        <f>HYPERLINK("http://141.218.60.56/~jnz1568/getInfo.php?workbook=18_16.xlsx&amp;sheet=A0&amp;row=394&amp;col=7&amp;number=&amp;sourceID=49","")</f>
        <v/>
      </c>
      <c r="H394" s="4" t="str">
        <f>HYPERLINK("http://141.218.60.56/~jnz1568/getInfo.php?workbook=18_16.xlsx&amp;sheet=A0&amp;row=394&amp;col=8&amp;number=&amp;sourceID=49","")</f>
        <v/>
      </c>
    </row>
    <row r="395" spans="1:8">
      <c r="A395" s="3">
        <v>18</v>
      </c>
      <c r="B395" s="3">
        <v>16</v>
      </c>
      <c r="C395" s="3">
        <v>64</v>
      </c>
      <c r="D395" s="3">
        <v>25</v>
      </c>
      <c r="E395" s="3">
        <f>((1/(INDEX(E0!J$4:J$87,C395,1)-INDEX(E0!J$4:J$87,D395,1))))*100000000</f>
        <v>0</v>
      </c>
      <c r="F395" s="4" t="str">
        <f>HYPERLINK("http://141.218.60.56/~jnz1568/getInfo.php?workbook=18_16.xlsx&amp;sheet=A0&amp;row=395&amp;col=6&amp;number=2360.2&amp;sourceID=48","2360.2")</f>
        <v>2360.2</v>
      </c>
      <c r="G395" s="4" t="str">
        <f>HYPERLINK("http://141.218.60.56/~jnz1568/getInfo.php?workbook=18_16.xlsx&amp;sheet=A0&amp;row=395&amp;col=7&amp;number=&amp;sourceID=49","")</f>
        <v/>
      </c>
      <c r="H395" s="4" t="str">
        <f>HYPERLINK("http://141.218.60.56/~jnz1568/getInfo.php?workbook=18_16.xlsx&amp;sheet=A0&amp;row=395&amp;col=8&amp;number=&amp;sourceID=49","")</f>
        <v/>
      </c>
    </row>
    <row r="396" spans="1:8">
      <c r="A396" s="3">
        <v>18</v>
      </c>
      <c r="B396" s="3">
        <v>16</v>
      </c>
      <c r="C396" s="3">
        <v>64</v>
      </c>
      <c r="D396" s="3">
        <v>27</v>
      </c>
      <c r="E396" s="3">
        <f>((1/(INDEX(E0!J$4:J$87,C396,1)-INDEX(E0!J$4:J$87,D396,1))))*100000000</f>
        <v>0</v>
      </c>
      <c r="F396" s="4" t="str">
        <f>HYPERLINK("http://141.218.60.56/~jnz1568/getInfo.php?workbook=18_16.xlsx&amp;sheet=A0&amp;row=396&amp;col=6&amp;number=6591.8&amp;sourceID=48","6591.8")</f>
        <v>6591.8</v>
      </c>
      <c r="G396" s="4" t="str">
        <f>HYPERLINK("http://141.218.60.56/~jnz1568/getInfo.php?workbook=18_16.xlsx&amp;sheet=A0&amp;row=396&amp;col=7&amp;number=&amp;sourceID=49","")</f>
        <v/>
      </c>
      <c r="H396" s="4" t="str">
        <f>HYPERLINK("http://141.218.60.56/~jnz1568/getInfo.php?workbook=18_16.xlsx&amp;sheet=A0&amp;row=396&amp;col=8&amp;number=&amp;sourceID=49","")</f>
        <v/>
      </c>
    </row>
    <row r="397" spans="1:8">
      <c r="A397" s="3">
        <v>18</v>
      </c>
      <c r="B397" s="3">
        <v>16</v>
      </c>
      <c r="C397" s="3">
        <v>64</v>
      </c>
      <c r="D397" s="3">
        <v>28</v>
      </c>
      <c r="E397" s="3">
        <f>((1/(INDEX(E0!J$4:J$87,C397,1)-INDEX(E0!J$4:J$87,D397,1))))*100000000</f>
        <v>0</v>
      </c>
      <c r="F397" s="4" t="str">
        <f>HYPERLINK("http://141.218.60.56/~jnz1568/getInfo.php?workbook=18_16.xlsx&amp;sheet=A0&amp;row=397&amp;col=6&amp;number=75060&amp;sourceID=48","75060")</f>
        <v>75060</v>
      </c>
      <c r="G397" s="4" t="str">
        <f>HYPERLINK("http://141.218.60.56/~jnz1568/getInfo.php?workbook=18_16.xlsx&amp;sheet=A0&amp;row=397&amp;col=7&amp;number=&amp;sourceID=49","")</f>
        <v/>
      </c>
      <c r="H397" s="4" t="str">
        <f>HYPERLINK("http://141.218.60.56/~jnz1568/getInfo.php?workbook=18_16.xlsx&amp;sheet=A0&amp;row=397&amp;col=8&amp;number=&amp;sourceID=49","")</f>
        <v/>
      </c>
    </row>
    <row r="398" spans="1:8">
      <c r="A398" s="3">
        <v>18</v>
      </c>
      <c r="B398" s="3">
        <v>16</v>
      </c>
      <c r="C398" s="3">
        <v>64</v>
      </c>
      <c r="D398" s="3">
        <v>30</v>
      </c>
      <c r="E398" s="3">
        <f>((1/(INDEX(E0!J$4:J$87,C398,1)-INDEX(E0!J$4:J$87,D398,1))))*100000000</f>
        <v>0</v>
      </c>
      <c r="F398" s="4" t="str">
        <f>HYPERLINK("http://141.218.60.56/~jnz1568/getInfo.php?workbook=18_16.xlsx&amp;sheet=A0&amp;row=398&amp;col=6&amp;number=2732100&amp;sourceID=48","2732100")</f>
        <v>2732100</v>
      </c>
      <c r="G398" s="4" t="str">
        <f>HYPERLINK("http://141.218.60.56/~jnz1568/getInfo.php?workbook=18_16.xlsx&amp;sheet=A0&amp;row=398&amp;col=7&amp;number=&amp;sourceID=49","")</f>
        <v/>
      </c>
      <c r="H398" s="4" t="str">
        <f>HYPERLINK("http://141.218.60.56/~jnz1568/getInfo.php?workbook=18_16.xlsx&amp;sheet=A0&amp;row=398&amp;col=8&amp;number=&amp;sourceID=49","")</f>
        <v/>
      </c>
    </row>
    <row r="399" spans="1:8">
      <c r="A399" s="3">
        <v>18</v>
      </c>
      <c r="B399" s="3">
        <v>16</v>
      </c>
      <c r="C399" s="3">
        <v>64</v>
      </c>
      <c r="D399" s="3">
        <v>31</v>
      </c>
      <c r="E399" s="3">
        <f>((1/(INDEX(E0!J$4:J$87,C399,1)-INDEX(E0!J$4:J$87,D399,1))))*100000000</f>
        <v>0</v>
      </c>
      <c r="F399" s="4" t="str">
        <f>HYPERLINK("http://141.218.60.56/~jnz1568/getInfo.php?workbook=18_16.xlsx&amp;sheet=A0&amp;row=399&amp;col=6&amp;number=1969700&amp;sourceID=48","1969700")</f>
        <v>1969700</v>
      </c>
      <c r="G399" s="4" t="str">
        <f>HYPERLINK("http://141.218.60.56/~jnz1568/getInfo.php?workbook=18_16.xlsx&amp;sheet=A0&amp;row=399&amp;col=7&amp;number=&amp;sourceID=49","")</f>
        <v/>
      </c>
      <c r="H399" s="4" t="str">
        <f>HYPERLINK("http://141.218.60.56/~jnz1568/getInfo.php?workbook=18_16.xlsx&amp;sheet=A0&amp;row=399&amp;col=8&amp;number=&amp;sourceID=49","")</f>
        <v/>
      </c>
    </row>
    <row r="400" spans="1:8">
      <c r="A400" s="3">
        <v>18</v>
      </c>
      <c r="B400" s="3">
        <v>16</v>
      </c>
      <c r="C400" s="3">
        <v>64</v>
      </c>
      <c r="D400" s="3">
        <v>32</v>
      </c>
      <c r="E400" s="3">
        <f>((1/(INDEX(E0!J$4:J$87,C400,1)-INDEX(E0!J$4:J$87,D400,1))))*100000000</f>
        <v>0</v>
      </c>
      <c r="F400" s="4" t="str">
        <f>HYPERLINK("http://141.218.60.56/~jnz1568/getInfo.php?workbook=18_16.xlsx&amp;sheet=A0&amp;row=400&amp;col=6&amp;number=4972500&amp;sourceID=48","4972500")</f>
        <v>4972500</v>
      </c>
      <c r="G400" s="4" t="str">
        <f>HYPERLINK("http://141.218.60.56/~jnz1568/getInfo.php?workbook=18_16.xlsx&amp;sheet=A0&amp;row=400&amp;col=7&amp;number=&amp;sourceID=49","")</f>
        <v/>
      </c>
      <c r="H400" s="4" t="str">
        <f>HYPERLINK("http://141.218.60.56/~jnz1568/getInfo.php?workbook=18_16.xlsx&amp;sheet=A0&amp;row=400&amp;col=8&amp;number=&amp;sourceID=49","")</f>
        <v/>
      </c>
    </row>
    <row r="401" spans="1:8">
      <c r="A401" s="3">
        <v>18</v>
      </c>
      <c r="B401" s="3">
        <v>16</v>
      </c>
      <c r="C401" s="3">
        <v>64</v>
      </c>
      <c r="D401" s="3">
        <v>33</v>
      </c>
      <c r="E401" s="3">
        <f>((1/(INDEX(E0!J$4:J$87,C401,1)-INDEX(E0!J$4:J$87,D401,1))))*100000000</f>
        <v>0</v>
      </c>
      <c r="F401" s="4" t="str">
        <f>HYPERLINK("http://141.218.60.56/~jnz1568/getInfo.php?workbook=18_16.xlsx&amp;sheet=A0&amp;row=401&amp;col=6&amp;number=19040000&amp;sourceID=48","19040000")</f>
        <v>19040000</v>
      </c>
      <c r="G401" s="4" t="str">
        <f>HYPERLINK("http://141.218.60.56/~jnz1568/getInfo.php?workbook=18_16.xlsx&amp;sheet=A0&amp;row=401&amp;col=7&amp;number=&amp;sourceID=49","")</f>
        <v/>
      </c>
      <c r="H401" s="4" t="str">
        <f>HYPERLINK("http://141.218.60.56/~jnz1568/getInfo.php?workbook=18_16.xlsx&amp;sheet=A0&amp;row=401&amp;col=8&amp;number=&amp;sourceID=49","")</f>
        <v/>
      </c>
    </row>
    <row r="402" spans="1:8">
      <c r="A402" s="3">
        <v>18</v>
      </c>
      <c r="B402" s="3">
        <v>16</v>
      </c>
      <c r="C402" s="3">
        <v>64</v>
      </c>
      <c r="D402" s="3">
        <v>35</v>
      </c>
      <c r="E402" s="3">
        <f>((1/(INDEX(E0!J$4:J$87,C402,1)-INDEX(E0!J$4:J$87,D402,1))))*100000000</f>
        <v>0</v>
      </c>
      <c r="F402" s="4" t="str">
        <f>HYPERLINK("http://141.218.60.56/~jnz1568/getInfo.php?workbook=18_16.xlsx&amp;sheet=A0&amp;row=402&amp;col=6&amp;number=2812700&amp;sourceID=48","2812700")</f>
        <v>2812700</v>
      </c>
      <c r="G402" s="4" t="str">
        <f>HYPERLINK("http://141.218.60.56/~jnz1568/getInfo.php?workbook=18_16.xlsx&amp;sheet=A0&amp;row=402&amp;col=7&amp;number=&amp;sourceID=49","")</f>
        <v/>
      </c>
      <c r="H402" s="4" t="str">
        <f>HYPERLINK("http://141.218.60.56/~jnz1568/getInfo.php?workbook=18_16.xlsx&amp;sheet=A0&amp;row=402&amp;col=8&amp;number=&amp;sourceID=49","")</f>
        <v/>
      </c>
    </row>
    <row r="403" spans="1:8">
      <c r="A403" s="3">
        <v>18</v>
      </c>
      <c r="B403" s="3">
        <v>16</v>
      </c>
      <c r="C403" s="3">
        <v>64</v>
      </c>
      <c r="D403" s="3">
        <v>36</v>
      </c>
      <c r="E403" s="3">
        <f>((1/(INDEX(E0!J$4:J$87,C403,1)-INDEX(E0!J$4:J$87,D403,1))))*100000000</f>
        <v>0</v>
      </c>
      <c r="F403" s="4" t="str">
        <f>HYPERLINK("http://141.218.60.56/~jnz1568/getInfo.php?workbook=18_16.xlsx&amp;sheet=A0&amp;row=403&amp;col=6&amp;number=4089300&amp;sourceID=48","4089300")</f>
        <v>4089300</v>
      </c>
      <c r="G403" s="4" t="str">
        <f>HYPERLINK("http://141.218.60.56/~jnz1568/getInfo.php?workbook=18_16.xlsx&amp;sheet=A0&amp;row=403&amp;col=7&amp;number=&amp;sourceID=49","")</f>
        <v/>
      </c>
      <c r="H403" s="4" t="str">
        <f>HYPERLINK("http://141.218.60.56/~jnz1568/getInfo.php?workbook=18_16.xlsx&amp;sheet=A0&amp;row=403&amp;col=8&amp;number=&amp;sourceID=49","")</f>
        <v/>
      </c>
    </row>
    <row r="404" spans="1:8">
      <c r="A404" s="3">
        <v>18</v>
      </c>
      <c r="B404" s="3">
        <v>16</v>
      </c>
      <c r="C404" s="3">
        <v>64</v>
      </c>
      <c r="D404" s="3">
        <v>37</v>
      </c>
      <c r="E404" s="3">
        <f>((1/(INDEX(E0!J$4:J$87,C404,1)-INDEX(E0!J$4:J$87,D404,1))))*100000000</f>
        <v>0</v>
      </c>
      <c r="F404" s="4" t="str">
        <f>HYPERLINK("http://141.218.60.56/~jnz1568/getInfo.php?workbook=18_16.xlsx&amp;sheet=A0&amp;row=404&amp;col=6&amp;number=689830&amp;sourceID=48","689830")</f>
        <v>689830</v>
      </c>
      <c r="G404" s="4" t="str">
        <f>HYPERLINK("http://141.218.60.56/~jnz1568/getInfo.php?workbook=18_16.xlsx&amp;sheet=A0&amp;row=404&amp;col=7&amp;number=&amp;sourceID=49","")</f>
        <v/>
      </c>
      <c r="H404" s="4" t="str">
        <f>HYPERLINK("http://141.218.60.56/~jnz1568/getInfo.php?workbook=18_16.xlsx&amp;sheet=A0&amp;row=404&amp;col=8&amp;number=&amp;sourceID=49","")</f>
        <v/>
      </c>
    </row>
    <row r="405" spans="1:8">
      <c r="A405" s="3">
        <v>18</v>
      </c>
      <c r="B405" s="3">
        <v>16</v>
      </c>
      <c r="C405" s="3">
        <v>64</v>
      </c>
      <c r="D405" s="3">
        <v>38</v>
      </c>
      <c r="E405" s="3">
        <f>((1/(INDEX(E0!J$4:J$87,C405,1)-INDEX(E0!J$4:J$87,D405,1))))*100000000</f>
        <v>0</v>
      </c>
      <c r="F405" s="4" t="str">
        <f>HYPERLINK("http://141.218.60.56/~jnz1568/getInfo.php?workbook=18_16.xlsx&amp;sheet=A0&amp;row=405&amp;col=6&amp;number=9430900&amp;sourceID=48","9430900")</f>
        <v>9430900</v>
      </c>
      <c r="G405" s="4" t="str">
        <f>HYPERLINK("http://141.218.60.56/~jnz1568/getInfo.php?workbook=18_16.xlsx&amp;sheet=A0&amp;row=405&amp;col=7&amp;number=&amp;sourceID=49","")</f>
        <v/>
      </c>
      <c r="H405" s="4" t="str">
        <f>HYPERLINK("http://141.218.60.56/~jnz1568/getInfo.php?workbook=18_16.xlsx&amp;sheet=A0&amp;row=405&amp;col=8&amp;number=&amp;sourceID=49","")</f>
        <v/>
      </c>
    </row>
    <row r="406" spans="1:8">
      <c r="A406" s="3">
        <v>18</v>
      </c>
      <c r="B406" s="3">
        <v>16</v>
      </c>
      <c r="C406" s="3">
        <v>64</v>
      </c>
      <c r="D406" s="3">
        <v>39</v>
      </c>
      <c r="E406" s="3">
        <f>((1/(INDEX(E0!J$4:J$87,C406,1)-INDEX(E0!J$4:J$87,D406,1))))*100000000</f>
        <v>0</v>
      </c>
      <c r="F406" s="4" t="str">
        <f>HYPERLINK("http://141.218.60.56/~jnz1568/getInfo.php?workbook=18_16.xlsx&amp;sheet=A0&amp;row=406&amp;col=6&amp;number=129190000&amp;sourceID=48","129190000")</f>
        <v>129190000</v>
      </c>
      <c r="G406" s="4" t="str">
        <f>HYPERLINK("http://141.218.60.56/~jnz1568/getInfo.php?workbook=18_16.xlsx&amp;sheet=A0&amp;row=406&amp;col=7&amp;number=&amp;sourceID=49","")</f>
        <v/>
      </c>
      <c r="H406" s="4" t="str">
        <f>HYPERLINK("http://141.218.60.56/~jnz1568/getInfo.php?workbook=18_16.xlsx&amp;sheet=A0&amp;row=406&amp;col=8&amp;number=&amp;sourceID=49","")</f>
        <v/>
      </c>
    </row>
    <row r="407" spans="1:8">
      <c r="A407" s="3">
        <v>18</v>
      </c>
      <c r="B407" s="3">
        <v>16</v>
      </c>
      <c r="C407" s="3">
        <v>64</v>
      </c>
      <c r="D407" s="3">
        <v>40</v>
      </c>
      <c r="E407" s="3">
        <f>((1/(INDEX(E0!J$4:J$87,C407,1)-INDEX(E0!J$4:J$87,D407,1))))*100000000</f>
        <v>0</v>
      </c>
      <c r="F407" s="4" t="str">
        <f>HYPERLINK("http://141.218.60.56/~jnz1568/getInfo.php?workbook=18_16.xlsx&amp;sheet=A0&amp;row=407&amp;col=6&amp;number=25850000&amp;sourceID=48","25850000")</f>
        <v>25850000</v>
      </c>
      <c r="G407" s="4" t="str">
        <f>HYPERLINK("http://141.218.60.56/~jnz1568/getInfo.php?workbook=18_16.xlsx&amp;sheet=A0&amp;row=407&amp;col=7&amp;number=&amp;sourceID=49","")</f>
        <v/>
      </c>
      <c r="H407" s="4" t="str">
        <f>HYPERLINK("http://141.218.60.56/~jnz1568/getInfo.php?workbook=18_16.xlsx&amp;sheet=A0&amp;row=407&amp;col=8&amp;number=&amp;sourceID=49","")</f>
        <v/>
      </c>
    </row>
    <row r="408" spans="1:8">
      <c r="A408" s="3">
        <v>18</v>
      </c>
      <c r="B408" s="3">
        <v>16</v>
      </c>
      <c r="C408" s="3">
        <v>64</v>
      </c>
      <c r="D408" s="3">
        <v>41</v>
      </c>
      <c r="E408" s="3">
        <f>((1/(INDEX(E0!J$4:J$87,C408,1)-INDEX(E0!J$4:J$87,D408,1))))*100000000</f>
        <v>0</v>
      </c>
      <c r="F408" s="4" t="str">
        <f>HYPERLINK("http://141.218.60.56/~jnz1568/getInfo.php?workbook=18_16.xlsx&amp;sheet=A0&amp;row=408&amp;col=6&amp;number=2230.7&amp;sourceID=48","2230.7")</f>
        <v>2230.7</v>
      </c>
      <c r="G408" s="4" t="str">
        <f>HYPERLINK("http://141.218.60.56/~jnz1568/getInfo.php?workbook=18_16.xlsx&amp;sheet=A0&amp;row=408&amp;col=7&amp;number=&amp;sourceID=49","")</f>
        <v/>
      </c>
      <c r="H408" s="4" t="str">
        <f>HYPERLINK("http://141.218.60.56/~jnz1568/getInfo.php?workbook=18_16.xlsx&amp;sheet=A0&amp;row=408&amp;col=8&amp;number=&amp;sourceID=49","")</f>
        <v/>
      </c>
    </row>
    <row r="409" spans="1:8">
      <c r="A409" s="3">
        <v>18</v>
      </c>
      <c r="B409" s="3">
        <v>16</v>
      </c>
      <c r="C409" s="3">
        <v>64</v>
      </c>
      <c r="D409" s="3">
        <v>42</v>
      </c>
      <c r="E409" s="3">
        <f>((1/(INDEX(E0!J$4:J$87,C409,1)-INDEX(E0!J$4:J$87,D409,1))))*100000000</f>
        <v>0</v>
      </c>
      <c r="F409" s="4" t="str">
        <f>HYPERLINK("http://141.218.60.56/~jnz1568/getInfo.php?workbook=18_16.xlsx&amp;sheet=A0&amp;row=409&amp;col=6&amp;number=75.886&amp;sourceID=48","75.886")</f>
        <v>75.886</v>
      </c>
      <c r="G409" s="4" t="str">
        <f>HYPERLINK("http://141.218.60.56/~jnz1568/getInfo.php?workbook=18_16.xlsx&amp;sheet=A0&amp;row=409&amp;col=7&amp;number=&amp;sourceID=49","")</f>
        <v/>
      </c>
      <c r="H409" s="4" t="str">
        <f>HYPERLINK("http://141.218.60.56/~jnz1568/getInfo.php?workbook=18_16.xlsx&amp;sheet=A0&amp;row=409&amp;col=8&amp;number=&amp;sourceID=49","")</f>
        <v/>
      </c>
    </row>
    <row r="410" spans="1:8">
      <c r="A410" s="3">
        <v>18</v>
      </c>
      <c r="B410" s="3">
        <v>16</v>
      </c>
      <c r="C410" s="3">
        <v>64</v>
      </c>
      <c r="D410" s="3">
        <v>45</v>
      </c>
      <c r="E410" s="3">
        <f>((1/(INDEX(E0!J$4:J$87,C410,1)-INDEX(E0!J$4:J$87,D410,1))))*100000000</f>
        <v>0</v>
      </c>
      <c r="F410" s="4" t="str">
        <f>HYPERLINK("http://141.218.60.56/~jnz1568/getInfo.php?workbook=18_16.xlsx&amp;sheet=A0&amp;row=410&amp;col=6&amp;number=22682&amp;sourceID=48","22682")</f>
        <v>22682</v>
      </c>
      <c r="G410" s="4" t="str">
        <f>HYPERLINK("http://141.218.60.56/~jnz1568/getInfo.php?workbook=18_16.xlsx&amp;sheet=A0&amp;row=410&amp;col=7&amp;number=&amp;sourceID=49","")</f>
        <v/>
      </c>
      <c r="H410" s="4" t="str">
        <f>HYPERLINK("http://141.218.60.56/~jnz1568/getInfo.php?workbook=18_16.xlsx&amp;sheet=A0&amp;row=410&amp;col=8&amp;number=&amp;sourceID=49","")</f>
        <v/>
      </c>
    </row>
    <row r="411" spans="1:8">
      <c r="A411" s="3">
        <v>18</v>
      </c>
      <c r="B411" s="3">
        <v>16</v>
      </c>
      <c r="C411" s="3">
        <v>64</v>
      </c>
      <c r="D411" s="3">
        <v>47</v>
      </c>
      <c r="E411" s="3">
        <f>((1/(INDEX(E0!J$4:J$87,C411,1)-INDEX(E0!J$4:J$87,D411,1))))*100000000</f>
        <v>0</v>
      </c>
      <c r="F411" s="4" t="str">
        <f>HYPERLINK("http://141.218.60.56/~jnz1568/getInfo.php?workbook=18_16.xlsx&amp;sheet=A0&amp;row=411&amp;col=6&amp;number=426360&amp;sourceID=48","426360")</f>
        <v>426360</v>
      </c>
      <c r="G411" s="4" t="str">
        <f>HYPERLINK("http://141.218.60.56/~jnz1568/getInfo.php?workbook=18_16.xlsx&amp;sheet=A0&amp;row=411&amp;col=7&amp;number=&amp;sourceID=49","")</f>
        <v/>
      </c>
      <c r="H411" s="4" t="str">
        <f>HYPERLINK("http://141.218.60.56/~jnz1568/getInfo.php?workbook=18_16.xlsx&amp;sheet=A0&amp;row=411&amp;col=8&amp;number=&amp;sourceID=49","")</f>
        <v/>
      </c>
    </row>
    <row r="412" spans="1:8">
      <c r="A412" s="3">
        <v>18</v>
      </c>
      <c r="B412" s="3">
        <v>16</v>
      </c>
      <c r="C412" s="3">
        <v>64</v>
      </c>
      <c r="D412" s="3">
        <v>48</v>
      </c>
      <c r="E412" s="3">
        <f>((1/(INDEX(E0!J$4:J$87,C412,1)-INDEX(E0!J$4:J$87,D412,1))))*100000000</f>
        <v>0</v>
      </c>
      <c r="F412" s="4" t="str">
        <f>HYPERLINK("http://141.218.60.56/~jnz1568/getInfo.php?workbook=18_16.xlsx&amp;sheet=A0&amp;row=412&amp;col=6&amp;number=1917200&amp;sourceID=48","1917200")</f>
        <v>1917200</v>
      </c>
      <c r="G412" s="4" t="str">
        <f>HYPERLINK("http://141.218.60.56/~jnz1568/getInfo.php?workbook=18_16.xlsx&amp;sheet=A0&amp;row=412&amp;col=7&amp;number=&amp;sourceID=49","")</f>
        <v/>
      </c>
      <c r="H412" s="4" t="str">
        <f>HYPERLINK("http://141.218.60.56/~jnz1568/getInfo.php?workbook=18_16.xlsx&amp;sheet=A0&amp;row=412&amp;col=8&amp;number=&amp;sourceID=49","")</f>
        <v/>
      </c>
    </row>
    <row r="413" spans="1:8">
      <c r="A413" s="3">
        <v>18</v>
      </c>
      <c r="B413" s="3">
        <v>16</v>
      </c>
      <c r="C413" s="3">
        <v>64</v>
      </c>
      <c r="D413" s="3">
        <v>53</v>
      </c>
      <c r="E413" s="3">
        <f>((1/(INDEX(E0!J$4:J$87,C413,1)-INDEX(E0!J$4:J$87,D413,1))))*100000000</f>
        <v>0</v>
      </c>
      <c r="F413" s="4" t="str">
        <f>HYPERLINK("http://141.218.60.56/~jnz1568/getInfo.php?workbook=18_16.xlsx&amp;sheet=A0&amp;row=413&amp;col=6&amp;number=161490&amp;sourceID=48","161490")</f>
        <v>161490</v>
      </c>
      <c r="G413" s="4" t="str">
        <f>HYPERLINK("http://141.218.60.56/~jnz1568/getInfo.php?workbook=18_16.xlsx&amp;sheet=A0&amp;row=413&amp;col=7&amp;number=&amp;sourceID=49","")</f>
        <v/>
      </c>
      <c r="H413" s="4" t="str">
        <f>HYPERLINK("http://141.218.60.56/~jnz1568/getInfo.php?workbook=18_16.xlsx&amp;sheet=A0&amp;row=413&amp;col=8&amp;number=&amp;sourceID=49","")</f>
        <v/>
      </c>
    </row>
    <row r="414" spans="1:8">
      <c r="A414" s="3">
        <v>18</v>
      </c>
      <c r="B414" s="3">
        <v>16</v>
      </c>
      <c r="C414" s="3">
        <v>64</v>
      </c>
      <c r="D414" s="3">
        <v>54</v>
      </c>
      <c r="E414" s="3">
        <f>((1/(INDEX(E0!J$4:J$87,C414,1)-INDEX(E0!J$4:J$87,D414,1))))*100000000</f>
        <v>0</v>
      </c>
      <c r="F414" s="4" t="str">
        <f>HYPERLINK("http://141.218.60.56/~jnz1568/getInfo.php?workbook=18_16.xlsx&amp;sheet=A0&amp;row=414&amp;col=6&amp;number=342020&amp;sourceID=48","342020")</f>
        <v>342020</v>
      </c>
      <c r="G414" s="4" t="str">
        <f>HYPERLINK("http://141.218.60.56/~jnz1568/getInfo.php?workbook=18_16.xlsx&amp;sheet=A0&amp;row=414&amp;col=7&amp;number=&amp;sourceID=49","")</f>
        <v/>
      </c>
      <c r="H414" s="4" t="str">
        <f>HYPERLINK("http://141.218.60.56/~jnz1568/getInfo.php?workbook=18_16.xlsx&amp;sheet=A0&amp;row=414&amp;col=8&amp;number=&amp;sourceID=49","")</f>
        <v/>
      </c>
    </row>
    <row r="415" spans="1:8">
      <c r="A415" s="3">
        <v>18</v>
      </c>
      <c r="B415" s="3">
        <v>16</v>
      </c>
      <c r="C415" s="3">
        <v>64</v>
      </c>
      <c r="D415" s="3">
        <v>55</v>
      </c>
      <c r="E415" s="3">
        <f>((1/(INDEX(E0!J$4:J$87,C415,1)-INDEX(E0!J$4:J$87,D415,1))))*100000000</f>
        <v>0</v>
      </c>
      <c r="F415" s="4" t="str">
        <f>HYPERLINK("http://141.218.60.56/~jnz1568/getInfo.php?workbook=18_16.xlsx&amp;sheet=A0&amp;row=415&amp;col=6&amp;number=674.6&amp;sourceID=48","674.6")</f>
        <v>674.6</v>
      </c>
      <c r="G415" s="4" t="str">
        <f>HYPERLINK("http://141.218.60.56/~jnz1568/getInfo.php?workbook=18_16.xlsx&amp;sheet=A0&amp;row=415&amp;col=7&amp;number=&amp;sourceID=49","")</f>
        <v/>
      </c>
      <c r="H415" s="4" t="str">
        <f>HYPERLINK("http://141.218.60.56/~jnz1568/getInfo.php?workbook=18_16.xlsx&amp;sheet=A0&amp;row=415&amp;col=8&amp;number=&amp;sourceID=49","")</f>
        <v/>
      </c>
    </row>
    <row r="416" spans="1:8">
      <c r="A416" s="3">
        <v>18</v>
      </c>
      <c r="B416" s="3">
        <v>16</v>
      </c>
      <c r="C416" s="3">
        <v>64</v>
      </c>
      <c r="D416" s="3">
        <v>56</v>
      </c>
      <c r="E416" s="3">
        <f>((1/(INDEX(E0!J$4:J$87,C416,1)-INDEX(E0!J$4:J$87,D416,1))))*100000000</f>
        <v>0</v>
      </c>
      <c r="F416" s="4" t="str">
        <f>HYPERLINK("http://141.218.60.56/~jnz1568/getInfo.php?workbook=18_16.xlsx&amp;sheet=A0&amp;row=416&amp;col=6&amp;number=66152&amp;sourceID=48","66152")</f>
        <v>66152</v>
      </c>
      <c r="G416" s="4" t="str">
        <f>HYPERLINK("http://141.218.60.56/~jnz1568/getInfo.php?workbook=18_16.xlsx&amp;sheet=A0&amp;row=416&amp;col=7&amp;number=&amp;sourceID=49","")</f>
        <v/>
      </c>
      <c r="H416" s="4" t="str">
        <f>HYPERLINK("http://141.218.60.56/~jnz1568/getInfo.php?workbook=18_16.xlsx&amp;sheet=A0&amp;row=416&amp;col=8&amp;number=&amp;sourceID=49","")</f>
        <v/>
      </c>
    </row>
    <row r="417" spans="1:8">
      <c r="A417" s="3">
        <v>18</v>
      </c>
      <c r="B417" s="3">
        <v>16</v>
      </c>
      <c r="C417" s="3">
        <v>64</v>
      </c>
      <c r="D417" s="3">
        <v>57</v>
      </c>
      <c r="E417" s="3">
        <f>((1/(INDEX(E0!J$4:J$87,C417,1)-INDEX(E0!J$4:J$87,D417,1))))*100000000</f>
        <v>0</v>
      </c>
      <c r="F417" s="4" t="str">
        <f>HYPERLINK("http://141.218.60.56/~jnz1568/getInfo.php?workbook=18_16.xlsx&amp;sheet=A0&amp;row=417&amp;col=6&amp;number=9200.6&amp;sourceID=48","9200.6")</f>
        <v>9200.6</v>
      </c>
      <c r="G417" s="4" t="str">
        <f>HYPERLINK("http://141.218.60.56/~jnz1568/getInfo.php?workbook=18_16.xlsx&amp;sheet=A0&amp;row=417&amp;col=7&amp;number=&amp;sourceID=49","")</f>
        <v/>
      </c>
      <c r="H417" s="4" t="str">
        <f>HYPERLINK("http://141.218.60.56/~jnz1568/getInfo.php?workbook=18_16.xlsx&amp;sheet=A0&amp;row=417&amp;col=8&amp;number=&amp;sourceID=49","")</f>
        <v/>
      </c>
    </row>
    <row r="418" spans="1:8">
      <c r="A418" s="3">
        <v>18</v>
      </c>
      <c r="B418" s="3">
        <v>16</v>
      </c>
      <c r="C418" s="3">
        <v>64</v>
      </c>
      <c r="D418" s="3">
        <v>58</v>
      </c>
      <c r="E418" s="3">
        <f>((1/(INDEX(E0!J$4:J$87,C418,1)-INDEX(E0!J$4:J$87,D418,1))))*100000000</f>
        <v>0</v>
      </c>
      <c r="F418" s="4" t="str">
        <f>HYPERLINK("http://141.218.60.56/~jnz1568/getInfo.php?workbook=18_16.xlsx&amp;sheet=A0&amp;row=418&amp;col=6&amp;number=13195&amp;sourceID=48","13195")</f>
        <v>13195</v>
      </c>
      <c r="G418" s="4" t="str">
        <f>HYPERLINK("http://141.218.60.56/~jnz1568/getInfo.php?workbook=18_16.xlsx&amp;sheet=A0&amp;row=418&amp;col=7&amp;number=&amp;sourceID=49","")</f>
        <v/>
      </c>
      <c r="H418" s="4" t="str">
        <f>HYPERLINK("http://141.218.60.56/~jnz1568/getInfo.php?workbook=18_16.xlsx&amp;sheet=A0&amp;row=418&amp;col=8&amp;number=&amp;sourceID=49","")</f>
        <v/>
      </c>
    </row>
    <row r="419" spans="1:8">
      <c r="A419" s="3">
        <v>18</v>
      </c>
      <c r="B419" s="3">
        <v>16</v>
      </c>
      <c r="C419" s="3">
        <v>64</v>
      </c>
      <c r="D419" s="3">
        <v>60</v>
      </c>
      <c r="E419" s="3">
        <f>((1/(INDEX(E0!J$4:J$87,C419,1)-INDEX(E0!J$4:J$87,D419,1))))*100000000</f>
        <v>0</v>
      </c>
      <c r="F419" s="4" t="str">
        <f>HYPERLINK("http://141.218.60.56/~jnz1568/getInfo.php?workbook=18_16.xlsx&amp;sheet=A0&amp;row=419&amp;col=6&amp;number=3.3557&amp;sourceID=48","3.3557")</f>
        <v>3.3557</v>
      </c>
      <c r="G419" s="4" t="str">
        <f>HYPERLINK("http://141.218.60.56/~jnz1568/getInfo.php?workbook=18_16.xlsx&amp;sheet=A0&amp;row=419&amp;col=7&amp;number=&amp;sourceID=49","")</f>
        <v/>
      </c>
      <c r="H419" s="4" t="str">
        <f>HYPERLINK("http://141.218.60.56/~jnz1568/getInfo.php?workbook=18_16.xlsx&amp;sheet=A0&amp;row=419&amp;col=8&amp;number=&amp;sourceID=49","")</f>
        <v/>
      </c>
    </row>
    <row r="420" spans="1:8">
      <c r="A420" s="3">
        <v>18</v>
      </c>
      <c r="B420" s="3">
        <v>16</v>
      </c>
      <c r="C420" s="3">
        <v>64</v>
      </c>
      <c r="D420" s="3">
        <v>61</v>
      </c>
      <c r="E420" s="3">
        <f>((1/(INDEX(E0!J$4:J$87,C420,1)-INDEX(E0!J$4:J$87,D420,1))))*100000000</f>
        <v>0</v>
      </c>
      <c r="F420" s="4" t="str">
        <f>HYPERLINK("http://141.218.60.56/~jnz1568/getInfo.php?workbook=18_16.xlsx&amp;sheet=A0&amp;row=420&amp;col=6&amp;number=7.2456&amp;sourceID=48","7.2456")</f>
        <v>7.2456</v>
      </c>
      <c r="G420" s="4" t="str">
        <f>HYPERLINK("http://141.218.60.56/~jnz1568/getInfo.php?workbook=18_16.xlsx&amp;sheet=A0&amp;row=420&amp;col=7&amp;number=&amp;sourceID=49","")</f>
        <v/>
      </c>
      <c r="H420" s="4" t="str">
        <f>HYPERLINK("http://141.218.60.56/~jnz1568/getInfo.php?workbook=18_16.xlsx&amp;sheet=A0&amp;row=420&amp;col=8&amp;number=&amp;sourceID=49","")</f>
        <v/>
      </c>
    </row>
    <row r="421" spans="1:8">
      <c r="A421" s="3">
        <v>18</v>
      </c>
      <c r="B421" s="3">
        <v>16</v>
      </c>
      <c r="C421" s="3">
        <v>65</v>
      </c>
      <c r="D421" s="3">
        <v>6</v>
      </c>
      <c r="E421" s="3">
        <f>((1/(INDEX(E0!J$4:J$87,C421,1)-INDEX(E0!J$4:J$87,D421,1))))*100000000</f>
        <v>0</v>
      </c>
      <c r="F421" s="4" t="str">
        <f>HYPERLINK("http://141.218.60.56/~jnz1568/getInfo.php?workbook=18_16.xlsx&amp;sheet=A0&amp;row=421&amp;col=6&amp;number=914720&amp;sourceID=48","914720")</f>
        <v>914720</v>
      </c>
      <c r="G421" s="4" t="str">
        <f>HYPERLINK("http://141.218.60.56/~jnz1568/getInfo.php?workbook=18_16.xlsx&amp;sheet=A0&amp;row=421&amp;col=7&amp;number=&amp;sourceID=49","")</f>
        <v/>
      </c>
      <c r="H421" s="4" t="str">
        <f>HYPERLINK("http://141.218.60.56/~jnz1568/getInfo.php?workbook=18_16.xlsx&amp;sheet=A0&amp;row=421&amp;col=8&amp;number=&amp;sourceID=49","")</f>
        <v/>
      </c>
    </row>
    <row r="422" spans="1:8">
      <c r="A422" s="3">
        <v>18</v>
      </c>
      <c r="B422" s="3">
        <v>16</v>
      </c>
      <c r="C422" s="3">
        <v>65</v>
      </c>
      <c r="D422" s="3">
        <v>7</v>
      </c>
      <c r="E422" s="3">
        <f>((1/(INDEX(E0!J$4:J$87,C422,1)-INDEX(E0!J$4:J$87,D422,1))))*100000000</f>
        <v>0</v>
      </c>
      <c r="F422" s="4" t="str">
        <f>HYPERLINK("http://141.218.60.56/~jnz1568/getInfo.php?workbook=18_16.xlsx&amp;sheet=A0&amp;row=422&amp;col=6&amp;number=8965400&amp;sourceID=48","8965400")</f>
        <v>8965400</v>
      </c>
      <c r="G422" s="4" t="str">
        <f>HYPERLINK("http://141.218.60.56/~jnz1568/getInfo.php?workbook=18_16.xlsx&amp;sheet=A0&amp;row=422&amp;col=7&amp;number=&amp;sourceID=49","")</f>
        <v/>
      </c>
      <c r="H422" s="4" t="str">
        <f>HYPERLINK("http://141.218.60.56/~jnz1568/getInfo.php?workbook=18_16.xlsx&amp;sheet=A0&amp;row=422&amp;col=8&amp;number=&amp;sourceID=49","")</f>
        <v/>
      </c>
    </row>
    <row r="423" spans="1:8">
      <c r="A423" s="3">
        <v>18</v>
      </c>
      <c r="B423" s="3">
        <v>16</v>
      </c>
      <c r="C423" s="3">
        <v>65</v>
      </c>
      <c r="D423" s="3">
        <v>8</v>
      </c>
      <c r="E423" s="3">
        <f>((1/(INDEX(E0!J$4:J$87,C423,1)-INDEX(E0!J$4:J$87,D423,1))))*100000000</f>
        <v>0</v>
      </c>
      <c r="F423" s="4" t="str">
        <f>HYPERLINK("http://141.218.60.56/~jnz1568/getInfo.php?workbook=18_16.xlsx&amp;sheet=A0&amp;row=423&amp;col=6&amp;number=12494000&amp;sourceID=48","12494000")</f>
        <v>12494000</v>
      </c>
      <c r="G423" s="4" t="str">
        <f>HYPERLINK("http://141.218.60.56/~jnz1568/getInfo.php?workbook=18_16.xlsx&amp;sheet=A0&amp;row=423&amp;col=7&amp;number=&amp;sourceID=49","")</f>
        <v/>
      </c>
      <c r="H423" s="4" t="str">
        <f>HYPERLINK("http://141.218.60.56/~jnz1568/getInfo.php?workbook=18_16.xlsx&amp;sheet=A0&amp;row=423&amp;col=8&amp;number=&amp;sourceID=49","")</f>
        <v/>
      </c>
    </row>
    <row r="424" spans="1:8">
      <c r="A424" s="3">
        <v>18</v>
      </c>
      <c r="B424" s="3">
        <v>16</v>
      </c>
      <c r="C424" s="3">
        <v>65</v>
      </c>
      <c r="D424" s="3">
        <v>9</v>
      </c>
      <c r="E424" s="3">
        <f>((1/(INDEX(E0!J$4:J$87,C424,1)-INDEX(E0!J$4:J$87,D424,1))))*100000000</f>
        <v>0</v>
      </c>
      <c r="F424" s="4" t="str">
        <f>HYPERLINK("http://141.218.60.56/~jnz1568/getInfo.php?workbook=18_16.xlsx&amp;sheet=A0&amp;row=424&amp;col=6&amp;number=20290000&amp;sourceID=48","20290000")</f>
        <v>20290000</v>
      </c>
      <c r="G424" s="4" t="str">
        <f>HYPERLINK("http://141.218.60.56/~jnz1568/getInfo.php?workbook=18_16.xlsx&amp;sheet=A0&amp;row=424&amp;col=7&amp;number=&amp;sourceID=49","")</f>
        <v/>
      </c>
      <c r="H424" s="4" t="str">
        <f>HYPERLINK("http://141.218.60.56/~jnz1568/getInfo.php?workbook=18_16.xlsx&amp;sheet=A0&amp;row=424&amp;col=8&amp;number=&amp;sourceID=49","")</f>
        <v/>
      </c>
    </row>
    <row r="425" spans="1:8">
      <c r="A425" s="3">
        <v>18</v>
      </c>
      <c r="B425" s="3">
        <v>16</v>
      </c>
      <c r="C425" s="3">
        <v>65</v>
      </c>
      <c r="D425" s="3">
        <v>10</v>
      </c>
      <c r="E425" s="3">
        <f>((1/(INDEX(E0!J$4:J$87,C425,1)-INDEX(E0!J$4:J$87,D425,1))))*100000000</f>
        <v>0</v>
      </c>
      <c r="F425" s="4" t="str">
        <f>HYPERLINK("http://141.218.60.56/~jnz1568/getInfo.php?workbook=18_16.xlsx&amp;sheet=A0&amp;row=425&amp;col=6&amp;number=439.04&amp;sourceID=48","439.04")</f>
        <v>439.04</v>
      </c>
      <c r="G425" s="4" t="str">
        <f>HYPERLINK("http://141.218.60.56/~jnz1568/getInfo.php?workbook=18_16.xlsx&amp;sheet=A0&amp;row=425&amp;col=7&amp;number=&amp;sourceID=49","")</f>
        <v/>
      </c>
      <c r="H425" s="4" t="str">
        <f>HYPERLINK("http://141.218.60.56/~jnz1568/getInfo.php?workbook=18_16.xlsx&amp;sheet=A0&amp;row=425&amp;col=8&amp;number=&amp;sourceID=49","")</f>
        <v/>
      </c>
    </row>
    <row r="426" spans="1:8">
      <c r="A426" s="3">
        <v>18</v>
      </c>
      <c r="B426" s="3">
        <v>16</v>
      </c>
      <c r="C426" s="3">
        <v>65</v>
      </c>
      <c r="D426" s="3">
        <v>11</v>
      </c>
      <c r="E426" s="3">
        <f>((1/(INDEX(E0!J$4:J$87,C426,1)-INDEX(E0!J$4:J$87,D426,1))))*100000000</f>
        <v>0</v>
      </c>
      <c r="F426" s="4" t="str">
        <f>HYPERLINK("http://141.218.60.56/~jnz1568/getInfo.php?workbook=18_16.xlsx&amp;sheet=A0&amp;row=426&amp;col=6&amp;number=2754.2&amp;sourceID=48","2754.2")</f>
        <v>2754.2</v>
      </c>
      <c r="G426" s="4" t="str">
        <f>HYPERLINK("http://141.218.60.56/~jnz1568/getInfo.php?workbook=18_16.xlsx&amp;sheet=A0&amp;row=426&amp;col=7&amp;number=&amp;sourceID=49","")</f>
        <v/>
      </c>
      <c r="H426" s="4" t="str">
        <f>HYPERLINK("http://141.218.60.56/~jnz1568/getInfo.php?workbook=18_16.xlsx&amp;sheet=A0&amp;row=426&amp;col=8&amp;number=&amp;sourceID=49","")</f>
        <v/>
      </c>
    </row>
    <row r="427" spans="1:8">
      <c r="A427" s="3">
        <v>18</v>
      </c>
      <c r="B427" s="3">
        <v>16</v>
      </c>
      <c r="C427" s="3">
        <v>65</v>
      </c>
      <c r="D427" s="3">
        <v>12</v>
      </c>
      <c r="E427" s="3">
        <f>((1/(INDEX(E0!J$4:J$87,C427,1)-INDEX(E0!J$4:J$87,D427,1))))*100000000</f>
        <v>0</v>
      </c>
      <c r="F427" s="4" t="str">
        <f>HYPERLINK("http://141.218.60.56/~jnz1568/getInfo.php?workbook=18_16.xlsx&amp;sheet=A0&amp;row=427&amp;col=6&amp;number=10987&amp;sourceID=48","10987")</f>
        <v>10987</v>
      </c>
      <c r="G427" s="4" t="str">
        <f>HYPERLINK("http://141.218.60.56/~jnz1568/getInfo.php?workbook=18_16.xlsx&amp;sheet=A0&amp;row=427&amp;col=7&amp;number=&amp;sourceID=49","")</f>
        <v/>
      </c>
      <c r="H427" s="4" t="str">
        <f>HYPERLINK("http://141.218.60.56/~jnz1568/getInfo.php?workbook=18_16.xlsx&amp;sheet=A0&amp;row=427&amp;col=8&amp;number=&amp;sourceID=49","")</f>
        <v/>
      </c>
    </row>
    <row r="428" spans="1:8">
      <c r="A428" s="3">
        <v>18</v>
      </c>
      <c r="B428" s="3">
        <v>16</v>
      </c>
      <c r="C428" s="3">
        <v>65</v>
      </c>
      <c r="D428" s="3">
        <v>16</v>
      </c>
      <c r="E428" s="3">
        <f>((1/(INDEX(E0!J$4:J$87,C428,1)-INDEX(E0!J$4:J$87,D428,1))))*100000000</f>
        <v>0</v>
      </c>
      <c r="F428" s="4" t="str">
        <f>HYPERLINK("http://141.218.60.56/~jnz1568/getInfo.php?workbook=18_16.xlsx&amp;sheet=A0&amp;row=428&amp;col=6&amp;number=28149000&amp;sourceID=48","28149000")</f>
        <v>28149000</v>
      </c>
      <c r="G428" s="4" t="str">
        <f>HYPERLINK("http://141.218.60.56/~jnz1568/getInfo.php?workbook=18_16.xlsx&amp;sheet=A0&amp;row=428&amp;col=7&amp;number=&amp;sourceID=49","")</f>
        <v/>
      </c>
      <c r="H428" s="4" t="str">
        <f>HYPERLINK("http://141.218.60.56/~jnz1568/getInfo.php?workbook=18_16.xlsx&amp;sheet=A0&amp;row=428&amp;col=8&amp;number=&amp;sourceID=49","")</f>
        <v/>
      </c>
    </row>
    <row r="429" spans="1:8">
      <c r="A429" s="3">
        <v>18</v>
      </c>
      <c r="B429" s="3">
        <v>16</v>
      </c>
      <c r="C429" s="3">
        <v>65</v>
      </c>
      <c r="D429" s="3">
        <v>17</v>
      </c>
      <c r="E429" s="3">
        <f>((1/(INDEX(E0!J$4:J$87,C429,1)-INDEX(E0!J$4:J$87,D429,1))))*100000000</f>
        <v>0</v>
      </c>
      <c r="F429" s="4" t="str">
        <f>HYPERLINK("http://141.218.60.56/~jnz1568/getInfo.php?workbook=18_16.xlsx&amp;sheet=A0&amp;row=429&amp;col=6&amp;number=69653000&amp;sourceID=48","69653000")</f>
        <v>69653000</v>
      </c>
      <c r="G429" s="4" t="str">
        <f>HYPERLINK("http://141.218.60.56/~jnz1568/getInfo.php?workbook=18_16.xlsx&amp;sheet=A0&amp;row=429&amp;col=7&amp;number=&amp;sourceID=49","")</f>
        <v/>
      </c>
      <c r="H429" s="4" t="str">
        <f>HYPERLINK("http://141.218.60.56/~jnz1568/getInfo.php?workbook=18_16.xlsx&amp;sheet=A0&amp;row=429&amp;col=8&amp;number=&amp;sourceID=49","")</f>
        <v/>
      </c>
    </row>
    <row r="430" spans="1:8">
      <c r="A430" s="3">
        <v>18</v>
      </c>
      <c r="B430" s="3">
        <v>16</v>
      </c>
      <c r="C430" s="3">
        <v>65</v>
      </c>
      <c r="D430" s="3">
        <v>18</v>
      </c>
      <c r="E430" s="3">
        <f>((1/(INDEX(E0!J$4:J$87,C430,1)-INDEX(E0!J$4:J$87,D430,1))))*100000000</f>
        <v>0</v>
      </c>
      <c r="F430" s="4" t="str">
        <f>HYPERLINK("http://141.218.60.56/~jnz1568/getInfo.php?workbook=18_16.xlsx&amp;sheet=A0&amp;row=430&amp;col=6&amp;number=8846200&amp;sourceID=48","8846200")</f>
        <v>8846200</v>
      </c>
      <c r="G430" s="4" t="str">
        <f>HYPERLINK("http://141.218.60.56/~jnz1568/getInfo.php?workbook=18_16.xlsx&amp;sheet=A0&amp;row=430&amp;col=7&amp;number=&amp;sourceID=49","")</f>
        <v/>
      </c>
      <c r="H430" s="4" t="str">
        <f>HYPERLINK("http://141.218.60.56/~jnz1568/getInfo.php?workbook=18_16.xlsx&amp;sheet=A0&amp;row=430&amp;col=8&amp;number=&amp;sourceID=49","")</f>
        <v/>
      </c>
    </row>
    <row r="431" spans="1:8">
      <c r="A431" s="3">
        <v>18</v>
      </c>
      <c r="B431" s="3">
        <v>16</v>
      </c>
      <c r="C431" s="3">
        <v>65</v>
      </c>
      <c r="D431" s="3">
        <v>19</v>
      </c>
      <c r="E431" s="3">
        <f>((1/(INDEX(E0!J$4:J$87,C431,1)-INDEX(E0!J$4:J$87,D431,1))))*100000000</f>
        <v>0</v>
      </c>
      <c r="F431" s="4" t="str">
        <f>HYPERLINK("http://141.218.60.56/~jnz1568/getInfo.php?workbook=18_16.xlsx&amp;sheet=A0&amp;row=431&amp;col=6&amp;number=256550000&amp;sourceID=48","256550000")</f>
        <v>256550000</v>
      </c>
      <c r="G431" s="4" t="str">
        <f>HYPERLINK("http://141.218.60.56/~jnz1568/getInfo.php?workbook=18_16.xlsx&amp;sheet=A0&amp;row=431&amp;col=7&amp;number=&amp;sourceID=49","")</f>
        <v/>
      </c>
      <c r="H431" s="4" t="str">
        <f>HYPERLINK("http://141.218.60.56/~jnz1568/getInfo.php?workbook=18_16.xlsx&amp;sheet=A0&amp;row=431&amp;col=8&amp;number=&amp;sourceID=49","")</f>
        <v/>
      </c>
    </row>
    <row r="432" spans="1:8">
      <c r="A432" s="3">
        <v>18</v>
      </c>
      <c r="B432" s="3">
        <v>16</v>
      </c>
      <c r="C432" s="3">
        <v>65</v>
      </c>
      <c r="D432" s="3">
        <v>25</v>
      </c>
      <c r="E432" s="3">
        <f>((1/(INDEX(E0!J$4:J$87,C432,1)-INDEX(E0!J$4:J$87,D432,1))))*100000000</f>
        <v>0</v>
      </c>
      <c r="F432" s="4" t="str">
        <f>HYPERLINK("http://141.218.60.56/~jnz1568/getInfo.php?workbook=18_16.xlsx&amp;sheet=A0&amp;row=432&amp;col=6&amp;number=155.69&amp;sourceID=48","155.69")</f>
        <v>155.69</v>
      </c>
      <c r="G432" s="4" t="str">
        <f>HYPERLINK("http://141.218.60.56/~jnz1568/getInfo.php?workbook=18_16.xlsx&amp;sheet=A0&amp;row=432&amp;col=7&amp;number=&amp;sourceID=49","")</f>
        <v/>
      </c>
      <c r="H432" s="4" t="str">
        <f>HYPERLINK("http://141.218.60.56/~jnz1568/getInfo.php?workbook=18_16.xlsx&amp;sheet=A0&amp;row=432&amp;col=8&amp;number=&amp;sourceID=49","")</f>
        <v/>
      </c>
    </row>
    <row r="433" spans="1:8">
      <c r="A433" s="3">
        <v>18</v>
      </c>
      <c r="B433" s="3">
        <v>16</v>
      </c>
      <c r="C433" s="3">
        <v>65</v>
      </c>
      <c r="D433" s="3">
        <v>27</v>
      </c>
      <c r="E433" s="3">
        <f>((1/(INDEX(E0!J$4:J$87,C433,1)-INDEX(E0!J$4:J$87,D433,1))))*100000000</f>
        <v>0</v>
      </c>
      <c r="F433" s="4" t="str">
        <f>HYPERLINK("http://141.218.60.56/~jnz1568/getInfo.php?workbook=18_16.xlsx&amp;sheet=A0&amp;row=433&amp;col=6&amp;number=4748000&amp;sourceID=48","4748000")</f>
        <v>4748000</v>
      </c>
      <c r="G433" s="4" t="str">
        <f>HYPERLINK("http://141.218.60.56/~jnz1568/getInfo.php?workbook=18_16.xlsx&amp;sheet=A0&amp;row=433&amp;col=7&amp;number=&amp;sourceID=49","")</f>
        <v/>
      </c>
      <c r="H433" s="4" t="str">
        <f>HYPERLINK("http://141.218.60.56/~jnz1568/getInfo.php?workbook=18_16.xlsx&amp;sheet=A0&amp;row=433&amp;col=8&amp;number=&amp;sourceID=49","")</f>
        <v/>
      </c>
    </row>
    <row r="434" spans="1:8">
      <c r="A434" s="3">
        <v>18</v>
      </c>
      <c r="B434" s="3">
        <v>16</v>
      </c>
      <c r="C434" s="3">
        <v>65</v>
      </c>
      <c r="D434" s="3">
        <v>28</v>
      </c>
      <c r="E434" s="3">
        <f>((1/(INDEX(E0!J$4:J$87,C434,1)-INDEX(E0!J$4:J$87,D434,1))))*100000000</f>
        <v>0</v>
      </c>
      <c r="F434" s="4" t="str">
        <f>HYPERLINK("http://141.218.60.56/~jnz1568/getInfo.php?workbook=18_16.xlsx&amp;sheet=A0&amp;row=434&amp;col=6&amp;number=2284.2&amp;sourceID=48","2284.2")</f>
        <v>2284.2</v>
      </c>
      <c r="G434" s="4" t="str">
        <f>HYPERLINK("http://141.218.60.56/~jnz1568/getInfo.php?workbook=18_16.xlsx&amp;sheet=A0&amp;row=434&amp;col=7&amp;number=&amp;sourceID=49","")</f>
        <v/>
      </c>
      <c r="H434" s="4" t="str">
        <f>HYPERLINK("http://141.218.60.56/~jnz1568/getInfo.php?workbook=18_16.xlsx&amp;sheet=A0&amp;row=434&amp;col=8&amp;number=&amp;sourceID=49","")</f>
        <v/>
      </c>
    </row>
    <row r="435" spans="1:8">
      <c r="A435" s="3">
        <v>18</v>
      </c>
      <c r="B435" s="3">
        <v>16</v>
      </c>
      <c r="C435" s="3">
        <v>65</v>
      </c>
      <c r="D435" s="3">
        <v>31</v>
      </c>
      <c r="E435" s="3">
        <f>((1/(INDEX(E0!J$4:J$87,C435,1)-INDEX(E0!J$4:J$87,D435,1))))*100000000</f>
        <v>0</v>
      </c>
      <c r="F435" s="4" t="str">
        <f>HYPERLINK("http://141.218.60.56/~jnz1568/getInfo.php?workbook=18_16.xlsx&amp;sheet=A0&amp;row=435&amp;col=6&amp;number=2405300&amp;sourceID=48","2405300")</f>
        <v>2405300</v>
      </c>
      <c r="G435" s="4" t="str">
        <f>HYPERLINK("http://141.218.60.56/~jnz1568/getInfo.php?workbook=18_16.xlsx&amp;sheet=A0&amp;row=435&amp;col=7&amp;number=&amp;sourceID=49","")</f>
        <v/>
      </c>
      <c r="H435" s="4" t="str">
        <f>HYPERLINK("http://141.218.60.56/~jnz1568/getInfo.php?workbook=18_16.xlsx&amp;sheet=A0&amp;row=435&amp;col=8&amp;number=&amp;sourceID=49","")</f>
        <v/>
      </c>
    </row>
    <row r="436" spans="1:8">
      <c r="A436" s="3">
        <v>18</v>
      </c>
      <c r="B436" s="3">
        <v>16</v>
      </c>
      <c r="C436" s="3">
        <v>65</v>
      </c>
      <c r="D436" s="3">
        <v>32</v>
      </c>
      <c r="E436" s="3">
        <f>((1/(INDEX(E0!J$4:J$87,C436,1)-INDEX(E0!J$4:J$87,D436,1))))*100000000</f>
        <v>0</v>
      </c>
      <c r="F436" s="4" t="str">
        <f>HYPERLINK("http://141.218.60.56/~jnz1568/getInfo.php?workbook=18_16.xlsx&amp;sheet=A0&amp;row=436&amp;col=6&amp;number=22372000&amp;sourceID=48","22372000")</f>
        <v>22372000</v>
      </c>
      <c r="G436" s="4" t="str">
        <f>HYPERLINK("http://141.218.60.56/~jnz1568/getInfo.php?workbook=18_16.xlsx&amp;sheet=A0&amp;row=436&amp;col=7&amp;number=&amp;sourceID=49","")</f>
        <v/>
      </c>
      <c r="H436" s="4" t="str">
        <f>HYPERLINK("http://141.218.60.56/~jnz1568/getInfo.php?workbook=18_16.xlsx&amp;sheet=A0&amp;row=436&amp;col=8&amp;number=&amp;sourceID=49","")</f>
        <v/>
      </c>
    </row>
    <row r="437" spans="1:8">
      <c r="A437" s="3">
        <v>18</v>
      </c>
      <c r="B437" s="3">
        <v>16</v>
      </c>
      <c r="C437" s="3">
        <v>65</v>
      </c>
      <c r="D437" s="3">
        <v>33</v>
      </c>
      <c r="E437" s="3">
        <f>((1/(INDEX(E0!J$4:J$87,C437,1)-INDEX(E0!J$4:J$87,D437,1))))*100000000</f>
        <v>0</v>
      </c>
      <c r="F437" s="4" t="str">
        <f>HYPERLINK("http://141.218.60.56/~jnz1568/getInfo.php?workbook=18_16.xlsx&amp;sheet=A0&amp;row=437&amp;col=6&amp;number=7344700&amp;sourceID=48","7344700")</f>
        <v>7344700</v>
      </c>
      <c r="G437" s="4" t="str">
        <f>HYPERLINK("http://141.218.60.56/~jnz1568/getInfo.php?workbook=18_16.xlsx&amp;sheet=A0&amp;row=437&amp;col=7&amp;number=&amp;sourceID=49","")</f>
        <v/>
      </c>
      <c r="H437" s="4" t="str">
        <f>HYPERLINK("http://141.218.60.56/~jnz1568/getInfo.php?workbook=18_16.xlsx&amp;sheet=A0&amp;row=437&amp;col=8&amp;number=&amp;sourceID=49","")</f>
        <v/>
      </c>
    </row>
    <row r="438" spans="1:8">
      <c r="A438" s="3">
        <v>18</v>
      </c>
      <c r="B438" s="3">
        <v>16</v>
      </c>
      <c r="C438" s="3">
        <v>65</v>
      </c>
      <c r="D438" s="3">
        <v>34</v>
      </c>
      <c r="E438" s="3">
        <f>((1/(INDEX(E0!J$4:J$87,C438,1)-INDEX(E0!J$4:J$87,D438,1))))*100000000</f>
        <v>0</v>
      </c>
      <c r="F438" s="4" t="str">
        <f>HYPERLINK("http://141.218.60.56/~jnz1568/getInfo.php?workbook=18_16.xlsx&amp;sheet=A0&amp;row=438&amp;col=6&amp;number=2010100&amp;sourceID=48","2010100")</f>
        <v>2010100</v>
      </c>
      <c r="G438" s="4" t="str">
        <f>HYPERLINK("http://141.218.60.56/~jnz1568/getInfo.php?workbook=18_16.xlsx&amp;sheet=A0&amp;row=438&amp;col=7&amp;number=&amp;sourceID=49","")</f>
        <v/>
      </c>
      <c r="H438" s="4" t="str">
        <f>HYPERLINK("http://141.218.60.56/~jnz1568/getInfo.php?workbook=18_16.xlsx&amp;sheet=A0&amp;row=438&amp;col=8&amp;number=&amp;sourceID=49","")</f>
        <v/>
      </c>
    </row>
    <row r="439" spans="1:8">
      <c r="A439" s="3">
        <v>18</v>
      </c>
      <c r="B439" s="3">
        <v>16</v>
      </c>
      <c r="C439" s="3">
        <v>65</v>
      </c>
      <c r="D439" s="3">
        <v>35</v>
      </c>
      <c r="E439" s="3">
        <f>((1/(INDEX(E0!J$4:J$87,C439,1)-INDEX(E0!J$4:J$87,D439,1))))*100000000</f>
        <v>0</v>
      </c>
      <c r="F439" s="4" t="str">
        <f>HYPERLINK("http://141.218.60.56/~jnz1568/getInfo.php?workbook=18_16.xlsx&amp;sheet=A0&amp;row=439&amp;col=6&amp;number=1821100&amp;sourceID=48","1821100")</f>
        <v>1821100</v>
      </c>
      <c r="G439" s="4" t="str">
        <f>HYPERLINK("http://141.218.60.56/~jnz1568/getInfo.php?workbook=18_16.xlsx&amp;sheet=A0&amp;row=439&amp;col=7&amp;number=&amp;sourceID=49","")</f>
        <v/>
      </c>
      <c r="H439" s="4" t="str">
        <f>HYPERLINK("http://141.218.60.56/~jnz1568/getInfo.php?workbook=18_16.xlsx&amp;sheet=A0&amp;row=439&amp;col=8&amp;number=&amp;sourceID=49","")</f>
        <v/>
      </c>
    </row>
    <row r="440" spans="1:8">
      <c r="A440" s="3">
        <v>18</v>
      </c>
      <c r="B440" s="3">
        <v>16</v>
      </c>
      <c r="C440" s="3">
        <v>65</v>
      </c>
      <c r="D440" s="3">
        <v>37</v>
      </c>
      <c r="E440" s="3">
        <f>((1/(INDEX(E0!J$4:J$87,C440,1)-INDEX(E0!J$4:J$87,D440,1))))*100000000</f>
        <v>0</v>
      </c>
      <c r="F440" s="4" t="str">
        <f>HYPERLINK("http://141.218.60.56/~jnz1568/getInfo.php?workbook=18_16.xlsx&amp;sheet=A0&amp;row=440&amp;col=6&amp;number=57230&amp;sourceID=48","57230")</f>
        <v>57230</v>
      </c>
      <c r="G440" s="4" t="str">
        <f>HYPERLINK("http://141.218.60.56/~jnz1568/getInfo.php?workbook=18_16.xlsx&amp;sheet=A0&amp;row=440&amp;col=7&amp;number=&amp;sourceID=49","")</f>
        <v/>
      </c>
      <c r="H440" s="4" t="str">
        <f>HYPERLINK("http://141.218.60.56/~jnz1568/getInfo.php?workbook=18_16.xlsx&amp;sheet=A0&amp;row=440&amp;col=8&amp;number=&amp;sourceID=49","")</f>
        <v/>
      </c>
    </row>
    <row r="441" spans="1:8">
      <c r="A441" s="3">
        <v>18</v>
      </c>
      <c r="B441" s="3">
        <v>16</v>
      </c>
      <c r="C441" s="3">
        <v>65</v>
      </c>
      <c r="D441" s="3">
        <v>38</v>
      </c>
      <c r="E441" s="3">
        <f>((1/(INDEX(E0!J$4:J$87,C441,1)-INDEX(E0!J$4:J$87,D441,1))))*100000000</f>
        <v>0</v>
      </c>
      <c r="F441" s="4" t="str">
        <f>HYPERLINK("http://141.218.60.56/~jnz1568/getInfo.php?workbook=18_16.xlsx&amp;sheet=A0&amp;row=441&amp;col=6&amp;number=111160000&amp;sourceID=48","111160000")</f>
        <v>111160000</v>
      </c>
      <c r="G441" s="4" t="str">
        <f>HYPERLINK("http://141.218.60.56/~jnz1568/getInfo.php?workbook=18_16.xlsx&amp;sheet=A0&amp;row=441&amp;col=7&amp;number=&amp;sourceID=49","")</f>
        <v/>
      </c>
      <c r="H441" s="4" t="str">
        <f>HYPERLINK("http://141.218.60.56/~jnz1568/getInfo.php?workbook=18_16.xlsx&amp;sheet=A0&amp;row=441&amp;col=8&amp;number=&amp;sourceID=49","")</f>
        <v/>
      </c>
    </row>
    <row r="442" spans="1:8">
      <c r="A442" s="3">
        <v>18</v>
      </c>
      <c r="B442" s="3">
        <v>16</v>
      </c>
      <c r="C442" s="3">
        <v>65</v>
      </c>
      <c r="D442" s="3">
        <v>39</v>
      </c>
      <c r="E442" s="3">
        <f>((1/(INDEX(E0!J$4:J$87,C442,1)-INDEX(E0!J$4:J$87,D442,1))))*100000000</f>
        <v>0</v>
      </c>
      <c r="F442" s="4" t="str">
        <f>HYPERLINK("http://141.218.60.56/~jnz1568/getInfo.php?workbook=18_16.xlsx&amp;sheet=A0&amp;row=442&amp;col=6&amp;number=37097000&amp;sourceID=48","37097000")</f>
        <v>37097000</v>
      </c>
      <c r="G442" s="4" t="str">
        <f>HYPERLINK("http://141.218.60.56/~jnz1568/getInfo.php?workbook=18_16.xlsx&amp;sheet=A0&amp;row=442&amp;col=7&amp;number=&amp;sourceID=49","")</f>
        <v/>
      </c>
      <c r="H442" s="4" t="str">
        <f>HYPERLINK("http://141.218.60.56/~jnz1568/getInfo.php?workbook=18_16.xlsx&amp;sheet=A0&amp;row=442&amp;col=8&amp;number=&amp;sourceID=49","")</f>
        <v/>
      </c>
    </row>
    <row r="443" spans="1:8">
      <c r="A443" s="3">
        <v>18</v>
      </c>
      <c r="B443" s="3">
        <v>16</v>
      </c>
      <c r="C443" s="3">
        <v>65</v>
      </c>
      <c r="D443" s="3">
        <v>41</v>
      </c>
      <c r="E443" s="3">
        <f>((1/(INDEX(E0!J$4:J$87,C443,1)-INDEX(E0!J$4:J$87,D443,1))))*100000000</f>
        <v>0</v>
      </c>
      <c r="F443" s="4" t="str">
        <f>HYPERLINK("http://141.218.60.56/~jnz1568/getInfo.php?workbook=18_16.xlsx&amp;sheet=A0&amp;row=443&amp;col=6&amp;number=10880000&amp;sourceID=48","10880000")</f>
        <v>10880000</v>
      </c>
      <c r="G443" s="4" t="str">
        <f>HYPERLINK("http://141.218.60.56/~jnz1568/getInfo.php?workbook=18_16.xlsx&amp;sheet=A0&amp;row=443&amp;col=7&amp;number=&amp;sourceID=49","")</f>
        <v/>
      </c>
      <c r="H443" s="4" t="str">
        <f>HYPERLINK("http://141.218.60.56/~jnz1568/getInfo.php?workbook=18_16.xlsx&amp;sheet=A0&amp;row=443&amp;col=8&amp;number=&amp;sourceID=49","")</f>
        <v/>
      </c>
    </row>
    <row r="444" spans="1:8">
      <c r="A444" s="3">
        <v>18</v>
      </c>
      <c r="B444" s="3">
        <v>16</v>
      </c>
      <c r="C444" s="3">
        <v>65</v>
      </c>
      <c r="D444" s="3">
        <v>45</v>
      </c>
      <c r="E444" s="3">
        <f>((1/(INDEX(E0!J$4:J$87,C444,1)-INDEX(E0!J$4:J$87,D444,1))))*100000000</f>
        <v>0</v>
      </c>
      <c r="F444" s="4" t="str">
        <f>HYPERLINK("http://141.218.60.56/~jnz1568/getInfo.php?workbook=18_16.xlsx&amp;sheet=A0&amp;row=444&amp;col=6&amp;number=11116&amp;sourceID=48","11116")</f>
        <v>11116</v>
      </c>
      <c r="G444" s="4" t="str">
        <f>HYPERLINK("http://141.218.60.56/~jnz1568/getInfo.php?workbook=18_16.xlsx&amp;sheet=A0&amp;row=444&amp;col=7&amp;number=&amp;sourceID=49","")</f>
        <v/>
      </c>
      <c r="H444" s="4" t="str">
        <f>HYPERLINK("http://141.218.60.56/~jnz1568/getInfo.php?workbook=18_16.xlsx&amp;sheet=A0&amp;row=444&amp;col=8&amp;number=&amp;sourceID=49","")</f>
        <v/>
      </c>
    </row>
    <row r="445" spans="1:8">
      <c r="A445" s="3">
        <v>18</v>
      </c>
      <c r="B445" s="3">
        <v>16</v>
      </c>
      <c r="C445" s="3">
        <v>65</v>
      </c>
      <c r="D445" s="3">
        <v>47</v>
      </c>
      <c r="E445" s="3">
        <f>((1/(INDEX(E0!J$4:J$87,C445,1)-INDEX(E0!J$4:J$87,D445,1))))*100000000</f>
        <v>0</v>
      </c>
      <c r="F445" s="4" t="str">
        <f>HYPERLINK("http://141.218.60.56/~jnz1568/getInfo.php?workbook=18_16.xlsx&amp;sheet=A0&amp;row=445&amp;col=6&amp;number=68397&amp;sourceID=48","68397")</f>
        <v>68397</v>
      </c>
      <c r="G445" s="4" t="str">
        <f>HYPERLINK("http://141.218.60.56/~jnz1568/getInfo.php?workbook=18_16.xlsx&amp;sheet=A0&amp;row=445&amp;col=7&amp;number=&amp;sourceID=49","")</f>
        <v/>
      </c>
      <c r="H445" s="4" t="str">
        <f>HYPERLINK("http://141.218.60.56/~jnz1568/getInfo.php?workbook=18_16.xlsx&amp;sheet=A0&amp;row=445&amp;col=8&amp;number=&amp;sourceID=49","")</f>
        <v/>
      </c>
    </row>
    <row r="446" spans="1:8">
      <c r="A446" s="3">
        <v>18</v>
      </c>
      <c r="B446" s="3">
        <v>16</v>
      </c>
      <c r="C446" s="3">
        <v>65</v>
      </c>
      <c r="D446" s="3">
        <v>48</v>
      </c>
      <c r="E446" s="3">
        <f>((1/(INDEX(E0!J$4:J$87,C446,1)-INDEX(E0!J$4:J$87,D446,1))))*100000000</f>
        <v>0</v>
      </c>
      <c r="F446" s="4" t="str">
        <f>HYPERLINK("http://141.218.60.56/~jnz1568/getInfo.php?workbook=18_16.xlsx&amp;sheet=A0&amp;row=446&amp;col=6&amp;number=662620&amp;sourceID=48","662620")</f>
        <v>662620</v>
      </c>
      <c r="G446" s="4" t="str">
        <f>HYPERLINK("http://141.218.60.56/~jnz1568/getInfo.php?workbook=18_16.xlsx&amp;sheet=A0&amp;row=446&amp;col=7&amp;number=&amp;sourceID=49","")</f>
        <v/>
      </c>
      <c r="H446" s="4" t="str">
        <f>HYPERLINK("http://141.218.60.56/~jnz1568/getInfo.php?workbook=18_16.xlsx&amp;sheet=A0&amp;row=446&amp;col=8&amp;number=&amp;sourceID=49","")</f>
        <v/>
      </c>
    </row>
    <row r="447" spans="1:8">
      <c r="A447" s="3">
        <v>18</v>
      </c>
      <c r="B447" s="3">
        <v>16</v>
      </c>
      <c r="C447" s="3">
        <v>65</v>
      </c>
      <c r="D447" s="3">
        <v>49</v>
      </c>
      <c r="E447" s="3">
        <f>((1/(INDEX(E0!J$4:J$87,C447,1)-INDEX(E0!J$4:J$87,D447,1))))*100000000</f>
        <v>0</v>
      </c>
      <c r="F447" s="4" t="str">
        <f>HYPERLINK("http://141.218.60.56/~jnz1568/getInfo.php?workbook=18_16.xlsx&amp;sheet=A0&amp;row=447&amp;col=6&amp;number=1205600&amp;sourceID=48","1205600")</f>
        <v>1205600</v>
      </c>
      <c r="G447" s="4" t="str">
        <f>HYPERLINK("http://141.218.60.56/~jnz1568/getInfo.php?workbook=18_16.xlsx&amp;sheet=A0&amp;row=447&amp;col=7&amp;number=&amp;sourceID=49","")</f>
        <v/>
      </c>
      <c r="H447" s="4" t="str">
        <f>HYPERLINK("http://141.218.60.56/~jnz1568/getInfo.php?workbook=18_16.xlsx&amp;sheet=A0&amp;row=447&amp;col=8&amp;number=&amp;sourceID=49","")</f>
        <v/>
      </c>
    </row>
    <row r="448" spans="1:8">
      <c r="A448" s="3">
        <v>18</v>
      </c>
      <c r="B448" s="3">
        <v>16</v>
      </c>
      <c r="C448" s="3">
        <v>65</v>
      </c>
      <c r="D448" s="3">
        <v>54</v>
      </c>
      <c r="E448" s="3">
        <f>((1/(INDEX(E0!J$4:J$87,C448,1)-INDEX(E0!J$4:J$87,D448,1))))*100000000</f>
        <v>0</v>
      </c>
      <c r="F448" s="4" t="str">
        <f>HYPERLINK("http://141.218.60.56/~jnz1568/getInfo.php?workbook=18_16.xlsx&amp;sheet=A0&amp;row=448&amp;col=6&amp;number=122190&amp;sourceID=48","122190")</f>
        <v>122190</v>
      </c>
      <c r="G448" s="4" t="str">
        <f>HYPERLINK("http://141.218.60.56/~jnz1568/getInfo.php?workbook=18_16.xlsx&amp;sheet=A0&amp;row=448&amp;col=7&amp;number=&amp;sourceID=49","")</f>
        <v/>
      </c>
      <c r="H448" s="4" t="str">
        <f>HYPERLINK("http://141.218.60.56/~jnz1568/getInfo.php?workbook=18_16.xlsx&amp;sheet=A0&amp;row=448&amp;col=8&amp;number=&amp;sourceID=49","")</f>
        <v/>
      </c>
    </row>
    <row r="449" spans="1:8">
      <c r="A449" s="3">
        <v>18</v>
      </c>
      <c r="B449" s="3">
        <v>16</v>
      </c>
      <c r="C449" s="3">
        <v>65</v>
      </c>
      <c r="D449" s="3">
        <v>55</v>
      </c>
      <c r="E449" s="3">
        <f>((1/(INDEX(E0!J$4:J$87,C449,1)-INDEX(E0!J$4:J$87,D449,1))))*100000000</f>
        <v>0</v>
      </c>
      <c r="F449" s="4" t="str">
        <f>HYPERLINK("http://141.218.60.56/~jnz1568/getInfo.php?workbook=18_16.xlsx&amp;sheet=A0&amp;row=449&amp;col=6&amp;number=512740&amp;sourceID=48","512740")</f>
        <v>512740</v>
      </c>
      <c r="G449" s="4" t="str">
        <f>HYPERLINK("http://141.218.60.56/~jnz1568/getInfo.php?workbook=18_16.xlsx&amp;sheet=A0&amp;row=449&amp;col=7&amp;number=&amp;sourceID=49","")</f>
        <v/>
      </c>
      <c r="H449" s="4" t="str">
        <f>HYPERLINK("http://141.218.60.56/~jnz1568/getInfo.php?workbook=18_16.xlsx&amp;sheet=A0&amp;row=449&amp;col=8&amp;number=&amp;sourceID=49","")</f>
        <v/>
      </c>
    </row>
    <row r="450" spans="1:8">
      <c r="A450" s="3">
        <v>18</v>
      </c>
      <c r="B450" s="3">
        <v>16</v>
      </c>
      <c r="C450" s="3">
        <v>65</v>
      </c>
      <c r="D450" s="3">
        <v>56</v>
      </c>
      <c r="E450" s="3">
        <f>((1/(INDEX(E0!J$4:J$87,C450,1)-INDEX(E0!J$4:J$87,D450,1))))*100000000</f>
        <v>0</v>
      </c>
      <c r="F450" s="4" t="str">
        <f>HYPERLINK("http://141.218.60.56/~jnz1568/getInfo.php?workbook=18_16.xlsx&amp;sheet=A0&amp;row=450&amp;col=6&amp;number=317040&amp;sourceID=48","317040")</f>
        <v>317040</v>
      </c>
      <c r="G450" s="4" t="str">
        <f>HYPERLINK("http://141.218.60.56/~jnz1568/getInfo.php?workbook=18_16.xlsx&amp;sheet=A0&amp;row=450&amp;col=7&amp;number=&amp;sourceID=49","")</f>
        <v/>
      </c>
      <c r="H450" s="4" t="str">
        <f>HYPERLINK("http://141.218.60.56/~jnz1568/getInfo.php?workbook=18_16.xlsx&amp;sheet=A0&amp;row=450&amp;col=8&amp;number=&amp;sourceID=49","")</f>
        <v/>
      </c>
    </row>
    <row r="451" spans="1:8">
      <c r="A451" s="3">
        <v>18</v>
      </c>
      <c r="B451" s="3">
        <v>16</v>
      </c>
      <c r="C451" s="3">
        <v>65</v>
      </c>
      <c r="D451" s="3">
        <v>57</v>
      </c>
      <c r="E451" s="3">
        <f>((1/(INDEX(E0!J$4:J$87,C451,1)-INDEX(E0!J$4:J$87,D451,1))))*100000000</f>
        <v>0</v>
      </c>
      <c r="F451" s="4" t="str">
        <f>HYPERLINK("http://141.218.60.56/~jnz1568/getInfo.php?workbook=18_16.xlsx&amp;sheet=A0&amp;row=451&amp;col=6&amp;number=3078.2&amp;sourceID=48","3078.2")</f>
        <v>3078.2</v>
      </c>
      <c r="G451" s="4" t="str">
        <f>HYPERLINK("http://141.218.60.56/~jnz1568/getInfo.php?workbook=18_16.xlsx&amp;sheet=A0&amp;row=451&amp;col=7&amp;number=&amp;sourceID=49","")</f>
        <v/>
      </c>
      <c r="H451" s="4" t="str">
        <f>HYPERLINK("http://141.218.60.56/~jnz1568/getInfo.php?workbook=18_16.xlsx&amp;sheet=A0&amp;row=451&amp;col=8&amp;number=&amp;sourceID=49","")</f>
        <v/>
      </c>
    </row>
    <row r="452" spans="1:8">
      <c r="A452" s="3">
        <v>18</v>
      </c>
      <c r="B452" s="3">
        <v>16</v>
      </c>
      <c r="C452" s="3">
        <v>65</v>
      </c>
      <c r="D452" s="3">
        <v>58</v>
      </c>
      <c r="E452" s="3">
        <f>((1/(INDEX(E0!J$4:J$87,C452,1)-INDEX(E0!J$4:J$87,D452,1))))*100000000</f>
        <v>0</v>
      </c>
      <c r="F452" s="4" t="str">
        <f>HYPERLINK("http://141.218.60.56/~jnz1568/getInfo.php?workbook=18_16.xlsx&amp;sheet=A0&amp;row=452&amp;col=6&amp;number=14499&amp;sourceID=48","14499")</f>
        <v>14499</v>
      </c>
      <c r="G452" s="4" t="str">
        <f>HYPERLINK("http://141.218.60.56/~jnz1568/getInfo.php?workbook=18_16.xlsx&amp;sheet=A0&amp;row=452&amp;col=7&amp;number=&amp;sourceID=49","")</f>
        <v/>
      </c>
      <c r="H452" s="4" t="str">
        <f>HYPERLINK("http://141.218.60.56/~jnz1568/getInfo.php?workbook=18_16.xlsx&amp;sheet=A0&amp;row=452&amp;col=8&amp;number=&amp;sourceID=49","")</f>
        <v/>
      </c>
    </row>
    <row r="453" spans="1:8">
      <c r="A453" s="3">
        <v>18</v>
      </c>
      <c r="B453" s="3">
        <v>16</v>
      </c>
      <c r="C453" s="3">
        <v>65</v>
      </c>
      <c r="D453" s="3">
        <v>59</v>
      </c>
      <c r="E453" s="3">
        <f>((1/(INDEX(E0!J$4:J$87,C453,1)-INDEX(E0!J$4:J$87,D453,1))))*100000000</f>
        <v>0</v>
      </c>
      <c r="F453" s="4" t="str">
        <f>HYPERLINK("http://141.218.60.56/~jnz1568/getInfo.php?workbook=18_16.xlsx&amp;sheet=A0&amp;row=453&amp;col=6&amp;number=9911.4&amp;sourceID=48","9911.4")</f>
        <v>9911.4</v>
      </c>
      <c r="G453" s="4" t="str">
        <f>HYPERLINK("http://141.218.60.56/~jnz1568/getInfo.php?workbook=18_16.xlsx&amp;sheet=A0&amp;row=453&amp;col=7&amp;number=&amp;sourceID=49","")</f>
        <v/>
      </c>
      <c r="H453" s="4" t="str">
        <f>HYPERLINK("http://141.218.60.56/~jnz1568/getInfo.php?workbook=18_16.xlsx&amp;sheet=A0&amp;row=453&amp;col=8&amp;number=&amp;sourceID=49","")</f>
        <v/>
      </c>
    </row>
    <row r="454" spans="1:8">
      <c r="A454" s="3">
        <v>18</v>
      </c>
      <c r="B454" s="3">
        <v>16</v>
      </c>
      <c r="C454" s="3">
        <v>65</v>
      </c>
      <c r="D454" s="3">
        <v>60</v>
      </c>
      <c r="E454" s="3">
        <f>((1/(INDEX(E0!J$4:J$87,C454,1)-INDEX(E0!J$4:J$87,D454,1))))*100000000</f>
        <v>0</v>
      </c>
      <c r="F454" s="4" t="str">
        <f>HYPERLINK("http://141.218.60.56/~jnz1568/getInfo.php?workbook=18_16.xlsx&amp;sheet=A0&amp;row=454&amp;col=6&amp;number=1525.5&amp;sourceID=48","1525.5")</f>
        <v>1525.5</v>
      </c>
      <c r="G454" s="4" t="str">
        <f>HYPERLINK("http://141.218.60.56/~jnz1568/getInfo.php?workbook=18_16.xlsx&amp;sheet=A0&amp;row=454&amp;col=7&amp;number=&amp;sourceID=49","")</f>
        <v/>
      </c>
      <c r="H454" s="4" t="str">
        <f>HYPERLINK("http://141.218.60.56/~jnz1568/getInfo.php?workbook=18_16.xlsx&amp;sheet=A0&amp;row=454&amp;col=8&amp;number=&amp;sourceID=49","")</f>
        <v/>
      </c>
    </row>
    <row r="455" spans="1:8">
      <c r="A455" s="3">
        <v>18</v>
      </c>
      <c r="B455" s="3">
        <v>16</v>
      </c>
      <c r="C455" s="3">
        <v>65</v>
      </c>
      <c r="D455" s="3">
        <v>61</v>
      </c>
      <c r="E455" s="3">
        <f>((1/(INDEX(E0!J$4:J$87,C455,1)-INDEX(E0!J$4:J$87,D455,1))))*100000000</f>
        <v>0</v>
      </c>
      <c r="F455" s="4" t="str">
        <f>HYPERLINK("http://141.218.60.56/~jnz1568/getInfo.php?workbook=18_16.xlsx&amp;sheet=A0&amp;row=455&amp;col=6&amp;number=601.3&amp;sourceID=48","601.3")</f>
        <v>601.3</v>
      </c>
      <c r="G455" s="4" t="str">
        <f>HYPERLINK("http://141.218.60.56/~jnz1568/getInfo.php?workbook=18_16.xlsx&amp;sheet=A0&amp;row=455&amp;col=7&amp;number=&amp;sourceID=49","")</f>
        <v/>
      </c>
      <c r="H455" s="4" t="str">
        <f>HYPERLINK("http://141.218.60.56/~jnz1568/getInfo.php?workbook=18_16.xlsx&amp;sheet=A0&amp;row=455&amp;col=8&amp;number=&amp;sourceID=49","")</f>
        <v/>
      </c>
    </row>
    <row r="456" spans="1:8">
      <c r="A456" s="3">
        <v>18</v>
      </c>
      <c r="B456" s="3">
        <v>16</v>
      </c>
      <c r="C456" s="3">
        <v>66</v>
      </c>
      <c r="D456" s="3">
        <v>6</v>
      </c>
      <c r="E456" s="3">
        <f>((1/(INDEX(E0!J$4:J$87,C456,1)-INDEX(E0!J$4:J$87,D456,1))))*100000000</f>
        <v>0</v>
      </c>
      <c r="F456" s="4" t="str">
        <f>HYPERLINK("http://141.218.60.56/~jnz1568/getInfo.php?workbook=18_16.xlsx&amp;sheet=A0&amp;row=456&amp;col=6&amp;number=25444000&amp;sourceID=48","25444000")</f>
        <v>25444000</v>
      </c>
      <c r="G456" s="4" t="str">
        <f>HYPERLINK("http://141.218.60.56/~jnz1568/getInfo.php?workbook=18_16.xlsx&amp;sheet=A0&amp;row=456&amp;col=7&amp;number=&amp;sourceID=49","")</f>
        <v/>
      </c>
      <c r="H456" s="4" t="str">
        <f>HYPERLINK("http://141.218.60.56/~jnz1568/getInfo.php?workbook=18_16.xlsx&amp;sheet=A0&amp;row=456&amp;col=8&amp;number=&amp;sourceID=49","")</f>
        <v/>
      </c>
    </row>
    <row r="457" spans="1:8">
      <c r="A457" s="3">
        <v>18</v>
      </c>
      <c r="B457" s="3">
        <v>16</v>
      </c>
      <c r="C457" s="3">
        <v>66</v>
      </c>
      <c r="D457" s="3">
        <v>12</v>
      </c>
      <c r="E457" s="3">
        <f>((1/(INDEX(E0!J$4:J$87,C457,1)-INDEX(E0!J$4:J$87,D457,1))))*100000000</f>
        <v>0</v>
      </c>
      <c r="F457" s="4" t="str">
        <f>HYPERLINK("http://141.218.60.56/~jnz1568/getInfo.php?workbook=18_16.xlsx&amp;sheet=A0&amp;row=457&amp;col=6&amp;number=974&amp;sourceID=48","974")</f>
        <v>974</v>
      </c>
      <c r="G457" s="4" t="str">
        <f>HYPERLINK("http://141.218.60.56/~jnz1568/getInfo.php?workbook=18_16.xlsx&amp;sheet=A0&amp;row=457&amp;col=7&amp;number=&amp;sourceID=49","")</f>
        <v/>
      </c>
      <c r="H457" s="4" t="str">
        <f>HYPERLINK("http://141.218.60.56/~jnz1568/getInfo.php?workbook=18_16.xlsx&amp;sheet=A0&amp;row=457&amp;col=8&amp;number=&amp;sourceID=49","")</f>
        <v/>
      </c>
    </row>
    <row r="458" spans="1:8">
      <c r="A458" s="3">
        <v>18</v>
      </c>
      <c r="B458" s="3">
        <v>16</v>
      </c>
      <c r="C458" s="3">
        <v>66</v>
      </c>
      <c r="D458" s="3">
        <v>13</v>
      </c>
      <c r="E458" s="3">
        <f>((1/(INDEX(E0!J$4:J$87,C458,1)-INDEX(E0!J$4:J$87,D458,1))))*100000000</f>
        <v>0</v>
      </c>
      <c r="F458" s="4" t="str">
        <f>HYPERLINK("http://141.218.60.56/~jnz1568/getInfo.php?workbook=18_16.xlsx&amp;sheet=A0&amp;row=458&amp;col=6&amp;number=14050&amp;sourceID=48","14050")</f>
        <v>14050</v>
      </c>
      <c r="G458" s="4" t="str">
        <f>HYPERLINK("http://141.218.60.56/~jnz1568/getInfo.php?workbook=18_16.xlsx&amp;sheet=A0&amp;row=458&amp;col=7&amp;number=&amp;sourceID=49","")</f>
        <v/>
      </c>
      <c r="H458" s="4" t="str">
        <f>HYPERLINK("http://141.218.60.56/~jnz1568/getInfo.php?workbook=18_16.xlsx&amp;sheet=A0&amp;row=458&amp;col=8&amp;number=&amp;sourceID=49","")</f>
        <v/>
      </c>
    </row>
    <row r="459" spans="1:8">
      <c r="A459" s="3">
        <v>18</v>
      </c>
      <c r="B459" s="3">
        <v>16</v>
      </c>
      <c r="C459" s="3">
        <v>66</v>
      </c>
      <c r="D459" s="3">
        <v>14</v>
      </c>
      <c r="E459" s="3">
        <f>((1/(INDEX(E0!J$4:J$87,C459,1)-INDEX(E0!J$4:J$87,D459,1))))*100000000</f>
        <v>0</v>
      </c>
      <c r="F459" s="4" t="str">
        <f>HYPERLINK("http://141.218.60.56/~jnz1568/getInfo.php?workbook=18_16.xlsx&amp;sheet=A0&amp;row=459&amp;col=6&amp;number=6403.4&amp;sourceID=48","6403.4")</f>
        <v>6403.4</v>
      </c>
      <c r="G459" s="4" t="str">
        <f>HYPERLINK("http://141.218.60.56/~jnz1568/getInfo.php?workbook=18_16.xlsx&amp;sheet=A0&amp;row=459&amp;col=7&amp;number=&amp;sourceID=49","")</f>
        <v/>
      </c>
      <c r="H459" s="4" t="str">
        <f>HYPERLINK("http://141.218.60.56/~jnz1568/getInfo.php?workbook=18_16.xlsx&amp;sheet=A0&amp;row=459&amp;col=8&amp;number=&amp;sourceID=49","")</f>
        <v/>
      </c>
    </row>
    <row r="460" spans="1:8">
      <c r="A460" s="3">
        <v>18</v>
      </c>
      <c r="B460" s="3">
        <v>16</v>
      </c>
      <c r="C460" s="3">
        <v>66</v>
      </c>
      <c r="D460" s="3">
        <v>15</v>
      </c>
      <c r="E460" s="3">
        <f>((1/(INDEX(E0!J$4:J$87,C460,1)-INDEX(E0!J$4:J$87,D460,1))))*100000000</f>
        <v>0</v>
      </c>
      <c r="F460" s="4" t="str">
        <f>HYPERLINK("http://141.218.60.56/~jnz1568/getInfo.php?workbook=18_16.xlsx&amp;sheet=A0&amp;row=460&amp;col=6&amp;number=79447000&amp;sourceID=48","79447000")</f>
        <v>79447000</v>
      </c>
      <c r="G460" s="4" t="str">
        <f>HYPERLINK("http://141.218.60.56/~jnz1568/getInfo.php?workbook=18_16.xlsx&amp;sheet=A0&amp;row=460&amp;col=7&amp;number=&amp;sourceID=49","")</f>
        <v/>
      </c>
      <c r="H460" s="4" t="str">
        <f>HYPERLINK("http://141.218.60.56/~jnz1568/getInfo.php?workbook=18_16.xlsx&amp;sheet=A0&amp;row=460&amp;col=8&amp;number=&amp;sourceID=49","")</f>
        <v/>
      </c>
    </row>
    <row r="461" spans="1:8">
      <c r="A461" s="3">
        <v>18</v>
      </c>
      <c r="B461" s="3">
        <v>16</v>
      </c>
      <c r="C461" s="3">
        <v>66</v>
      </c>
      <c r="D461" s="3">
        <v>16</v>
      </c>
      <c r="E461" s="3">
        <f>((1/(INDEX(E0!J$4:J$87,C461,1)-INDEX(E0!J$4:J$87,D461,1))))*100000000</f>
        <v>0</v>
      </c>
      <c r="F461" s="4" t="str">
        <f>HYPERLINK("http://141.218.60.56/~jnz1568/getInfo.php?workbook=18_16.xlsx&amp;sheet=A0&amp;row=461&amp;col=6&amp;number=15012000&amp;sourceID=48","15012000")</f>
        <v>15012000</v>
      </c>
      <c r="G461" s="4" t="str">
        <f>HYPERLINK("http://141.218.60.56/~jnz1568/getInfo.php?workbook=18_16.xlsx&amp;sheet=A0&amp;row=461&amp;col=7&amp;number=&amp;sourceID=49","")</f>
        <v/>
      </c>
      <c r="H461" s="4" t="str">
        <f>HYPERLINK("http://141.218.60.56/~jnz1568/getInfo.php?workbook=18_16.xlsx&amp;sheet=A0&amp;row=461&amp;col=8&amp;number=&amp;sourceID=49","")</f>
        <v/>
      </c>
    </row>
    <row r="462" spans="1:8">
      <c r="A462" s="3">
        <v>18</v>
      </c>
      <c r="B462" s="3">
        <v>16</v>
      </c>
      <c r="C462" s="3">
        <v>66</v>
      </c>
      <c r="D462" s="3">
        <v>19</v>
      </c>
      <c r="E462" s="3">
        <f>((1/(INDEX(E0!J$4:J$87,C462,1)-INDEX(E0!J$4:J$87,D462,1))))*100000000</f>
        <v>0</v>
      </c>
      <c r="F462" s="4" t="str">
        <f>HYPERLINK("http://141.218.60.56/~jnz1568/getInfo.php?workbook=18_16.xlsx&amp;sheet=A0&amp;row=462&amp;col=6&amp;number=2149300&amp;sourceID=48","2149300")</f>
        <v>2149300</v>
      </c>
      <c r="G462" s="4" t="str">
        <f>HYPERLINK("http://141.218.60.56/~jnz1568/getInfo.php?workbook=18_16.xlsx&amp;sheet=A0&amp;row=462&amp;col=7&amp;number=&amp;sourceID=49","")</f>
        <v/>
      </c>
      <c r="H462" s="4" t="str">
        <f>HYPERLINK("http://141.218.60.56/~jnz1568/getInfo.php?workbook=18_16.xlsx&amp;sheet=A0&amp;row=462&amp;col=8&amp;number=&amp;sourceID=49","")</f>
        <v/>
      </c>
    </row>
    <row r="463" spans="1:8">
      <c r="A463" s="3">
        <v>18</v>
      </c>
      <c r="B463" s="3">
        <v>16</v>
      </c>
      <c r="C463" s="3">
        <v>66</v>
      </c>
      <c r="D463" s="3">
        <v>20</v>
      </c>
      <c r="E463" s="3">
        <f>((1/(INDEX(E0!J$4:J$87,C463,1)-INDEX(E0!J$4:J$87,D463,1))))*100000000</f>
        <v>0</v>
      </c>
      <c r="F463" s="4" t="str">
        <f>HYPERLINK("http://141.218.60.56/~jnz1568/getInfo.php?workbook=18_16.xlsx&amp;sheet=A0&amp;row=463&amp;col=6&amp;number=45359000&amp;sourceID=48","45359000")</f>
        <v>45359000</v>
      </c>
      <c r="G463" s="4" t="str">
        <f>HYPERLINK("http://141.218.60.56/~jnz1568/getInfo.php?workbook=18_16.xlsx&amp;sheet=A0&amp;row=463&amp;col=7&amp;number=&amp;sourceID=49","")</f>
        <v/>
      </c>
      <c r="H463" s="4" t="str">
        <f>HYPERLINK("http://141.218.60.56/~jnz1568/getInfo.php?workbook=18_16.xlsx&amp;sheet=A0&amp;row=463&amp;col=8&amp;number=&amp;sourceID=49","")</f>
        <v/>
      </c>
    </row>
    <row r="464" spans="1:8">
      <c r="A464" s="3">
        <v>18</v>
      </c>
      <c r="B464" s="3">
        <v>16</v>
      </c>
      <c r="C464" s="3">
        <v>66</v>
      </c>
      <c r="D464" s="3">
        <v>21</v>
      </c>
      <c r="E464" s="3">
        <f>((1/(INDEX(E0!J$4:J$87,C464,1)-INDEX(E0!J$4:J$87,D464,1))))*100000000</f>
        <v>0</v>
      </c>
      <c r="F464" s="4" t="str">
        <f>HYPERLINK("http://141.218.60.56/~jnz1568/getInfo.php?workbook=18_16.xlsx&amp;sheet=A0&amp;row=464&amp;col=6&amp;number=240270000&amp;sourceID=48","240270000")</f>
        <v>240270000</v>
      </c>
      <c r="G464" s="4" t="str">
        <f>HYPERLINK("http://141.218.60.56/~jnz1568/getInfo.php?workbook=18_16.xlsx&amp;sheet=A0&amp;row=464&amp;col=7&amp;number=&amp;sourceID=49","")</f>
        <v/>
      </c>
      <c r="H464" s="4" t="str">
        <f>HYPERLINK("http://141.218.60.56/~jnz1568/getInfo.php?workbook=18_16.xlsx&amp;sheet=A0&amp;row=464&amp;col=8&amp;number=&amp;sourceID=49","")</f>
        <v/>
      </c>
    </row>
    <row r="465" spans="1:8">
      <c r="A465" s="3">
        <v>18</v>
      </c>
      <c r="B465" s="3">
        <v>16</v>
      </c>
      <c r="C465" s="3">
        <v>66</v>
      </c>
      <c r="D465" s="3">
        <v>22</v>
      </c>
      <c r="E465" s="3">
        <f>((1/(INDEX(E0!J$4:J$87,C465,1)-INDEX(E0!J$4:J$87,D465,1))))*100000000</f>
        <v>0</v>
      </c>
      <c r="F465" s="4" t="str">
        <f>HYPERLINK("http://141.218.60.56/~jnz1568/getInfo.php?workbook=18_16.xlsx&amp;sheet=A0&amp;row=465&amp;col=6&amp;number=304070&amp;sourceID=48","304070")</f>
        <v>304070</v>
      </c>
      <c r="G465" s="4" t="str">
        <f>HYPERLINK("http://141.218.60.56/~jnz1568/getInfo.php?workbook=18_16.xlsx&amp;sheet=A0&amp;row=465&amp;col=7&amp;number=&amp;sourceID=49","")</f>
        <v/>
      </c>
      <c r="H465" s="4" t="str">
        <f>HYPERLINK("http://141.218.60.56/~jnz1568/getInfo.php?workbook=18_16.xlsx&amp;sheet=A0&amp;row=465&amp;col=8&amp;number=&amp;sourceID=49","")</f>
        <v/>
      </c>
    </row>
    <row r="466" spans="1:8">
      <c r="A466" s="3">
        <v>18</v>
      </c>
      <c r="B466" s="3">
        <v>16</v>
      </c>
      <c r="C466" s="3">
        <v>66</v>
      </c>
      <c r="D466" s="3">
        <v>23</v>
      </c>
      <c r="E466" s="3">
        <f>((1/(INDEX(E0!J$4:J$87,C466,1)-INDEX(E0!J$4:J$87,D466,1))))*100000000</f>
        <v>0</v>
      </c>
      <c r="F466" s="4" t="str">
        <f>HYPERLINK("http://141.218.60.56/~jnz1568/getInfo.php?workbook=18_16.xlsx&amp;sheet=A0&amp;row=466&amp;col=6&amp;number=5489400&amp;sourceID=48","5489400")</f>
        <v>5489400</v>
      </c>
      <c r="G466" s="4" t="str">
        <f>HYPERLINK("http://141.218.60.56/~jnz1568/getInfo.php?workbook=18_16.xlsx&amp;sheet=A0&amp;row=466&amp;col=7&amp;number=&amp;sourceID=49","")</f>
        <v/>
      </c>
      <c r="H466" s="4" t="str">
        <f>HYPERLINK("http://141.218.60.56/~jnz1568/getInfo.php?workbook=18_16.xlsx&amp;sheet=A0&amp;row=466&amp;col=8&amp;number=&amp;sourceID=49","")</f>
        <v/>
      </c>
    </row>
    <row r="467" spans="1:8">
      <c r="A467" s="3">
        <v>18</v>
      </c>
      <c r="B467" s="3">
        <v>16</v>
      </c>
      <c r="C467" s="3">
        <v>66</v>
      </c>
      <c r="D467" s="3">
        <v>25</v>
      </c>
      <c r="E467" s="3">
        <f>((1/(INDEX(E0!J$4:J$87,C467,1)-INDEX(E0!J$4:J$87,D467,1))))*100000000</f>
        <v>0</v>
      </c>
      <c r="F467" s="4" t="str">
        <f>HYPERLINK("http://141.218.60.56/~jnz1568/getInfo.php?workbook=18_16.xlsx&amp;sheet=A0&amp;row=467&amp;col=6&amp;number=12330&amp;sourceID=48","12330")</f>
        <v>12330</v>
      </c>
      <c r="G467" s="4" t="str">
        <f>HYPERLINK("http://141.218.60.56/~jnz1568/getInfo.php?workbook=18_16.xlsx&amp;sheet=A0&amp;row=467&amp;col=7&amp;number=&amp;sourceID=49","")</f>
        <v/>
      </c>
      <c r="H467" s="4" t="str">
        <f>HYPERLINK("http://141.218.60.56/~jnz1568/getInfo.php?workbook=18_16.xlsx&amp;sheet=A0&amp;row=467&amp;col=8&amp;number=&amp;sourceID=49","")</f>
        <v/>
      </c>
    </row>
    <row r="468" spans="1:8">
      <c r="A468" s="3">
        <v>18</v>
      </c>
      <c r="B468" s="3">
        <v>16</v>
      </c>
      <c r="C468" s="3">
        <v>66</v>
      </c>
      <c r="D468" s="3">
        <v>26</v>
      </c>
      <c r="E468" s="3">
        <f>((1/(INDEX(E0!J$4:J$87,C468,1)-INDEX(E0!J$4:J$87,D468,1))))*100000000</f>
        <v>0</v>
      </c>
      <c r="F468" s="4" t="str">
        <f>HYPERLINK("http://141.218.60.56/~jnz1568/getInfo.php?workbook=18_16.xlsx&amp;sheet=A0&amp;row=468&amp;col=6&amp;number=6433.2&amp;sourceID=48","6433.2")</f>
        <v>6433.2</v>
      </c>
      <c r="G468" s="4" t="str">
        <f>HYPERLINK("http://141.218.60.56/~jnz1568/getInfo.php?workbook=18_16.xlsx&amp;sheet=A0&amp;row=468&amp;col=7&amp;number=&amp;sourceID=49","")</f>
        <v/>
      </c>
      <c r="H468" s="4" t="str">
        <f>HYPERLINK("http://141.218.60.56/~jnz1568/getInfo.php?workbook=18_16.xlsx&amp;sheet=A0&amp;row=468&amp;col=8&amp;number=&amp;sourceID=49","")</f>
        <v/>
      </c>
    </row>
    <row r="469" spans="1:8">
      <c r="A469" s="3">
        <v>18</v>
      </c>
      <c r="B469" s="3">
        <v>16</v>
      </c>
      <c r="C469" s="3">
        <v>66</v>
      </c>
      <c r="D469" s="3">
        <v>27</v>
      </c>
      <c r="E469" s="3">
        <f>((1/(INDEX(E0!J$4:J$87,C469,1)-INDEX(E0!J$4:J$87,D469,1))))*100000000</f>
        <v>0</v>
      </c>
      <c r="F469" s="4" t="str">
        <f>HYPERLINK("http://141.218.60.56/~jnz1568/getInfo.php?workbook=18_16.xlsx&amp;sheet=A0&amp;row=469&amp;col=6&amp;number=42291&amp;sourceID=48","42291")</f>
        <v>42291</v>
      </c>
      <c r="G469" s="4" t="str">
        <f>HYPERLINK("http://141.218.60.56/~jnz1568/getInfo.php?workbook=18_16.xlsx&amp;sheet=A0&amp;row=469&amp;col=7&amp;number=&amp;sourceID=49","")</f>
        <v/>
      </c>
      <c r="H469" s="4" t="str">
        <f>HYPERLINK("http://141.218.60.56/~jnz1568/getInfo.php?workbook=18_16.xlsx&amp;sheet=A0&amp;row=469&amp;col=8&amp;number=&amp;sourceID=49","")</f>
        <v/>
      </c>
    </row>
    <row r="470" spans="1:8">
      <c r="A470" s="3">
        <v>18</v>
      </c>
      <c r="B470" s="3">
        <v>16</v>
      </c>
      <c r="C470" s="3">
        <v>66</v>
      </c>
      <c r="D470" s="3">
        <v>29</v>
      </c>
      <c r="E470" s="3">
        <f>((1/(INDEX(E0!J$4:J$87,C470,1)-INDEX(E0!J$4:J$87,D470,1))))*100000000</f>
        <v>0</v>
      </c>
      <c r="F470" s="4" t="str">
        <f>HYPERLINK("http://141.218.60.56/~jnz1568/getInfo.php?workbook=18_16.xlsx&amp;sheet=A0&amp;row=470&amp;col=6&amp;number=3959100&amp;sourceID=48","3959100")</f>
        <v>3959100</v>
      </c>
      <c r="G470" s="4" t="str">
        <f>HYPERLINK("http://141.218.60.56/~jnz1568/getInfo.php?workbook=18_16.xlsx&amp;sheet=A0&amp;row=470&amp;col=7&amp;number=&amp;sourceID=49","")</f>
        <v/>
      </c>
      <c r="H470" s="4" t="str">
        <f>HYPERLINK("http://141.218.60.56/~jnz1568/getInfo.php?workbook=18_16.xlsx&amp;sheet=A0&amp;row=470&amp;col=8&amp;number=&amp;sourceID=49","")</f>
        <v/>
      </c>
    </row>
    <row r="471" spans="1:8">
      <c r="A471" s="3">
        <v>18</v>
      </c>
      <c r="B471" s="3">
        <v>16</v>
      </c>
      <c r="C471" s="3">
        <v>66</v>
      </c>
      <c r="D471" s="3">
        <v>30</v>
      </c>
      <c r="E471" s="3">
        <f>((1/(INDEX(E0!J$4:J$87,C471,1)-INDEX(E0!J$4:J$87,D471,1))))*100000000</f>
        <v>0</v>
      </c>
      <c r="F471" s="4" t="str">
        <f>HYPERLINK("http://141.218.60.56/~jnz1568/getInfo.php?workbook=18_16.xlsx&amp;sheet=A0&amp;row=471&amp;col=6&amp;number=1542400&amp;sourceID=48","1542400")</f>
        <v>1542400</v>
      </c>
      <c r="G471" s="4" t="str">
        <f>HYPERLINK("http://141.218.60.56/~jnz1568/getInfo.php?workbook=18_16.xlsx&amp;sheet=A0&amp;row=471&amp;col=7&amp;number=&amp;sourceID=49","")</f>
        <v/>
      </c>
      <c r="H471" s="4" t="str">
        <f>HYPERLINK("http://141.218.60.56/~jnz1568/getInfo.php?workbook=18_16.xlsx&amp;sheet=A0&amp;row=471&amp;col=8&amp;number=&amp;sourceID=49","")</f>
        <v/>
      </c>
    </row>
    <row r="472" spans="1:8">
      <c r="A472" s="3">
        <v>18</v>
      </c>
      <c r="B472" s="3">
        <v>16</v>
      </c>
      <c r="C472" s="3">
        <v>66</v>
      </c>
      <c r="D472" s="3">
        <v>31</v>
      </c>
      <c r="E472" s="3">
        <f>((1/(INDEX(E0!J$4:J$87,C472,1)-INDEX(E0!J$4:J$87,D472,1))))*100000000</f>
        <v>0</v>
      </c>
      <c r="F472" s="4" t="str">
        <f>HYPERLINK("http://141.218.60.56/~jnz1568/getInfo.php?workbook=18_16.xlsx&amp;sheet=A0&amp;row=472&amp;col=6&amp;number=142060&amp;sourceID=48","142060")</f>
        <v>142060</v>
      </c>
      <c r="G472" s="4" t="str">
        <f>HYPERLINK("http://141.218.60.56/~jnz1568/getInfo.php?workbook=18_16.xlsx&amp;sheet=A0&amp;row=472&amp;col=7&amp;number=&amp;sourceID=49","")</f>
        <v/>
      </c>
      <c r="H472" s="4" t="str">
        <f>HYPERLINK("http://141.218.60.56/~jnz1568/getInfo.php?workbook=18_16.xlsx&amp;sheet=A0&amp;row=472&amp;col=8&amp;number=&amp;sourceID=49","")</f>
        <v/>
      </c>
    </row>
    <row r="473" spans="1:8">
      <c r="A473" s="3">
        <v>18</v>
      </c>
      <c r="B473" s="3">
        <v>16</v>
      </c>
      <c r="C473" s="3">
        <v>66</v>
      </c>
      <c r="D473" s="3">
        <v>33</v>
      </c>
      <c r="E473" s="3">
        <f>((1/(INDEX(E0!J$4:J$87,C473,1)-INDEX(E0!J$4:J$87,D473,1))))*100000000</f>
        <v>0</v>
      </c>
      <c r="F473" s="4" t="str">
        <f>HYPERLINK("http://141.218.60.56/~jnz1568/getInfo.php?workbook=18_16.xlsx&amp;sheet=A0&amp;row=473&amp;col=6&amp;number=3134400&amp;sourceID=48","3134400")</f>
        <v>3134400</v>
      </c>
      <c r="G473" s="4" t="str">
        <f>HYPERLINK("http://141.218.60.56/~jnz1568/getInfo.php?workbook=18_16.xlsx&amp;sheet=A0&amp;row=473&amp;col=7&amp;number=&amp;sourceID=49","")</f>
        <v/>
      </c>
      <c r="H473" s="4" t="str">
        <f>HYPERLINK("http://141.218.60.56/~jnz1568/getInfo.php?workbook=18_16.xlsx&amp;sheet=A0&amp;row=473&amp;col=8&amp;number=&amp;sourceID=49","")</f>
        <v/>
      </c>
    </row>
    <row r="474" spans="1:8">
      <c r="A474" s="3">
        <v>18</v>
      </c>
      <c r="B474" s="3">
        <v>16</v>
      </c>
      <c r="C474" s="3">
        <v>66</v>
      </c>
      <c r="D474" s="3">
        <v>36</v>
      </c>
      <c r="E474" s="3">
        <f>((1/(INDEX(E0!J$4:J$87,C474,1)-INDEX(E0!J$4:J$87,D474,1))))*100000000</f>
        <v>0</v>
      </c>
      <c r="F474" s="4" t="str">
        <f>HYPERLINK("http://141.218.60.56/~jnz1568/getInfo.php?workbook=18_16.xlsx&amp;sheet=A0&amp;row=474&amp;col=6&amp;number=22534000&amp;sourceID=48","22534000")</f>
        <v>22534000</v>
      </c>
      <c r="G474" s="4" t="str">
        <f>HYPERLINK("http://141.218.60.56/~jnz1568/getInfo.php?workbook=18_16.xlsx&amp;sheet=A0&amp;row=474&amp;col=7&amp;number=&amp;sourceID=49","")</f>
        <v/>
      </c>
      <c r="H474" s="4" t="str">
        <f>HYPERLINK("http://141.218.60.56/~jnz1568/getInfo.php?workbook=18_16.xlsx&amp;sheet=A0&amp;row=474&amp;col=8&amp;number=&amp;sourceID=49","")</f>
        <v/>
      </c>
    </row>
    <row r="475" spans="1:8">
      <c r="A475" s="3">
        <v>18</v>
      </c>
      <c r="B475" s="3">
        <v>16</v>
      </c>
      <c r="C475" s="3">
        <v>66</v>
      </c>
      <c r="D475" s="3">
        <v>37</v>
      </c>
      <c r="E475" s="3">
        <f>((1/(INDEX(E0!J$4:J$87,C475,1)-INDEX(E0!J$4:J$87,D475,1))))*100000000</f>
        <v>0</v>
      </c>
      <c r="F475" s="4" t="str">
        <f>HYPERLINK("http://141.218.60.56/~jnz1568/getInfo.php?workbook=18_16.xlsx&amp;sheet=A0&amp;row=475&amp;col=6&amp;number=2634500&amp;sourceID=48","2634500")</f>
        <v>2634500</v>
      </c>
      <c r="G475" s="4" t="str">
        <f>HYPERLINK("http://141.218.60.56/~jnz1568/getInfo.php?workbook=18_16.xlsx&amp;sheet=A0&amp;row=475&amp;col=7&amp;number=&amp;sourceID=49","")</f>
        <v/>
      </c>
      <c r="H475" s="4" t="str">
        <f>HYPERLINK("http://141.218.60.56/~jnz1568/getInfo.php?workbook=18_16.xlsx&amp;sheet=A0&amp;row=475&amp;col=8&amp;number=&amp;sourceID=49","")</f>
        <v/>
      </c>
    </row>
    <row r="476" spans="1:8">
      <c r="A476" s="3">
        <v>18</v>
      </c>
      <c r="B476" s="3">
        <v>16</v>
      </c>
      <c r="C476" s="3">
        <v>66</v>
      </c>
      <c r="D476" s="3">
        <v>39</v>
      </c>
      <c r="E476" s="3">
        <f>((1/(INDEX(E0!J$4:J$87,C476,1)-INDEX(E0!J$4:J$87,D476,1))))*100000000</f>
        <v>0</v>
      </c>
      <c r="F476" s="4" t="str">
        <f>HYPERLINK("http://141.218.60.56/~jnz1568/getInfo.php?workbook=18_16.xlsx&amp;sheet=A0&amp;row=476&amp;col=6&amp;number=3261800&amp;sourceID=48","3261800")</f>
        <v>3261800</v>
      </c>
      <c r="G476" s="4" t="str">
        <f>HYPERLINK("http://141.218.60.56/~jnz1568/getInfo.php?workbook=18_16.xlsx&amp;sheet=A0&amp;row=476&amp;col=7&amp;number=&amp;sourceID=49","")</f>
        <v/>
      </c>
      <c r="H476" s="4" t="str">
        <f>HYPERLINK("http://141.218.60.56/~jnz1568/getInfo.php?workbook=18_16.xlsx&amp;sheet=A0&amp;row=476&amp;col=8&amp;number=&amp;sourceID=49","")</f>
        <v/>
      </c>
    </row>
    <row r="477" spans="1:8">
      <c r="A477" s="3">
        <v>18</v>
      </c>
      <c r="B477" s="3">
        <v>16</v>
      </c>
      <c r="C477" s="3">
        <v>66</v>
      </c>
      <c r="D477" s="3">
        <v>40</v>
      </c>
      <c r="E477" s="3">
        <f>((1/(INDEX(E0!J$4:J$87,C477,1)-INDEX(E0!J$4:J$87,D477,1))))*100000000</f>
        <v>0</v>
      </c>
      <c r="F477" s="4" t="str">
        <f>HYPERLINK("http://141.218.60.56/~jnz1568/getInfo.php?workbook=18_16.xlsx&amp;sheet=A0&amp;row=477&amp;col=6&amp;number=162960000&amp;sourceID=48","162960000")</f>
        <v>162960000</v>
      </c>
      <c r="G477" s="4" t="str">
        <f>HYPERLINK("http://141.218.60.56/~jnz1568/getInfo.php?workbook=18_16.xlsx&amp;sheet=A0&amp;row=477&amp;col=7&amp;number=&amp;sourceID=49","")</f>
        <v/>
      </c>
      <c r="H477" s="4" t="str">
        <f>HYPERLINK("http://141.218.60.56/~jnz1568/getInfo.php?workbook=18_16.xlsx&amp;sheet=A0&amp;row=477&amp;col=8&amp;number=&amp;sourceID=49","")</f>
        <v/>
      </c>
    </row>
    <row r="478" spans="1:8">
      <c r="A478" s="3">
        <v>18</v>
      </c>
      <c r="B478" s="3">
        <v>16</v>
      </c>
      <c r="C478" s="3">
        <v>66</v>
      </c>
      <c r="D478" s="3">
        <v>41</v>
      </c>
      <c r="E478" s="3">
        <f>((1/(INDEX(E0!J$4:J$87,C478,1)-INDEX(E0!J$4:J$87,D478,1))))*100000000</f>
        <v>0</v>
      </c>
      <c r="F478" s="4" t="str">
        <f>HYPERLINK("http://141.218.60.56/~jnz1568/getInfo.php?workbook=18_16.xlsx&amp;sheet=A0&amp;row=478&amp;col=6&amp;number=210060&amp;sourceID=48","210060")</f>
        <v>210060</v>
      </c>
      <c r="G478" s="4" t="str">
        <f>HYPERLINK("http://141.218.60.56/~jnz1568/getInfo.php?workbook=18_16.xlsx&amp;sheet=A0&amp;row=478&amp;col=7&amp;number=&amp;sourceID=49","")</f>
        <v/>
      </c>
      <c r="H478" s="4" t="str">
        <f>HYPERLINK("http://141.218.60.56/~jnz1568/getInfo.php?workbook=18_16.xlsx&amp;sheet=A0&amp;row=478&amp;col=8&amp;number=&amp;sourceID=49","")</f>
        <v/>
      </c>
    </row>
    <row r="479" spans="1:8">
      <c r="A479" s="3">
        <v>18</v>
      </c>
      <c r="B479" s="3">
        <v>16</v>
      </c>
      <c r="C479" s="3">
        <v>66</v>
      </c>
      <c r="D479" s="3">
        <v>42</v>
      </c>
      <c r="E479" s="3">
        <f>((1/(INDEX(E0!J$4:J$87,C479,1)-INDEX(E0!J$4:J$87,D479,1))))*100000000</f>
        <v>0</v>
      </c>
      <c r="F479" s="4" t="str">
        <f>HYPERLINK("http://141.218.60.56/~jnz1568/getInfo.php?workbook=18_16.xlsx&amp;sheet=A0&amp;row=479&amp;col=6&amp;number=631.71&amp;sourceID=48","631.71")</f>
        <v>631.71</v>
      </c>
      <c r="G479" s="4" t="str">
        <f>HYPERLINK("http://141.218.60.56/~jnz1568/getInfo.php?workbook=18_16.xlsx&amp;sheet=A0&amp;row=479&amp;col=7&amp;number=&amp;sourceID=49","")</f>
        <v/>
      </c>
      <c r="H479" s="4" t="str">
        <f>HYPERLINK("http://141.218.60.56/~jnz1568/getInfo.php?workbook=18_16.xlsx&amp;sheet=A0&amp;row=479&amp;col=8&amp;number=&amp;sourceID=49","")</f>
        <v/>
      </c>
    </row>
    <row r="480" spans="1:8">
      <c r="A480" s="3">
        <v>18</v>
      </c>
      <c r="B480" s="3">
        <v>16</v>
      </c>
      <c r="C480" s="3">
        <v>66</v>
      </c>
      <c r="D480" s="3">
        <v>47</v>
      </c>
      <c r="E480" s="3">
        <f>((1/(INDEX(E0!J$4:J$87,C480,1)-INDEX(E0!J$4:J$87,D480,1))))*100000000</f>
        <v>0</v>
      </c>
      <c r="F480" s="4" t="str">
        <f>HYPERLINK("http://141.218.60.56/~jnz1568/getInfo.php?workbook=18_16.xlsx&amp;sheet=A0&amp;row=480&amp;col=6&amp;number=2569600&amp;sourceID=48","2569600")</f>
        <v>2569600</v>
      </c>
      <c r="G480" s="4" t="str">
        <f>HYPERLINK("http://141.218.60.56/~jnz1568/getInfo.php?workbook=18_16.xlsx&amp;sheet=A0&amp;row=480&amp;col=7&amp;number=&amp;sourceID=49","")</f>
        <v/>
      </c>
      <c r="H480" s="4" t="str">
        <f>HYPERLINK("http://141.218.60.56/~jnz1568/getInfo.php?workbook=18_16.xlsx&amp;sheet=A0&amp;row=480&amp;col=8&amp;number=&amp;sourceID=49","")</f>
        <v/>
      </c>
    </row>
    <row r="481" spans="1:8">
      <c r="A481" s="3">
        <v>18</v>
      </c>
      <c r="B481" s="3">
        <v>16</v>
      </c>
      <c r="C481" s="3">
        <v>66</v>
      </c>
      <c r="D481" s="3">
        <v>53</v>
      </c>
      <c r="E481" s="3">
        <f>((1/(INDEX(E0!J$4:J$87,C481,1)-INDEX(E0!J$4:J$87,D481,1))))*100000000</f>
        <v>0</v>
      </c>
      <c r="F481" s="4" t="str">
        <f>HYPERLINK("http://141.218.60.56/~jnz1568/getInfo.php?workbook=18_16.xlsx&amp;sheet=A0&amp;row=481&amp;col=6&amp;number=684910&amp;sourceID=48","684910")</f>
        <v>684910</v>
      </c>
      <c r="G481" s="4" t="str">
        <f>HYPERLINK("http://141.218.60.56/~jnz1568/getInfo.php?workbook=18_16.xlsx&amp;sheet=A0&amp;row=481&amp;col=7&amp;number=&amp;sourceID=49","")</f>
        <v/>
      </c>
      <c r="H481" s="4" t="str">
        <f>HYPERLINK("http://141.218.60.56/~jnz1568/getInfo.php?workbook=18_16.xlsx&amp;sheet=A0&amp;row=481&amp;col=8&amp;number=&amp;sourceID=49","")</f>
        <v/>
      </c>
    </row>
    <row r="482" spans="1:8">
      <c r="A482" s="3">
        <v>18</v>
      </c>
      <c r="B482" s="3">
        <v>16</v>
      </c>
      <c r="C482" s="3">
        <v>66</v>
      </c>
      <c r="D482" s="3">
        <v>54</v>
      </c>
      <c r="E482" s="3">
        <f>((1/(INDEX(E0!J$4:J$87,C482,1)-INDEX(E0!J$4:J$87,D482,1))))*100000000</f>
        <v>0</v>
      </c>
      <c r="F482" s="4" t="str">
        <f>HYPERLINK("http://141.218.60.56/~jnz1568/getInfo.php?workbook=18_16.xlsx&amp;sheet=A0&amp;row=482&amp;col=6&amp;number=66210&amp;sourceID=48","66210")</f>
        <v>66210</v>
      </c>
      <c r="G482" s="4" t="str">
        <f>HYPERLINK("http://141.218.60.56/~jnz1568/getInfo.php?workbook=18_16.xlsx&amp;sheet=A0&amp;row=482&amp;col=7&amp;number=&amp;sourceID=49","")</f>
        <v/>
      </c>
      <c r="H482" s="4" t="str">
        <f>HYPERLINK("http://141.218.60.56/~jnz1568/getInfo.php?workbook=18_16.xlsx&amp;sheet=A0&amp;row=482&amp;col=8&amp;number=&amp;sourceID=49","")</f>
        <v/>
      </c>
    </row>
    <row r="483" spans="1:8">
      <c r="A483" s="3">
        <v>18</v>
      </c>
      <c r="B483" s="3">
        <v>16</v>
      </c>
      <c r="C483" s="3">
        <v>66</v>
      </c>
      <c r="D483" s="3">
        <v>57</v>
      </c>
      <c r="E483" s="3">
        <f>((1/(INDEX(E0!J$4:J$87,C483,1)-INDEX(E0!J$4:J$87,D483,1))))*100000000</f>
        <v>0</v>
      </c>
      <c r="F483" s="4" t="str">
        <f>HYPERLINK("http://141.218.60.56/~jnz1568/getInfo.php?workbook=18_16.xlsx&amp;sheet=A0&amp;row=483&amp;col=6&amp;number=17197&amp;sourceID=48","17197")</f>
        <v>17197</v>
      </c>
      <c r="G483" s="4" t="str">
        <f>HYPERLINK("http://141.218.60.56/~jnz1568/getInfo.php?workbook=18_16.xlsx&amp;sheet=A0&amp;row=483&amp;col=7&amp;number=&amp;sourceID=49","")</f>
        <v/>
      </c>
      <c r="H483" s="4" t="str">
        <f>HYPERLINK("http://141.218.60.56/~jnz1568/getInfo.php?workbook=18_16.xlsx&amp;sheet=A0&amp;row=483&amp;col=8&amp;number=&amp;sourceID=49","")</f>
        <v/>
      </c>
    </row>
    <row r="484" spans="1:8">
      <c r="A484" s="3">
        <v>18</v>
      </c>
      <c r="B484" s="3">
        <v>16</v>
      </c>
      <c r="C484" s="3">
        <v>66</v>
      </c>
      <c r="D484" s="3">
        <v>60</v>
      </c>
      <c r="E484" s="3">
        <f>((1/(INDEX(E0!J$4:J$87,C484,1)-INDEX(E0!J$4:J$87,D484,1))))*100000000</f>
        <v>0</v>
      </c>
      <c r="F484" s="4" t="str">
        <f>HYPERLINK("http://141.218.60.56/~jnz1568/getInfo.php?workbook=18_16.xlsx&amp;sheet=A0&amp;row=484&amp;col=6&amp;number=8.9167&amp;sourceID=48","8.9167")</f>
        <v>8.9167</v>
      </c>
      <c r="G484" s="4" t="str">
        <f>HYPERLINK("http://141.218.60.56/~jnz1568/getInfo.php?workbook=18_16.xlsx&amp;sheet=A0&amp;row=484&amp;col=7&amp;number=&amp;sourceID=49","")</f>
        <v/>
      </c>
      <c r="H484" s="4" t="str">
        <f>HYPERLINK("http://141.218.60.56/~jnz1568/getInfo.php?workbook=18_16.xlsx&amp;sheet=A0&amp;row=484&amp;col=8&amp;number=&amp;sourceID=49","")</f>
        <v/>
      </c>
    </row>
    <row r="485" spans="1:8">
      <c r="A485" s="3">
        <v>18</v>
      </c>
      <c r="B485" s="3">
        <v>16</v>
      </c>
      <c r="C485" s="3">
        <v>67</v>
      </c>
      <c r="D485" s="3">
        <v>6</v>
      </c>
      <c r="E485" s="3">
        <f>((1/(INDEX(E0!J$4:J$87,C485,1)-INDEX(E0!J$4:J$87,D485,1))))*100000000</f>
        <v>0</v>
      </c>
      <c r="F485" s="4" t="str">
        <f>HYPERLINK("http://141.218.60.56/~jnz1568/getInfo.php?workbook=18_16.xlsx&amp;sheet=A0&amp;row=485&amp;col=6&amp;number=292880&amp;sourceID=48","292880")</f>
        <v>292880</v>
      </c>
      <c r="G485" s="4" t="str">
        <f>HYPERLINK("http://141.218.60.56/~jnz1568/getInfo.php?workbook=18_16.xlsx&amp;sheet=A0&amp;row=485&amp;col=7&amp;number=&amp;sourceID=49","")</f>
        <v/>
      </c>
      <c r="H485" s="4" t="str">
        <f>HYPERLINK("http://141.218.60.56/~jnz1568/getInfo.php?workbook=18_16.xlsx&amp;sheet=A0&amp;row=485&amp;col=8&amp;number=&amp;sourceID=49","")</f>
        <v/>
      </c>
    </row>
    <row r="486" spans="1:8">
      <c r="A486" s="3">
        <v>18</v>
      </c>
      <c r="B486" s="3">
        <v>16</v>
      </c>
      <c r="C486" s="3">
        <v>67</v>
      </c>
      <c r="D486" s="3">
        <v>7</v>
      </c>
      <c r="E486" s="3">
        <f>((1/(INDEX(E0!J$4:J$87,C486,1)-INDEX(E0!J$4:J$87,D486,1))))*100000000</f>
        <v>0</v>
      </c>
      <c r="F486" s="4" t="str">
        <f>HYPERLINK("http://141.218.60.56/~jnz1568/getInfo.php?workbook=18_16.xlsx&amp;sheet=A0&amp;row=486&amp;col=6&amp;number=664230&amp;sourceID=48","664230")</f>
        <v>664230</v>
      </c>
      <c r="G486" s="4" t="str">
        <f>HYPERLINK("http://141.218.60.56/~jnz1568/getInfo.php?workbook=18_16.xlsx&amp;sheet=A0&amp;row=486&amp;col=7&amp;number=&amp;sourceID=49","")</f>
        <v/>
      </c>
      <c r="H486" s="4" t="str">
        <f>HYPERLINK("http://141.218.60.56/~jnz1568/getInfo.php?workbook=18_16.xlsx&amp;sheet=A0&amp;row=486&amp;col=8&amp;number=&amp;sourceID=49","")</f>
        <v/>
      </c>
    </row>
    <row r="487" spans="1:8">
      <c r="A487" s="3">
        <v>18</v>
      </c>
      <c r="B487" s="3">
        <v>16</v>
      </c>
      <c r="C487" s="3">
        <v>67</v>
      </c>
      <c r="D487" s="3">
        <v>9</v>
      </c>
      <c r="E487" s="3">
        <f>((1/(INDEX(E0!J$4:J$87,C487,1)-INDEX(E0!J$4:J$87,D487,1))))*100000000</f>
        <v>0</v>
      </c>
      <c r="F487" s="4" t="str">
        <f>HYPERLINK("http://141.218.60.56/~jnz1568/getInfo.php?workbook=18_16.xlsx&amp;sheet=A0&amp;row=487&amp;col=6&amp;number=65465&amp;sourceID=48","65465")</f>
        <v>65465</v>
      </c>
      <c r="G487" s="4" t="str">
        <f>HYPERLINK("http://141.218.60.56/~jnz1568/getInfo.php?workbook=18_16.xlsx&amp;sheet=A0&amp;row=487&amp;col=7&amp;number=&amp;sourceID=49","")</f>
        <v/>
      </c>
      <c r="H487" s="4" t="str">
        <f>HYPERLINK("http://141.218.60.56/~jnz1568/getInfo.php?workbook=18_16.xlsx&amp;sheet=A0&amp;row=487&amp;col=8&amp;number=&amp;sourceID=49","")</f>
        <v/>
      </c>
    </row>
    <row r="488" spans="1:8">
      <c r="A488" s="3">
        <v>18</v>
      </c>
      <c r="B488" s="3">
        <v>16</v>
      </c>
      <c r="C488" s="3">
        <v>67</v>
      </c>
      <c r="D488" s="3">
        <v>11</v>
      </c>
      <c r="E488" s="3">
        <f>((1/(INDEX(E0!J$4:J$87,C488,1)-INDEX(E0!J$4:J$87,D488,1))))*100000000</f>
        <v>0</v>
      </c>
      <c r="F488" s="4" t="str">
        <f>HYPERLINK("http://141.218.60.56/~jnz1568/getInfo.php?workbook=18_16.xlsx&amp;sheet=A0&amp;row=488&amp;col=6&amp;number=1426.8&amp;sourceID=48","1426.8")</f>
        <v>1426.8</v>
      </c>
      <c r="G488" s="4" t="str">
        <f>HYPERLINK("http://141.218.60.56/~jnz1568/getInfo.php?workbook=18_16.xlsx&amp;sheet=A0&amp;row=488&amp;col=7&amp;number=&amp;sourceID=49","")</f>
        <v/>
      </c>
      <c r="H488" s="4" t="str">
        <f>HYPERLINK("http://141.218.60.56/~jnz1568/getInfo.php?workbook=18_16.xlsx&amp;sheet=A0&amp;row=488&amp;col=8&amp;number=&amp;sourceID=49","")</f>
        <v/>
      </c>
    </row>
    <row r="489" spans="1:8">
      <c r="A489" s="3">
        <v>18</v>
      </c>
      <c r="B489" s="3">
        <v>16</v>
      </c>
      <c r="C489" s="3">
        <v>67</v>
      </c>
      <c r="D489" s="3">
        <v>12</v>
      </c>
      <c r="E489" s="3">
        <f>((1/(INDEX(E0!J$4:J$87,C489,1)-INDEX(E0!J$4:J$87,D489,1))))*100000000</f>
        <v>0</v>
      </c>
      <c r="F489" s="4" t="str">
        <f>HYPERLINK("http://141.218.60.56/~jnz1568/getInfo.php?workbook=18_16.xlsx&amp;sheet=A0&amp;row=489&amp;col=6&amp;number=5770.5&amp;sourceID=48","5770.5")</f>
        <v>5770.5</v>
      </c>
      <c r="G489" s="4" t="str">
        <f>HYPERLINK("http://141.218.60.56/~jnz1568/getInfo.php?workbook=18_16.xlsx&amp;sheet=A0&amp;row=489&amp;col=7&amp;number=&amp;sourceID=49","")</f>
        <v/>
      </c>
      <c r="H489" s="4" t="str">
        <f>HYPERLINK("http://141.218.60.56/~jnz1568/getInfo.php?workbook=18_16.xlsx&amp;sheet=A0&amp;row=489&amp;col=8&amp;number=&amp;sourceID=49","")</f>
        <v/>
      </c>
    </row>
    <row r="490" spans="1:8">
      <c r="A490" s="3">
        <v>18</v>
      </c>
      <c r="B490" s="3">
        <v>16</v>
      </c>
      <c r="C490" s="3">
        <v>67</v>
      </c>
      <c r="D490" s="3">
        <v>13</v>
      </c>
      <c r="E490" s="3">
        <f>((1/(INDEX(E0!J$4:J$87,C490,1)-INDEX(E0!J$4:J$87,D490,1))))*100000000</f>
        <v>0</v>
      </c>
      <c r="F490" s="4" t="str">
        <f>HYPERLINK("http://141.218.60.56/~jnz1568/getInfo.php?workbook=18_16.xlsx&amp;sheet=A0&amp;row=490&amp;col=6&amp;number=3332.8&amp;sourceID=48","3332.8")</f>
        <v>3332.8</v>
      </c>
      <c r="G490" s="4" t="str">
        <f>HYPERLINK("http://141.218.60.56/~jnz1568/getInfo.php?workbook=18_16.xlsx&amp;sheet=A0&amp;row=490&amp;col=7&amp;number=&amp;sourceID=49","")</f>
        <v/>
      </c>
      <c r="H490" s="4" t="str">
        <f>HYPERLINK("http://141.218.60.56/~jnz1568/getInfo.php?workbook=18_16.xlsx&amp;sheet=A0&amp;row=490&amp;col=8&amp;number=&amp;sourceID=49","")</f>
        <v/>
      </c>
    </row>
    <row r="491" spans="1:8">
      <c r="A491" s="3">
        <v>18</v>
      </c>
      <c r="B491" s="3">
        <v>16</v>
      </c>
      <c r="C491" s="3">
        <v>67</v>
      </c>
      <c r="D491" s="3">
        <v>15</v>
      </c>
      <c r="E491" s="3">
        <f>((1/(INDEX(E0!J$4:J$87,C491,1)-INDEX(E0!J$4:J$87,D491,1))))*100000000</f>
        <v>0</v>
      </c>
      <c r="F491" s="4" t="str">
        <f>HYPERLINK("http://141.218.60.56/~jnz1568/getInfo.php?workbook=18_16.xlsx&amp;sheet=A0&amp;row=491&amp;col=6&amp;number=1324500&amp;sourceID=48","1324500")</f>
        <v>1324500</v>
      </c>
      <c r="G491" s="4" t="str">
        <f>HYPERLINK("http://141.218.60.56/~jnz1568/getInfo.php?workbook=18_16.xlsx&amp;sheet=A0&amp;row=491&amp;col=7&amp;number=&amp;sourceID=49","")</f>
        <v/>
      </c>
      <c r="H491" s="4" t="str">
        <f>HYPERLINK("http://141.218.60.56/~jnz1568/getInfo.php?workbook=18_16.xlsx&amp;sheet=A0&amp;row=491&amp;col=8&amp;number=&amp;sourceID=49","")</f>
        <v/>
      </c>
    </row>
    <row r="492" spans="1:8">
      <c r="A492" s="3">
        <v>18</v>
      </c>
      <c r="B492" s="3">
        <v>16</v>
      </c>
      <c r="C492" s="3">
        <v>67</v>
      </c>
      <c r="D492" s="3">
        <v>16</v>
      </c>
      <c r="E492" s="3">
        <f>((1/(INDEX(E0!J$4:J$87,C492,1)-INDEX(E0!J$4:J$87,D492,1))))*100000000</f>
        <v>0</v>
      </c>
      <c r="F492" s="4" t="str">
        <f>HYPERLINK("http://141.218.60.56/~jnz1568/getInfo.php?workbook=18_16.xlsx&amp;sheet=A0&amp;row=492&amp;col=6&amp;number=9651900&amp;sourceID=48","9651900")</f>
        <v>9651900</v>
      </c>
      <c r="G492" s="4" t="str">
        <f>HYPERLINK("http://141.218.60.56/~jnz1568/getInfo.php?workbook=18_16.xlsx&amp;sheet=A0&amp;row=492&amp;col=7&amp;number=&amp;sourceID=49","")</f>
        <v/>
      </c>
      <c r="H492" s="4" t="str">
        <f>HYPERLINK("http://141.218.60.56/~jnz1568/getInfo.php?workbook=18_16.xlsx&amp;sheet=A0&amp;row=492&amp;col=8&amp;number=&amp;sourceID=49","")</f>
        <v/>
      </c>
    </row>
    <row r="493" spans="1:8">
      <c r="A493" s="3">
        <v>18</v>
      </c>
      <c r="B493" s="3">
        <v>16</v>
      </c>
      <c r="C493" s="3">
        <v>67</v>
      </c>
      <c r="D493" s="3">
        <v>17</v>
      </c>
      <c r="E493" s="3">
        <f>((1/(INDEX(E0!J$4:J$87,C493,1)-INDEX(E0!J$4:J$87,D493,1))))*100000000</f>
        <v>0</v>
      </c>
      <c r="F493" s="4" t="str">
        <f>HYPERLINK("http://141.218.60.56/~jnz1568/getInfo.php?workbook=18_16.xlsx&amp;sheet=A0&amp;row=493&amp;col=6&amp;number=6851900&amp;sourceID=48","6851900")</f>
        <v>6851900</v>
      </c>
      <c r="G493" s="4" t="str">
        <f>HYPERLINK("http://141.218.60.56/~jnz1568/getInfo.php?workbook=18_16.xlsx&amp;sheet=A0&amp;row=493&amp;col=7&amp;number=&amp;sourceID=49","")</f>
        <v/>
      </c>
      <c r="H493" s="4" t="str">
        <f>HYPERLINK("http://141.218.60.56/~jnz1568/getInfo.php?workbook=18_16.xlsx&amp;sheet=A0&amp;row=493&amp;col=8&amp;number=&amp;sourceID=49","")</f>
        <v/>
      </c>
    </row>
    <row r="494" spans="1:8">
      <c r="A494" s="3">
        <v>18</v>
      </c>
      <c r="B494" s="3">
        <v>16</v>
      </c>
      <c r="C494" s="3">
        <v>67</v>
      </c>
      <c r="D494" s="3">
        <v>19</v>
      </c>
      <c r="E494" s="3">
        <f>((1/(INDEX(E0!J$4:J$87,C494,1)-INDEX(E0!J$4:J$87,D494,1))))*100000000</f>
        <v>0</v>
      </c>
      <c r="F494" s="4" t="str">
        <f>HYPERLINK("http://141.218.60.56/~jnz1568/getInfo.php?workbook=18_16.xlsx&amp;sheet=A0&amp;row=494&amp;col=6&amp;number=70586000&amp;sourceID=48","70586000")</f>
        <v>70586000</v>
      </c>
      <c r="G494" s="4" t="str">
        <f>HYPERLINK("http://141.218.60.56/~jnz1568/getInfo.php?workbook=18_16.xlsx&amp;sheet=A0&amp;row=494&amp;col=7&amp;number=&amp;sourceID=49","")</f>
        <v/>
      </c>
      <c r="H494" s="4" t="str">
        <f>HYPERLINK("http://141.218.60.56/~jnz1568/getInfo.php?workbook=18_16.xlsx&amp;sheet=A0&amp;row=494&amp;col=8&amp;number=&amp;sourceID=49","")</f>
        <v/>
      </c>
    </row>
    <row r="495" spans="1:8">
      <c r="A495" s="3">
        <v>18</v>
      </c>
      <c r="B495" s="3">
        <v>16</v>
      </c>
      <c r="C495" s="3">
        <v>67</v>
      </c>
      <c r="D495" s="3">
        <v>20</v>
      </c>
      <c r="E495" s="3">
        <f>((1/(INDEX(E0!J$4:J$87,C495,1)-INDEX(E0!J$4:J$87,D495,1))))*100000000</f>
        <v>0</v>
      </c>
      <c r="F495" s="4" t="str">
        <f>HYPERLINK("http://141.218.60.56/~jnz1568/getInfo.php?workbook=18_16.xlsx&amp;sheet=A0&amp;row=495&amp;col=6&amp;number=21354000&amp;sourceID=48","21354000")</f>
        <v>21354000</v>
      </c>
      <c r="G495" s="4" t="str">
        <f>HYPERLINK("http://141.218.60.56/~jnz1568/getInfo.php?workbook=18_16.xlsx&amp;sheet=A0&amp;row=495&amp;col=7&amp;number=&amp;sourceID=49","")</f>
        <v/>
      </c>
      <c r="H495" s="4" t="str">
        <f>HYPERLINK("http://141.218.60.56/~jnz1568/getInfo.php?workbook=18_16.xlsx&amp;sheet=A0&amp;row=495&amp;col=8&amp;number=&amp;sourceID=49","")</f>
        <v/>
      </c>
    </row>
    <row r="496" spans="1:8">
      <c r="A496" s="3">
        <v>18</v>
      </c>
      <c r="B496" s="3">
        <v>16</v>
      </c>
      <c r="C496" s="3">
        <v>67</v>
      </c>
      <c r="D496" s="3">
        <v>22</v>
      </c>
      <c r="E496" s="3">
        <f>((1/(INDEX(E0!J$4:J$87,C496,1)-INDEX(E0!J$4:J$87,D496,1))))*100000000</f>
        <v>0</v>
      </c>
      <c r="F496" s="4" t="str">
        <f>HYPERLINK("http://141.218.60.56/~jnz1568/getInfo.php?workbook=18_16.xlsx&amp;sheet=A0&amp;row=496&amp;col=6&amp;number=299330000&amp;sourceID=48","299330000")</f>
        <v>299330000</v>
      </c>
      <c r="G496" s="4" t="str">
        <f>HYPERLINK("http://141.218.60.56/~jnz1568/getInfo.php?workbook=18_16.xlsx&amp;sheet=A0&amp;row=496&amp;col=7&amp;number=&amp;sourceID=49","")</f>
        <v/>
      </c>
      <c r="H496" s="4" t="str">
        <f>HYPERLINK("http://141.218.60.56/~jnz1568/getInfo.php?workbook=18_16.xlsx&amp;sheet=A0&amp;row=496&amp;col=8&amp;number=&amp;sourceID=49","")</f>
        <v/>
      </c>
    </row>
    <row r="497" spans="1:8">
      <c r="A497" s="3">
        <v>18</v>
      </c>
      <c r="B497" s="3">
        <v>16</v>
      </c>
      <c r="C497" s="3">
        <v>67</v>
      </c>
      <c r="D497" s="3">
        <v>25</v>
      </c>
      <c r="E497" s="3">
        <f>((1/(INDEX(E0!J$4:J$87,C497,1)-INDEX(E0!J$4:J$87,D497,1))))*100000000</f>
        <v>0</v>
      </c>
      <c r="F497" s="4" t="str">
        <f>HYPERLINK("http://141.218.60.56/~jnz1568/getInfo.php?workbook=18_16.xlsx&amp;sheet=A0&amp;row=497&amp;col=6&amp;number=46.847&amp;sourceID=48","46.847")</f>
        <v>46.847</v>
      </c>
      <c r="G497" s="4" t="str">
        <f>HYPERLINK("http://141.218.60.56/~jnz1568/getInfo.php?workbook=18_16.xlsx&amp;sheet=A0&amp;row=497&amp;col=7&amp;number=&amp;sourceID=49","")</f>
        <v/>
      </c>
      <c r="H497" s="4" t="str">
        <f>HYPERLINK("http://141.218.60.56/~jnz1568/getInfo.php?workbook=18_16.xlsx&amp;sheet=A0&amp;row=497&amp;col=8&amp;number=&amp;sourceID=49","")</f>
        <v/>
      </c>
    </row>
    <row r="498" spans="1:8">
      <c r="A498" s="3">
        <v>18</v>
      </c>
      <c r="B498" s="3">
        <v>16</v>
      </c>
      <c r="C498" s="3">
        <v>67</v>
      </c>
      <c r="D498" s="3">
        <v>27</v>
      </c>
      <c r="E498" s="3">
        <f>((1/(INDEX(E0!J$4:J$87,C498,1)-INDEX(E0!J$4:J$87,D498,1))))*100000000</f>
        <v>0</v>
      </c>
      <c r="F498" s="4" t="str">
        <f>HYPERLINK("http://141.218.60.56/~jnz1568/getInfo.php?workbook=18_16.xlsx&amp;sheet=A0&amp;row=498&amp;col=6&amp;number=54920&amp;sourceID=48","54920")</f>
        <v>54920</v>
      </c>
      <c r="G498" s="4" t="str">
        <f>HYPERLINK("http://141.218.60.56/~jnz1568/getInfo.php?workbook=18_16.xlsx&amp;sheet=A0&amp;row=498&amp;col=7&amp;number=&amp;sourceID=49","")</f>
        <v/>
      </c>
      <c r="H498" s="4" t="str">
        <f>HYPERLINK("http://141.218.60.56/~jnz1568/getInfo.php?workbook=18_16.xlsx&amp;sheet=A0&amp;row=498&amp;col=8&amp;number=&amp;sourceID=49","")</f>
        <v/>
      </c>
    </row>
    <row r="499" spans="1:8">
      <c r="A499" s="3">
        <v>18</v>
      </c>
      <c r="B499" s="3">
        <v>16</v>
      </c>
      <c r="C499" s="3">
        <v>67</v>
      </c>
      <c r="D499" s="3">
        <v>28</v>
      </c>
      <c r="E499" s="3">
        <f>((1/(INDEX(E0!J$4:J$87,C499,1)-INDEX(E0!J$4:J$87,D499,1))))*100000000</f>
        <v>0</v>
      </c>
      <c r="F499" s="4" t="str">
        <f>HYPERLINK("http://141.218.60.56/~jnz1568/getInfo.php?workbook=18_16.xlsx&amp;sheet=A0&amp;row=499&amp;col=6&amp;number=6251.2&amp;sourceID=48","6251.2")</f>
        <v>6251.2</v>
      </c>
      <c r="G499" s="4" t="str">
        <f>HYPERLINK("http://141.218.60.56/~jnz1568/getInfo.php?workbook=18_16.xlsx&amp;sheet=A0&amp;row=499&amp;col=7&amp;number=&amp;sourceID=49","")</f>
        <v/>
      </c>
      <c r="H499" s="4" t="str">
        <f>HYPERLINK("http://141.218.60.56/~jnz1568/getInfo.php?workbook=18_16.xlsx&amp;sheet=A0&amp;row=499&amp;col=8&amp;number=&amp;sourceID=49","")</f>
        <v/>
      </c>
    </row>
    <row r="500" spans="1:8">
      <c r="A500" s="3">
        <v>18</v>
      </c>
      <c r="B500" s="3">
        <v>16</v>
      </c>
      <c r="C500" s="3">
        <v>67</v>
      </c>
      <c r="D500" s="3">
        <v>30</v>
      </c>
      <c r="E500" s="3">
        <f>((1/(INDEX(E0!J$4:J$87,C500,1)-INDEX(E0!J$4:J$87,D500,1))))*100000000</f>
        <v>0</v>
      </c>
      <c r="F500" s="4" t="str">
        <f>HYPERLINK("http://141.218.60.56/~jnz1568/getInfo.php?workbook=18_16.xlsx&amp;sheet=A0&amp;row=500&amp;col=6&amp;number=1337100&amp;sourceID=48","1337100")</f>
        <v>1337100</v>
      </c>
      <c r="G500" s="4" t="str">
        <f>HYPERLINK("http://141.218.60.56/~jnz1568/getInfo.php?workbook=18_16.xlsx&amp;sheet=A0&amp;row=500&amp;col=7&amp;number=&amp;sourceID=49","")</f>
        <v/>
      </c>
      <c r="H500" s="4" t="str">
        <f>HYPERLINK("http://141.218.60.56/~jnz1568/getInfo.php?workbook=18_16.xlsx&amp;sheet=A0&amp;row=500&amp;col=8&amp;number=&amp;sourceID=49","")</f>
        <v/>
      </c>
    </row>
    <row r="501" spans="1:8">
      <c r="A501" s="3">
        <v>18</v>
      </c>
      <c r="B501" s="3">
        <v>16</v>
      </c>
      <c r="C501" s="3">
        <v>67</v>
      </c>
      <c r="D501" s="3">
        <v>31</v>
      </c>
      <c r="E501" s="3">
        <f>((1/(INDEX(E0!J$4:J$87,C501,1)-INDEX(E0!J$4:J$87,D501,1))))*100000000</f>
        <v>0</v>
      </c>
      <c r="F501" s="4" t="str">
        <f>HYPERLINK("http://141.218.60.56/~jnz1568/getInfo.php?workbook=18_16.xlsx&amp;sheet=A0&amp;row=501&amp;col=6&amp;number=3379600&amp;sourceID=48","3379600")</f>
        <v>3379600</v>
      </c>
      <c r="G501" s="4" t="str">
        <f>HYPERLINK("http://141.218.60.56/~jnz1568/getInfo.php?workbook=18_16.xlsx&amp;sheet=A0&amp;row=501&amp;col=7&amp;number=&amp;sourceID=49","")</f>
        <v/>
      </c>
      <c r="H501" s="4" t="str">
        <f>HYPERLINK("http://141.218.60.56/~jnz1568/getInfo.php?workbook=18_16.xlsx&amp;sheet=A0&amp;row=501&amp;col=8&amp;number=&amp;sourceID=49","")</f>
        <v/>
      </c>
    </row>
    <row r="502" spans="1:8">
      <c r="A502" s="3">
        <v>18</v>
      </c>
      <c r="B502" s="3">
        <v>16</v>
      </c>
      <c r="C502" s="3">
        <v>67</v>
      </c>
      <c r="D502" s="3">
        <v>32</v>
      </c>
      <c r="E502" s="3">
        <f>((1/(INDEX(E0!J$4:J$87,C502,1)-INDEX(E0!J$4:J$87,D502,1))))*100000000</f>
        <v>0</v>
      </c>
      <c r="F502" s="4" t="str">
        <f>HYPERLINK("http://141.218.60.56/~jnz1568/getInfo.php?workbook=18_16.xlsx&amp;sheet=A0&amp;row=502&amp;col=6&amp;number=9846&amp;sourceID=48","9846")</f>
        <v>9846</v>
      </c>
      <c r="G502" s="4" t="str">
        <f>HYPERLINK("http://141.218.60.56/~jnz1568/getInfo.php?workbook=18_16.xlsx&amp;sheet=A0&amp;row=502&amp;col=7&amp;number=&amp;sourceID=49","")</f>
        <v/>
      </c>
      <c r="H502" s="4" t="str">
        <f>HYPERLINK("http://141.218.60.56/~jnz1568/getInfo.php?workbook=18_16.xlsx&amp;sheet=A0&amp;row=502&amp;col=8&amp;number=&amp;sourceID=49","")</f>
        <v/>
      </c>
    </row>
    <row r="503" spans="1:8">
      <c r="A503" s="3">
        <v>18</v>
      </c>
      <c r="B503" s="3">
        <v>16</v>
      </c>
      <c r="C503" s="3">
        <v>67</v>
      </c>
      <c r="D503" s="3">
        <v>33</v>
      </c>
      <c r="E503" s="3">
        <f>((1/(INDEX(E0!J$4:J$87,C503,1)-INDEX(E0!J$4:J$87,D503,1))))*100000000</f>
        <v>0</v>
      </c>
      <c r="F503" s="4" t="str">
        <f>HYPERLINK("http://141.218.60.56/~jnz1568/getInfo.php?workbook=18_16.xlsx&amp;sheet=A0&amp;row=503&amp;col=6&amp;number=889130&amp;sourceID=48","889130")</f>
        <v>889130</v>
      </c>
      <c r="G503" s="4" t="str">
        <f>HYPERLINK("http://141.218.60.56/~jnz1568/getInfo.php?workbook=18_16.xlsx&amp;sheet=A0&amp;row=503&amp;col=7&amp;number=&amp;sourceID=49","")</f>
        <v/>
      </c>
      <c r="H503" s="4" t="str">
        <f>HYPERLINK("http://141.218.60.56/~jnz1568/getInfo.php?workbook=18_16.xlsx&amp;sheet=A0&amp;row=503&amp;col=8&amp;number=&amp;sourceID=49","")</f>
        <v/>
      </c>
    </row>
    <row r="504" spans="1:8">
      <c r="A504" s="3">
        <v>18</v>
      </c>
      <c r="B504" s="3">
        <v>16</v>
      </c>
      <c r="C504" s="3">
        <v>67</v>
      </c>
      <c r="D504" s="3">
        <v>35</v>
      </c>
      <c r="E504" s="3">
        <f>((1/(INDEX(E0!J$4:J$87,C504,1)-INDEX(E0!J$4:J$87,D504,1))))*100000000</f>
        <v>0</v>
      </c>
      <c r="F504" s="4" t="str">
        <f>HYPERLINK("http://141.218.60.56/~jnz1568/getInfo.php?workbook=18_16.xlsx&amp;sheet=A0&amp;row=504&amp;col=6&amp;number=38578&amp;sourceID=48","38578")</f>
        <v>38578</v>
      </c>
      <c r="G504" s="4" t="str">
        <f>HYPERLINK("http://141.218.60.56/~jnz1568/getInfo.php?workbook=18_16.xlsx&amp;sheet=A0&amp;row=504&amp;col=7&amp;number=&amp;sourceID=49","")</f>
        <v/>
      </c>
      <c r="H504" s="4" t="str">
        <f>HYPERLINK("http://141.218.60.56/~jnz1568/getInfo.php?workbook=18_16.xlsx&amp;sheet=A0&amp;row=504&amp;col=8&amp;number=&amp;sourceID=49","")</f>
        <v/>
      </c>
    </row>
    <row r="505" spans="1:8">
      <c r="A505" s="3">
        <v>18</v>
      </c>
      <c r="B505" s="3">
        <v>16</v>
      </c>
      <c r="C505" s="3">
        <v>67</v>
      </c>
      <c r="D505" s="3">
        <v>36</v>
      </c>
      <c r="E505" s="3">
        <f>((1/(INDEX(E0!J$4:J$87,C505,1)-INDEX(E0!J$4:J$87,D505,1))))*100000000</f>
        <v>0</v>
      </c>
      <c r="F505" s="4" t="str">
        <f>HYPERLINK("http://141.218.60.56/~jnz1568/getInfo.php?workbook=18_16.xlsx&amp;sheet=A0&amp;row=505&amp;col=6&amp;number=122100&amp;sourceID=48","122100")</f>
        <v>122100</v>
      </c>
      <c r="G505" s="4" t="str">
        <f>HYPERLINK("http://141.218.60.56/~jnz1568/getInfo.php?workbook=18_16.xlsx&amp;sheet=A0&amp;row=505&amp;col=7&amp;number=&amp;sourceID=49","")</f>
        <v/>
      </c>
      <c r="H505" s="4" t="str">
        <f>HYPERLINK("http://141.218.60.56/~jnz1568/getInfo.php?workbook=18_16.xlsx&amp;sheet=A0&amp;row=505&amp;col=8&amp;number=&amp;sourceID=49","")</f>
        <v/>
      </c>
    </row>
    <row r="506" spans="1:8">
      <c r="A506" s="3">
        <v>18</v>
      </c>
      <c r="B506" s="3">
        <v>16</v>
      </c>
      <c r="C506" s="3">
        <v>67</v>
      </c>
      <c r="D506" s="3">
        <v>37</v>
      </c>
      <c r="E506" s="3">
        <f>((1/(INDEX(E0!J$4:J$87,C506,1)-INDEX(E0!J$4:J$87,D506,1))))*100000000</f>
        <v>0</v>
      </c>
      <c r="F506" s="4" t="str">
        <f>HYPERLINK("http://141.218.60.56/~jnz1568/getInfo.php?workbook=18_16.xlsx&amp;sheet=A0&amp;row=506&amp;col=6&amp;number=11279&amp;sourceID=48","11279")</f>
        <v>11279</v>
      </c>
      <c r="G506" s="4" t="str">
        <f>HYPERLINK("http://141.218.60.56/~jnz1568/getInfo.php?workbook=18_16.xlsx&amp;sheet=A0&amp;row=506&amp;col=7&amp;number=&amp;sourceID=49","")</f>
        <v/>
      </c>
      <c r="H506" s="4" t="str">
        <f>HYPERLINK("http://141.218.60.56/~jnz1568/getInfo.php?workbook=18_16.xlsx&amp;sheet=A0&amp;row=506&amp;col=8&amp;number=&amp;sourceID=49","")</f>
        <v/>
      </c>
    </row>
    <row r="507" spans="1:8">
      <c r="A507" s="3">
        <v>18</v>
      </c>
      <c r="B507" s="3">
        <v>16</v>
      </c>
      <c r="C507" s="3">
        <v>67</v>
      </c>
      <c r="D507" s="3">
        <v>38</v>
      </c>
      <c r="E507" s="3">
        <f>((1/(INDEX(E0!J$4:J$87,C507,1)-INDEX(E0!J$4:J$87,D507,1))))*100000000</f>
        <v>0</v>
      </c>
      <c r="F507" s="4" t="str">
        <f>HYPERLINK("http://141.218.60.56/~jnz1568/getInfo.php?workbook=18_16.xlsx&amp;sheet=A0&amp;row=507&amp;col=6&amp;number=187180000&amp;sourceID=48","187180000")</f>
        <v>187180000</v>
      </c>
      <c r="G507" s="4" t="str">
        <f>HYPERLINK("http://141.218.60.56/~jnz1568/getInfo.php?workbook=18_16.xlsx&amp;sheet=A0&amp;row=507&amp;col=7&amp;number=&amp;sourceID=49","")</f>
        <v/>
      </c>
      <c r="H507" s="4" t="str">
        <f>HYPERLINK("http://141.218.60.56/~jnz1568/getInfo.php?workbook=18_16.xlsx&amp;sheet=A0&amp;row=507&amp;col=8&amp;number=&amp;sourceID=49","")</f>
        <v/>
      </c>
    </row>
    <row r="508" spans="1:8">
      <c r="A508" s="3">
        <v>18</v>
      </c>
      <c r="B508" s="3">
        <v>16</v>
      </c>
      <c r="C508" s="3">
        <v>67</v>
      </c>
      <c r="D508" s="3">
        <v>39</v>
      </c>
      <c r="E508" s="3">
        <f>((1/(INDEX(E0!J$4:J$87,C508,1)-INDEX(E0!J$4:J$87,D508,1))))*100000000</f>
        <v>0</v>
      </c>
      <c r="F508" s="4" t="str">
        <f>HYPERLINK("http://141.218.60.56/~jnz1568/getInfo.php?workbook=18_16.xlsx&amp;sheet=A0&amp;row=508&amp;col=6&amp;number=14516000&amp;sourceID=48","14516000")</f>
        <v>14516000</v>
      </c>
      <c r="G508" s="4" t="str">
        <f>HYPERLINK("http://141.218.60.56/~jnz1568/getInfo.php?workbook=18_16.xlsx&amp;sheet=A0&amp;row=508&amp;col=7&amp;number=&amp;sourceID=49","")</f>
        <v/>
      </c>
      <c r="H508" s="4" t="str">
        <f>HYPERLINK("http://141.218.60.56/~jnz1568/getInfo.php?workbook=18_16.xlsx&amp;sheet=A0&amp;row=508&amp;col=8&amp;number=&amp;sourceID=49","")</f>
        <v/>
      </c>
    </row>
    <row r="509" spans="1:8">
      <c r="A509" s="3">
        <v>18</v>
      </c>
      <c r="B509" s="3">
        <v>16</v>
      </c>
      <c r="C509" s="3">
        <v>67</v>
      </c>
      <c r="D509" s="3">
        <v>40</v>
      </c>
      <c r="E509" s="3">
        <f>((1/(INDEX(E0!J$4:J$87,C509,1)-INDEX(E0!J$4:J$87,D509,1))))*100000000</f>
        <v>0</v>
      </c>
      <c r="F509" s="4" t="str">
        <f>HYPERLINK("http://141.218.60.56/~jnz1568/getInfo.php?workbook=18_16.xlsx&amp;sheet=A0&amp;row=509&amp;col=6&amp;number=33841&amp;sourceID=48","33841")</f>
        <v>33841</v>
      </c>
      <c r="G509" s="4" t="str">
        <f>HYPERLINK("http://141.218.60.56/~jnz1568/getInfo.php?workbook=18_16.xlsx&amp;sheet=A0&amp;row=509&amp;col=7&amp;number=&amp;sourceID=49","")</f>
        <v/>
      </c>
      <c r="H509" s="4" t="str">
        <f>HYPERLINK("http://141.218.60.56/~jnz1568/getInfo.php?workbook=18_16.xlsx&amp;sheet=A0&amp;row=509&amp;col=8&amp;number=&amp;sourceID=49","")</f>
        <v/>
      </c>
    </row>
    <row r="510" spans="1:8">
      <c r="A510" s="3">
        <v>18</v>
      </c>
      <c r="B510" s="3">
        <v>16</v>
      </c>
      <c r="C510" s="3">
        <v>67</v>
      </c>
      <c r="D510" s="3">
        <v>41</v>
      </c>
      <c r="E510" s="3">
        <f>((1/(INDEX(E0!J$4:J$87,C510,1)-INDEX(E0!J$4:J$87,D510,1))))*100000000</f>
        <v>0</v>
      </c>
      <c r="F510" s="4" t="str">
        <f>HYPERLINK("http://141.218.60.56/~jnz1568/getInfo.php?workbook=18_16.xlsx&amp;sheet=A0&amp;row=510&amp;col=6&amp;number=19662&amp;sourceID=48","19662")</f>
        <v>19662</v>
      </c>
      <c r="G510" s="4" t="str">
        <f>HYPERLINK("http://141.218.60.56/~jnz1568/getInfo.php?workbook=18_16.xlsx&amp;sheet=A0&amp;row=510&amp;col=7&amp;number=&amp;sourceID=49","")</f>
        <v/>
      </c>
      <c r="H510" s="4" t="str">
        <f>HYPERLINK("http://141.218.60.56/~jnz1568/getInfo.php?workbook=18_16.xlsx&amp;sheet=A0&amp;row=510&amp;col=8&amp;number=&amp;sourceID=49","")</f>
        <v/>
      </c>
    </row>
    <row r="511" spans="1:8">
      <c r="A511" s="3">
        <v>18</v>
      </c>
      <c r="B511" s="3">
        <v>16</v>
      </c>
      <c r="C511" s="3">
        <v>67</v>
      </c>
      <c r="D511" s="3">
        <v>42</v>
      </c>
      <c r="E511" s="3">
        <f>((1/(INDEX(E0!J$4:J$87,C511,1)-INDEX(E0!J$4:J$87,D511,1))))*100000000</f>
        <v>0</v>
      </c>
      <c r="F511" s="4" t="str">
        <f>HYPERLINK("http://141.218.60.56/~jnz1568/getInfo.php?workbook=18_16.xlsx&amp;sheet=A0&amp;row=511&amp;col=6&amp;number=46010&amp;sourceID=48","46010")</f>
        <v>46010</v>
      </c>
      <c r="G511" s="4" t="str">
        <f>HYPERLINK("http://141.218.60.56/~jnz1568/getInfo.php?workbook=18_16.xlsx&amp;sheet=A0&amp;row=511&amp;col=7&amp;number=&amp;sourceID=49","")</f>
        <v/>
      </c>
      <c r="H511" s="4" t="str">
        <f>HYPERLINK("http://141.218.60.56/~jnz1568/getInfo.php?workbook=18_16.xlsx&amp;sheet=A0&amp;row=511&amp;col=8&amp;number=&amp;sourceID=49","")</f>
        <v/>
      </c>
    </row>
    <row r="512" spans="1:8">
      <c r="A512" s="3">
        <v>18</v>
      </c>
      <c r="B512" s="3">
        <v>16</v>
      </c>
      <c r="C512" s="3">
        <v>67</v>
      </c>
      <c r="D512" s="3">
        <v>45</v>
      </c>
      <c r="E512" s="3">
        <f>((1/(INDEX(E0!J$4:J$87,C512,1)-INDEX(E0!J$4:J$87,D512,1))))*100000000</f>
        <v>0</v>
      </c>
      <c r="F512" s="4" t="str">
        <f>HYPERLINK("http://141.218.60.56/~jnz1568/getInfo.php?workbook=18_16.xlsx&amp;sheet=A0&amp;row=512&amp;col=6&amp;number=343.64&amp;sourceID=48","343.64")</f>
        <v>343.64</v>
      </c>
      <c r="G512" s="4" t="str">
        <f>HYPERLINK("http://141.218.60.56/~jnz1568/getInfo.php?workbook=18_16.xlsx&amp;sheet=A0&amp;row=512&amp;col=7&amp;number=&amp;sourceID=49","")</f>
        <v/>
      </c>
      <c r="H512" s="4" t="str">
        <f>HYPERLINK("http://141.218.60.56/~jnz1568/getInfo.php?workbook=18_16.xlsx&amp;sheet=A0&amp;row=512&amp;col=8&amp;number=&amp;sourceID=49","")</f>
        <v/>
      </c>
    </row>
    <row r="513" spans="1:8">
      <c r="A513" s="3">
        <v>18</v>
      </c>
      <c r="B513" s="3">
        <v>16</v>
      </c>
      <c r="C513" s="3">
        <v>67</v>
      </c>
      <c r="D513" s="3">
        <v>47</v>
      </c>
      <c r="E513" s="3">
        <f>((1/(INDEX(E0!J$4:J$87,C513,1)-INDEX(E0!J$4:J$87,D513,1))))*100000000</f>
        <v>0</v>
      </c>
      <c r="F513" s="4" t="str">
        <f>HYPERLINK("http://141.218.60.56/~jnz1568/getInfo.php?workbook=18_16.xlsx&amp;sheet=A0&amp;row=513&amp;col=6&amp;number=24492&amp;sourceID=48","24492")</f>
        <v>24492</v>
      </c>
      <c r="G513" s="4" t="str">
        <f>HYPERLINK("http://141.218.60.56/~jnz1568/getInfo.php?workbook=18_16.xlsx&amp;sheet=A0&amp;row=513&amp;col=7&amp;number=&amp;sourceID=49","")</f>
        <v/>
      </c>
      <c r="H513" s="4" t="str">
        <f>HYPERLINK("http://141.218.60.56/~jnz1568/getInfo.php?workbook=18_16.xlsx&amp;sheet=A0&amp;row=513&amp;col=8&amp;number=&amp;sourceID=49","")</f>
        <v/>
      </c>
    </row>
    <row r="514" spans="1:8">
      <c r="A514" s="3">
        <v>18</v>
      </c>
      <c r="B514" s="3">
        <v>16</v>
      </c>
      <c r="C514" s="3">
        <v>67</v>
      </c>
      <c r="D514" s="3">
        <v>48</v>
      </c>
      <c r="E514" s="3">
        <f>((1/(INDEX(E0!J$4:J$87,C514,1)-INDEX(E0!J$4:J$87,D514,1))))*100000000</f>
        <v>0</v>
      </c>
      <c r="F514" s="4" t="str">
        <f>HYPERLINK("http://141.218.60.56/~jnz1568/getInfo.php?workbook=18_16.xlsx&amp;sheet=A0&amp;row=514&amp;col=6&amp;number=121920&amp;sourceID=48","121920")</f>
        <v>121920</v>
      </c>
      <c r="G514" s="4" t="str">
        <f>HYPERLINK("http://141.218.60.56/~jnz1568/getInfo.php?workbook=18_16.xlsx&amp;sheet=A0&amp;row=514&amp;col=7&amp;number=&amp;sourceID=49","")</f>
        <v/>
      </c>
      <c r="H514" s="4" t="str">
        <f>HYPERLINK("http://141.218.60.56/~jnz1568/getInfo.php?workbook=18_16.xlsx&amp;sheet=A0&amp;row=514&amp;col=8&amp;number=&amp;sourceID=49","")</f>
        <v/>
      </c>
    </row>
    <row r="515" spans="1:8">
      <c r="A515" s="3">
        <v>18</v>
      </c>
      <c r="B515" s="3">
        <v>16</v>
      </c>
      <c r="C515" s="3">
        <v>67</v>
      </c>
      <c r="D515" s="3">
        <v>53</v>
      </c>
      <c r="E515" s="3">
        <f>((1/(INDEX(E0!J$4:J$87,C515,1)-INDEX(E0!J$4:J$87,D515,1))))*100000000</f>
        <v>0</v>
      </c>
      <c r="F515" s="4" t="str">
        <f>HYPERLINK("http://141.218.60.56/~jnz1568/getInfo.php?workbook=18_16.xlsx&amp;sheet=A0&amp;row=515&amp;col=6&amp;number=4972.7&amp;sourceID=48","4972.7")</f>
        <v>4972.7</v>
      </c>
      <c r="G515" s="4" t="str">
        <f>HYPERLINK("http://141.218.60.56/~jnz1568/getInfo.php?workbook=18_16.xlsx&amp;sheet=A0&amp;row=515&amp;col=7&amp;number=&amp;sourceID=49","")</f>
        <v/>
      </c>
      <c r="H515" s="4" t="str">
        <f>HYPERLINK("http://141.218.60.56/~jnz1568/getInfo.php?workbook=18_16.xlsx&amp;sheet=A0&amp;row=515&amp;col=8&amp;number=&amp;sourceID=49","")</f>
        <v/>
      </c>
    </row>
    <row r="516" spans="1:8">
      <c r="A516" s="3">
        <v>18</v>
      </c>
      <c r="B516" s="3">
        <v>16</v>
      </c>
      <c r="C516" s="3">
        <v>67</v>
      </c>
      <c r="D516" s="3">
        <v>54</v>
      </c>
      <c r="E516" s="3">
        <f>((1/(INDEX(E0!J$4:J$87,C516,1)-INDEX(E0!J$4:J$87,D516,1))))*100000000</f>
        <v>0</v>
      </c>
      <c r="F516" s="4" t="str">
        <f>HYPERLINK("http://141.218.60.56/~jnz1568/getInfo.php?workbook=18_16.xlsx&amp;sheet=A0&amp;row=516&amp;col=6&amp;number=9958.5&amp;sourceID=48","9958.5")</f>
        <v>9958.5</v>
      </c>
      <c r="G516" s="4" t="str">
        <f>HYPERLINK("http://141.218.60.56/~jnz1568/getInfo.php?workbook=18_16.xlsx&amp;sheet=A0&amp;row=516&amp;col=7&amp;number=&amp;sourceID=49","")</f>
        <v/>
      </c>
      <c r="H516" s="4" t="str">
        <f>HYPERLINK("http://141.218.60.56/~jnz1568/getInfo.php?workbook=18_16.xlsx&amp;sheet=A0&amp;row=516&amp;col=8&amp;number=&amp;sourceID=49","")</f>
        <v/>
      </c>
    </row>
    <row r="517" spans="1:8">
      <c r="A517" s="3">
        <v>18</v>
      </c>
      <c r="B517" s="3">
        <v>16</v>
      </c>
      <c r="C517" s="3">
        <v>67</v>
      </c>
      <c r="D517" s="3">
        <v>55</v>
      </c>
      <c r="E517" s="3">
        <f>((1/(INDEX(E0!J$4:J$87,C517,1)-INDEX(E0!J$4:J$87,D517,1))))*100000000</f>
        <v>0</v>
      </c>
      <c r="F517" s="4" t="str">
        <f>HYPERLINK("http://141.218.60.56/~jnz1568/getInfo.php?workbook=18_16.xlsx&amp;sheet=A0&amp;row=517&amp;col=6&amp;number=1045.6&amp;sourceID=48","1045.6")</f>
        <v>1045.6</v>
      </c>
      <c r="G517" s="4" t="str">
        <f>HYPERLINK("http://141.218.60.56/~jnz1568/getInfo.php?workbook=18_16.xlsx&amp;sheet=A0&amp;row=517&amp;col=7&amp;number=&amp;sourceID=49","")</f>
        <v/>
      </c>
      <c r="H517" s="4" t="str">
        <f>HYPERLINK("http://141.218.60.56/~jnz1568/getInfo.php?workbook=18_16.xlsx&amp;sheet=A0&amp;row=517&amp;col=8&amp;number=&amp;sourceID=49","")</f>
        <v/>
      </c>
    </row>
    <row r="518" spans="1:8">
      <c r="A518" s="3">
        <v>18</v>
      </c>
      <c r="B518" s="3">
        <v>16</v>
      </c>
      <c r="C518" s="3">
        <v>67</v>
      </c>
      <c r="D518" s="3">
        <v>56</v>
      </c>
      <c r="E518" s="3">
        <f>((1/(INDEX(E0!J$4:J$87,C518,1)-INDEX(E0!J$4:J$87,D518,1))))*100000000</f>
        <v>0</v>
      </c>
      <c r="F518" s="4" t="str">
        <f>HYPERLINK("http://141.218.60.56/~jnz1568/getInfo.php?workbook=18_16.xlsx&amp;sheet=A0&amp;row=518&amp;col=6&amp;number=14416&amp;sourceID=48","14416")</f>
        <v>14416</v>
      </c>
      <c r="G518" s="4" t="str">
        <f>HYPERLINK("http://141.218.60.56/~jnz1568/getInfo.php?workbook=18_16.xlsx&amp;sheet=A0&amp;row=518&amp;col=7&amp;number=&amp;sourceID=49","")</f>
        <v/>
      </c>
      <c r="H518" s="4" t="str">
        <f>HYPERLINK("http://141.218.60.56/~jnz1568/getInfo.php?workbook=18_16.xlsx&amp;sheet=A0&amp;row=518&amp;col=8&amp;number=&amp;sourceID=49","")</f>
        <v/>
      </c>
    </row>
    <row r="519" spans="1:8">
      <c r="A519" s="3">
        <v>18</v>
      </c>
      <c r="B519" s="3">
        <v>16</v>
      </c>
      <c r="C519" s="3">
        <v>67</v>
      </c>
      <c r="D519" s="3">
        <v>57</v>
      </c>
      <c r="E519" s="3">
        <f>((1/(INDEX(E0!J$4:J$87,C519,1)-INDEX(E0!J$4:J$87,D519,1))))*100000000</f>
        <v>0</v>
      </c>
      <c r="F519" s="4" t="str">
        <f>HYPERLINK("http://141.218.60.56/~jnz1568/getInfo.php?workbook=18_16.xlsx&amp;sheet=A0&amp;row=519&amp;col=6&amp;number=1284.2&amp;sourceID=48","1284.2")</f>
        <v>1284.2</v>
      </c>
      <c r="G519" s="4" t="str">
        <f>HYPERLINK("http://141.218.60.56/~jnz1568/getInfo.php?workbook=18_16.xlsx&amp;sheet=A0&amp;row=519&amp;col=7&amp;number=&amp;sourceID=49","")</f>
        <v/>
      </c>
      <c r="H519" s="4" t="str">
        <f>HYPERLINK("http://141.218.60.56/~jnz1568/getInfo.php?workbook=18_16.xlsx&amp;sheet=A0&amp;row=519&amp;col=8&amp;number=&amp;sourceID=49","")</f>
        <v/>
      </c>
    </row>
    <row r="520" spans="1:8">
      <c r="A520" s="3">
        <v>18</v>
      </c>
      <c r="B520" s="3">
        <v>16</v>
      </c>
      <c r="C520" s="3">
        <v>67</v>
      </c>
      <c r="D520" s="3">
        <v>58</v>
      </c>
      <c r="E520" s="3">
        <f>((1/(INDEX(E0!J$4:J$87,C520,1)-INDEX(E0!J$4:J$87,D520,1))))*100000000</f>
        <v>0</v>
      </c>
      <c r="F520" s="4" t="str">
        <f>HYPERLINK("http://141.218.60.56/~jnz1568/getInfo.php?workbook=18_16.xlsx&amp;sheet=A0&amp;row=520&amp;col=6&amp;number=1172.5&amp;sourceID=48","1172.5")</f>
        <v>1172.5</v>
      </c>
      <c r="G520" s="4" t="str">
        <f>HYPERLINK("http://141.218.60.56/~jnz1568/getInfo.php?workbook=18_16.xlsx&amp;sheet=A0&amp;row=520&amp;col=7&amp;number=&amp;sourceID=49","")</f>
        <v/>
      </c>
      <c r="H520" s="4" t="str">
        <f>HYPERLINK("http://141.218.60.56/~jnz1568/getInfo.php?workbook=18_16.xlsx&amp;sheet=A0&amp;row=520&amp;col=8&amp;number=&amp;sourceID=49","")</f>
        <v/>
      </c>
    </row>
    <row r="521" spans="1:8">
      <c r="A521" s="3">
        <v>18</v>
      </c>
      <c r="B521" s="3">
        <v>16</v>
      </c>
      <c r="C521" s="3">
        <v>67</v>
      </c>
      <c r="D521" s="3">
        <v>60</v>
      </c>
      <c r="E521" s="3">
        <f>((1/(INDEX(E0!J$4:J$87,C521,1)-INDEX(E0!J$4:J$87,D521,1))))*100000000</f>
        <v>0</v>
      </c>
      <c r="F521" s="4" t="str">
        <f>HYPERLINK("http://141.218.60.56/~jnz1568/getInfo.php?workbook=18_16.xlsx&amp;sheet=A0&amp;row=521&amp;col=6&amp;number=0.3256&amp;sourceID=48","0.3256")</f>
        <v>0.3256</v>
      </c>
      <c r="G521" s="4" t="str">
        <f>HYPERLINK("http://141.218.60.56/~jnz1568/getInfo.php?workbook=18_16.xlsx&amp;sheet=A0&amp;row=521&amp;col=7&amp;number=&amp;sourceID=49","")</f>
        <v/>
      </c>
      <c r="H521" s="4" t="str">
        <f>HYPERLINK("http://141.218.60.56/~jnz1568/getInfo.php?workbook=18_16.xlsx&amp;sheet=A0&amp;row=521&amp;col=8&amp;number=&amp;sourceID=49","")</f>
        <v/>
      </c>
    </row>
    <row r="522" spans="1:8">
      <c r="A522" s="3">
        <v>18</v>
      </c>
      <c r="B522" s="3">
        <v>16</v>
      </c>
      <c r="C522" s="3">
        <v>67</v>
      </c>
      <c r="D522" s="3">
        <v>61</v>
      </c>
      <c r="E522" s="3">
        <f>((1/(INDEX(E0!J$4:J$87,C522,1)-INDEX(E0!J$4:J$87,D522,1))))*100000000</f>
        <v>0</v>
      </c>
      <c r="F522" s="4" t="str">
        <f>HYPERLINK("http://141.218.60.56/~jnz1568/getInfo.php?workbook=18_16.xlsx&amp;sheet=A0&amp;row=522&amp;col=6&amp;number=28.187&amp;sourceID=48","28.187")</f>
        <v>28.187</v>
      </c>
      <c r="G522" s="4" t="str">
        <f>HYPERLINK("http://141.218.60.56/~jnz1568/getInfo.php?workbook=18_16.xlsx&amp;sheet=A0&amp;row=522&amp;col=7&amp;number=&amp;sourceID=49","")</f>
        <v/>
      </c>
      <c r="H522" s="4" t="str">
        <f>HYPERLINK("http://141.218.60.56/~jnz1568/getInfo.php?workbook=18_16.xlsx&amp;sheet=A0&amp;row=522&amp;col=8&amp;number=&amp;sourceID=49","")</f>
        <v/>
      </c>
    </row>
    <row r="523" spans="1:8">
      <c r="A523" s="3">
        <v>18</v>
      </c>
      <c r="B523" s="3">
        <v>16</v>
      </c>
      <c r="C523" s="3">
        <v>68</v>
      </c>
      <c r="D523" s="3">
        <v>6</v>
      </c>
      <c r="E523" s="3">
        <f>((1/(INDEX(E0!J$4:J$87,C523,1)-INDEX(E0!J$4:J$87,D523,1))))*100000000</f>
        <v>0</v>
      </c>
      <c r="F523" s="4" t="str">
        <f>HYPERLINK("http://141.218.60.56/~jnz1568/getInfo.php?workbook=18_16.xlsx&amp;sheet=A0&amp;row=523&amp;col=6&amp;number=1317600&amp;sourceID=48","1317600")</f>
        <v>1317600</v>
      </c>
      <c r="G523" s="4" t="str">
        <f>HYPERLINK("http://141.218.60.56/~jnz1568/getInfo.php?workbook=18_16.xlsx&amp;sheet=A0&amp;row=523&amp;col=7&amp;number=&amp;sourceID=49","")</f>
        <v/>
      </c>
      <c r="H523" s="4" t="str">
        <f>HYPERLINK("http://141.218.60.56/~jnz1568/getInfo.php?workbook=18_16.xlsx&amp;sheet=A0&amp;row=523&amp;col=8&amp;number=&amp;sourceID=49","")</f>
        <v/>
      </c>
    </row>
    <row r="524" spans="1:8">
      <c r="A524" s="3">
        <v>18</v>
      </c>
      <c r="B524" s="3">
        <v>16</v>
      </c>
      <c r="C524" s="3">
        <v>68</v>
      </c>
      <c r="D524" s="3">
        <v>12</v>
      </c>
      <c r="E524" s="3">
        <f>((1/(INDEX(E0!J$4:J$87,C524,1)-INDEX(E0!J$4:J$87,D524,1))))*100000000</f>
        <v>0</v>
      </c>
      <c r="F524" s="4" t="str">
        <f>HYPERLINK("http://141.218.60.56/~jnz1568/getInfo.php?workbook=18_16.xlsx&amp;sheet=A0&amp;row=524&amp;col=6&amp;number=1748.5&amp;sourceID=48","1748.5")</f>
        <v>1748.5</v>
      </c>
      <c r="G524" s="4" t="str">
        <f>HYPERLINK("http://141.218.60.56/~jnz1568/getInfo.php?workbook=18_16.xlsx&amp;sheet=A0&amp;row=524&amp;col=7&amp;number=&amp;sourceID=49","")</f>
        <v/>
      </c>
      <c r="H524" s="4" t="str">
        <f>HYPERLINK("http://141.218.60.56/~jnz1568/getInfo.php?workbook=18_16.xlsx&amp;sheet=A0&amp;row=524&amp;col=8&amp;number=&amp;sourceID=49","")</f>
        <v/>
      </c>
    </row>
    <row r="525" spans="1:8">
      <c r="A525" s="3">
        <v>18</v>
      </c>
      <c r="B525" s="3">
        <v>16</v>
      </c>
      <c r="C525" s="3">
        <v>68</v>
      </c>
      <c r="D525" s="3">
        <v>13</v>
      </c>
      <c r="E525" s="3">
        <f>((1/(INDEX(E0!J$4:J$87,C525,1)-INDEX(E0!J$4:J$87,D525,1))))*100000000</f>
        <v>0</v>
      </c>
      <c r="F525" s="4" t="str">
        <f>HYPERLINK("http://141.218.60.56/~jnz1568/getInfo.php?workbook=18_16.xlsx&amp;sheet=A0&amp;row=525&amp;col=6&amp;number=13251&amp;sourceID=48","13251")</f>
        <v>13251</v>
      </c>
      <c r="G525" s="4" t="str">
        <f>HYPERLINK("http://141.218.60.56/~jnz1568/getInfo.php?workbook=18_16.xlsx&amp;sheet=A0&amp;row=525&amp;col=7&amp;number=&amp;sourceID=49","")</f>
        <v/>
      </c>
      <c r="H525" s="4" t="str">
        <f>HYPERLINK("http://141.218.60.56/~jnz1568/getInfo.php?workbook=18_16.xlsx&amp;sheet=A0&amp;row=525&amp;col=8&amp;number=&amp;sourceID=49","")</f>
        <v/>
      </c>
    </row>
    <row r="526" spans="1:8">
      <c r="A526" s="3">
        <v>18</v>
      </c>
      <c r="B526" s="3">
        <v>16</v>
      </c>
      <c r="C526" s="3">
        <v>68</v>
      </c>
      <c r="D526" s="3">
        <v>14</v>
      </c>
      <c r="E526" s="3">
        <f>((1/(INDEX(E0!J$4:J$87,C526,1)-INDEX(E0!J$4:J$87,D526,1))))*100000000</f>
        <v>0</v>
      </c>
      <c r="F526" s="4" t="str">
        <f>HYPERLINK("http://141.218.60.56/~jnz1568/getInfo.php?workbook=18_16.xlsx&amp;sheet=A0&amp;row=526&amp;col=6&amp;number=7020.7&amp;sourceID=48","7020.7")</f>
        <v>7020.7</v>
      </c>
      <c r="G526" s="4" t="str">
        <f>HYPERLINK("http://141.218.60.56/~jnz1568/getInfo.php?workbook=18_16.xlsx&amp;sheet=A0&amp;row=526&amp;col=7&amp;number=&amp;sourceID=49","")</f>
        <v/>
      </c>
      <c r="H526" s="4" t="str">
        <f>HYPERLINK("http://141.218.60.56/~jnz1568/getInfo.php?workbook=18_16.xlsx&amp;sheet=A0&amp;row=526&amp;col=8&amp;number=&amp;sourceID=49","")</f>
        <v/>
      </c>
    </row>
    <row r="527" spans="1:8">
      <c r="A527" s="3">
        <v>18</v>
      </c>
      <c r="B527" s="3">
        <v>16</v>
      </c>
      <c r="C527" s="3">
        <v>68</v>
      </c>
      <c r="D527" s="3">
        <v>15</v>
      </c>
      <c r="E527" s="3">
        <f>((1/(INDEX(E0!J$4:J$87,C527,1)-INDEX(E0!J$4:J$87,D527,1))))*100000000</f>
        <v>0</v>
      </c>
      <c r="F527" s="4" t="str">
        <f>HYPERLINK("http://141.218.60.56/~jnz1568/getInfo.php?workbook=18_16.xlsx&amp;sheet=A0&amp;row=527&amp;col=6&amp;number=12040000&amp;sourceID=48","12040000")</f>
        <v>12040000</v>
      </c>
      <c r="G527" s="4" t="str">
        <f>HYPERLINK("http://141.218.60.56/~jnz1568/getInfo.php?workbook=18_16.xlsx&amp;sheet=A0&amp;row=527&amp;col=7&amp;number=&amp;sourceID=49","")</f>
        <v/>
      </c>
      <c r="H527" s="4" t="str">
        <f>HYPERLINK("http://141.218.60.56/~jnz1568/getInfo.php?workbook=18_16.xlsx&amp;sheet=A0&amp;row=527&amp;col=8&amp;number=&amp;sourceID=49","")</f>
        <v/>
      </c>
    </row>
    <row r="528" spans="1:8">
      <c r="A528" s="3">
        <v>18</v>
      </c>
      <c r="B528" s="3">
        <v>16</v>
      </c>
      <c r="C528" s="3">
        <v>68</v>
      </c>
      <c r="D528" s="3">
        <v>16</v>
      </c>
      <c r="E528" s="3">
        <f>((1/(INDEX(E0!J$4:J$87,C528,1)-INDEX(E0!J$4:J$87,D528,1))))*100000000</f>
        <v>0</v>
      </c>
      <c r="F528" s="4" t="str">
        <f>HYPERLINK("http://141.218.60.56/~jnz1568/getInfo.php?workbook=18_16.xlsx&amp;sheet=A0&amp;row=528&amp;col=6&amp;number=6054000&amp;sourceID=48","6054000")</f>
        <v>6054000</v>
      </c>
      <c r="G528" s="4" t="str">
        <f>HYPERLINK("http://141.218.60.56/~jnz1568/getInfo.php?workbook=18_16.xlsx&amp;sheet=A0&amp;row=528&amp;col=7&amp;number=&amp;sourceID=49","")</f>
        <v/>
      </c>
      <c r="H528" s="4" t="str">
        <f>HYPERLINK("http://141.218.60.56/~jnz1568/getInfo.php?workbook=18_16.xlsx&amp;sheet=A0&amp;row=528&amp;col=8&amp;number=&amp;sourceID=49","")</f>
        <v/>
      </c>
    </row>
    <row r="529" spans="1:8">
      <c r="A529" s="3">
        <v>18</v>
      </c>
      <c r="B529" s="3">
        <v>16</v>
      </c>
      <c r="C529" s="3">
        <v>68</v>
      </c>
      <c r="D529" s="3">
        <v>19</v>
      </c>
      <c r="E529" s="3">
        <f>((1/(INDEX(E0!J$4:J$87,C529,1)-INDEX(E0!J$4:J$87,D529,1))))*100000000</f>
        <v>0</v>
      </c>
      <c r="F529" s="4" t="str">
        <f>HYPERLINK("http://141.218.60.56/~jnz1568/getInfo.php?workbook=18_16.xlsx&amp;sheet=A0&amp;row=529&amp;col=6&amp;number=7329800&amp;sourceID=48","7329800")</f>
        <v>7329800</v>
      </c>
      <c r="G529" s="4" t="str">
        <f>HYPERLINK("http://141.218.60.56/~jnz1568/getInfo.php?workbook=18_16.xlsx&amp;sheet=A0&amp;row=529&amp;col=7&amp;number=&amp;sourceID=49","")</f>
        <v/>
      </c>
      <c r="H529" s="4" t="str">
        <f>HYPERLINK("http://141.218.60.56/~jnz1568/getInfo.php?workbook=18_16.xlsx&amp;sheet=A0&amp;row=529&amp;col=8&amp;number=&amp;sourceID=49","")</f>
        <v/>
      </c>
    </row>
    <row r="530" spans="1:8">
      <c r="A530" s="3">
        <v>18</v>
      </c>
      <c r="B530" s="3">
        <v>16</v>
      </c>
      <c r="C530" s="3">
        <v>68</v>
      </c>
      <c r="D530" s="3">
        <v>20</v>
      </c>
      <c r="E530" s="3">
        <f>((1/(INDEX(E0!J$4:J$87,C530,1)-INDEX(E0!J$4:J$87,D530,1))))*100000000</f>
        <v>0</v>
      </c>
      <c r="F530" s="4" t="str">
        <f>HYPERLINK("http://141.218.60.56/~jnz1568/getInfo.php?workbook=18_16.xlsx&amp;sheet=A0&amp;row=530&amp;col=6&amp;number=66402000&amp;sourceID=48","66402000")</f>
        <v>66402000</v>
      </c>
      <c r="G530" s="4" t="str">
        <f>HYPERLINK("http://141.218.60.56/~jnz1568/getInfo.php?workbook=18_16.xlsx&amp;sheet=A0&amp;row=530&amp;col=7&amp;number=&amp;sourceID=49","")</f>
        <v/>
      </c>
      <c r="H530" s="4" t="str">
        <f>HYPERLINK("http://141.218.60.56/~jnz1568/getInfo.php?workbook=18_16.xlsx&amp;sheet=A0&amp;row=530&amp;col=8&amp;number=&amp;sourceID=49","")</f>
        <v/>
      </c>
    </row>
    <row r="531" spans="1:8">
      <c r="A531" s="3">
        <v>18</v>
      </c>
      <c r="B531" s="3">
        <v>16</v>
      </c>
      <c r="C531" s="3">
        <v>68</v>
      </c>
      <c r="D531" s="3">
        <v>21</v>
      </c>
      <c r="E531" s="3">
        <f>((1/(INDEX(E0!J$4:J$87,C531,1)-INDEX(E0!J$4:J$87,D531,1))))*100000000</f>
        <v>0</v>
      </c>
      <c r="F531" s="4" t="str">
        <f>HYPERLINK("http://141.218.60.56/~jnz1568/getInfo.php?workbook=18_16.xlsx&amp;sheet=A0&amp;row=531&amp;col=6&amp;number=21770000&amp;sourceID=48","21770000")</f>
        <v>21770000</v>
      </c>
      <c r="G531" s="4" t="str">
        <f>HYPERLINK("http://141.218.60.56/~jnz1568/getInfo.php?workbook=18_16.xlsx&amp;sheet=A0&amp;row=531&amp;col=7&amp;number=&amp;sourceID=49","")</f>
        <v/>
      </c>
      <c r="H531" s="4" t="str">
        <f>HYPERLINK("http://141.218.60.56/~jnz1568/getInfo.php?workbook=18_16.xlsx&amp;sheet=A0&amp;row=531&amp;col=8&amp;number=&amp;sourceID=49","")</f>
        <v/>
      </c>
    </row>
    <row r="532" spans="1:8">
      <c r="A532" s="3">
        <v>18</v>
      </c>
      <c r="B532" s="3">
        <v>16</v>
      </c>
      <c r="C532" s="3">
        <v>68</v>
      </c>
      <c r="D532" s="3">
        <v>22</v>
      </c>
      <c r="E532" s="3">
        <f>((1/(INDEX(E0!J$4:J$87,C532,1)-INDEX(E0!J$4:J$87,D532,1))))*100000000</f>
        <v>0</v>
      </c>
      <c r="F532" s="4" t="str">
        <f>HYPERLINK("http://141.218.60.56/~jnz1568/getInfo.php?workbook=18_16.xlsx&amp;sheet=A0&amp;row=532&amp;col=6&amp;number=15536000&amp;sourceID=48","15536000")</f>
        <v>15536000</v>
      </c>
      <c r="G532" s="4" t="str">
        <f>HYPERLINK("http://141.218.60.56/~jnz1568/getInfo.php?workbook=18_16.xlsx&amp;sheet=A0&amp;row=532&amp;col=7&amp;number=&amp;sourceID=49","")</f>
        <v/>
      </c>
      <c r="H532" s="4" t="str">
        <f>HYPERLINK("http://141.218.60.56/~jnz1568/getInfo.php?workbook=18_16.xlsx&amp;sheet=A0&amp;row=532&amp;col=8&amp;number=&amp;sourceID=49","")</f>
        <v/>
      </c>
    </row>
    <row r="533" spans="1:8">
      <c r="A533" s="3">
        <v>18</v>
      </c>
      <c r="B533" s="3">
        <v>16</v>
      </c>
      <c r="C533" s="3">
        <v>68</v>
      </c>
      <c r="D533" s="3">
        <v>23</v>
      </c>
      <c r="E533" s="3">
        <f>((1/(INDEX(E0!J$4:J$87,C533,1)-INDEX(E0!J$4:J$87,D533,1))))*100000000</f>
        <v>0</v>
      </c>
      <c r="F533" s="4" t="str">
        <f>HYPERLINK("http://141.218.60.56/~jnz1568/getInfo.php?workbook=18_16.xlsx&amp;sheet=A0&amp;row=533&amp;col=6&amp;number=278770000&amp;sourceID=48","278770000")</f>
        <v>278770000</v>
      </c>
      <c r="G533" s="4" t="str">
        <f>HYPERLINK("http://141.218.60.56/~jnz1568/getInfo.php?workbook=18_16.xlsx&amp;sheet=A0&amp;row=533&amp;col=7&amp;number=&amp;sourceID=49","")</f>
        <v/>
      </c>
      <c r="H533" s="4" t="str">
        <f>HYPERLINK("http://141.218.60.56/~jnz1568/getInfo.php?workbook=18_16.xlsx&amp;sheet=A0&amp;row=533&amp;col=8&amp;number=&amp;sourceID=49","")</f>
        <v/>
      </c>
    </row>
    <row r="534" spans="1:8">
      <c r="A534" s="3">
        <v>18</v>
      </c>
      <c r="B534" s="3">
        <v>16</v>
      </c>
      <c r="C534" s="3">
        <v>68</v>
      </c>
      <c r="D534" s="3">
        <v>25</v>
      </c>
      <c r="E534" s="3">
        <f>((1/(INDEX(E0!J$4:J$87,C534,1)-INDEX(E0!J$4:J$87,D534,1))))*100000000</f>
        <v>0</v>
      </c>
      <c r="F534" s="4" t="str">
        <f>HYPERLINK("http://141.218.60.56/~jnz1568/getInfo.php?workbook=18_16.xlsx&amp;sheet=A0&amp;row=534&amp;col=6&amp;number=357.77&amp;sourceID=48","357.77")</f>
        <v>357.77</v>
      </c>
      <c r="G534" s="4" t="str">
        <f>HYPERLINK("http://141.218.60.56/~jnz1568/getInfo.php?workbook=18_16.xlsx&amp;sheet=A0&amp;row=534&amp;col=7&amp;number=&amp;sourceID=49","")</f>
        <v/>
      </c>
      <c r="H534" s="4" t="str">
        <f>HYPERLINK("http://141.218.60.56/~jnz1568/getInfo.php?workbook=18_16.xlsx&amp;sheet=A0&amp;row=534&amp;col=8&amp;number=&amp;sourceID=49","")</f>
        <v/>
      </c>
    </row>
    <row r="535" spans="1:8">
      <c r="A535" s="3">
        <v>18</v>
      </c>
      <c r="B535" s="3">
        <v>16</v>
      </c>
      <c r="C535" s="3">
        <v>68</v>
      </c>
      <c r="D535" s="3">
        <v>26</v>
      </c>
      <c r="E535" s="3">
        <f>((1/(INDEX(E0!J$4:J$87,C535,1)-INDEX(E0!J$4:J$87,D535,1))))*100000000</f>
        <v>0</v>
      </c>
      <c r="F535" s="4" t="str">
        <f>HYPERLINK("http://141.218.60.56/~jnz1568/getInfo.php?workbook=18_16.xlsx&amp;sheet=A0&amp;row=535&amp;col=6&amp;number=1016600&amp;sourceID=48","1016600")</f>
        <v>1016600</v>
      </c>
      <c r="G535" s="4" t="str">
        <f>HYPERLINK("http://141.218.60.56/~jnz1568/getInfo.php?workbook=18_16.xlsx&amp;sheet=A0&amp;row=535&amp;col=7&amp;number=&amp;sourceID=49","")</f>
        <v/>
      </c>
      <c r="H535" s="4" t="str">
        <f>HYPERLINK("http://141.218.60.56/~jnz1568/getInfo.php?workbook=18_16.xlsx&amp;sheet=A0&amp;row=535&amp;col=8&amp;number=&amp;sourceID=49","")</f>
        <v/>
      </c>
    </row>
    <row r="536" spans="1:8">
      <c r="A536" s="3">
        <v>18</v>
      </c>
      <c r="B536" s="3">
        <v>16</v>
      </c>
      <c r="C536" s="3">
        <v>68</v>
      </c>
      <c r="D536" s="3">
        <v>27</v>
      </c>
      <c r="E536" s="3">
        <f>((1/(INDEX(E0!J$4:J$87,C536,1)-INDEX(E0!J$4:J$87,D536,1))))*100000000</f>
        <v>0</v>
      </c>
      <c r="F536" s="4" t="str">
        <f>HYPERLINK("http://141.218.60.56/~jnz1568/getInfo.php?workbook=18_16.xlsx&amp;sheet=A0&amp;row=536&amp;col=6&amp;number=9707.5&amp;sourceID=48","9707.5")</f>
        <v>9707.5</v>
      </c>
      <c r="G536" s="4" t="str">
        <f>HYPERLINK("http://141.218.60.56/~jnz1568/getInfo.php?workbook=18_16.xlsx&amp;sheet=A0&amp;row=536&amp;col=7&amp;number=&amp;sourceID=49","")</f>
        <v/>
      </c>
      <c r="H536" s="4" t="str">
        <f>HYPERLINK("http://141.218.60.56/~jnz1568/getInfo.php?workbook=18_16.xlsx&amp;sheet=A0&amp;row=536&amp;col=8&amp;number=&amp;sourceID=49","")</f>
        <v/>
      </c>
    </row>
    <row r="537" spans="1:8">
      <c r="A537" s="3">
        <v>18</v>
      </c>
      <c r="B537" s="3">
        <v>16</v>
      </c>
      <c r="C537" s="3">
        <v>68</v>
      </c>
      <c r="D537" s="3">
        <v>29</v>
      </c>
      <c r="E537" s="3">
        <f>((1/(INDEX(E0!J$4:J$87,C537,1)-INDEX(E0!J$4:J$87,D537,1))))*100000000</f>
        <v>0</v>
      </c>
      <c r="F537" s="4" t="str">
        <f>HYPERLINK("http://141.218.60.56/~jnz1568/getInfo.php?workbook=18_16.xlsx&amp;sheet=A0&amp;row=537&amp;col=6&amp;number=1472800&amp;sourceID=48","1472800")</f>
        <v>1472800</v>
      </c>
      <c r="G537" s="4" t="str">
        <f>HYPERLINK("http://141.218.60.56/~jnz1568/getInfo.php?workbook=18_16.xlsx&amp;sheet=A0&amp;row=537&amp;col=7&amp;number=&amp;sourceID=49","")</f>
        <v/>
      </c>
      <c r="H537" s="4" t="str">
        <f>HYPERLINK("http://141.218.60.56/~jnz1568/getInfo.php?workbook=18_16.xlsx&amp;sheet=A0&amp;row=537&amp;col=8&amp;number=&amp;sourceID=49","")</f>
        <v/>
      </c>
    </row>
    <row r="538" spans="1:8">
      <c r="A538" s="3">
        <v>18</v>
      </c>
      <c r="B538" s="3">
        <v>16</v>
      </c>
      <c r="C538" s="3">
        <v>68</v>
      </c>
      <c r="D538" s="3">
        <v>30</v>
      </c>
      <c r="E538" s="3">
        <f>((1/(INDEX(E0!J$4:J$87,C538,1)-INDEX(E0!J$4:J$87,D538,1))))*100000000</f>
        <v>0</v>
      </c>
      <c r="F538" s="4" t="str">
        <f>HYPERLINK("http://141.218.60.56/~jnz1568/getInfo.php?workbook=18_16.xlsx&amp;sheet=A0&amp;row=538&amp;col=6&amp;number=3611700&amp;sourceID=48","3611700")</f>
        <v>3611700</v>
      </c>
      <c r="G538" s="4" t="str">
        <f>HYPERLINK("http://141.218.60.56/~jnz1568/getInfo.php?workbook=18_16.xlsx&amp;sheet=A0&amp;row=538&amp;col=7&amp;number=&amp;sourceID=49","")</f>
        <v/>
      </c>
      <c r="H538" s="4" t="str">
        <f>HYPERLINK("http://141.218.60.56/~jnz1568/getInfo.php?workbook=18_16.xlsx&amp;sheet=A0&amp;row=538&amp;col=8&amp;number=&amp;sourceID=49","")</f>
        <v/>
      </c>
    </row>
    <row r="539" spans="1:8">
      <c r="A539" s="3">
        <v>18</v>
      </c>
      <c r="B539" s="3">
        <v>16</v>
      </c>
      <c r="C539" s="3">
        <v>68</v>
      </c>
      <c r="D539" s="3">
        <v>31</v>
      </c>
      <c r="E539" s="3">
        <f>((1/(INDEX(E0!J$4:J$87,C539,1)-INDEX(E0!J$4:J$87,D539,1))))*100000000</f>
        <v>0</v>
      </c>
      <c r="F539" s="4" t="str">
        <f>HYPERLINK("http://141.218.60.56/~jnz1568/getInfo.php?workbook=18_16.xlsx&amp;sheet=A0&amp;row=539&amp;col=6&amp;number=313580&amp;sourceID=48","313580")</f>
        <v>313580</v>
      </c>
      <c r="G539" s="4" t="str">
        <f>HYPERLINK("http://141.218.60.56/~jnz1568/getInfo.php?workbook=18_16.xlsx&amp;sheet=A0&amp;row=539&amp;col=7&amp;number=&amp;sourceID=49","")</f>
        <v/>
      </c>
      <c r="H539" s="4" t="str">
        <f>HYPERLINK("http://141.218.60.56/~jnz1568/getInfo.php?workbook=18_16.xlsx&amp;sheet=A0&amp;row=539&amp;col=8&amp;number=&amp;sourceID=49","")</f>
        <v/>
      </c>
    </row>
    <row r="540" spans="1:8">
      <c r="A540" s="3">
        <v>18</v>
      </c>
      <c r="B540" s="3">
        <v>16</v>
      </c>
      <c r="C540" s="3">
        <v>68</v>
      </c>
      <c r="D540" s="3">
        <v>33</v>
      </c>
      <c r="E540" s="3">
        <f>((1/(INDEX(E0!J$4:J$87,C540,1)-INDEX(E0!J$4:J$87,D540,1))))*100000000</f>
        <v>0</v>
      </c>
      <c r="F540" s="4" t="str">
        <f>HYPERLINK("http://141.218.60.56/~jnz1568/getInfo.php?workbook=18_16.xlsx&amp;sheet=A0&amp;row=540&amp;col=6&amp;number=8090.6&amp;sourceID=48","8090.6")</f>
        <v>8090.6</v>
      </c>
      <c r="G540" s="4" t="str">
        <f>HYPERLINK("http://141.218.60.56/~jnz1568/getInfo.php?workbook=18_16.xlsx&amp;sheet=A0&amp;row=540&amp;col=7&amp;number=&amp;sourceID=49","")</f>
        <v/>
      </c>
      <c r="H540" s="4" t="str">
        <f>HYPERLINK("http://141.218.60.56/~jnz1568/getInfo.php?workbook=18_16.xlsx&amp;sheet=A0&amp;row=540&amp;col=8&amp;number=&amp;sourceID=49","")</f>
        <v/>
      </c>
    </row>
    <row r="541" spans="1:8">
      <c r="A541" s="3">
        <v>18</v>
      </c>
      <c r="B541" s="3">
        <v>16</v>
      </c>
      <c r="C541" s="3">
        <v>68</v>
      </c>
      <c r="D541" s="3">
        <v>36</v>
      </c>
      <c r="E541" s="3">
        <f>((1/(INDEX(E0!J$4:J$87,C541,1)-INDEX(E0!J$4:J$87,D541,1))))*100000000</f>
        <v>0</v>
      </c>
      <c r="F541" s="4" t="str">
        <f>HYPERLINK("http://141.218.60.56/~jnz1568/getInfo.php?workbook=18_16.xlsx&amp;sheet=A0&amp;row=541&amp;col=6&amp;number=1083800&amp;sourceID=48","1083800")</f>
        <v>1083800</v>
      </c>
      <c r="G541" s="4" t="str">
        <f>HYPERLINK("http://141.218.60.56/~jnz1568/getInfo.php?workbook=18_16.xlsx&amp;sheet=A0&amp;row=541&amp;col=7&amp;number=&amp;sourceID=49","")</f>
        <v/>
      </c>
      <c r="H541" s="4" t="str">
        <f>HYPERLINK("http://141.218.60.56/~jnz1568/getInfo.php?workbook=18_16.xlsx&amp;sheet=A0&amp;row=541&amp;col=8&amp;number=&amp;sourceID=49","")</f>
        <v/>
      </c>
    </row>
    <row r="542" spans="1:8">
      <c r="A542" s="3">
        <v>18</v>
      </c>
      <c r="B542" s="3">
        <v>16</v>
      </c>
      <c r="C542" s="3">
        <v>68</v>
      </c>
      <c r="D542" s="3">
        <v>37</v>
      </c>
      <c r="E542" s="3">
        <f>((1/(INDEX(E0!J$4:J$87,C542,1)-INDEX(E0!J$4:J$87,D542,1))))*100000000</f>
        <v>0</v>
      </c>
      <c r="F542" s="4" t="str">
        <f>HYPERLINK("http://141.218.60.56/~jnz1568/getInfo.php?workbook=18_16.xlsx&amp;sheet=A0&amp;row=542&amp;col=6&amp;number=50155&amp;sourceID=48","50155")</f>
        <v>50155</v>
      </c>
      <c r="G542" s="4" t="str">
        <f>HYPERLINK("http://141.218.60.56/~jnz1568/getInfo.php?workbook=18_16.xlsx&amp;sheet=A0&amp;row=542&amp;col=7&amp;number=&amp;sourceID=49","")</f>
        <v/>
      </c>
      <c r="H542" s="4" t="str">
        <f>HYPERLINK("http://141.218.60.56/~jnz1568/getInfo.php?workbook=18_16.xlsx&amp;sheet=A0&amp;row=542&amp;col=8&amp;number=&amp;sourceID=49","")</f>
        <v/>
      </c>
    </row>
    <row r="543" spans="1:8">
      <c r="A543" s="3">
        <v>18</v>
      </c>
      <c r="B543" s="3">
        <v>16</v>
      </c>
      <c r="C543" s="3">
        <v>68</v>
      </c>
      <c r="D543" s="3">
        <v>39</v>
      </c>
      <c r="E543" s="3">
        <f>((1/(INDEX(E0!J$4:J$87,C543,1)-INDEX(E0!J$4:J$87,D543,1))))*100000000</f>
        <v>0</v>
      </c>
      <c r="F543" s="4" t="str">
        <f>HYPERLINK("http://141.218.60.56/~jnz1568/getInfo.php?workbook=18_16.xlsx&amp;sheet=A0&amp;row=543&amp;col=6&amp;number=196620000&amp;sourceID=48","196620000")</f>
        <v>196620000</v>
      </c>
      <c r="G543" s="4" t="str">
        <f>HYPERLINK("http://141.218.60.56/~jnz1568/getInfo.php?workbook=18_16.xlsx&amp;sheet=A0&amp;row=543&amp;col=7&amp;number=&amp;sourceID=49","")</f>
        <v/>
      </c>
      <c r="H543" s="4" t="str">
        <f>HYPERLINK("http://141.218.60.56/~jnz1568/getInfo.php?workbook=18_16.xlsx&amp;sheet=A0&amp;row=543&amp;col=8&amp;number=&amp;sourceID=49","")</f>
        <v/>
      </c>
    </row>
    <row r="544" spans="1:8">
      <c r="A544" s="3">
        <v>18</v>
      </c>
      <c r="B544" s="3">
        <v>16</v>
      </c>
      <c r="C544" s="3">
        <v>68</v>
      </c>
      <c r="D544" s="3">
        <v>40</v>
      </c>
      <c r="E544" s="3">
        <f>((1/(INDEX(E0!J$4:J$87,C544,1)-INDEX(E0!J$4:J$87,D544,1))))*100000000</f>
        <v>0</v>
      </c>
      <c r="F544" s="4" t="str">
        <f>HYPERLINK("http://141.218.60.56/~jnz1568/getInfo.php?workbook=18_16.xlsx&amp;sheet=A0&amp;row=544&amp;col=6&amp;number=5145200&amp;sourceID=48","5145200")</f>
        <v>5145200</v>
      </c>
      <c r="G544" s="4" t="str">
        <f>HYPERLINK("http://141.218.60.56/~jnz1568/getInfo.php?workbook=18_16.xlsx&amp;sheet=A0&amp;row=544&amp;col=7&amp;number=&amp;sourceID=49","")</f>
        <v/>
      </c>
      <c r="H544" s="4" t="str">
        <f>HYPERLINK("http://141.218.60.56/~jnz1568/getInfo.php?workbook=18_16.xlsx&amp;sheet=A0&amp;row=544&amp;col=8&amp;number=&amp;sourceID=49","")</f>
        <v/>
      </c>
    </row>
    <row r="545" spans="1:8">
      <c r="A545" s="3">
        <v>18</v>
      </c>
      <c r="B545" s="3">
        <v>16</v>
      </c>
      <c r="C545" s="3">
        <v>68</v>
      </c>
      <c r="D545" s="3">
        <v>41</v>
      </c>
      <c r="E545" s="3">
        <f>((1/(INDEX(E0!J$4:J$87,C545,1)-INDEX(E0!J$4:J$87,D545,1))))*100000000</f>
        <v>0</v>
      </c>
      <c r="F545" s="4" t="str">
        <f>HYPERLINK("http://141.218.60.56/~jnz1568/getInfo.php?workbook=18_16.xlsx&amp;sheet=A0&amp;row=545&amp;col=6&amp;number=1399600&amp;sourceID=48","1399600")</f>
        <v>1399600</v>
      </c>
      <c r="G545" s="4" t="str">
        <f>HYPERLINK("http://141.218.60.56/~jnz1568/getInfo.php?workbook=18_16.xlsx&amp;sheet=A0&amp;row=545&amp;col=7&amp;number=&amp;sourceID=49","")</f>
        <v/>
      </c>
      <c r="H545" s="4" t="str">
        <f>HYPERLINK("http://141.218.60.56/~jnz1568/getInfo.php?workbook=18_16.xlsx&amp;sheet=A0&amp;row=545&amp;col=8&amp;number=&amp;sourceID=49","")</f>
        <v/>
      </c>
    </row>
    <row r="546" spans="1:8">
      <c r="A546" s="3">
        <v>18</v>
      </c>
      <c r="B546" s="3">
        <v>16</v>
      </c>
      <c r="C546" s="3">
        <v>68</v>
      </c>
      <c r="D546" s="3">
        <v>42</v>
      </c>
      <c r="E546" s="3">
        <f>((1/(INDEX(E0!J$4:J$87,C546,1)-INDEX(E0!J$4:J$87,D546,1))))*100000000</f>
        <v>0</v>
      </c>
      <c r="F546" s="4" t="str">
        <f>HYPERLINK("http://141.218.60.56/~jnz1568/getInfo.php?workbook=18_16.xlsx&amp;sheet=A0&amp;row=546&amp;col=6&amp;number=16972&amp;sourceID=48","16972")</f>
        <v>16972</v>
      </c>
      <c r="G546" s="4" t="str">
        <f>HYPERLINK("http://141.218.60.56/~jnz1568/getInfo.php?workbook=18_16.xlsx&amp;sheet=A0&amp;row=546&amp;col=7&amp;number=&amp;sourceID=49","")</f>
        <v/>
      </c>
      <c r="H546" s="4" t="str">
        <f>HYPERLINK("http://141.218.60.56/~jnz1568/getInfo.php?workbook=18_16.xlsx&amp;sheet=A0&amp;row=546&amp;col=8&amp;number=&amp;sourceID=49","")</f>
        <v/>
      </c>
    </row>
    <row r="547" spans="1:8">
      <c r="A547" s="3">
        <v>18</v>
      </c>
      <c r="B547" s="3">
        <v>16</v>
      </c>
      <c r="C547" s="3">
        <v>68</v>
      </c>
      <c r="D547" s="3">
        <v>47</v>
      </c>
      <c r="E547" s="3">
        <f>((1/(INDEX(E0!J$4:J$87,C547,1)-INDEX(E0!J$4:J$87,D547,1))))*100000000</f>
        <v>0</v>
      </c>
      <c r="F547" s="4" t="str">
        <f>HYPERLINK("http://141.218.60.56/~jnz1568/getInfo.php?workbook=18_16.xlsx&amp;sheet=A0&amp;row=547&amp;col=6&amp;number=148190&amp;sourceID=48","148190")</f>
        <v>148190</v>
      </c>
      <c r="G547" s="4" t="str">
        <f>HYPERLINK("http://141.218.60.56/~jnz1568/getInfo.php?workbook=18_16.xlsx&amp;sheet=A0&amp;row=547&amp;col=7&amp;number=&amp;sourceID=49","")</f>
        <v/>
      </c>
      <c r="H547" s="4" t="str">
        <f>HYPERLINK("http://141.218.60.56/~jnz1568/getInfo.php?workbook=18_16.xlsx&amp;sheet=A0&amp;row=547&amp;col=8&amp;number=&amp;sourceID=49","")</f>
        <v/>
      </c>
    </row>
    <row r="548" spans="1:8">
      <c r="A548" s="3">
        <v>18</v>
      </c>
      <c r="B548" s="3">
        <v>16</v>
      </c>
      <c r="C548" s="3">
        <v>68</v>
      </c>
      <c r="D548" s="3">
        <v>53</v>
      </c>
      <c r="E548" s="3">
        <f>((1/(INDEX(E0!J$4:J$87,C548,1)-INDEX(E0!J$4:J$87,D548,1))))*100000000</f>
        <v>0</v>
      </c>
      <c r="F548" s="4" t="str">
        <f>HYPERLINK("http://141.218.60.56/~jnz1568/getInfo.php?workbook=18_16.xlsx&amp;sheet=A0&amp;row=548&amp;col=6&amp;number=30338&amp;sourceID=48","30338")</f>
        <v>30338</v>
      </c>
      <c r="G548" s="4" t="str">
        <f>HYPERLINK("http://141.218.60.56/~jnz1568/getInfo.php?workbook=18_16.xlsx&amp;sheet=A0&amp;row=548&amp;col=7&amp;number=&amp;sourceID=49","")</f>
        <v/>
      </c>
      <c r="H548" s="4" t="str">
        <f>HYPERLINK("http://141.218.60.56/~jnz1568/getInfo.php?workbook=18_16.xlsx&amp;sheet=A0&amp;row=548&amp;col=8&amp;number=&amp;sourceID=49","")</f>
        <v/>
      </c>
    </row>
    <row r="549" spans="1:8">
      <c r="A549" s="3">
        <v>18</v>
      </c>
      <c r="B549" s="3">
        <v>16</v>
      </c>
      <c r="C549" s="3">
        <v>68</v>
      </c>
      <c r="D549" s="3">
        <v>54</v>
      </c>
      <c r="E549" s="3">
        <f>((1/(INDEX(E0!J$4:J$87,C549,1)-INDEX(E0!J$4:J$87,D549,1))))*100000000</f>
        <v>0</v>
      </c>
      <c r="F549" s="4" t="str">
        <f>HYPERLINK("http://141.218.60.56/~jnz1568/getInfo.php?workbook=18_16.xlsx&amp;sheet=A0&amp;row=549&amp;col=6&amp;number=21201&amp;sourceID=48","21201")</f>
        <v>21201</v>
      </c>
      <c r="G549" s="4" t="str">
        <f>HYPERLINK("http://141.218.60.56/~jnz1568/getInfo.php?workbook=18_16.xlsx&amp;sheet=A0&amp;row=549&amp;col=7&amp;number=&amp;sourceID=49","")</f>
        <v/>
      </c>
      <c r="H549" s="4" t="str">
        <f>HYPERLINK("http://141.218.60.56/~jnz1568/getInfo.php?workbook=18_16.xlsx&amp;sheet=A0&amp;row=549&amp;col=8&amp;number=&amp;sourceID=49","")</f>
        <v/>
      </c>
    </row>
    <row r="550" spans="1:8">
      <c r="A550" s="3">
        <v>18</v>
      </c>
      <c r="B550" s="3">
        <v>16</v>
      </c>
      <c r="C550" s="3">
        <v>68</v>
      </c>
      <c r="D550" s="3">
        <v>57</v>
      </c>
      <c r="E550" s="3">
        <f>((1/(INDEX(E0!J$4:J$87,C550,1)-INDEX(E0!J$4:J$87,D550,1))))*100000000</f>
        <v>0</v>
      </c>
      <c r="F550" s="4" t="str">
        <f>HYPERLINK("http://141.218.60.56/~jnz1568/getInfo.php?workbook=18_16.xlsx&amp;sheet=A0&amp;row=550&amp;col=6&amp;number=3608.8&amp;sourceID=48","3608.8")</f>
        <v>3608.8</v>
      </c>
      <c r="G550" s="4" t="str">
        <f>HYPERLINK("http://141.218.60.56/~jnz1568/getInfo.php?workbook=18_16.xlsx&amp;sheet=A0&amp;row=550&amp;col=7&amp;number=&amp;sourceID=49","")</f>
        <v/>
      </c>
      <c r="H550" s="4" t="str">
        <f>HYPERLINK("http://141.218.60.56/~jnz1568/getInfo.php?workbook=18_16.xlsx&amp;sheet=A0&amp;row=550&amp;col=8&amp;number=&amp;sourceID=49","")</f>
        <v/>
      </c>
    </row>
    <row r="551" spans="1:8">
      <c r="A551" s="3">
        <v>18</v>
      </c>
      <c r="B551" s="3">
        <v>16</v>
      </c>
      <c r="C551" s="3">
        <v>68</v>
      </c>
      <c r="D551" s="3">
        <v>60</v>
      </c>
      <c r="E551" s="3">
        <f>((1/(INDEX(E0!J$4:J$87,C551,1)-INDEX(E0!J$4:J$87,D551,1))))*100000000</f>
        <v>0</v>
      </c>
      <c r="F551" s="4" t="str">
        <f>HYPERLINK("http://141.218.60.56/~jnz1568/getInfo.php?workbook=18_16.xlsx&amp;sheet=A0&amp;row=551&amp;col=6&amp;number=105.26&amp;sourceID=48","105.26")</f>
        <v>105.26</v>
      </c>
      <c r="G551" s="4" t="str">
        <f>HYPERLINK("http://141.218.60.56/~jnz1568/getInfo.php?workbook=18_16.xlsx&amp;sheet=A0&amp;row=551&amp;col=7&amp;number=&amp;sourceID=49","")</f>
        <v/>
      </c>
      <c r="H551" s="4" t="str">
        <f>HYPERLINK("http://141.218.60.56/~jnz1568/getInfo.php?workbook=18_16.xlsx&amp;sheet=A0&amp;row=551&amp;col=8&amp;number=&amp;sourceID=49","")</f>
        <v/>
      </c>
    </row>
    <row r="552" spans="1:8">
      <c r="A552" s="3">
        <v>18</v>
      </c>
      <c r="B552" s="3">
        <v>16</v>
      </c>
      <c r="C552" s="3">
        <v>69</v>
      </c>
      <c r="D552" s="3">
        <v>13</v>
      </c>
      <c r="E552" s="3">
        <f>((1/(INDEX(E0!J$4:J$87,C552,1)-INDEX(E0!J$4:J$87,D552,1))))*100000000</f>
        <v>0</v>
      </c>
      <c r="F552" s="4" t="str">
        <f>HYPERLINK("http://141.218.60.56/~jnz1568/getInfo.php?workbook=18_16.xlsx&amp;sheet=A0&amp;row=552&amp;col=6&amp;number=1317.3&amp;sourceID=48","1317.3")</f>
        <v>1317.3</v>
      </c>
      <c r="G552" s="4" t="str">
        <f>HYPERLINK("http://141.218.60.56/~jnz1568/getInfo.php?workbook=18_16.xlsx&amp;sheet=A0&amp;row=552&amp;col=7&amp;number=&amp;sourceID=49","")</f>
        <v/>
      </c>
      <c r="H552" s="4" t="str">
        <f>HYPERLINK("http://141.218.60.56/~jnz1568/getInfo.php?workbook=18_16.xlsx&amp;sheet=A0&amp;row=552&amp;col=8&amp;number=&amp;sourceID=49","")</f>
        <v/>
      </c>
    </row>
    <row r="553" spans="1:8">
      <c r="A553" s="3">
        <v>18</v>
      </c>
      <c r="B553" s="3">
        <v>16</v>
      </c>
      <c r="C553" s="3">
        <v>69</v>
      </c>
      <c r="D553" s="3">
        <v>14</v>
      </c>
      <c r="E553" s="3">
        <f>((1/(INDEX(E0!J$4:J$87,C553,1)-INDEX(E0!J$4:J$87,D553,1))))*100000000</f>
        <v>0</v>
      </c>
      <c r="F553" s="4" t="str">
        <f>HYPERLINK("http://141.218.60.56/~jnz1568/getInfo.php?workbook=18_16.xlsx&amp;sheet=A0&amp;row=553&amp;col=6&amp;number=22718&amp;sourceID=48","22718")</f>
        <v>22718</v>
      </c>
      <c r="G553" s="4" t="str">
        <f>HYPERLINK("http://141.218.60.56/~jnz1568/getInfo.php?workbook=18_16.xlsx&amp;sheet=A0&amp;row=553&amp;col=7&amp;number=&amp;sourceID=49","")</f>
        <v/>
      </c>
      <c r="H553" s="4" t="str">
        <f>HYPERLINK("http://141.218.60.56/~jnz1568/getInfo.php?workbook=18_16.xlsx&amp;sheet=A0&amp;row=553&amp;col=8&amp;number=&amp;sourceID=49","")</f>
        <v/>
      </c>
    </row>
    <row r="554" spans="1:8">
      <c r="A554" s="3">
        <v>18</v>
      </c>
      <c r="B554" s="3">
        <v>16</v>
      </c>
      <c r="C554" s="3">
        <v>69</v>
      </c>
      <c r="D554" s="3">
        <v>15</v>
      </c>
      <c r="E554" s="3">
        <f>((1/(INDEX(E0!J$4:J$87,C554,1)-INDEX(E0!J$4:J$87,D554,1))))*100000000</f>
        <v>0</v>
      </c>
      <c r="F554" s="4" t="str">
        <f>HYPERLINK("http://141.218.60.56/~jnz1568/getInfo.php?workbook=18_16.xlsx&amp;sheet=A0&amp;row=554&amp;col=6&amp;number=11805000&amp;sourceID=48","11805000")</f>
        <v>11805000</v>
      </c>
      <c r="G554" s="4" t="str">
        <f>HYPERLINK("http://141.218.60.56/~jnz1568/getInfo.php?workbook=18_16.xlsx&amp;sheet=A0&amp;row=554&amp;col=7&amp;number=&amp;sourceID=49","")</f>
        <v/>
      </c>
      <c r="H554" s="4" t="str">
        <f>HYPERLINK("http://141.218.60.56/~jnz1568/getInfo.php?workbook=18_16.xlsx&amp;sheet=A0&amp;row=554&amp;col=8&amp;number=&amp;sourceID=49","")</f>
        <v/>
      </c>
    </row>
    <row r="555" spans="1:8">
      <c r="A555" s="3">
        <v>18</v>
      </c>
      <c r="B555" s="3">
        <v>16</v>
      </c>
      <c r="C555" s="3">
        <v>69</v>
      </c>
      <c r="D555" s="3">
        <v>20</v>
      </c>
      <c r="E555" s="3">
        <f>((1/(INDEX(E0!J$4:J$87,C555,1)-INDEX(E0!J$4:J$87,D555,1))))*100000000</f>
        <v>0</v>
      </c>
      <c r="F555" s="4" t="str">
        <f>HYPERLINK("http://141.218.60.56/~jnz1568/getInfo.php?workbook=18_16.xlsx&amp;sheet=A0&amp;row=555&amp;col=6&amp;number=6958700&amp;sourceID=48","6958700")</f>
        <v>6958700</v>
      </c>
      <c r="G555" s="4" t="str">
        <f>HYPERLINK("http://141.218.60.56/~jnz1568/getInfo.php?workbook=18_16.xlsx&amp;sheet=A0&amp;row=555&amp;col=7&amp;number=&amp;sourceID=49","")</f>
        <v/>
      </c>
      <c r="H555" s="4" t="str">
        <f>HYPERLINK("http://141.218.60.56/~jnz1568/getInfo.php?workbook=18_16.xlsx&amp;sheet=A0&amp;row=555&amp;col=8&amp;number=&amp;sourceID=49","")</f>
        <v/>
      </c>
    </row>
    <row r="556" spans="1:8">
      <c r="A556" s="3">
        <v>18</v>
      </c>
      <c r="B556" s="3">
        <v>16</v>
      </c>
      <c r="C556" s="3">
        <v>69</v>
      </c>
      <c r="D556" s="3">
        <v>21</v>
      </c>
      <c r="E556" s="3">
        <f>((1/(INDEX(E0!J$4:J$87,C556,1)-INDEX(E0!J$4:J$87,D556,1))))*100000000</f>
        <v>0</v>
      </c>
      <c r="F556" s="4" t="str">
        <f>HYPERLINK("http://141.218.60.56/~jnz1568/getInfo.php?workbook=18_16.xlsx&amp;sheet=A0&amp;row=556&amp;col=6&amp;number=94812000&amp;sourceID=48","94812000")</f>
        <v>94812000</v>
      </c>
      <c r="G556" s="4" t="str">
        <f>HYPERLINK("http://141.218.60.56/~jnz1568/getInfo.php?workbook=18_16.xlsx&amp;sheet=A0&amp;row=556&amp;col=7&amp;number=&amp;sourceID=49","")</f>
        <v/>
      </c>
      <c r="H556" s="4" t="str">
        <f>HYPERLINK("http://141.218.60.56/~jnz1568/getInfo.php?workbook=18_16.xlsx&amp;sheet=A0&amp;row=556&amp;col=8&amp;number=&amp;sourceID=49","")</f>
        <v/>
      </c>
    </row>
    <row r="557" spans="1:8">
      <c r="A557" s="3">
        <v>18</v>
      </c>
      <c r="B557" s="3">
        <v>16</v>
      </c>
      <c r="C557" s="3">
        <v>69</v>
      </c>
      <c r="D557" s="3">
        <v>22</v>
      </c>
      <c r="E557" s="3">
        <f>((1/(INDEX(E0!J$4:J$87,C557,1)-INDEX(E0!J$4:J$87,D557,1))))*100000000</f>
        <v>0</v>
      </c>
      <c r="F557" s="4" t="str">
        <f>HYPERLINK("http://141.218.60.56/~jnz1568/getInfo.php?workbook=18_16.xlsx&amp;sheet=A0&amp;row=557&amp;col=6&amp;number=155890&amp;sourceID=48","155890")</f>
        <v>155890</v>
      </c>
      <c r="G557" s="4" t="str">
        <f>HYPERLINK("http://141.218.60.56/~jnz1568/getInfo.php?workbook=18_16.xlsx&amp;sheet=A0&amp;row=557&amp;col=7&amp;number=&amp;sourceID=49","")</f>
        <v/>
      </c>
      <c r="H557" s="4" t="str">
        <f>HYPERLINK("http://141.218.60.56/~jnz1568/getInfo.php?workbook=18_16.xlsx&amp;sheet=A0&amp;row=557&amp;col=8&amp;number=&amp;sourceID=49","")</f>
        <v/>
      </c>
    </row>
    <row r="558" spans="1:8">
      <c r="A558" s="3">
        <v>18</v>
      </c>
      <c r="B558" s="3">
        <v>16</v>
      </c>
      <c r="C558" s="3">
        <v>69</v>
      </c>
      <c r="D558" s="3">
        <v>23</v>
      </c>
      <c r="E558" s="3">
        <f>((1/(INDEX(E0!J$4:J$87,C558,1)-INDEX(E0!J$4:J$87,D558,1))))*100000000</f>
        <v>0</v>
      </c>
      <c r="F558" s="4" t="str">
        <f>HYPERLINK("http://141.218.60.56/~jnz1568/getInfo.php?workbook=18_16.xlsx&amp;sheet=A0&amp;row=558&amp;col=6&amp;number=11659000&amp;sourceID=48","11659000")</f>
        <v>11659000</v>
      </c>
      <c r="G558" s="4" t="str">
        <f>HYPERLINK("http://141.218.60.56/~jnz1568/getInfo.php?workbook=18_16.xlsx&amp;sheet=A0&amp;row=558&amp;col=7&amp;number=&amp;sourceID=49","")</f>
        <v/>
      </c>
      <c r="H558" s="4" t="str">
        <f>HYPERLINK("http://141.218.60.56/~jnz1568/getInfo.php?workbook=18_16.xlsx&amp;sheet=A0&amp;row=558&amp;col=8&amp;number=&amp;sourceID=49","")</f>
        <v/>
      </c>
    </row>
    <row r="559" spans="1:8">
      <c r="A559" s="3">
        <v>18</v>
      </c>
      <c r="B559" s="3">
        <v>16</v>
      </c>
      <c r="C559" s="3">
        <v>69</v>
      </c>
      <c r="D559" s="3">
        <v>24</v>
      </c>
      <c r="E559" s="3">
        <f>((1/(INDEX(E0!J$4:J$87,C559,1)-INDEX(E0!J$4:J$87,D559,1))))*100000000</f>
        <v>0</v>
      </c>
      <c r="F559" s="4" t="str">
        <f>HYPERLINK("http://141.218.60.56/~jnz1568/getInfo.php?workbook=18_16.xlsx&amp;sheet=A0&amp;row=559&amp;col=6&amp;number=287440000&amp;sourceID=48","287440000")</f>
        <v>287440000</v>
      </c>
      <c r="G559" s="4" t="str">
        <f>HYPERLINK("http://141.218.60.56/~jnz1568/getInfo.php?workbook=18_16.xlsx&amp;sheet=A0&amp;row=559&amp;col=7&amp;number=&amp;sourceID=49","")</f>
        <v/>
      </c>
      <c r="H559" s="4" t="str">
        <f>HYPERLINK("http://141.218.60.56/~jnz1568/getInfo.php?workbook=18_16.xlsx&amp;sheet=A0&amp;row=559&amp;col=8&amp;number=&amp;sourceID=49","")</f>
        <v/>
      </c>
    </row>
    <row r="560" spans="1:8">
      <c r="A560" s="3">
        <v>18</v>
      </c>
      <c r="B560" s="3">
        <v>16</v>
      </c>
      <c r="C560" s="3">
        <v>69</v>
      </c>
      <c r="D560" s="3">
        <v>26</v>
      </c>
      <c r="E560" s="3">
        <f>((1/(INDEX(E0!J$4:J$87,C560,1)-INDEX(E0!J$4:J$87,D560,1))))*100000000</f>
        <v>0</v>
      </c>
      <c r="F560" s="4" t="str">
        <f>HYPERLINK("http://141.218.60.56/~jnz1568/getInfo.php?workbook=18_16.xlsx&amp;sheet=A0&amp;row=560&amp;col=6&amp;number=100060&amp;sourceID=48","100060")</f>
        <v>100060</v>
      </c>
      <c r="G560" s="4" t="str">
        <f>HYPERLINK("http://141.218.60.56/~jnz1568/getInfo.php?workbook=18_16.xlsx&amp;sheet=A0&amp;row=560&amp;col=7&amp;number=&amp;sourceID=49","")</f>
        <v/>
      </c>
      <c r="H560" s="4" t="str">
        <f>HYPERLINK("http://141.218.60.56/~jnz1568/getInfo.php?workbook=18_16.xlsx&amp;sheet=A0&amp;row=560&amp;col=8&amp;number=&amp;sourceID=49","")</f>
        <v/>
      </c>
    </row>
    <row r="561" spans="1:8">
      <c r="A561" s="3">
        <v>18</v>
      </c>
      <c r="B561" s="3">
        <v>16</v>
      </c>
      <c r="C561" s="3">
        <v>69</v>
      </c>
      <c r="D561" s="3">
        <v>29</v>
      </c>
      <c r="E561" s="3">
        <f>((1/(INDEX(E0!J$4:J$87,C561,1)-INDEX(E0!J$4:J$87,D561,1))))*100000000</f>
        <v>0</v>
      </c>
      <c r="F561" s="4" t="str">
        <f>HYPERLINK("http://141.218.60.56/~jnz1568/getInfo.php?workbook=18_16.xlsx&amp;sheet=A0&amp;row=561&amp;col=6&amp;number=5539000&amp;sourceID=48","5539000")</f>
        <v>5539000</v>
      </c>
      <c r="G561" s="4" t="str">
        <f>HYPERLINK("http://141.218.60.56/~jnz1568/getInfo.php?workbook=18_16.xlsx&amp;sheet=A0&amp;row=561&amp;col=7&amp;number=&amp;sourceID=49","")</f>
        <v/>
      </c>
      <c r="H561" s="4" t="str">
        <f>HYPERLINK("http://141.218.60.56/~jnz1568/getInfo.php?workbook=18_16.xlsx&amp;sheet=A0&amp;row=561&amp;col=8&amp;number=&amp;sourceID=49","")</f>
        <v/>
      </c>
    </row>
    <row r="562" spans="1:8">
      <c r="A562" s="3">
        <v>18</v>
      </c>
      <c r="B562" s="3">
        <v>16</v>
      </c>
      <c r="C562" s="3">
        <v>69</v>
      </c>
      <c r="D562" s="3">
        <v>30</v>
      </c>
      <c r="E562" s="3">
        <f>((1/(INDEX(E0!J$4:J$87,C562,1)-INDEX(E0!J$4:J$87,D562,1))))*100000000</f>
        <v>0</v>
      </c>
      <c r="F562" s="4" t="str">
        <f>HYPERLINK("http://141.218.60.56/~jnz1568/getInfo.php?workbook=18_16.xlsx&amp;sheet=A0&amp;row=562&amp;col=6&amp;number=303970&amp;sourceID=48","303970")</f>
        <v>303970</v>
      </c>
      <c r="G562" s="4" t="str">
        <f>HYPERLINK("http://141.218.60.56/~jnz1568/getInfo.php?workbook=18_16.xlsx&amp;sheet=A0&amp;row=562&amp;col=7&amp;number=&amp;sourceID=49","")</f>
        <v/>
      </c>
      <c r="H562" s="4" t="str">
        <f>HYPERLINK("http://141.218.60.56/~jnz1568/getInfo.php?workbook=18_16.xlsx&amp;sheet=A0&amp;row=562&amp;col=8&amp;number=&amp;sourceID=49","")</f>
        <v/>
      </c>
    </row>
    <row r="563" spans="1:8">
      <c r="A563" s="3">
        <v>18</v>
      </c>
      <c r="B563" s="3">
        <v>16</v>
      </c>
      <c r="C563" s="3">
        <v>69</v>
      </c>
      <c r="D563" s="3">
        <v>36</v>
      </c>
      <c r="E563" s="3">
        <f>((1/(INDEX(E0!J$4:J$87,C563,1)-INDEX(E0!J$4:J$87,D563,1))))*100000000</f>
        <v>0</v>
      </c>
      <c r="F563" s="4" t="str">
        <f>HYPERLINK("http://141.218.60.56/~jnz1568/getInfo.php?workbook=18_16.xlsx&amp;sheet=A0&amp;row=563&amp;col=6&amp;number=43273&amp;sourceID=48","43273")</f>
        <v>43273</v>
      </c>
      <c r="G563" s="4" t="str">
        <f>HYPERLINK("http://141.218.60.56/~jnz1568/getInfo.php?workbook=18_16.xlsx&amp;sheet=A0&amp;row=563&amp;col=7&amp;number=&amp;sourceID=49","")</f>
        <v/>
      </c>
      <c r="H563" s="4" t="str">
        <f>HYPERLINK("http://141.218.60.56/~jnz1568/getInfo.php?workbook=18_16.xlsx&amp;sheet=A0&amp;row=563&amp;col=8&amp;number=&amp;sourceID=49","")</f>
        <v/>
      </c>
    </row>
    <row r="564" spans="1:8">
      <c r="A564" s="3">
        <v>18</v>
      </c>
      <c r="B564" s="3">
        <v>16</v>
      </c>
      <c r="C564" s="3">
        <v>69</v>
      </c>
      <c r="D564" s="3">
        <v>40</v>
      </c>
      <c r="E564" s="3">
        <f>((1/(INDEX(E0!J$4:J$87,C564,1)-INDEX(E0!J$4:J$87,D564,1))))*100000000</f>
        <v>0</v>
      </c>
      <c r="F564" s="4" t="str">
        <f>HYPERLINK("http://141.218.60.56/~jnz1568/getInfo.php?workbook=18_16.xlsx&amp;sheet=A0&amp;row=564&amp;col=6&amp;number=206060000&amp;sourceID=48","206060000")</f>
        <v>206060000</v>
      </c>
      <c r="G564" s="4" t="str">
        <f>HYPERLINK("http://141.218.60.56/~jnz1568/getInfo.php?workbook=18_16.xlsx&amp;sheet=A0&amp;row=564&amp;col=7&amp;number=&amp;sourceID=49","")</f>
        <v/>
      </c>
      <c r="H564" s="4" t="str">
        <f>HYPERLINK("http://141.218.60.56/~jnz1568/getInfo.php?workbook=18_16.xlsx&amp;sheet=A0&amp;row=564&amp;col=8&amp;number=&amp;sourceID=49","")</f>
        <v/>
      </c>
    </row>
    <row r="565" spans="1:8">
      <c r="A565" s="3">
        <v>18</v>
      </c>
      <c r="B565" s="3">
        <v>16</v>
      </c>
      <c r="C565" s="3">
        <v>69</v>
      </c>
      <c r="D565" s="3">
        <v>42</v>
      </c>
      <c r="E565" s="3">
        <f>((1/(INDEX(E0!J$4:J$87,C565,1)-INDEX(E0!J$4:J$87,D565,1))))*100000000</f>
        <v>0</v>
      </c>
      <c r="F565" s="4" t="str">
        <f>HYPERLINK("http://141.218.60.56/~jnz1568/getInfo.php?workbook=18_16.xlsx&amp;sheet=A0&amp;row=565&amp;col=6&amp;number=1755.1&amp;sourceID=48","1755.1")</f>
        <v>1755.1</v>
      </c>
      <c r="G565" s="4" t="str">
        <f>HYPERLINK("http://141.218.60.56/~jnz1568/getInfo.php?workbook=18_16.xlsx&amp;sheet=A0&amp;row=565&amp;col=7&amp;number=&amp;sourceID=49","")</f>
        <v/>
      </c>
      <c r="H565" s="4" t="str">
        <f>HYPERLINK("http://141.218.60.56/~jnz1568/getInfo.php?workbook=18_16.xlsx&amp;sheet=A0&amp;row=565&amp;col=8&amp;number=&amp;sourceID=49","")</f>
        <v/>
      </c>
    </row>
    <row r="566" spans="1:8">
      <c r="A566" s="3">
        <v>18</v>
      </c>
      <c r="B566" s="3">
        <v>16</v>
      </c>
      <c r="C566" s="3">
        <v>69</v>
      </c>
      <c r="D566" s="3">
        <v>53</v>
      </c>
      <c r="E566" s="3">
        <f>((1/(INDEX(E0!J$4:J$87,C566,1)-INDEX(E0!J$4:J$87,D566,1))))*100000000</f>
        <v>0</v>
      </c>
      <c r="F566" s="4" t="str">
        <f>HYPERLINK("http://141.218.60.56/~jnz1568/getInfo.php?workbook=18_16.xlsx&amp;sheet=A0&amp;row=566&amp;col=6&amp;number=12259&amp;sourceID=48","12259")</f>
        <v>12259</v>
      </c>
      <c r="G566" s="4" t="str">
        <f>HYPERLINK("http://141.218.60.56/~jnz1568/getInfo.php?workbook=18_16.xlsx&amp;sheet=A0&amp;row=566&amp;col=7&amp;number=&amp;sourceID=49","")</f>
        <v/>
      </c>
      <c r="H566" s="4" t="str">
        <f>HYPERLINK("http://141.218.60.56/~jnz1568/getInfo.php?workbook=18_16.xlsx&amp;sheet=A0&amp;row=566&amp;col=8&amp;number=&amp;sourceID=49","")</f>
        <v/>
      </c>
    </row>
    <row r="567" spans="1:8">
      <c r="A567" s="3">
        <v>18</v>
      </c>
      <c r="B567" s="3">
        <v>16</v>
      </c>
      <c r="C567" s="3">
        <v>70</v>
      </c>
      <c r="D567" s="3">
        <v>6</v>
      </c>
      <c r="E567" s="3">
        <f>((1/(INDEX(E0!J$4:J$87,C567,1)-INDEX(E0!J$4:J$87,D567,1))))*100000000</f>
        <v>0</v>
      </c>
      <c r="F567" s="4" t="str">
        <f>HYPERLINK("http://141.218.60.56/~jnz1568/getInfo.php?workbook=18_16.xlsx&amp;sheet=A0&amp;row=567&amp;col=6&amp;number=183630&amp;sourceID=48","183630")</f>
        <v>183630</v>
      </c>
      <c r="G567" s="4" t="str">
        <f>HYPERLINK("http://141.218.60.56/~jnz1568/getInfo.php?workbook=18_16.xlsx&amp;sheet=A0&amp;row=567&amp;col=7&amp;number=&amp;sourceID=49","")</f>
        <v/>
      </c>
      <c r="H567" s="4" t="str">
        <f>HYPERLINK("http://141.218.60.56/~jnz1568/getInfo.php?workbook=18_16.xlsx&amp;sheet=A0&amp;row=567&amp;col=8&amp;number=&amp;sourceID=49","")</f>
        <v/>
      </c>
    </row>
    <row r="568" spans="1:8">
      <c r="A568" s="3">
        <v>18</v>
      </c>
      <c r="B568" s="3">
        <v>16</v>
      </c>
      <c r="C568" s="3">
        <v>70</v>
      </c>
      <c r="D568" s="3">
        <v>12</v>
      </c>
      <c r="E568" s="3">
        <f>((1/(INDEX(E0!J$4:J$87,C568,1)-INDEX(E0!J$4:J$87,D568,1))))*100000000</f>
        <v>0</v>
      </c>
      <c r="F568" s="4" t="str">
        <f>HYPERLINK("http://141.218.60.56/~jnz1568/getInfo.php?workbook=18_16.xlsx&amp;sheet=A0&amp;row=568&amp;col=6&amp;number=127.35&amp;sourceID=48","127.35")</f>
        <v>127.35</v>
      </c>
      <c r="G568" s="4" t="str">
        <f>HYPERLINK("http://141.218.60.56/~jnz1568/getInfo.php?workbook=18_16.xlsx&amp;sheet=A0&amp;row=568&amp;col=7&amp;number=&amp;sourceID=49","")</f>
        <v/>
      </c>
      <c r="H568" s="4" t="str">
        <f>HYPERLINK("http://141.218.60.56/~jnz1568/getInfo.php?workbook=18_16.xlsx&amp;sheet=A0&amp;row=568&amp;col=8&amp;number=&amp;sourceID=49","")</f>
        <v/>
      </c>
    </row>
    <row r="569" spans="1:8">
      <c r="A569" s="3">
        <v>18</v>
      </c>
      <c r="B569" s="3">
        <v>16</v>
      </c>
      <c r="C569" s="3">
        <v>70</v>
      </c>
      <c r="D569" s="3">
        <v>13</v>
      </c>
      <c r="E569" s="3">
        <f>((1/(INDEX(E0!J$4:J$87,C569,1)-INDEX(E0!J$4:J$87,D569,1))))*100000000</f>
        <v>0</v>
      </c>
      <c r="F569" s="4" t="str">
        <f>HYPERLINK("http://141.218.60.56/~jnz1568/getInfo.php?workbook=18_16.xlsx&amp;sheet=A0&amp;row=569&amp;col=6&amp;number=54.546&amp;sourceID=48","54.546")</f>
        <v>54.546</v>
      </c>
      <c r="G569" s="4" t="str">
        <f>HYPERLINK("http://141.218.60.56/~jnz1568/getInfo.php?workbook=18_16.xlsx&amp;sheet=A0&amp;row=569&amp;col=7&amp;number=&amp;sourceID=49","")</f>
        <v/>
      </c>
      <c r="H569" s="4" t="str">
        <f>HYPERLINK("http://141.218.60.56/~jnz1568/getInfo.php?workbook=18_16.xlsx&amp;sheet=A0&amp;row=569&amp;col=8&amp;number=&amp;sourceID=49","")</f>
        <v/>
      </c>
    </row>
    <row r="570" spans="1:8">
      <c r="A570" s="3">
        <v>18</v>
      </c>
      <c r="B570" s="3">
        <v>16</v>
      </c>
      <c r="C570" s="3">
        <v>70</v>
      </c>
      <c r="D570" s="3">
        <v>14</v>
      </c>
      <c r="E570" s="3">
        <f>((1/(INDEX(E0!J$4:J$87,C570,1)-INDEX(E0!J$4:J$87,D570,1))))*100000000</f>
        <v>0</v>
      </c>
      <c r="F570" s="4" t="str">
        <f>HYPERLINK("http://141.218.60.56/~jnz1568/getInfo.php?workbook=18_16.xlsx&amp;sheet=A0&amp;row=570&amp;col=6&amp;number=932.49&amp;sourceID=48","932.49")</f>
        <v>932.49</v>
      </c>
      <c r="G570" s="4" t="str">
        <f>HYPERLINK("http://141.218.60.56/~jnz1568/getInfo.php?workbook=18_16.xlsx&amp;sheet=A0&amp;row=570&amp;col=7&amp;number=&amp;sourceID=49","")</f>
        <v/>
      </c>
      <c r="H570" s="4" t="str">
        <f>HYPERLINK("http://141.218.60.56/~jnz1568/getInfo.php?workbook=18_16.xlsx&amp;sheet=A0&amp;row=570&amp;col=8&amp;number=&amp;sourceID=49","")</f>
        <v/>
      </c>
    </row>
    <row r="571" spans="1:8">
      <c r="A571" s="3">
        <v>18</v>
      </c>
      <c r="B571" s="3">
        <v>16</v>
      </c>
      <c r="C571" s="3">
        <v>70</v>
      </c>
      <c r="D571" s="3">
        <v>15</v>
      </c>
      <c r="E571" s="3">
        <f>((1/(INDEX(E0!J$4:J$87,C571,1)-INDEX(E0!J$4:J$87,D571,1))))*100000000</f>
        <v>0</v>
      </c>
      <c r="F571" s="4" t="str">
        <f>HYPERLINK("http://141.218.60.56/~jnz1568/getInfo.php?workbook=18_16.xlsx&amp;sheet=A0&amp;row=571&amp;col=6&amp;number=559310&amp;sourceID=48","559310")</f>
        <v>559310</v>
      </c>
      <c r="G571" s="4" t="str">
        <f>HYPERLINK("http://141.218.60.56/~jnz1568/getInfo.php?workbook=18_16.xlsx&amp;sheet=A0&amp;row=571&amp;col=7&amp;number=&amp;sourceID=49","")</f>
        <v/>
      </c>
      <c r="H571" s="4" t="str">
        <f>HYPERLINK("http://141.218.60.56/~jnz1568/getInfo.php?workbook=18_16.xlsx&amp;sheet=A0&amp;row=571&amp;col=8&amp;number=&amp;sourceID=49","")</f>
        <v/>
      </c>
    </row>
    <row r="572" spans="1:8">
      <c r="A572" s="3">
        <v>18</v>
      </c>
      <c r="B572" s="3">
        <v>16</v>
      </c>
      <c r="C572" s="3">
        <v>70</v>
      </c>
      <c r="D572" s="3">
        <v>16</v>
      </c>
      <c r="E572" s="3">
        <f>((1/(INDEX(E0!J$4:J$87,C572,1)-INDEX(E0!J$4:J$87,D572,1))))*100000000</f>
        <v>0</v>
      </c>
      <c r="F572" s="4" t="str">
        <f>HYPERLINK("http://141.218.60.56/~jnz1568/getInfo.php?workbook=18_16.xlsx&amp;sheet=A0&amp;row=572&amp;col=6&amp;number=7536.9&amp;sourceID=48","7536.9")</f>
        <v>7536.9</v>
      </c>
      <c r="G572" s="4" t="str">
        <f>HYPERLINK("http://141.218.60.56/~jnz1568/getInfo.php?workbook=18_16.xlsx&amp;sheet=A0&amp;row=572&amp;col=7&amp;number=&amp;sourceID=49","")</f>
        <v/>
      </c>
      <c r="H572" s="4" t="str">
        <f>HYPERLINK("http://141.218.60.56/~jnz1568/getInfo.php?workbook=18_16.xlsx&amp;sheet=A0&amp;row=572&amp;col=8&amp;number=&amp;sourceID=49","")</f>
        <v/>
      </c>
    </row>
    <row r="573" spans="1:8">
      <c r="A573" s="3">
        <v>18</v>
      </c>
      <c r="B573" s="3">
        <v>16</v>
      </c>
      <c r="C573" s="3">
        <v>70</v>
      </c>
      <c r="D573" s="3">
        <v>19</v>
      </c>
      <c r="E573" s="3">
        <f>((1/(INDEX(E0!J$4:J$87,C573,1)-INDEX(E0!J$4:J$87,D573,1))))*100000000</f>
        <v>0</v>
      </c>
      <c r="F573" s="4" t="str">
        <f>HYPERLINK("http://141.218.60.56/~jnz1568/getInfo.php?workbook=18_16.xlsx&amp;sheet=A0&amp;row=573&amp;col=6&amp;number=57747&amp;sourceID=48","57747")</f>
        <v>57747</v>
      </c>
      <c r="G573" s="4" t="str">
        <f>HYPERLINK("http://141.218.60.56/~jnz1568/getInfo.php?workbook=18_16.xlsx&amp;sheet=A0&amp;row=573&amp;col=7&amp;number=&amp;sourceID=49","")</f>
        <v/>
      </c>
      <c r="H573" s="4" t="str">
        <f>HYPERLINK("http://141.218.60.56/~jnz1568/getInfo.php?workbook=18_16.xlsx&amp;sheet=A0&amp;row=573&amp;col=8&amp;number=&amp;sourceID=49","")</f>
        <v/>
      </c>
    </row>
    <row r="574" spans="1:8">
      <c r="A574" s="3">
        <v>18</v>
      </c>
      <c r="B574" s="3">
        <v>16</v>
      </c>
      <c r="C574" s="3">
        <v>70</v>
      </c>
      <c r="D574" s="3">
        <v>20</v>
      </c>
      <c r="E574" s="3">
        <f>((1/(INDEX(E0!J$4:J$87,C574,1)-INDEX(E0!J$4:J$87,D574,1))))*100000000</f>
        <v>0</v>
      </c>
      <c r="F574" s="4" t="str">
        <f>HYPERLINK("http://141.218.60.56/~jnz1568/getInfo.php?workbook=18_16.xlsx&amp;sheet=A0&amp;row=574&amp;col=6&amp;number=321230&amp;sourceID=48","321230")</f>
        <v>321230</v>
      </c>
      <c r="G574" s="4" t="str">
        <f>HYPERLINK("http://141.218.60.56/~jnz1568/getInfo.php?workbook=18_16.xlsx&amp;sheet=A0&amp;row=574&amp;col=7&amp;number=&amp;sourceID=49","")</f>
        <v/>
      </c>
      <c r="H574" s="4" t="str">
        <f>HYPERLINK("http://141.218.60.56/~jnz1568/getInfo.php?workbook=18_16.xlsx&amp;sheet=A0&amp;row=574&amp;col=8&amp;number=&amp;sourceID=49","")</f>
        <v/>
      </c>
    </row>
    <row r="575" spans="1:8">
      <c r="A575" s="3">
        <v>18</v>
      </c>
      <c r="B575" s="3">
        <v>16</v>
      </c>
      <c r="C575" s="3">
        <v>70</v>
      </c>
      <c r="D575" s="3">
        <v>21</v>
      </c>
      <c r="E575" s="3">
        <f>((1/(INDEX(E0!J$4:J$87,C575,1)-INDEX(E0!J$4:J$87,D575,1))))*100000000</f>
        <v>0</v>
      </c>
      <c r="F575" s="4" t="str">
        <f>HYPERLINK("http://141.218.60.56/~jnz1568/getInfo.php?workbook=18_16.xlsx&amp;sheet=A0&amp;row=575&amp;col=6&amp;number=14861&amp;sourceID=48","14861")</f>
        <v>14861</v>
      </c>
      <c r="G575" s="4" t="str">
        <f>HYPERLINK("http://141.218.60.56/~jnz1568/getInfo.php?workbook=18_16.xlsx&amp;sheet=A0&amp;row=575&amp;col=7&amp;number=&amp;sourceID=49","")</f>
        <v/>
      </c>
      <c r="H575" s="4" t="str">
        <f>HYPERLINK("http://141.218.60.56/~jnz1568/getInfo.php?workbook=18_16.xlsx&amp;sheet=A0&amp;row=575&amp;col=8&amp;number=&amp;sourceID=49","")</f>
        <v/>
      </c>
    </row>
    <row r="576" spans="1:8">
      <c r="A576" s="3">
        <v>18</v>
      </c>
      <c r="B576" s="3">
        <v>16</v>
      </c>
      <c r="C576" s="3">
        <v>70</v>
      </c>
      <c r="D576" s="3">
        <v>22</v>
      </c>
      <c r="E576" s="3">
        <f>((1/(INDEX(E0!J$4:J$87,C576,1)-INDEX(E0!J$4:J$87,D576,1))))*100000000</f>
        <v>0</v>
      </c>
      <c r="F576" s="4" t="str">
        <f>HYPERLINK("http://141.218.60.56/~jnz1568/getInfo.php?workbook=18_16.xlsx&amp;sheet=A0&amp;row=576&amp;col=6&amp;number=115930&amp;sourceID=48","115930")</f>
        <v>115930</v>
      </c>
      <c r="G576" s="4" t="str">
        <f>HYPERLINK("http://141.218.60.56/~jnz1568/getInfo.php?workbook=18_16.xlsx&amp;sheet=A0&amp;row=576&amp;col=7&amp;number=&amp;sourceID=49","")</f>
        <v/>
      </c>
      <c r="H576" s="4" t="str">
        <f>HYPERLINK("http://141.218.60.56/~jnz1568/getInfo.php?workbook=18_16.xlsx&amp;sheet=A0&amp;row=576&amp;col=8&amp;number=&amp;sourceID=49","")</f>
        <v/>
      </c>
    </row>
    <row r="577" spans="1:8">
      <c r="A577" s="3">
        <v>18</v>
      </c>
      <c r="B577" s="3">
        <v>16</v>
      </c>
      <c r="C577" s="3">
        <v>70</v>
      </c>
      <c r="D577" s="3">
        <v>23</v>
      </c>
      <c r="E577" s="3">
        <f>((1/(INDEX(E0!J$4:J$87,C577,1)-INDEX(E0!J$4:J$87,D577,1))))*100000000</f>
        <v>0</v>
      </c>
      <c r="F577" s="4" t="str">
        <f>HYPERLINK("http://141.218.60.56/~jnz1568/getInfo.php?workbook=18_16.xlsx&amp;sheet=A0&amp;row=577&amp;col=6&amp;number=1375800&amp;sourceID=48","1375800")</f>
        <v>1375800</v>
      </c>
      <c r="G577" s="4" t="str">
        <f>HYPERLINK("http://141.218.60.56/~jnz1568/getInfo.php?workbook=18_16.xlsx&amp;sheet=A0&amp;row=577&amp;col=7&amp;number=&amp;sourceID=49","")</f>
        <v/>
      </c>
      <c r="H577" s="4" t="str">
        <f>HYPERLINK("http://141.218.60.56/~jnz1568/getInfo.php?workbook=18_16.xlsx&amp;sheet=A0&amp;row=577&amp;col=8&amp;number=&amp;sourceID=49","")</f>
        <v/>
      </c>
    </row>
    <row r="578" spans="1:8">
      <c r="A578" s="3">
        <v>18</v>
      </c>
      <c r="B578" s="3">
        <v>16</v>
      </c>
      <c r="C578" s="3">
        <v>70</v>
      </c>
      <c r="D578" s="3">
        <v>25</v>
      </c>
      <c r="E578" s="3">
        <f>((1/(INDEX(E0!J$4:J$87,C578,1)-INDEX(E0!J$4:J$87,D578,1))))*100000000</f>
        <v>0</v>
      </c>
      <c r="F578" s="4" t="str">
        <f>HYPERLINK("http://141.218.60.56/~jnz1568/getInfo.php?workbook=18_16.xlsx&amp;sheet=A0&amp;row=578&amp;col=6&amp;number=0.48577&amp;sourceID=48","0.48577")</f>
        <v>0.48577</v>
      </c>
      <c r="G578" s="4" t="str">
        <f>HYPERLINK("http://141.218.60.56/~jnz1568/getInfo.php?workbook=18_16.xlsx&amp;sheet=A0&amp;row=578&amp;col=7&amp;number=&amp;sourceID=49","")</f>
        <v/>
      </c>
      <c r="H578" s="4" t="str">
        <f>HYPERLINK("http://141.218.60.56/~jnz1568/getInfo.php?workbook=18_16.xlsx&amp;sheet=A0&amp;row=578&amp;col=8&amp;number=&amp;sourceID=49","")</f>
        <v/>
      </c>
    </row>
    <row r="579" spans="1:8">
      <c r="A579" s="3">
        <v>18</v>
      </c>
      <c r="B579" s="3">
        <v>16</v>
      </c>
      <c r="C579" s="3">
        <v>70</v>
      </c>
      <c r="D579" s="3">
        <v>26</v>
      </c>
      <c r="E579" s="3">
        <f>((1/(INDEX(E0!J$4:J$87,C579,1)-INDEX(E0!J$4:J$87,D579,1))))*100000000</f>
        <v>0</v>
      </c>
      <c r="F579" s="4" t="str">
        <f>HYPERLINK("http://141.218.60.56/~jnz1568/getInfo.php?workbook=18_16.xlsx&amp;sheet=A0&amp;row=579&amp;col=6&amp;number=267100000&amp;sourceID=48","267100000")</f>
        <v>267100000</v>
      </c>
      <c r="G579" s="4" t="str">
        <f>HYPERLINK("http://141.218.60.56/~jnz1568/getInfo.php?workbook=18_16.xlsx&amp;sheet=A0&amp;row=579&amp;col=7&amp;number=&amp;sourceID=49","")</f>
        <v/>
      </c>
      <c r="H579" s="4" t="str">
        <f>HYPERLINK("http://141.218.60.56/~jnz1568/getInfo.php?workbook=18_16.xlsx&amp;sheet=A0&amp;row=579&amp;col=8&amp;number=&amp;sourceID=49","")</f>
        <v/>
      </c>
    </row>
    <row r="580" spans="1:8">
      <c r="A580" s="3">
        <v>18</v>
      </c>
      <c r="B580" s="3">
        <v>16</v>
      </c>
      <c r="C580" s="3">
        <v>70</v>
      </c>
      <c r="D580" s="3">
        <v>27</v>
      </c>
      <c r="E580" s="3">
        <f>((1/(INDEX(E0!J$4:J$87,C580,1)-INDEX(E0!J$4:J$87,D580,1))))*100000000</f>
        <v>0</v>
      </c>
      <c r="F580" s="4" t="str">
        <f>HYPERLINK("http://141.218.60.56/~jnz1568/getInfo.php?workbook=18_16.xlsx&amp;sheet=A0&amp;row=580&amp;col=6&amp;number=2150400&amp;sourceID=48","2150400")</f>
        <v>2150400</v>
      </c>
      <c r="G580" s="4" t="str">
        <f>HYPERLINK("http://141.218.60.56/~jnz1568/getInfo.php?workbook=18_16.xlsx&amp;sheet=A0&amp;row=580&amp;col=7&amp;number=&amp;sourceID=49","")</f>
        <v/>
      </c>
      <c r="H580" s="4" t="str">
        <f>HYPERLINK("http://141.218.60.56/~jnz1568/getInfo.php?workbook=18_16.xlsx&amp;sheet=A0&amp;row=580&amp;col=8&amp;number=&amp;sourceID=49","")</f>
        <v/>
      </c>
    </row>
    <row r="581" spans="1:8">
      <c r="A581" s="3">
        <v>18</v>
      </c>
      <c r="B581" s="3">
        <v>16</v>
      </c>
      <c r="C581" s="3">
        <v>70</v>
      </c>
      <c r="D581" s="3">
        <v>29</v>
      </c>
      <c r="E581" s="3">
        <f>((1/(INDEX(E0!J$4:J$87,C581,1)-INDEX(E0!J$4:J$87,D581,1))))*100000000</f>
        <v>0</v>
      </c>
      <c r="F581" s="4" t="str">
        <f>HYPERLINK("http://141.218.60.56/~jnz1568/getInfo.php?workbook=18_16.xlsx&amp;sheet=A0&amp;row=581&amp;col=6&amp;number=10588&amp;sourceID=48","10588")</f>
        <v>10588</v>
      </c>
      <c r="G581" s="4" t="str">
        <f>HYPERLINK("http://141.218.60.56/~jnz1568/getInfo.php?workbook=18_16.xlsx&amp;sheet=A0&amp;row=581&amp;col=7&amp;number=&amp;sourceID=49","")</f>
        <v/>
      </c>
      <c r="H581" s="4" t="str">
        <f>HYPERLINK("http://141.218.60.56/~jnz1568/getInfo.php?workbook=18_16.xlsx&amp;sheet=A0&amp;row=581&amp;col=8&amp;number=&amp;sourceID=49","")</f>
        <v/>
      </c>
    </row>
    <row r="582" spans="1:8">
      <c r="A582" s="3">
        <v>18</v>
      </c>
      <c r="B582" s="3">
        <v>16</v>
      </c>
      <c r="C582" s="3">
        <v>70</v>
      </c>
      <c r="D582" s="3">
        <v>30</v>
      </c>
      <c r="E582" s="3">
        <f>((1/(INDEX(E0!J$4:J$87,C582,1)-INDEX(E0!J$4:J$87,D582,1))))*100000000</f>
        <v>0</v>
      </c>
      <c r="F582" s="4" t="str">
        <f>HYPERLINK("http://141.218.60.56/~jnz1568/getInfo.php?workbook=18_16.xlsx&amp;sheet=A0&amp;row=582&amp;col=6&amp;number=32789&amp;sourceID=48","32789")</f>
        <v>32789</v>
      </c>
      <c r="G582" s="4" t="str">
        <f>HYPERLINK("http://141.218.60.56/~jnz1568/getInfo.php?workbook=18_16.xlsx&amp;sheet=A0&amp;row=582&amp;col=7&amp;number=&amp;sourceID=49","")</f>
        <v/>
      </c>
      <c r="H582" s="4" t="str">
        <f>HYPERLINK("http://141.218.60.56/~jnz1568/getInfo.php?workbook=18_16.xlsx&amp;sheet=A0&amp;row=582&amp;col=8&amp;number=&amp;sourceID=49","")</f>
        <v/>
      </c>
    </row>
    <row r="583" spans="1:8">
      <c r="A583" s="3">
        <v>18</v>
      </c>
      <c r="B583" s="3">
        <v>16</v>
      </c>
      <c r="C583" s="3">
        <v>70</v>
      </c>
      <c r="D583" s="3">
        <v>31</v>
      </c>
      <c r="E583" s="3">
        <f>((1/(INDEX(E0!J$4:J$87,C583,1)-INDEX(E0!J$4:J$87,D583,1))))*100000000</f>
        <v>0</v>
      </c>
      <c r="F583" s="4" t="str">
        <f>HYPERLINK("http://141.218.60.56/~jnz1568/getInfo.php?workbook=18_16.xlsx&amp;sheet=A0&amp;row=583&amp;col=6&amp;number=333.79&amp;sourceID=48","333.79")</f>
        <v>333.79</v>
      </c>
      <c r="G583" s="4" t="str">
        <f>HYPERLINK("http://141.218.60.56/~jnz1568/getInfo.php?workbook=18_16.xlsx&amp;sheet=A0&amp;row=583&amp;col=7&amp;number=&amp;sourceID=49","")</f>
        <v/>
      </c>
      <c r="H583" s="4" t="str">
        <f>HYPERLINK("http://141.218.60.56/~jnz1568/getInfo.php?workbook=18_16.xlsx&amp;sheet=A0&amp;row=583&amp;col=8&amp;number=&amp;sourceID=49","")</f>
        <v/>
      </c>
    </row>
    <row r="584" spans="1:8">
      <c r="A584" s="3">
        <v>18</v>
      </c>
      <c r="B584" s="3">
        <v>16</v>
      </c>
      <c r="C584" s="3">
        <v>70</v>
      </c>
      <c r="D584" s="3">
        <v>33</v>
      </c>
      <c r="E584" s="3">
        <f>((1/(INDEX(E0!J$4:J$87,C584,1)-INDEX(E0!J$4:J$87,D584,1))))*100000000</f>
        <v>0</v>
      </c>
      <c r="F584" s="4" t="str">
        <f>HYPERLINK("http://141.218.60.56/~jnz1568/getInfo.php?workbook=18_16.xlsx&amp;sheet=A0&amp;row=584&amp;col=6&amp;number=33.894&amp;sourceID=48","33.894")</f>
        <v>33.894</v>
      </c>
      <c r="G584" s="4" t="str">
        <f>HYPERLINK("http://141.218.60.56/~jnz1568/getInfo.php?workbook=18_16.xlsx&amp;sheet=A0&amp;row=584&amp;col=7&amp;number=&amp;sourceID=49","")</f>
        <v/>
      </c>
      <c r="H584" s="4" t="str">
        <f>HYPERLINK("http://141.218.60.56/~jnz1568/getInfo.php?workbook=18_16.xlsx&amp;sheet=A0&amp;row=584&amp;col=8&amp;number=&amp;sourceID=49","")</f>
        <v/>
      </c>
    </row>
    <row r="585" spans="1:8">
      <c r="A585" s="3">
        <v>18</v>
      </c>
      <c r="B585" s="3">
        <v>16</v>
      </c>
      <c r="C585" s="3">
        <v>70</v>
      </c>
      <c r="D585" s="3">
        <v>36</v>
      </c>
      <c r="E585" s="3">
        <f>((1/(INDEX(E0!J$4:J$87,C585,1)-INDEX(E0!J$4:J$87,D585,1))))*100000000</f>
        <v>0</v>
      </c>
      <c r="F585" s="4" t="str">
        <f>HYPERLINK("http://141.218.60.56/~jnz1568/getInfo.php?workbook=18_16.xlsx&amp;sheet=A0&amp;row=585&amp;col=6&amp;number=18492&amp;sourceID=48","18492")</f>
        <v>18492</v>
      </c>
      <c r="G585" s="4" t="str">
        <f>HYPERLINK("http://141.218.60.56/~jnz1568/getInfo.php?workbook=18_16.xlsx&amp;sheet=A0&amp;row=585&amp;col=7&amp;number=&amp;sourceID=49","")</f>
        <v/>
      </c>
      <c r="H585" s="4" t="str">
        <f>HYPERLINK("http://141.218.60.56/~jnz1568/getInfo.php?workbook=18_16.xlsx&amp;sheet=A0&amp;row=585&amp;col=8&amp;number=&amp;sourceID=49","")</f>
        <v/>
      </c>
    </row>
    <row r="586" spans="1:8">
      <c r="A586" s="3">
        <v>18</v>
      </c>
      <c r="B586" s="3">
        <v>16</v>
      </c>
      <c r="C586" s="3">
        <v>70</v>
      </c>
      <c r="D586" s="3">
        <v>37</v>
      </c>
      <c r="E586" s="3">
        <f>((1/(INDEX(E0!J$4:J$87,C586,1)-INDEX(E0!J$4:J$87,D586,1))))*100000000</f>
        <v>0</v>
      </c>
      <c r="F586" s="4" t="str">
        <f>HYPERLINK("http://141.218.60.56/~jnz1568/getInfo.php?workbook=18_16.xlsx&amp;sheet=A0&amp;row=586&amp;col=6&amp;number=70.302&amp;sourceID=48","70.302")</f>
        <v>70.302</v>
      </c>
      <c r="G586" s="4" t="str">
        <f>HYPERLINK("http://141.218.60.56/~jnz1568/getInfo.php?workbook=18_16.xlsx&amp;sheet=A0&amp;row=586&amp;col=7&amp;number=&amp;sourceID=49","")</f>
        <v/>
      </c>
      <c r="H586" s="4" t="str">
        <f>HYPERLINK("http://141.218.60.56/~jnz1568/getInfo.php?workbook=18_16.xlsx&amp;sheet=A0&amp;row=586&amp;col=8&amp;number=&amp;sourceID=49","")</f>
        <v/>
      </c>
    </row>
    <row r="587" spans="1:8">
      <c r="A587" s="3">
        <v>18</v>
      </c>
      <c r="B587" s="3">
        <v>16</v>
      </c>
      <c r="C587" s="3">
        <v>70</v>
      </c>
      <c r="D587" s="3">
        <v>39</v>
      </c>
      <c r="E587" s="3">
        <f>((1/(INDEX(E0!J$4:J$87,C587,1)-INDEX(E0!J$4:J$87,D587,1))))*100000000</f>
        <v>0</v>
      </c>
      <c r="F587" s="4" t="str">
        <f>HYPERLINK("http://141.218.60.56/~jnz1568/getInfo.php?workbook=18_16.xlsx&amp;sheet=A0&amp;row=587&amp;col=6&amp;number=2141300&amp;sourceID=48","2141300")</f>
        <v>2141300</v>
      </c>
      <c r="G587" s="4" t="str">
        <f>HYPERLINK("http://141.218.60.56/~jnz1568/getInfo.php?workbook=18_16.xlsx&amp;sheet=A0&amp;row=587&amp;col=7&amp;number=&amp;sourceID=49","")</f>
        <v/>
      </c>
      <c r="H587" s="4" t="str">
        <f>HYPERLINK("http://141.218.60.56/~jnz1568/getInfo.php?workbook=18_16.xlsx&amp;sheet=A0&amp;row=587&amp;col=8&amp;number=&amp;sourceID=49","")</f>
        <v/>
      </c>
    </row>
    <row r="588" spans="1:8">
      <c r="A588" s="3">
        <v>18</v>
      </c>
      <c r="B588" s="3">
        <v>16</v>
      </c>
      <c r="C588" s="3">
        <v>70</v>
      </c>
      <c r="D588" s="3">
        <v>40</v>
      </c>
      <c r="E588" s="3">
        <f>((1/(INDEX(E0!J$4:J$87,C588,1)-INDEX(E0!J$4:J$87,D588,1))))*100000000</f>
        <v>0</v>
      </c>
      <c r="F588" s="4" t="str">
        <f>HYPERLINK("http://141.218.60.56/~jnz1568/getInfo.php?workbook=18_16.xlsx&amp;sheet=A0&amp;row=588&amp;col=6&amp;number=49438&amp;sourceID=48","49438")</f>
        <v>49438</v>
      </c>
      <c r="G588" s="4" t="str">
        <f>HYPERLINK("http://141.218.60.56/~jnz1568/getInfo.php?workbook=18_16.xlsx&amp;sheet=A0&amp;row=588&amp;col=7&amp;number=&amp;sourceID=49","")</f>
        <v/>
      </c>
      <c r="H588" s="4" t="str">
        <f>HYPERLINK("http://141.218.60.56/~jnz1568/getInfo.php?workbook=18_16.xlsx&amp;sheet=A0&amp;row=588&amp;col=8&amp;number=&amp;sourceID=49","")</f>
        <v/>
      </c>
    </row>
    <row r="589" spans="1:8">
      <c r="A589" s="3">
        <v>18</v>
      </c>
      <c r="B589" s="3">
        <v>16</v>
      </c>
      <c r="C589" s="3">
        <v>70</v>
      </c>
      <c r="D589" s="3">
        <v>41</v>
      </c>
      <c r="E589" s="3">
        <f>((1/(INDEX(E0!J$4:J$87,C589,1)-INDEX(E0!J$4:J$87,D589,1))))*100000000</f>
        <v>0</v>
      </c>
      <c r="F589" s="4" t="str">
        <f>HYPERLINK("http://141.218.60.56/~jnz1568/getInfo.php?workbook=18_16.xlsx&amp;sheet=A0&amp;row=589&amp;col=6&amp;number=157710000&amp;sourceID=48","157710000")</f>
        <v>157710000</v>
      </c>
      <c r="G589" s="4" t="str">
        <f>HYPERLINK("http://141.218.60.56/~jnz1568/getInfo.php?workbook=18_16.xlsx&amp;sheet=A0&amp;row=589&amp;col=7&amp;number=&amp;sourceID=49","")</f>
        <v/>
      </c>
      <c r="H589" s="4" t="str">
        <f>HYPERLINK("http://141.218.60.56/~jnz1568/getInfo.php?workbook=18_16.xlsx&amp;sheet=A0&amp;row=589&amp;col=8&amp;number=&amp;sourceID=49","")</f>
        <v/>
      </c>
    </row>
    <row r="590" spans="1:8">
      <c r="A590" s="3">
        <v>18</v>
      </c>
      <c r="B590" s="3">
        <v>16</v>
      </c>
      <c r="C590" s="3">
        <v>70</v>
      </c>
      <c r="D590" s="3">
        <v>42</v>
      </c>
      <c r="E590" s="3">
        <f>((1/(INDEX(E0!J$4:J$87,C590,1)-INDEX(E0!J$4:J$87,D590,1))))*100000000</f>
        <v>0</v>
      </c>
      <c r="F590" s="4" t="str">
        <f>HYPERLINK("http://141.218.60.56/~jnz1568/getInfo.php?workbook=18_16.xlsx&amp;sheet=A0&amp;row=590&amp;col=6&amp;number=4497700&amp;sourceID=48","4497700")</f>
        <v>4497700</v>
      </c>
      <c r="G590" s="4" t="str">
        <f>HYPERLINK("http://141.218.60.56/~jnz1568/getInfo.php?workbook=18_16.xlsx&amp;sheet=A0&amp;row=590&amp;col=7&amp;number=&amp;sourceID=49","")</f>
        <v/>
      </c>
      <c r="H590" s="4" t="str">
        <f>HYPERLINK("http://141.218.60.56/~jnz1568/getInfo.php?workbook=18_16.xlsx&amp;sheet=A0&amp;row=590&amp;col=8&amp;number=&amp;sourceID=49","")</f>
        <v/>
      </c>
    </row>
    <row r="591" spans="1:8">
      <c r="A591" s="3">
        <v>18</v>
      </c>
      <c r="B591" s="3">
        <v>16</v>
      </c>
      <c r="C591" s="3">
        <v>70</v>
      </c>
      <c r="D591" s="3">
        <v>47</v>
      </c>
      <c r="E591" s="3">
        <f>((1/(INDEX(E0!J$4:J$87,C591,1)-INDEX(E0!J$4:J$87,D591,1))))*100000000</f>
        <v>0</v>
      </c>
      <c r="F591" s="4" t="str">
        <f>HYPERLINK("http://141.218.60.56/~jnz1568/getInfo.php?workbook=18_16.xlsx&amp;sheet=A0&amp;row=591&amp;col=6&amp;number=103600&amp;sourceID=48","103600")</f>
        <v>103600</v>
      </c>
      <c r="G591" s="4" t="str">
        <f>HYPERLINK("http://141.218.60.56/~jnz1568/getInfo.php?workbook=18_16.xlsx&amp;sheet=A0&amp;row=591&amp;col=7&amp;number=&amp;sourceID=49","")</f>
        <v/>
      </c>
      <c r="H591" s="4" t="str">
        <f>HYPERLINK("http://141.218.60.56/~jnz1568/getInfo.php?workbook=18_16.xlsx&amp;sheet=A0&amp;row=591&amp;col=8&amp;number=&amp;sourceID=49","")</f>
        <v/>
      </c>
    </row>
    <row r="592" spans="1:8">
      <c r="A592" s="3">
        <v>18</v>
      </c>
      <c r="B592" s="3">
        <v>16</v>
      </c>
      <c r="C592" s="3">
        <v>70</v>
      </c>
      <c r="D592" s="3">
        <v>53</v>
      </c>
      <c r="E592" s="3">
        <f>((1/(INDEX(E0!J$4:J$87,C592,1)-INDEX(E0!J$4:J$87,D592,1))))*100000000</f>
        <v>0</v>
      </c>
      <c r="F592" s="4" t="str">
        <f>HYPERLINK("http://141.218.60.56/~jnz1568/getInfo.php?workbook=18_16.xlsx&amp;sheet=A0&amp;row=592&amp;col=6&amp;number=28347&amp;sourceID=48","28347")</f>
        <v>28347</v>
      </c>
      <c r="G592" s="4" t="str">
        <f>HYPERLINK("http://141.218.60.56/~jnz1568/getInfo.php?workbook=18_16.xlsx&amp;sheet=A0&amp;row=592&amp;col=7&amp;number=&amp;sourceID=49","")</f>
        <v/>
      </c>
      <c r="H592" s="4" t="str">
        <f>HYPERLINK("http://141.218.60.56/~jnz1568/getInfo.php?workbook=18_16.xlsx&amp;sheet=A0&amp;row=592&amp;col=8&amp;number=&amp;sourceID=49","")</f>
        <v/>
      </c>
    </row>
    <row r="593" spans="1:8">
      <c r="A593" s="3">
        <v>18</v>
      </c>
      <c r="B593" s="3">
        <v>16</v>
      </c>
      <c r="C593" s="3">
        <v>70</v>
      </c>
      <c r="D593" s="3">
        <v>54</v>
      </c>
      <c r="E593" s="3">
        <f>((1/(INDEX(E0!J$4:J$87,C593,1)-INDEX(E0!J$4:J$87,D593,1))))*100000000</f>
        <v>0</v>
      </c>
      <c r="F593" s="4" t="str">
        <f>HYPERLINK("http://141.218.60.56/~jnz1568/getInfo.php?workbook=18_16.xlsx&amp;sheet=A0&amp;row=593&amp;col=6&amp;number=11271&amp;sourceID=48","11271")</f>
        <v>11271</v>
      </c>
      <c r="G593" s="4" t="str">
        <f>HYPERLINK("http://141.218.60.56/~jnz1568/getInfo.php?workbook=18_16.xlsx&amp;sheet=A0&amp;row=593&amp;col=7&amp;number=&amp;sourceID=49","")</f>
        <v/>
      </c>
      <c r="H593" s="4" t="str">
        <f>HYPERLINK("http://141.218.60.56/~jnz1568/getInfo.php?workbook=18_16.xlsx&amp;sheet=A0&amp;row=593&amp;col=8&amp;number=&amp;sourceID=49","")</f>
        <v/>
      </c>
    </row>
    <row r="594" spans="1:8">
      <c r="A594" s="3">
        <v>18</v>
      </c>
      <c r="B594" s="3">
        <v>16</v>
      </c>
      <c r="C594" s="3">
        <v>70</v>
      </c>
      <c r="D594" s="3">
        <v>57</v>
      </c>
      <c r="E594" s="3">
        <f>((1/(INDEX(E0!J$4:J$87,C594,1)-INDEX(E0!J$4:J$87,D594,1))))*100000000</f>
        <v>0</v>
      </c>
      <c r="F594" s="4" t="str">
        <f>HYPERLINK("http://141.218.60.56/~jnz1568/getInfo.php?workbook=18_16.xlsx&amp;sheet=A0&amp;row=594&amp;col=6&amp;number=5358.1&amp;sourceID=48","5358.1")</f>
        <v>5358.1</v>
      </c>
      <c r="G594" s="4" t="str">
        <f>HYPERLINK("http://141.218.60.56/~jnz1568/getInfo.php?workbook=18_16.xlsx&amp;sheet=A0&amp;row=594&amp;col=7&amp;number=&amp;sourceID=49","")</f>
        <v/>
      </c>
      <c r="H594" s="4" t="str">
        <f>HYPERLINK("http://141.218.60.56/~jnz1568/getInfo.php?workbook=18_16.xlsx&amp;sheet=A0&amp;row=594&amp;col=8&amp;number=&amp;sourceID=49","")</f>
        <v/>
      </c>
    </row>
    <row r="595" spans="1:8">
      <c r="A595" s="3">
        <v>18</v>
      </c>
      <c r="B595" s="3">
        <v>16</v>
      </c>
      <c r="C595" s="3">
        <v>70</v>
      </c>
      <c r="D595" s="3">
        <v>60</v>
      </c>
      <c r="E595" s="3">
        <f>((1/(INDEX(E0!J$4:J$87,C595,1)-INDEX(E0!J$4:J$87,D595,1))))*100000000</f>
        <v>0</v>
      </c>
      <c r="F595" s="4" t="str">
        <f>HYPERLINK("http://141.218.60.56/~jnz1568/getInfo.php?workbook=18_16.xlsx&amp;sheet=A0&amp;row=595&amp;col=6&amp;number=29011&amp;sourceID=48","29011")</f>
        <v>29011</v>
      </c>
      <c r="G595" s="4" t="str">
        <f>HYPERLINK("http://141.218.60.56/~jnz1568/getInfo.php?workbook=18_16.xlsx&amp;sheet=A0&amp;row=595&amp;col=7&amp;number=&amp;sourceID=49","")</f>
        <v/>
      </c>
      <c r="H595" s="4" t="str">
        <f>HYPERLINK("http://141.218.60.56/~jnz1568/getInfo.php?workbook=18_16.xlsx&amp;sheet=A0&amp;row=595&amp;col=8&amp;number=&amp;sourceID=49","")</f>
        <v/>
      </c>
    </row>
    <row r="596" spans="1:8">
      <c r="A596" s="3">
        <v>18</v>
      </c>
      <c r="B596" s="3">
        <v>16</v>
      </c>
      <c r="C596" s="3">
        <v>71</v>
      </c>
      <c r="D596" s="3">
        <v>6</v>
      </c>
      <c r="E596" s="3">
        <f>((1/(INDEX(E0!J$4:J$87,C596,1)-INDEX(E0!J$4:J$87,D596,1))))*100000000</f>
        <v>0</v>
      </c>
      <c r="F596" s="4" t="str">
        <f>HYPERLINK("http://141.218.60.56/~jnz1568/getInfo.php?workbook=18_16.xlsx&amp;sheet=A0&amp;row=596&amp;col=6&amp;number=160240000&amp;sourceID=48","160240000")</f>
        <v>160240000</v>
      </c>
      <c r="G596" s="4" t="str">
        <f>HYPERLINK("http://141.218.60.56/~jnz1568/getInfo.php?workbook=18_16.xlsx&amp;sheet=A0&amp;row=596&amp;col=7&amp;number=&amp;sourceID=49","")</f>
        <v/>
      </c>
      <c r="H596" s="4" t="str">
        <f>HYPERLINK("http://141.218.60.56/~jnz1568/getInfo.php?workbook=18_16.xlsx&amp;sheet=A0&amp;row=596&amp;col=8&amp;number=&amp;sourceID=49","")</f>
        <v/>
      </c>
    </row>
    <row r="597" spans="1:8">
      <c r="A597" s="3">
        <v>18</v>
      </c>
      <c r="B597" s="3">
        <v>16</v>
      </c>
      <c r="C597" s="3">
        <v>71</v>
      </c>
      <c r="D597" s="3">
        <v>7</v>
      </c>
      <c r="E597" s="3">
        <f>((1/(INDEX(E0!J$4:J$87,C597,1)-INDEX(E0!J$4:J$87,D597,1))))*100000000</f>
        <v>0</v>
      </c>
      <c r="F597" s="4" t="str">
        <f>HYPERLINK("http://141.218.60.56/~jnz1568/getInfo.php?workbook=18_16.xlsx&amp;sheet=A0&amp;row=597&amp;col=6&amp;number=57572000&amp;sourceID=48","57572000")</f>
        <v>57572000</v>
      </c>
      <c r="G597" s="4" t="str">
        <f>HYPERLINK("http://141.218.60.56/~jnz1568/getInfo.php?workbook=18_16.xlsx&amp;sheet=A0&amp;row=597&amp;col=7&amp;number=&amp;sourceID=49","")</f>
        <v/>
      </c>
      <c r="H597" s="4" t="str">
        <f>HYPERLINK("http://141.218.60.56/~jnz1568/getInfo.php?workbook=18_16.xlsx&amp;sheet=A0&amp;row=597&amp;col=8&amp;number=&amp;sourceID=49","")</f>
        <v/>
      </c>
    </row>
    <row r="598" spans="1:8">
      <c r="A598" s="3">
        <v>18</v>
      </c>
      <c r="B598" s="3">
        <v>16</v>
      </c>
      <c r="C598" s="3">
        <v>71</v>
      </c>
      <c r="D598" s="3">
        <v>9</v>
      </c>
      <c r="E598" s="3">
        <f>((1/(INDEX(E0!J$4:J$87,C598,1)-INDEX(E0!J$4:J$87,D598,1))))*100000000</f>
        <v>0</v>
      </c>
      <c r="F598" s="4" t="str">
        <f>HYPERLINK("http://141.218.60.56/~jnz1568/getInfo.php?workbook=18_16.xlsx&amp;sheet=A0&amp;row=598&amp;col=6&amp;number=1650.9&amp;sourceID=48","1650.9")</f>
        <v>1650.9</v>
      </c>
      <c r="G598" s="4" t="str">
        <f>HYPERLINK("http://141.218.60.56/~jnz1568/getInfo.php?workbook=18_16.xlsx&amp;sheet=A0&amp;row=598&amp;col=7&amp;number=&amp;sourceID=49","")</f>
        <v/>
      </c>
      <c r="H598" s="4" t="str">
        <f>HYPERLINK("http://141.218.60.56/~jnz1568/getInfo.php?workbook=18_16.xlsx&amp;sheet=A0&amp;row=598&amp;col=8&amp;number=&amp;sourceID=49","")</f>
        <v/>
      </c>
    </row>
    <row r="599" spans="1:8">
      <c r="A599" s="3">
        <v>18</v>
      </c>
      <c r="B599" s="3">
        <v>16</v>
      </c>
      <c r="C599" s="3">
        <v>71</v>
      </c>
      <c r="D599" s="3">
        <v>11</v>
      </c>
      <c r="E599" s="3">
        <f>((1/(INDEX(E0!J$4:J$87,C599,1)-INDEX(E0!J$4:J$87,D599,1))))*100000000</f>
        <v>0</v>
      </c>
      <c r="F599" s="4" t="str">
        <f>HYPERLINK("http://141.218.60.56/~jnz1568/getInfo.php?workbook=18_16.xlsx&amp;sheet=A0&amp;row=599&amp;col=6&amp;number=11753&amp;sourceID=48","11753")</f>
        <v>11753</v>
      </c>
      <c r="G599" s="4" t="str">
        <f>HYPERLINK("http://141.218.60.56/~jnz1568/getInfo.php?workbook=18_16.xlsx&amp;sheet=A0&amp;row=599&amp;col=7&amp;number=&amp;sourceID=49","")</f>
        <v/>
      </c>
      <c r="H599" s="4" t="str">
        <f>HYPERLINK("http://141.218.60.56/~jnz1568/getInfo.php?workbook=18_16.xlsx&amp;sheet=A0&amp;row=599&amp;col=8&amp;number=&amp;sourceID=49","")</f>
        <v/>
      </c>
    </row>
    <row r="600" spans="1:8">
      <c r="A600" s="3">
        <v>18</v>
      </c>
      <c r="B600" s="3">
        <v>16</v>
      </c>
      <c r="C600" s="3">
        <v>71</v>
      </c>
      <c r="D600" s="3">
        <v>12</v>
      </c>
      <c r="E600" s="3">
        <f>((1/(INDEX(E0!J$4:J$87,C600,1)-INDEX(E0!J$4:J$87,D600,1))))*100000000</f>
        <v>0</v>
      </c>
      <c r="F600" s="4" t="str">
        <f>HYPERLINK("http://141.218.60.56/~jnz1568/getInfo.php?workbook=18_16.xlsx&amp;sheet=A0&amp;row=600&amp;col=6&amp;number=19582&amp;sourceID=48","19582")</f>
        <v>19582</v>
      </c>
      <c r="G600" s="4" t="str">
        <f>HYPERLINK("http://141.218.60.56/~jnz1568/getInfo.php?workbook=18_16.xlsx&amp;sheet=A0&amp;row=600&amp;col=7&amp;number=&amp;sourceID=49","")</f>
        <v/>
      </c>
      <c r="H600" s="4" t="str">
        <f>HYPERLINK("http://141.218.60.56/~jnz1568/getInfo.php?workbook=18_16.xlsx&amp;sheet=A0&amp;row=600&amp;col=8&amp;number=&amp;sourceID=49","")</f>
        <v/>
      </c>
    </row>
    <row r="601" spans="1:8">
      <c r="A601" s="3">
        <v>18</v>
      </c>
      <c r="B601" s="3">
        <v>16</v>
      </c>
      <c r="C601" s="3">
        <v>71</v>
      </c>
      <c r="D601" s="3">
        <v>13</v>
      </c>
      <c r="E601" s="3">
        <f>((1/(INDEX(E0!J$4:J$87,C601,1)-INDEX(E0!J$4:J$87,D601,1))))*100000000</f>
        <v>0</v>
      </c>
      <c r="F601" s="4" t="str">
        <f>HYPERLINK("http://141.218.60.56/~jnz1568/getInfo.php?workbook=18_16.xlsx&amp;sheet=A0&amp;row=601&amp;col=6&amp;number=1876.2&amp;sourceID=48","1876.2")</f>
        <v>1876.2</v>
      </c>
      <c r="G601" s="4" t="str">
        <f>HYPERLINK("http://141.218.60.56/~jnz1568/getInfo.php?workbook=18_16.xlsx&amp;sheet=A0&amp;row=601&amp;col=7&amp;number=&amp;sourceID=49","")</f>
        <v/>
      </c>
      <c r="H601" s="4" t="str">
        <f>HYPERLINK("http://141.218.60.56/~jnz1568/getInfo.php?workbook=18_16.xlsx&amp;sheet=A0&amp;row=601&amp;col=8&amp;number=&amp;sourceID=49","")</f>
        <v/>
      </c>
    </row>
    <row r="602" spans="1:8">
      <c r="A602" s="3">
        <v>18</v>
      </c>
      <c r="B602" s="3">
        <v>16</v>
      </c>
      <c r="C602" s="3">
        <v>71</v>
      </c>
      <c r="D602" s="3">
        <v>15</v>
      </c>
      <c r="E602" s="3">
        <f>((1/(INDEX(E0!J$4:J$87,C602,1)-INDEX(E0!J$4:J$87,D602,1))))*100000000</f>
        <v>0</v>
      </c>
      <c r="F602" s="4" t="str">
        <f>HYPERLINK("http://141.218.60.56/~jnz1568/getInfo.php?workbook=18_16.xlsx&amp;sheet=A0&amp;row=602&amp;col=6&amp;number=39130000&amp;sourceID=48","39130000")</f>
        <v>39130000</v>
      </c>
      <c r="G602" s="4" t="str">
        <f>HYPERLINK("http://141.218.60.56/~jnz1568/getInfo.php?workbook=18_16.xlsx&amp;sheet=A0&amp;row=602&amp;col=7&amp;number=&amp;sourceID=49","")</f>
        <v/>
      </c>
      <c r="H602" s="4" t="str">
        <f>HYPERLINK("http://141.218.60.56/~jnz1568/getInfo.php?workbook=18_16.xlsx&amp;sheet=A0&amp;row=602&amp;col=8&amp;number=&amp;sourceID=49","")</f>
        <v/>
      </c>
    </row>
    <row r="603" spans="1:8">
      <c r="A603" s="3">
        <v>18</v>
      </c>
      <c r="B603" s="3">
        <v>16</v>
      </c>
      <c r="C603" s="3">
        <v>71</v>
      </c>
      <c r="D603" s="3">
        <v>16</v>
      </c>
      <c r="E603" s="3">
        <f>((1/(INDEX(E0!J$4:J$87,C603,1)-INDEX(E0!J$4:J$87,D603,1))))*100000000</f>
        <v>0</v>
      </c>
      <c r="F603" s="4" t="str">
        <f>HYPERLINK("http://141.218.60.56/~jnz1568/getInfo.php?workbook=18_16.xlsx&amp;sheet=A0&amp;row=603&amp;col=6&amp;number=7931200&amp;sourceID=48","7931200")</f>
        <v>7931200</v>
      </c>
      <c r="G603" s="4" t="str">
        <f>HYPERLINK("http://141.218.60.56/~jnz1568/getInfo.php?workbook=18_16.xlsx&amp;sheet=A0&amp;row=603&amp;col=7&amp;number=&amp;sourceID=49","")</f>
        <v/>
      </c>
      <c r="H603" s="4" t="str">
        <f>HYPERLINK("http://141.218.60.56/~jnz1568/getInfo.php?workbook=18_16.xlsx&amp;sheet=A0&amp;row=603&amp;col=8&amp;number=&amp;sourceID=49","")</f>
        <v/>
      </c>
    </row>
    <row r="604" spans="1:8">
      <c r="A604" s="3">
        <v>18</v>
      </c>
      <c r="B604" s="3">
        <v>16</v>
      </c>
      <c r="C604" s="3">
        <v>71</v>
      </c>
      <c r="D604" s="3">
        <v>17</v>
      </c>
      <c r="E604" s="3">
        <f>((1/(INDEX(E0!J$4:J$87,C604,1)-INDEX(E0!J$4:J$87,D604,1))))*100000000</f>
        <v>0</v>
      </c>
      <c r="F604" s="4" t="str">
        <f>HYPERLINK("http://141.218.60.56/~jnz1568/getInfo.php?workbook=18_16.xlsx&amp;sheet=A0&amp;row=604&amp;col=6&amp;number=589840&amp;sourceID=48","589840")</f>
        <v>589840</v>
      </c>
      <c r="G604" s="4" t="str">
        <f>HYPERLINK("http://141.218.60.56/~jnz1568/getInfo.php?workbook=18_16.xlsx&amp;sheet=A0&amp;row=604&amp;col=7&amp;number=&amp;sourceID=49","")</f>
        <v/>
      </c>
      <c r="H604" s="4" t="str">
        <f>HYPERLINK("http://141.218.60.56/~jnz1568/getInfo.php?workbook=18_16.xlsx&amp;sheet=A0&amp;row=604&amp;col=8&amp;number=&amp;sourceID=49","")</f>
        <v/>
      </c>
    </row>
    <row r="605" spans="1:8">
      <c r="A605" s="3">
        <v>18</v>
      </c>
      <c r="B605" s="3">
        <v>16</v>
      </c>
      <c r="C605" s="3">
        <v>71</v>
      </c>
      <c r="D605" s="3">
        <v>19</v>
      </c>
      <c r="E605" s="3">
        <f>((1/(INDEX(E0!J$4:J$87,C605,1)-INDEX(E0!J$4:J$87,D605,1))))*100000000</f>
        <v>0</v>
      </c>
      <c r="F605" s="4" t="str">
        <f>HYPERLINK("http://141.218.60.56/~jnz1568/getInfo.php?workbook=18_16.xlsx&amp;sheet=A0&amp;row=605&amp;col=6&amp;number=28436&amp;sourceID=48","28436")</f>
        <v>28436</v>
      </c>
      <c r="G605" s="4" t="str">
        <f>HYPERLINK("http://141.218.60.56/~jnz1568/getInfo.php?workbook=18_16.xlsx&amp;sheet=A0&amp;row=605&amp;col=7&amp;number=&amp;sourceID=49","")</f>
        <v/>
      </c>
      <c r="H605" s="4" t="str">
        <f>HYPERLINK("http://141.218.60.56/~jnz1568/getInfo.php?workbook=18_16.xlsx&amp;sheet=A0&amp;row=605&amp;col=8&amp;number=&amp;sourceID=49","")</f>
        <v/>
      </c>
    </row>
    <row r="606" spans="1:8">
      <c r="A606" s="3">
        <v>18</v>
      </c>
      <c r="B606" s="3">
        <v>16</v>
      </c>
      <c r="C606" s="3">
        <v>71</v>
      </c>
      <c r="D606" s="3">
        <v>20</v>
      </c>
      <c r="E606" s="3">
        <f>((1/(INDEX(E0!J$4:J$87,C606,1)-INDEX(E0!J$4:J$87,D606,1))))*100000000</f>
        <v>0</v>
      </c>
      <c r="F606" s="4" t="str">
        <f>HYPERLINK("http://141.218.60.56/~jnz1568/getInfo.php?workbook=18_16.xlsx&amp;sheet=A0&amp;row=606&amp;col=6&amp;number=254380&amp;sourceID=48","254380")</f>
        <v>254380</v>
      </c>
      <c r="G606" s="4" t="str">
        <f>HYPERLINK("http://141.218.60.56/~jnz1568/getInfo.php?workbook=18_16.xlsx&amp;sheet=A0&amp;row=606&amp;col=7&amp;number=&amp;sourceID=49","")</f>
        <v/>
      </c>
      <c r="H606" s="4" t="str">
        <f>HYPERLINK("http://141.218.60.56/~jnz1568/getInfo.php?workbook=18_16.xlsx&amp;sheet=A0&amp;row=606&amp;col=8&amp;number=&amp;sourceID=49","")</f>
        <v/>
      </c>
    </row>
    <row r="607" spans="1:8">
      <c r="A607" s="3">
        <v>18</v>
      </c>
      <c r="B607" s="3">
        <v>16</v>
      </c>
      <c r="C607" s="3">
        <v>71</v>
      </c>
      <c r="D607" s="3">
        <v>22</v>
      </c>
      <c r="E607" s="3">
        <f>((1/(INDEX(E0!J$4:J$87,C607,1)-INDEX(E0!J$4:J$87,D607,1))))*100000000</f>
        <v>0</v>
      </c>
      <c r="F607" s="4" t="str">
        <f>HYPERLINK("http://141.218.60.56/~jnz1568/getInfo.php?workbook=18_16.xlsx&amp;sheet=A0&amp;row=607&amp;col=6&amp;number=3699.2&amp;sourceID=48","3699.2")</f>
        <v>3699.2</v>
      </c>
      <c r="G607" s="4" t="str">
        <f>HYPERLINK("http://141.218.60.56/~jnz1568/getInfo.php?workbook=18_16.xlsx&amp;sheet=A0&amp;row=607&amp;col=7&amp;number=&amp;sourceID=49","")</f>
        <v/>
      </c>
      <c r="H607" s="4" t="str">
        <f>HYPERLINK("http://141.218.60.56/~jnz1568/getInfo.php?workbook=18_16.xlsx&amp;sheet=A0&amp;row=607&amp;col=8&amp;number=&amp;sourceID=49","")</f>
        <v/>
      </c>
    </row>
    <row r="608" spans="1:8">
      <c r="A608" s="3">
        <v>18</v>
      </c>
      <c r="B608" s="3">
        <v>16</v>
      </c>
      <c r="C608" s="3">
        <v>71</v>
      </c>
      <c r="D608" s="3">
        <v>25</v>
      </c>
      <c r="E608" s="3">
        <f>((1/(INDEX(E0!J$4:J$87,C608,1)-INDEX(E0!J$4:J$87,D608,1))))*100000000</f>
        <v>0</v>
      </c>
      <c r="F608" s="4" t="str">
        <f>HYPERLINK("http://141.218.60.56/~jnz1568/getInfo.php?workbook=18_16.xlsx&amp;sheet=A0&amp;row=608&amp;col=6&amp;number=417.45&amp;sourceID=48","417.45")</f>
        <v>417.45</v>
      </c>
      <c r="G608" s="4" t="str">
        <f>HYPERLINK("http://141.218.60.56/~jnz1568/getInfo.php?workbook=18_16.xlsx&amp;sheet=A0&amp;row=608&amp;col=7&amp;number=&amp;sourceID=49","")</f>
        <v/>
      </c>
      <c r="H608" s="4" t="str">
        <f>HYPERLINK("http://141.218.60.56/~jnz1568/getInfo.php?workbook=18_16.xlsx&amp;sheet=A0&amp;row=608&amp;col=8&amp;number=&amp;sourceID=49","")</f>
        <v/>
      </c>
    </row>
    <row r="609" spans="1:8">
      <c r="A609" s="3">
        <v>18</v>
      </c>
      <c r="B609" s="3">
        <v>16</v>
      </c>
      <c r="C609" s="3">
        <v>71</v>
      </c>
      <c r="D609" s="3">
        <v>27</v>
      </c>
      <c r="E609" s="3">
        <f>((1/(INDEX(E0!J$4:J$87,C609,1)-INDEX(E0!J$4:J$87,D609,1))))*100000000</f>
        <v>0</v>
      </c>
      <c r="F609" s="4" t="str">
        <f>HYPERLINK("http://141.218.60.56/~jnz1568/getInfo.php?workbook=18_16.xlsx&amp;sheet=A0&amp;row=609&amp;col=6&amp;number=42916&amp;sourceID=48","42916")</f>
        <v>42916</v>
      </c>
      <c r="G609" s="4" t="str">
        <f>HYPERLINK("http://141.218.60.56/~jnz1568/getInfo.php?workbook=18_16.xlsx&amp;sheet=A0&amp;row=609&amp;col=7&amp;number=&amp;sourceID=49","")</f>
        <v/>
      </c>
      <c r="H609" s="4" t="str">
        <f>HYPERLINK("http://141.218.60.56/~jnz1568/getInfo.php?workbook=18_16.xlsx&amp;sheet=A0&amp;row=609&amp;col=8&amp;number=&amp;sourceID=49","")</f>
        <v/>
      </c>
    </row>
    <row r="610" spans="1:8">
      <c r="A610" s="3">
        <v>18</v>
      </c>
      <c r="B610" s="3">
        <v>16</v>
      </c>
      <c r="C610" s="3">
        <v>71</v>
      </c>
      <c r="D610" s="3">
        <v>28</v>
      </c>
      <c r="E610" s="3">
        <f>((1/(INDEX(E0!J$4:J$87,C610,1)-INDEX(E0!J$4:J$87,D610,1))))*100000000</f>
        <v>0</v>
      </c>
      <c r="F610" s="4" t="str">
        <f>HYPERLINK("http://141.218.60.56/~jnz1568/getInfo.php?workbook=18_16.xlsx&amp;sheet=A0&amp;row=610&amp;col=6&amp;number=71483000&amp;sourceID=48","71483000")</f>
        <v>71483000</v>
      </c>
      <c r="G610" s="4" t="str">
        <f>HYPERLINK("http://141.218.60.56/~jnz1568/getInfo.php?workbook=18_16.xlsx&amp;sheet=A0&amp;row=610&amp;col=7&amp;number=&amp;sourceID=49","")</f>
        <v/>
      </c>
      <c r="H610" s="4" t="str">
        <f>HYPERLINK("http://141.218.60.56/~jnz1568/getInfo.php?workbook=18_16.xlsx&amp;sheet=A0&amp;row=610&amp;col=8&amp;number=&amp;sourceID=49","")</f>
        <v/>
      </c>
    </row>
    <row r="611" spans="1:8">
      <c r="A611" s="3">
        <v>18</v>
      </c>
      <c r="B611" s="3">
        <v>16</v>
      </c>
      <c r="C611" s="3">
        <v>71</v>
      </c>
      <c r="D611" s="3">
        <v>30</v>
      </c>
      <c r="E611" s="3">
        <f>((1/(INDEX(E0!J$4:J$87,C611,1)-INDEX(E0!J$4:J$87,D611,1))))*100000000</f>
        <v>0</v>
      </c>
      <c r="F611" s="4" t="str">
        <f>HYPERLINK("http://141.218.60.56/~jnz1568/getInfo.php?workbook=18_16.xlsx&amp;sheet=A0&amp;row=611&amp;col=6&amp;number=7309.5&amp;sourceID=48","7309.5")</f>
        <v>7309.5</v>
      </c>
      <c r="G611" s="4" t="str">
        <f>HYPERLINK("http://141.218.60.56/~jnz1568/getInfo.php?workbook=18_16.xlsx&amp;sheet=A0&amp;row=611&amp;col=7&amp;number=&amp;sourceID=49","")</f>
        <v/>
      </c>
      <c r="H611" s="4" t="str">
        <f>HYPERLINK("http://141.218.60.56/~jnz1568/getInfo.php?workbook=18_16.xlsx&amp;sheet=A0&amp;row=611&amp;col=8&amp;number=&amp;sourceID=49","")</f>
        <v/>
      </c>
    </row>
    <row r="612" spans="1:8">
      <c r="A612" s="3">
        <v>18</v>
      </c>
      <c r="B612" s="3">
        <v>16</v>
      </c>
      <c r="C612" s="3">
        <v>71</v>
      </c>
      <c r="D612" s="3">
        <v>31</v>
      </c>
      <c r="E612" s="3">
        <f>((1/(INDEX(E0!J$4:J$87,C612,1)-INDEX(E0!J$4:J$87,D612,1))))*100000000</f>
        <v>0</v>
      </c>
      <c r="F612" s="4" t="str">
        <f>HYPERLINK("http://141.218.60.56/~jnz1568/getInfo.php?workbook=18_16.xlsx&amp;sheet=A0&amp;row=612&amp;col=6&amp;number=12367&amp;sourceID=48","12367")</f>
        <v>12367</v>
      </c>
      <c r="G612" s="4" t="str">
        <f>HYPERLINK("http://141.218.60.56/~jnz1568/getInfo.php?workbook=18_16.xlsx&amp;sheet=A0&amp;row=612&amp;col=7&amp;number=&amp;sourceID=49","")</f>
        <v/>
      </c>
      <c r="H612" s="4" t="str">
        <f>HYPERLINK("http://141.218.60.56/~jnz1568/getInfo.php?workbook=18_16.xlsx&amp;sheet=A0&amp;row=612&amp;col=8&amp;number=&amp;sourceID=49","")</f>
        <v/>
      </c>
    </row>
    <row r="613" spans="1:8">
      <c r="A613" s="3">
        <v>18</v>
      </c>
      <c r="B613" s="3">
        <v>16</v>
      </c>
      <c r="C613" s="3">
        <v>71</v>
      </c>
      <c r="D613" s="3">
        <v>32</v>
      </c>
      <c r="E613" s="3">
        <f>((1/(INDEX(E0!J$4:J$87,C613,1)-INDEX(E0!J$4:J$87,D613,1))))*100000000</f>
        <v>0</v>
      </c>
      <c r="F613" s="4" t="str">
        <f>HYPERLINK("http://141.218.60.56/~jnz1568/getInfo.php?workbook=18_16.xlsx&amp;sheet=A0&amp;row=613&amp;col=6&amp;number=261530&amp;sourceID=48","261530")</f>
        <v>261530</v>
      </c>
      <c r="G613" s="4" t="str">
        <f>HYPERLINK("http://141.218.60.56/~jnz1568/getInfo.php?workbook=18_16.xlsx&amp;sheet=A0&amp;row=613&amp;col=7&amp;number=&amp;sourceID=49","")</f>
        <v/>
      </c>
      <c r="H613" s="4" t="str">
        <f>HYPERLINK("http://141.218.60.56/~jnz1568/getInfo.php?workbook=18_16.xlsx&amp;sheet=A0&amp;row=613&amp;col=8&amp;number=&amp;sourceID=49","")</f>
        <v/>
      </c>
    </row>
    <row r="614" spans="1:8">
      <c r="A614" s="3">
        <v>18</v>
      </c>
      <c r="B614" s="3">
        <v>16</v>
      </c>
      <c r="C614" s="3">
        <v>71</v>
      </c>
      <c r="D614" s="3">
        <v>33</v>
      </c>
      <c r="E614" s="3">
        <f>((1/(INDEX(E0!J$4:J$87,C614,1)-INDEX(E0!J$4:J$87,D614,1))))*100000000</f>
        <v>0</v>
      </c>
      <c r="F614" s="4" t="str">
        <f>HYPERLINK("http://141.218.60.56/~jnz1568/getInfo.php?workbook=18_16.xlsx&amp;sheet=A0&amp;row=614&amp;col=6&amp;number=3257400&amp;sourceID=48","3257400")</f>
        <v>3257400</v>
      </c>
      <c r="G614" s="4" t="str">
        <f>HYPERLINK("http://141.218.60.56/~jnz1568/getInfo.php?workbook=18_16.xlsx&amp;sheet=A0&amp;row=614&amp;col=7&amp;number=&amp;sourceID=49","")</f>
        <v/>
      </c>
      <c r="H614" s="4" t="str">
        <f>HYPERLINK("http://141.218.60.56/~jnz1568/getInfo.php?workbook=18_16.xlsx&amp;sheet=A0&amp;row=614&amp;col=8&amp;number=&amp;sourceID=49","")</f>
        <v/>
      </c>
    </row>
    <row r="615" spans="1:8">
      <c r="A615" s="3">
        <v>18</v>
      </c>
      <c r="B615" s="3">
        <v>16</v>
      </c>
      <c r="C615" s="3">
        <v>71</v>
      </c>
      <c r="D615" s="3">
        <v>35</v>
      </c>
      <c r="E615" s="3">
        <f>((1/(INDEX(E0!J$4:J$87,C615,1)-INDEX(E0!J$4:J$87,D615,1))))*100000000</f>
        <v>0</v>
      </c>
      <c r="F615" s="4" t="str">
        <f>HYPERLINK("http://141.218.60.56/~jnz1568/getInfo.php?workbook=18_16.xlsx&amp;sheet=A0&amp;row=615&amp;col=6&amp;number=3181400&amp;sourceID=48","3181400")</f>
        <v>3181400</v>
      </c>
      <c r="G615" s="4" t="str">
        <f>HYPERLINK("http://141.218.60.56/~jnz1568/getInfo.php?workbook=18_16.xlsx&amp;sheet=A0&amp;row=615&amp;col=7&amp;number=&amp;sourceID=49","")</f>
        <v/>
      </c>
      <c r="H615" s="4" t="str">
        <f>HYPERLINK("http://141.218.60.56/~jnz1568/getInfo.php?workbook=18_16.xlsx&amp;sheet=A0&amp;row=615&amp;col=8&amp;number=&amp;sourceID=49","")</f>
        <v/>
      </c>
    </row>
    <row r="616" spans="1:8">
      <c r="A616" s="3">
        <v>18</v>
      </c>
      <c r="B616" s="3">
        <v>16</v>
      </c>
      <c r="C616" s="3">
        <v>71</v>
      </c>
      <c r="D616" s="3">
        <v>36</v>
      </c>
      <c r="E616" s="3">
        <f>((1/(INDEX(E0!J$4:J$87,C616,1)-INDEX(E0!J$4:J$87,D616,1))))*100000000</f>
        <v>0</v>
      </c>
      <c r="F616" s="4" t="str">
        <f>HYPERLINK("http://141.218.60.56/~jnz1568/getInfo.php?workbook=18_16.xlsx&amp;sheet=A0&amp;row=616&amp;col=6&amp;number=16160000&amp;sourceID=48","16160000")</f>
        <v>16160000</v>
      </c>
      <c r="G616" s="4" t="str">
        <f>HYPERLINK("http://141.218.60.56/~jnz1568/getInfo.php?workbook=18_16.xlsx&amp;sheet=A0&amp;row=616&amp;col=7&amp;number=&amp;sourceID=49","")</f>
        <v/>
      </c>
      <c r="H616" s="4" t="str">
        <f>HYPERLINK("http://141.218.60.56/~jnz1568/getInfo.php?workbook=18_16.xlsx&amp;sheet=A0&amp;row=616&amp;col=8&amp;number=&amp;sourceID=49","")</f>
        <v/>
      </c>
    </row>
    <row r="617" spans="1:8">
      <c r="A617" s="3">
        <v>18</v>
      </c>
      <c r="B617" s="3">
        <v>16</v>
      </c>
      <c r="C617" s="3">
        <v>71</v>
      </c>
      <c r="D617" s="3">
        <v>37</v>
      </c>
      <c r="E617" s="3">
        <f>((1/(INDEX(E0!J$4:J$87,C617,1)-INDEX(E0!J$4:J$87,D617,1))))*100000000</f>
        <v>0</v>
      </c>
      <c r="F617" s="4" t="str">
        <f>HYPERLINK("http://141.218.60.56/~jnz1568/getInfo.php?workbook=18_16.xlsx&amp;sheet=A0&amp;row=617&amp;col=6&amp;number=9012900&amp;sourceID=48","9012900")</f>
        <v>9012900</v>
      </c>
      <c r="G617" s="4" t="str">
        <f>HYPERLINK("http://141.218.60.56/~jnz1568/getInfo.php?workbook=18_16.xlsx&amp;sheet=A0&amp;row=617&amp;col=7&amp;number=&amp;sourceID=49","")</f>
        <v/>
      </c>
      <c r="H617" s="4" t="str">
        <f>HYPERLINK("http://141.218.60.56/~jnz1568/getInfo.php?workbook=18_16.xlsx&amp;sheet=A0&amp;row=617&amp;col=8&amp;number=&amp;sourceID=49","")</f>
        <v/>
      </c>
    </row>
    <row r="618" spans="1:8">
      <c r="A618" s="3">
        <v>18</v>
      </c>
      <c r="B618" s="3">
        <v>16</v>
      </c>
      <c r="C618" s="3">
        <v>71</v>
      </c>
      <c r="D618" s="3">
        <v>38</v>
      </c>
      <c r="E618" s="3">
        <f>((1/(INDEX(E0!J$4:J$87,C618,1)-INDEX(E0!J$4:J$87,D618,1))))*100000000</f>
        <v>0</v>
      </c>
      <c r="F618" s="4" t="str">
        <f>HYPERLINK("http://141.218.60.56/~jnz1568/getInfo.php?workbook=18_16.xlsx&amp;sheet=A0&amp;row=618&amp;col=6&amp;number=2980500&amp;sourceID=48","2980500")</f>
        <v>2980500</v>
      </c>
      <c r="G618" s="4" t="str">
        <f>HYPERLINK("http://141.218.60.56/~jnz1568/getInfo.php?workbook=18_16.xlsx&amp;sheet=A0&amp;row=618&amp;col=7&amp;number=&amp;sourceID=49","")</f>
        <v/>
      </c>
      <c r="H618" s="4" t="str">
        <f>HYPERLINK("http://141.218.60.56/~jnz1568/getInfo.php?workbook=18_16.xlsx&amp;sheet=A0&amp;row=618&amp;col=8&amp;number=&amp;sourceID=49","")</f>
        <v/>
      </c>
    </row>
    <row r="619" spans="1:8">
      <c r="A619" s="3">
        <v>18</v>
      </c>
      <c r="B619" s="3">
        <v>16</v>
      </c>
      <c r="C619" s="3">
        <v>71</v>
      </c>
      <c r="D619" s="3">
        <v>39</v>
      </c>
      <c r="E619" s="3">
        <f>((1/(INDEX(E0!J$4:J$87,C619,1)-INDEX(E0!J$4:J$87,D619,1))))*100000000</f>
        <v>0</v>
      </c>
      <c r="F619" s="4" t="str">
        <f>HYPERLINK("http://141.218.60.56/~jnz1568/getInfo.php?workbook=18_16.xlsx&amp;sheet=A0&amp;row=619&amp;col=6&amp;number=47584000&amp;sourceID=48","47584000")</f>
        <v>47584000</v>
      </c>
      <c r="G619" s="4" t="str">
        <f>HYPERLINK("http://141.218.60.56/~jnz1568/getInfo.php?workbook=18_16.xlsx&amp;sheet=A0&amp;row=619&amp;col=7&amp;number=&amp;sourceID=49","")</f>
        <v/>
      </c>
      <c r="H619" s="4" t="str">
        <f>HYPERLINK("http://141.218.60.56/~jnz1568/getInfo.php?workbook=18_16.xlsx&amp;sheet=A0&amp;row=619&amp;col=8&amp;number=&amp;sourceID=49","")</f>
        <v/>
      </c>
    </row>
    <row r="620" spans="1:8">
      <c r="A620" s="3">
        <v>18</v>
      </c>
      <c r="B620" s="3">
        <v>16</v>
      </c>
      <c r="C620" s="3">
        <v>71</v>
      </c>
      <c r="D620" s="3">
        <v>40</v>
      </c>
      <c r="E620" s="3">
        <f>((1/(INDEX(E0!J$4:J$87,C620,1)-INDEX(E0!J$4:J$87,D620,1))))*100000000</f>
        <v>0</v>
      </c>
      <c r="F620" s="4" t="str">
        <f>HYPERLINK("http://141.218.60.56/~jnz1568/getInfo.php?workbook=18_16.xlsx&amp;sheet=A0&amp;row=620&amp;col=6&amp;number=254710000&amp;sourceID=48","254710000")</f>
        <v>254710000</v>
      </c>
      <c r="G620" s="4" t="str">
        <f>HYPERLINK("http://141.218.60.56/~jnz1568/getInfo.php?workbook=18_16.xlsx&amp;sheet=A0&amp;row=620&amp;col=7&amp;number=&amp;sourceID=49","")</f>
        <v/>
      </c>
      <c r="H620" s="4" t="str">
        <f>HYPERLINK("http://141.218.60.56/~jnz1568/getInfo.php?workbook=18_16.xlsx&amp;sheet=A0&amp;row=620&amp;col=8&amp;number=&amp;sourceID=49","")</f>
        <v/>
      </c>
    </row>
    <row r="621" spans="1:8">
      <c r="A621" s="3">
        <v>18</v>
      </c>
      <c r="B621" s="3">
        <v>16</v>
      </c>
      <c r="C621" s="3">
        <v>71</v>
      </c>
      <c r="D621" s="3">
        <v>41</v>
      </c>
      <c r="E621" s="3">
        <f>((1/(INDEX(E0!J$4:J$87,C621,1)-INDEX(E0!J$4:J$87,D621,1))))*100000000</f>
        <v>0</v>
      </c>
      <c r="F621" s="4" t="str">
        <f>HYPERLINK("http://141.218.60.56/~jnz1568/getInfo.php?workbook=18_16.xlsx&amp;sheet=A0&amp;row=621&amp;col=6&amp;number=448600&amp;sourceID=48","448600")</f>
        <v>448600</v>
      </c>
      <c r="G621" s="4" t="str">
        <f>HYPERLINK("http://141.218.60.56/~jnz1568/getInfo.php?workbook=18_16.xlsx&amp;sheet=A0&amp;row=621&amp;col=7&amp;number=&amp;sourceID=49","")</f>
        <v/>
      </c>
      <c r="H621" s="4" t="str">
        <f>HYPERLINK("http://141.218.60.56/~jnz1568/getInfo.php?workbook=18_16.xlsx&amp;sheet=A0&amp;row=621&amp;col=8&amp;number=&amp;sourceID=49","")</f>
        <v/>
      </c>
    </row>
    <row r="622" spans="1:8">
      <c r="A622" s="3">
        <v>18</v>
      </c>
      <c r="B622" s="3">
        <v>16</v>
      </c>
      <c r="C622" s="3">
        <v>71</v>
      </c>
      <c r="D622" s="3">
        <v>42</v>
      </c>
      <c r="E622" s="3">
        <f>((1/(INDEX(E0!J$4:J$87,C622,1)-INDEX(E0!J$4:J$87,D622,1))))*100000000</f>
        <v>0</v>
      </c>
      <c r="F622" s="4" t="str">
        <f>HYPERLINK("http://141.218.60.56/~jnz1568/getInfo.php?workbook=18_16.xlsx&amp;sheet=A0&amp;row=622&amp;col=6&amp;number=10232&amp;sourceID=48","10232")</f>
        <v>10232</v>
      </c>
      <c r="G622" s="4" t="str">
        <f>HYPERLINK("http://141.218.60.56/~jnz1568/getInfo.php?workbook=18_16.xlsx&amp;sheet=A0&amp;row=622&amp;col=7&amp;number=&amp;sourceID=49","")</f>
        <v/>
      </c>
      <c r="H622" s="4" t="str">
        <f>HYPERLINK("http://141.218.60.56/~jnz1568/getInfo.php?workbook=18_16.xlsx&amp;sheet=A0&amp;row=622&amp;col=8&amp;number=&amp;sourceID=49","")</f>
        <v/>
      </c>
    </row>
    <row r="623" spans="1:8">
      <c r="A623" s="3">
        <v>18</v>
      </c>
      <c r="B623" s="3">
        <v>16</v>
      </c>
      <c r="C623" s="3">
        <v>71</v>
      </c>
      <c r="D623" s="3">
        <v>45</v>
      </c>
      <c r="E623" s="3">
        <f>((1/(INDEX(E0!J$4:J$87,C623,1)-INDEX(E0!J$4:J$87,D623,1))))*100000000</f>
        <v>0</v>
      </c>
      <c r="F623" s="4" t="str">
        <f>HYPERLINK("http://141.218.60.56/~jnz1568/getInfo.php?workbook=18_16.xlsx&amp;sheet=A0&amp;row=623&amp;col=6&amp;number=11548000&amp;sourceID=48","11548000")</f>
        <v>11548000</v>
      </c>
      <c r="G623" s="4" t="str">
        <f>HYPERLINK("http://141.218.60.56/~jnz1568/getInfo.php?workbook=18_16.xlsx&amp;sheet=A0&amp;row=623&amp;col=7&amp;number=&amp;sourceID=49","")</f>
        <v/>
      </c>
      <c r="H623" s="4" t="str">
        <f>HYPERLINK("http://141.218.60.56/~jnz1568/getInfo.php?workbook=18_16.xlsx&amp;sheet=A0&amp;row=623&amp;col=8&amp;number=&amp;sourceID=49","")</f>
        <v/>
      </c>
    </row>
    <row r="624" spans="1:8">
      <c r="A624" s="3">
        <v>18</v>
      </c>
      <c r="B624" s="3">
        <v>16</v>
      </c>
      <c r="C624" s="3">
        <v>71</v>
      </c>
      <c r="D624" s="3">
        <v>47</v>
      </c>
      <c r="E624" s="3">
        <f>((1/(INDEX(E0!J$4:J$87,C624,1)-INDEX(E0!J$4:J$87,D624,1))))*100000000</f>
        <v>0</v>
      </c>
      <c r="F624" s="4" t="str">
        <f>HYPERLINK("http://141.218.60.56/~jnz1568/getInfo.php?workbook=18_16.xlsx&amp;sheet=A0&amp;row=624&amp;col=6&amp;number=9745400&amp;sourceID=48","9745400")</f>
        <v>9745400</v>
      </c>
      <c r="G624" s="4" t="str">
        <f>HYPERLINK("http://141.218.60.56/~jnz1568/getInfo.php?workbook=18_16.xlsx&amp;sheet=A0&amp;row=624&amp;col=7&amp;number=&amp;sourceID=49","")</f>
        <v/>
      </c>
      <c r="H624" s="4" t="str">
        <f>HYPERLINK("http://141.218.60.56/~jnz1568/getInfo.php?workbook=18_16.xlsx&amp;sheet=A0&amp;row=624&amp;col=8&amp;number=&amp;sourceID=49","")</f>
        <v/>
      </c>
    </row>
    <row r="625" spans="1:8">
      <c r="A625" s="3">
        <v>18</v>
      </c>
      <c r="B625" s="3">
        <v>16</v>
      </c>
      <c r="C625" s="3">
        <v>71</v>
      </c>
      <c r="D625" s="3">
        <v>48</v>
      </c>
      <c r="E625" s="3">
        <f>((1/(INDEX(E0!J$4:J$87,C625,1)-INDEX(E0!J$4:J$87,D625,1))))*100000000</f>
        <v>0</v>
      </c>
      <c r="F625" s="4" t="str">
        <f>HYPERLINK("http://141.218.60.56/~jnz1568/getInfo.php?workbook=18_16.xlsx&amp;sheet=A0&amp;row=625&amp;col=6&amp;number=2757800&amp;sourceID=48","2757800")</f>
        <v>2757800</v>
      </c>
      <c r="G625" s="4" t="str">
        <f>HYPERLINK("http://141.218.60.56/~jnz1568/getInfo.php?workbook=18_16.xlsx&amp;sheet=A0&amp;row=625&amp;col=7&amp;number=&amp;sourceID=49","")</f>
        <v/>
      </c>
      <c r="H625" s="4" t="str">
        <f>HYPERLINK("http://141.218.60.56/~jnz1568/getInfo.php?workbook=18_16.xlsx&amp;sheet=A0&amp;row=625&amp;col=8&amp;number=&amp;sourceID=49","")</f>
        <v/>
      </c>
    </row>
    <row r="626" spans="1:8">
      <c r="A626" s="3">
        <v>18</v>
      </c>
      <c r="B626" s="3">
        <v>16</v>
      </c>
      <c r="C626" s="3">
        <v>71</v>
      </c>
      <c r="D626" s="3">
        <v>53</v>
      </c>
      <c r="E626" s="3">
        <f>((1/(INDEX(E0!J$4:J$87,C626,1)-INDEX(E0!J$4:J$87,D626,1))))*100000000</f>
        <v>0</v>
      </c>
      <c r="F626" s="4" t="str">
        <f>HYPERLINK("http://141.218.60.56/~jnz1568/getInfo.php?workbook=18_16.xlsx&amp;sheet=A0&amp;row=626&amp;col=6&amp;number=4234300&amp;sourceID=48","4234300")</f>
        <v>4234300</v>
      </c>
      <c r="G626" s="4" t="str">
        <f>HYPERLINK("http://141.218.60.56/~jnz1568/getInfo.php?workbook=18_16.xlsx&amp;sheet=A0&amp;row=626&amp;col=7&amp;number=&amp;sourceID=49","")</f>
        <v/>
      </c>
      <c r="H626" s="4" t="str">
        <f>HYPERLINK("http://141.218.60.56/~jnz1568/getInfo.php?workbook=18_16.xlsx&amp;sheet=A0&amp;row=626&amp;col=8&amp;number=&amp;sourceID=49","")</f>
        <v/>
      </c>
    </row>
    <row r="627" spans="1:8">
      <c r="A627" s="3">
        <v>18</v>
      </c>
      <c r="B627" s="3">
        <v>16</v>
      </c>
      <c r="C627" s="3">
        <v>71</v>
      </c>
      <c r="D627" s="3">
        <v>54</v>
      </c>
      <c r="E627" s="3">
        <f>((1/(INDEX(E0!J$4:J$87,C627,1)-INDEX(E0!J$4:J$87,D627,1))))*100000000</f>
        <v>0</v>
      </c>
      <c r="F627" s="4" t="str">
        <f>HYPERLINK("http://141.218.60.56/~jnz1568/getInfo.php?workbook=18_16.xlsx&amp;sheet=A0&amp;row=627&amp;col=6&amp;number=918550&amp;sourceID=48","918550")</f>
        <v>918550</v>
      </c>
      <c r="G627" s="4" t="str">
        <f>HYPERLINK("http://141.218.60.56/~jnz1568/getInfo.php?workbook=18_16.xlsx&amp;sheet=A0&amp;row=627&amp;col=7&amp;number=&amp;sourceID=49","")</f>
        <v/>
      </c>
      <c r="H627" s="4" t="str">
        <f>HYPERLINK("http://141.218.60.56/~jnz1568/getInfo.php?workbook=18_16.xlsx&amp;sheet=A0&amp;row=627&amp;col=8&amp;number=&amp;sourceID=49","")</f>
        <v/>
      </c>
    </row>
    <row r="628" spans="1:8">
      <c r="A628" s="3">
        <v>18</v>
      </c>
      <c r="B628" s="3">
        <v>16</v>
      </c>
      <c r="C628" s="3">
        <v>71</v>
      </c>
      <c r="D628" s="3">
        <v>55</v>
      </c>
      <c r="E628" s="3">
        <f>((1/(INDEX(E0!J$4:J$87,C628,1)-INDEX(E0!J$4:J$87,D628,1))))*100000000</f>
        <v>0</v>
      </c>
      <c r="F628" s="4" t="str">
        <f>HYPERLINK("http://141.218.60.56/~jnz1568/getInfo.php?workbook=18_16.xlsx&amp;sheet=A0&amp;row=628&amp;col=6&amp;number=14376&amp;sourceID=48","14376")</f>
        <v>14376</v>
      </c>
      <c r="G628" s="4" t="str">
        <f>HYPERLINK("http://141.218.60.56/~jnz1568/getInfo.php?workbook=18_16.xlsx&amp;sheet=A0&amp;row=628&amp;col=7&amp;number=&amp;sourceID=49","")</f>
        <v/>
      </c>
      <c r="H628" s="4" t="str">
        <f>HYPERLINK("http://141.218.60.56/~jnz1568/getInfo.php?workbook=18_16.xlsx&amp;sheet=A0&amp;row=628&amp;col=8&amp;number=&amp;sourceID=49","")</f>
        <v/>
      </c>
    </row>
    <row r="629" spans="1:8">
      <c r="A629" s="3">
        <v>18</v>
      </c>
      <c r="B629" s="3">
        <v>16</v>
      </c>
      <c r="C629" s="3">
        <v>71</v>
      </c>
      <c r="D629" s="3">
        <v>56</v>
      </c>
      <c r="E629" s="3">
        <f>((1/(INDEX(E0!J$4:J$87,C629,1)-INDEX(E0!J$4:J$87,D629,1))))*100000000</f>
        <v>0</v>
      </c>
      <c r="F629" s="4" t="str">
        <f>HYPERLINK("http://141.218.60.56/~jnz1568/getInfo.php?workbook=18_16.xlsx&amp;sheet=A0&amp;row=629&amp;col=6&amp;number=65789&amp;sourceID=48","65789")</f>
        <v>65789</v>
      </c>
      <c r="G629" s="4" t="str">
        <f>HYPERLINK("http://141.218.60.56/~jnz1568/getInfo.php?workbook=18_16.xlsx&amp;sheet=A0&amp;row=629&amp;col=7&amp;number=&amp;sourceID=49","")</f>
        <v/>
      </c>
      <c r="H629" s="4" t="str">
        <f>HYPERLINK("http://141.218.60.56/~jnz1568/getInfo.php?workbook=18_16.xlsx&amp;sheet=A0&amp;row=629&amp;col=8&amp;number=&amp;sourceID=49","")</f>
        <v/>
      </c>
    </row>
    <row r="630" spans="1:8">
      <c r="A630" s="3">
        <v>18</v>
      </c>
      <c r="B630" s="3">
        <v>16</v>
      </c>
      <c r="C630" s="3">
        <v>71</v>
      </c>
      <c r="D630" s="3">
        <v>57</v>
      </c>
      <c r="E630" s="3">
        <f>((1/(INDEX(E0!J$4:J$87,C630,1)-INDEX(E0!J$4:J$87,D630,1))))*100000000</f>
        <v>0</v>
      </c>
      <c r="F630" s="4" t="str">
        <f>HYPERLINK("http://141.218.60.56/~jnz1568/getInfo.php?workbook=18_16.xlsx&amp;sheet=A0&amp;row=630&amp;col=6&amp;number=1308500&amp;sourceID=48","1308500")</f>
        <v>1308500</v>
      </c>
      <c r="G630" s="4" t="str">
        <f>HYPERLINK("http://141.218.60.56/~jnz1568/getInfo.php?workbook=18_16.xlsx&amp;sheet=A0&amp;row=630&amp;col=7&amp;number=&amp;sourceID=49","")</f>
        <v/>
      </c>
      <c r="H630" s="4" t="str">
        <f>HYPERLINK("http://141.218.60.56/~jnz1568/getInfo.php?workbook=18_16.xlsx&amp;sheet=A0&amp;row=630&amp;col=8&amp;number=&amp;sourceID=49","")</f>
        <v/>
      </c>
    </row>
    <row r="631" spans="1:8">
      <c r="A631" s="3">
        <v>18</v>
      </c>
      <c r="B631" s="3">
        <v>16</v>
      </c>
      <c r="C631" s="3">
        <v>71</v>
      </c>
      <c r="D631" s="3">
        <v>58</v>
      </c>
      <c r="E631" s="3">
        <f>((1/(INDEX(E0!J$4:J$87,C631,1)-INDEX(E0!J$4:J$87,D631,1))))*100000000</f>
        <v>0</v>
      </c>
      <c r="F631" s="4" t="str">
        <f>HYPERLINK("http://141.218.60.56/~jnz1568/getInfo.php?workbook=18_16.xlsx&amp;sheet=A0&amp;row=631&amp;col=6&amp;number=455940&amp;sourceID=48","455940")</f>
        <v>455940</v>
      </c>
      <c r="G631" s="4" t="str">
        <f>HYPERLINK("http://141.218.60.56/~jnz1568/getInfo.php?workbook=18_16.xlsx&amp;sheet=A0&amp;row=631&amp;col=7&amp;number=&amp;sourceID=49","")</f>
        <v/>
      </c>
      <c r="H631" s="4" t="str">
        <f>HYPERLINK("http://141.218.60.56/~jnz1568/getInfo.php?workbook=18_16.xlsx&amp;sheet=A0&amp;row=631&amp;col=8&amp;number=&amp;sourceID=49","")</f>
        <v/>
      </c>
    </row>
    <row r="632" spans="1:8">
      <c r="A632" s="3">
        <v>18</v>
      </c>
      <c r="B632" s="3">
        <v>16</v>
      </c>
      <c r="C632" s="3">
        <v>71</v>
      </c>
      <c r="D632" s="3">
        <v>60</v>
      </c>
      <c r="E632" s="3">
        <f>((1/(INDEX(E0!J$4:J$87,C632,1)-INDEX(E0!J$4:J$87,D632,1))))*100000000</f>
        <v>0</v>
      </c>
      <c r="F632" s="4" t="str">
        <f>HYPERLINK("http://141.218.60.56/~jnz1568/getInfo.php?workbook=18_16.xlsx&amp;sheet=A0&amp;row=632&amp;col=6&amp;number=10.948&amp;sourceID=48","10.948")</f>
        <v>10.948</v>
      </c>
      <c r="G632" s="4" t="str">
        <f>HYPERLINK("http://141.218.60.56/~jnz1568/getInfo.php?workbook=18_16.xlsx&amp;sheet=A0&amp;row=632&amp;col=7&amp;number=&amp;sourceID=49","")</f>
        <v/>
      </c>
      <c r="H632" s="4" t="str">
        <f>HYPERLINK("http://141.218.60.56/~jnz1568/getInfo.php?workbook=18_16.xlsx&amp;sheet=A0&amp;row=632&amp;col=8&amp;number=&amp;sourceID=49","")</f>
        <v/>
      </c>
    </row>
    <row r="633" spans="1:8">
      <c r="A633" s="3">
        <v>18</v>
      </c>
      <c r="B633" s="3">
        <v>16</v>
      </c>
      <c r="C633" s="3">
        <v>71</v>
      </c>
      <c r="D633" s="3">
        <v>61</v>
      </c>
      <c r="E633" s="3">
        <f>((1/(INDEX(E0!J$4:J$87,C633,1)-INDEX(E0!J$4:J$87,D633,1))))*100000000</f>
        <v>0</v>
      </c>
      <c r="F633" s="4" t="str">
        <f>HYPERLINK("http://141.218.60.56/~jnz1568/getInfo.php?workbook=18_16.xlsx&amp;sheet=A0&amp;row=633&amp;col=6&amp;number=488.17&amp;sourceID=48","488.17")</f>
        <v>488.17</v>
      </c>
      <c r="G633" s="4" t="str">
        <f>HYPERLINK("http://141.218.60.56/~jnz1568/getInfo.php?workbook=18_16.xlsx&amp;sheet=A0&amp;row=633&amp;col=7&amp;number=&amp;sourceID=49","")</f>
        <v/>
      </c>
      <c r="H633" s="4" t="str">
        <f>HYPERLINK("http://141.218.60.56/~jnz1568/getInfo.php?workbook=18_16.xlsx&amp;sheet=A0&amp;row=633&amp;col=8&amp;number=&amp;sourceID=49","")</f>
        <v/>
      </c>
    </row>
    <row r="634" spans="1:8">
      <c r="A634" s="3">
        <v>18</v>
      </c>
      <c r="B634" s="3">
        <v>16</v>
      </c>
      <c r="C634" s="3">
        <v>71</v>
      </c>
      <c r="D634" s="3">
        <v>63</v>
      </c>
      <c r="E634" s="3">
        <f>((1/(INDEX(E0!J$4:J$87,C634,1)-INDEX(E0!J$4:J$87,D634,1))))*100000000</f>
        <v>0</v>
      </c>
      <c r="F634" s="4" t="str">
        <f>HYPERLINK("http://141.218.60.56/~jnz1568/getInfo.php?workbook=18_16.xlsx&amp;sheet=A0&amp;row=634&amp;col=6&amp;number=18.572&amp;sourceID=48","18.572")</f>
        <v>18.572</v>
      </c>
      <c r="G634" s="4" t="str">
        <f>HYPERLINK("http://141.218.60.56/~jnz1568/getInfo.php?workbook=18_16.xlsx&amp;sheet=A0&amp;row=634&amp;col=7&amp;number=&amp;sourceID=49","")</f>
        <v/>
      </c>
      <c r="H634" s="4" t="str">
        <f>HYPERLINK("http://141.218.60.56/~jnz1568/getInfo.php?workbook=18_16.xlsx&amp;sheet=A0&amp;row=634&amp;col=8&amp;number=&amp;sourceID=49","")</f>
        <v/>
      </c>
    </row>
    <row r="635" spans="1:8">
      <c r="A635" s="3">
        <v>18</v>
      </c>
      <c r="B635" s="3">
        <v>16</v>
      </c>
      <c r="C635" s="3">
        <v>72</v>
      </c>
      <c r="D635" s="3">
        <v>6</v>
      </c>
      <c r="E635" s="3">
        <f>((1/(INDEX(E0!J$4:J$87,C635,1)-INDEX(E0!J$4:J$87,D635,1))))*100000000</f>
        <v>0</v>
      </c>
      <c r="F635" s="4" t="str">
        <f>HYPERLINK("http://141.218.60.56/~jnz1568/getInfo.php?workbook=18_16.xlsx&amp;sheet=A0&amp;row=635&amp;col=6&amp;number=109600000&amp;sourceID=48","109600000")</f>
        <v>109600000</v>
      </c>
      <c r="G635" s="4" t="str">
        <f>HYPERLINK("http://141.218.60.56/~jnz1568/getInfo.php?workbook=18_16.xlsx&amp;sheet=A0&amp;row=635&amp;col=7&amp;number=&amp;sourceID=49","")</f>
        <v/>
      </c>
      <c r="H635" s="4" t="str">
        <f>HYPERLINK("http://141.218.60.56/~jnz1568/getInfo.php?workbook=18_16.xlsx&amp;sheet=A0&amp;row=635&amp;col=8&amp;number=&amp;sourceID=49","")</f>
        <v/>
      </c>
    </row>
    <row r="636" spans="1:8">
      <c r="A636" s="3">
        <v>18</v>
      </c>
      <c r="B636" s="3">
        <v>16</v>
      </c>
      <c r="C636" s="3">
        <v>72</v>
      </c>
      <c r="D636" s="3">
        <v>7</v>
      </c>
      <c r="E636" s="3">
        <f>((1/(INDEX(E0!J$4:J$87,C636,1)-INDEX(E0!J$4:J$87,D636,1))))*100000000</f>
        <v>0</v>
      </c>
      <c r="F636" s="4" t="str">
        <f>HYPERLINK("http://141.218.60.56/~jnz1568/getInfo.php?workbook=18_16.xlsx&amp;sheet=A0&amp;row=636&amp;col=6&amp;number=40552000&amp;sourceID=48","40552000")</f>
        <v>40552000</v>
      </c>
      <c r="G636" s="4" t="str">
        <f>HYPERLINK("http://141.218.60.56/~jnz1568/getInfo.php?workbook=18_16.xlsx&amp;sheet=A0&amp;row=636&amp;col=7&amp;number=&amp;sourceID=49","")</f>
        <v/>
      </c>
      <c r="H636" s="4" t="str">
        <f>HYPERLINK("http://141.218.60.56/~jnz1568/getInfo.php?workbook=18_16.xlsx&amp;sheet=A0&amp;row=636&amp;col=8&amp;number=&amp;sourceID=49","")</f>
        <v/>
      </c>
    </row>
    <row r="637" spans="1:8">
      <c r="A637" s="3">
        <v>18</v>
      </c>
      <c r="B637" s="3">
        <v>16</v>
      </c>
      <c r="C637" s="3">
        <v>72</v>
      </c>
      <c r="D637" s="3">
        <v>8</v>
      </c>
      <c r="E637" s="3">
        <f>((1/(INDEX(E0!J$4:J$87,C637,1)-INDEX(E0!J$4:J$87,D637,1))))*100000000</f>
        <v>0</v>
      </c>
      <c r="F637" s="4" t="str">
        <f>HYPERLINK("http://141.218.60.56/~jnz1568/getInfo.php?workbook=18_16.xlsx&amp;sheet=A0&amp;row=637&amp;col=6&amp;number=59430000&amp;sourceID=48","59430000")</f>
        <v>59430000</v>
      </c>
      <c r="G637" s="4" t="str">
        <f>HYPERLINK("http://141.218.60.56/~jnz1568/getInfo.php?workbook=18_16.xlsx&amp;sheet=A0&amp;row=637&amp;col=7&amp;number=&amp;sourceID=49","")</f>
        <v/>
      </c>
      <c r="H637" s="4" t="str">
        <f>HYPERLINK("http://141.218.60.56/~jnz1568/getInfo.php?workbook=18_16.xlsx&amp;sheet=A0&amp;row=637&amp;col=8&amp;number=&amp;sourceID=49","")</f>
        <v/>
      </c>
    </row>
    <row r="638" spans="1:8">
      <c r="A638" s="3">
        <v>18</v>
      </c>
      <c r="B638" s="3">
        <v>16</v>
      </c>
      <c r="C638" s="3">
        <v>72</v>
      </c>
      <c r="D638" s="3">
        <v>9</v>
      </c>
      <c r="E638" s="3">
        <f>((1/(INDEX(E0!J$4:J$87,C638,1)-INDEX(E0!J$4:J$87,D638,1))))*100000000</f>
        <v>0</v>
      </c>
      <c r="F638" s="4" t="str">
        <f>HYPERLINK("http://141.218.60.56/~jnz1568/getInfo.php?workbook=18_16.xlsx&amp;sheet=A0&amp;row=638&amp;col=6&amp;number=92499&amp;sourceID=48","92499")</f>
        <v>92499</v>
      </c>
      <c r="G638" s="4" t="str">
        <f>HYPERLINK("http://141.218.60.56/~jnz1568/getInfo.php?workbook=18_16.xlsx&amp;sheet=A0&amp;row=638&amp;col=7&amp;number=&amp;sourceID=49","")</f>
        <v/>
      </c>
      <c r="H638" s="4" t="str">
        <f>HYPERLINK("http://141.218.60.56/~jnz1568/getInfo.php?workbook=18_16.xlsx&amp;sheet=A0&amp;row=638&amp;col=8&amp;number=&amp;sourceID=49","")</f>
        <v/>
      </c>
    </row>
    <row r="639" spans="1:8">
      <c r="A639" s="3">
        <v>18</v>
      </c>
      <c r="B639" s="3">
        <v>16</v>
      </c>
      <c r="C639" s="3">
        <v>72</v>
      </c>
      <c r="D639" s="3">
        <v>10</v>
      </c>
      <c r="E639" s="3">
        <f>((1/(INDEX(E0!J$4:J$87,C639,1)-INDEX(E0!J$4:J$87,D639,1))))*100000000</f>
        <v>0</v>
      </c>
      <c r="F639" s="4" t="str">
        <f>HYPERLINK("http://141.218.60.56/~jnz1568/getInfo.php?workbook=18_16.xlsx&amp;sheet=A0&amp;row=639&amp;col=6&amp;number=10046&amp;sourceID=48","10046")</f>
        <v>10046</v>
      </c>
      <c r="G639" s="4" t="str">
        <f>HYPERLINK("http://141.218.60.56/~jnz1568/getInfo.php?workbook=18_16.xlsx&amp;sheet=A0&amp;row=639&amp;col=7&amp;number=&amp;sourceID=49","")</f>
        <v/>
      </c>
      <c r="H639" s="4" t="str">
        <f>HYPERLINK("http://141.218.60.56/~jnz1568/getInfo.php?workbook=18_16.xlsx&amp;sheet=A0&amp;row=639&amp;col=8&amp;number=&amp;sourceID=49","")</f>
        <v/>
      </c>
    </row>
    <row r="640" spans="1:8">
      <c r="A640" s="3">
        <v>18</v>
      </c>
      <c r="B640" s="3">
        <v>16</v>
      </c>
      <c r="C640" s="3">
        <v>72</v>
      </c>
      <c r="D640" s="3">
        <v>11</v>
      </c>
      <c r="E640" s="3">
        <f>((1/(INDEX(E0!J$4:J$87,C640,1)-INDEX(E0!J$4:J$87,D640,1))))*100000000</f>
        <v>0</v>
      </c>
      <c r="F640" s="4" t="str">
        <f>HYPERLINK("http://141.218.60.56/~jnz1568/getInfo.php?workbook=18_16.xlsx&amp;sheet=A0&amp;row=640&amp;col=6&amp;number=3617.8&amp;sourceID=48","3617.8")</f>
        <v>3617.8</v>
      </c>
      <c r="G640" s="4" t="str">
        <f>HYPERLINK("http://141.218.60.56/~jnz1568/getInfo.php?workbook=18_16.xlsx&amp;sheet=A0&amp;row=640&amp;col=7&amp;number=&amp;sourceID=49","")</f>
        <v/>
      </c>
      <c r="H640" s="4" t="str">
        <f>HYPERLINK("http://141.218.60.56/~jnz1568/getInfo.php?workbook=18_16.xlsx&amp;sheet=A0&amp;row=640&amp;col=8&amp;number=&amp;sourceID=49","")</f>
        <v/>
      </c>
    </row>
    <row r="641" spans="1:8">
      <c r="A641" s="3">
        <v>18</v>
      </c>
      <c r="B641" s="3">
        <v>16</v>
      </c>
      <c r="C641" s="3">
        <v>72</v>
      </c>
      <c r="D641" s="3">
        <v>12</v>
      </c>
      <c r="E641" s="3">
        <f>((1/(INDEX(E0!J$4:J$87,C641,1)-INDEX(E0!J$4:J$87,D641,1))))*100000000</f>
        <v>0</v>
      </c>
      <c r="F641" s="4" t="str">
        <f>HYPERLINK("http://141.218.60.56/~jnz1568/getInfo.php?workbook=18_16.xlsx&amp;sheet=A0&amp;row=641&amp;col=6&amp;number=9783.5&amp;sourceID=48","9783.5")</f>
        <v>9783.5</v>
      </c>
      <c r="G641" s="4" t="str">
        <f>HYPERLINK("http://141.218.60.56/~jnz1568/getInfo.php?workbook=18_16.xlsx&amp;sheet=A0&amp;row=641&amp;col=7&amp;number=&amp;sourceID=49","")</f>
        <v/>
      </c>
      <c r="H641" s="4" t="str">
        <f>HYPERLINK("http://141.218.60.56/~jnz1568/getInfo.php?workbook=18_16.xlsx&amp;sheet=A0&amp;row=641&amp;col=8&amp;number=&amp;sourceID=49","")</f>
        <v/>
      </c>
    </row>
    <row r="642" spans="1:8">
      <c r="A642" s="3">
        <v>18</v>
      </c>
      <c r="B642" s="3">
        <v>16</v>
      </c>
      <c r="C642" s="3">
        <v>72</v>
      </c>
      <c r="D642" s="3">
        <v>16</v>
      </c>
      <c r="E642" s="3">
        <f>((1/(INDEX(E0!J$4:J$87,C642,1)-INDEX(E0!J$4:J$87,D642,1))))*100000000</f>
        <v>0</v>
      </c>
      <c r="F642" s="4" t="str">
        <f>HYPERLINK("http://141.218.60.56/~jnz1568/getInfo.php?workbook=18_16.xlsx&amp;sheet=A0&amp;row=642&amp;col=6&amp;number=32751000&amp;sourceID=48","32751000")</f>
        <v>32751000</v>
      </c>
      <c r="G642" s="4" t="str">
        <f>HYPERLINK("http://141.218.60.56/~jnz1568/getInfo.php?workbook=18_16.xlsx&amp;sheet=A0&amp;row=642&amp;col=7&amp;number=&amp;sourceID=49","")</f>
        <v/>
      </c>
      <c r="H642" s="4" t="str">
        <f>HYPERLINK("http://141.218.60.56/~jnz1568/getInfo.php?workbook=18_16.xlsx&amp;sheet=A0&amp;row=642&amp;col=8&amp;number=&amp;sourceID=49","")</f>
        <v/>
      </c>
    </row>
    <row r="643" spans="1:8">
      <c r="A643" s="3">
        <v>18</v>
      </c>
      <c r="B643" s="3">
        <v>16</v>
      </c>
      <c r="C643" s="3">
        <v>72</v>
      </c>
      <c r="D643" s="3">
        <v>17</v>
      </c>
      <c r="E643" s="3">
        <f>((1/(INDEX(E0!J$4:J$87,C643,1)-INDEX(E0!J$4:J$87,D643,1))))*100000000</f>
        <v>0</v>
      </c>
      <c r="F643" s="4" t="str">
        <f>HYPERLINK("http://141.218.60.56/~jnz1568/getInfo.php?workbook=18_16.xlsx&amp;sheet=A0&amp;row=643&amp;col=6&amp;number=12190000&amp;sourceID=48","12190000")</f>
        <v>12190000</v>
      </c>
      <c r="G643" s="4" t="str">
        <f>HYPERLINK("http://141.218.60.56/~jnz1568/getInfo.php?workbook=18_16.xlsx&amp;sheet=A0&amp;row=643&amp;col=7&amp;number=&amp;sourceID=49","")</f>
        <v/>
      </c>
      <c r="H643" s="4" t="str">
        <f>HYPERLINK("http://141.218.60.56/~jnz1568/getInfo.php?workbook=18_16.xlsx&amp;sheet=A0&amp;row=643&amp;col=8&amp;number=&amp;sourceID=49","")</f>
        <v/>
      </c>
    </row>
    <row r="644" spans="1:8">
      <c r="A644" s="3">
        <v>18</v>
      </c>
      <c r="B644" s="3">
        <v>16</v>
      </c>
      <c r="C644" s="3">
        <v>72</v>
      </c>
      <c r="D644" s="3">
        <v>18</v>
      </c>
      <c r="E644" s="3">
        <f>((1/(INDEX(E0!J$4:J$87,C644,1)-INDEX(E0!J$4:J$87,D644,1))))*100000000</f>
        <v>0</v>
      </c>
      <c r="F644" s="4" t="str">
        <f>HYPERLINK("http://141.218.60.56/~jnz1568/getInfo.php?workbook=18_16.xlsx&amp;sheet=A0&amp;row=644&amp;col=6&amp;number=70852&amp;sourceID=48","70852")</f>
        <v>70852</v>
      </c>
      <c r="G644" s="4" t="str">
        <f>HYPERLINK("http://141.218.60.56/~jnz1568/getInfo.php?workbook=18_16.xlsx&amp;sheet=A0&amp;row=644&amp;col=7&amp;number=&amp;sourceID=49","")</f>
        <v/>
      </c>
      <c r="H644" s="4" t="str">
        <f>HYPERLINK("http://141.218.60.56/~jnz1568/getInfo.php?workbook=18_16.xlsx&amp;sheet=A0&amp;row=644&amp;col=8&amp;number=&amp;sourceID=49","")</f>
        <v/>
      </c>
    </row>
    <row r="645" spans="1:8">
      <c r="A645" s="3">
        <v>18</v>
      </c>
      <c r="B645" s="3">
        <v>16</v>
      </c>
      <c r="C645" s="3">
        <v>72</v>
      </c>
      <c r="D645" s="3">
        <v>19</v>
      </c>
      <c r="E645" s="3">
        <f>((1/(INDEX(E0!J$4:J$87,C645,1)-INDEX(E0!J$4:J$87,D645,1))))*100000000</f>
        <v>0</v>
      </c>
      <c r="F645" s="4" t="str">
        <f>HYPERLINK("http://141.218.60.56/~jnz1568/getInfo.php?workbook=18_16.xlsx&amp;sheet=A0&amp;row=645&amp;col=6&amp;number=118570&amp;sourceID=48","118570")</f>
        <v>118570</v>
      </c>
      <c r="G645" s="4" t="str">
        <f>HYPERLINK("http://141.218.60.56/~jnz1568/getInfo.php?workbook=18_16.xlsx&amp;sheet=A0&amp;row=645&amp;col=7&amp;number=&amp;sourceID=49","")</f>
        <v/>
      </c>
      <c r="H645" s="4" t="str">
        <f>HYPERLINK("http://141.218.60.56/~jnz1568/getInfo.php?workbook=18_16.xlsx&amp;sheet=A0&amp;row=645&amp;col=8&amp;number=&amp;sourceID=49","")</f>
        <v/>
      </c>
    </row>
    <row r="646" spans="1:8">
      <c r="A646" s="3">
        <v>18</v>
      </c>
      <c r="B646" s="3">
        <v>16</v>
      </c>
      <c r="C646" s="3">
        <v>72</v>
      </c>
      <c r="D646" s="3">
        <v>25</v>
      </c>
      <c r="E646" s="3">
        <f>((1/(INDEX(E0!J$4:J$87,C646,1)-INDEX(E0!J$4:J$87,D646,1))))*100000000</f>
        <v>0</v>
      </c>
      <c r="F646" s="4" t="str">
        <f>HYPERLINK("http://141.218.60.56/~jnz1568/getInfo.php?workbook=18_16.xlsx&amp;sheet=A0&amp;row=646&amp;col=6&amp;number=3.0131&amp;sourceID=48","3.0131")</f>
        <v>3.0131</v>
      </c>
      <c r="G646" s="4" t="str">
        <f>HYPERLINK("http://141.218.60.56/~jnz1568/getInfo.php?workbook=18_16.xlsx&amp;sheet=A0&amp;row=646&amp;col=7&amp;number=&amp;sourceID=49","")</f>
        <v/>
      </c>
      <c r="H646" s="4" t="str">
        <f>HYPERLINK("http://141.218.60.56/~jnz1568/getInfo.php?workbook=18_16.xlsx&amp;sheet=A0&amp;row=646&amp;col=8&amp;number=&amp;sourceID=49","")</f>
        <v/>
      </c>
    </row>
    <row r="647" spans="1:8">
      <c r="A647" s="3">
        <v>18</v>
      </c>
      <c r="B647" s="3">
        <v>16</v>
      </c>
      <c r="C647" s="3">
        <v>72</v>
      </c>
      <c r="D647" s="3">
        <v>27</v>
      </c>
      <c r="E647" s="3">
        <f>((1/(INDEX(E0!J$4:J$87,C647,1)-INDEX(E0!J$4:J$87,D647,1))))*100000000</f>
        <v>0</v>
      </c>
      <c r="F647" s="4" t="str">
        <f>HYPERLINK("http://141.218.60.56/~jnz1568/getInfo.php?workbook=18_16.xlsx&amp;sheet=A0&amp;row=647&amp;col=6&amp;number=10112&amp;sourceID=48","10112")</f>
        <v>10112</v>
      </c>
      <c r="G647" s="4" t="str">
        <f>HYPERLINK("http://141.218.60.56/~jnz1568/getInfo.php?workbook=18_16.xlsx&amp;sheet=A0&amp;row=647&amp;col=7&amp;number=&amp;sourceID=49","")</f>
        <v/>
      </c>
      <c r="H647" s="4" t="str">
        <f>HYPERLINK("http://141.218.60.56/~jnz1568/getInfo.php?workbook=18_16.xlsx&amp;sheet=A0&amp;row=647&amp;col=8&amp;number=&amp;sourceID=49","")</f>
        <v/>
      </c>
    </row>
    <row r="648" spans="1:8">
      <c r="A648" s="3">
        <v>18</v>
      </c>
      <c r="B648" s="3">
        <v>16</v>
      </c>
      <c r="C648" s="3">
        <v>72</v>
      </c>
      <c r="D648" s="3">
        <v>28</v>
      </c>
      <c r="E648" s="3">
        <f>((1/(INDEX(E0!J$4:J$87,C648,1)-INDEX(E0!J$4:J$87,D648,1))))*100000000</f>
        <v>0</v>
      </c>
      <c r="F648" s="4" t="str">
        <f>HYPERLINK("http://141.218.60.56/~jnz1568/getInfo.php?workbook=18_16.xlsx&amp;sheet=A0&amp;row=648&amp;col=6&amp;number=66840000&amp;sourceID=48","66840000")</f>
        <v>66840000</v>
      </c>
      <c r="G648" s="4" t="str">
        <f>HYPERLINK("http://141.218.60.56/~jnz1568/getInfo.php?workbook=18_16.xlsx&amp;sheet=A0&amp;row=648&amp;col=7&amp;number=&amp;sourceID=49","")</f>
        <v/>
      </c>
      <c r="H648" s="4" t="str">
        <f>HYPERLINK("http://141.218.60.56/~jnz1568/getInfo.php?workbook=18_16.xlsx&amp;sheet=A0&amp;row=648&amp;col=8&amp;number=&amp;sourceID=49","")</f>
        <v/>
      </c>
    </row>
    <row r="649" spans="1:8">
      <c r="A649" s="3">
        <v>18</v>
      </c>
      <c r="B649" s="3">
        <v>16</v>
      </c>
      <c r="C649" s="3">
        <v>72</v>
      </c>
      <c r="D649" s="3">
        <v>31</v>
      </c>
      <c r="E649" s="3">
        <f>((1/(INDEX(E0!J$4:J$87,C649,1)-INDEX(E0!J$4:J$87,D649,1))))*100000000</f>
        <v>0</v>
      </c>
      <c r="F649" s="4" t="str">
        <f>HYPERLINK("http://141.218.60.56/~jnz1568/getInfo.php?workbook=18_16.xlsx&amp;sheet=A0&amp;row=649&amp;col=6&amp;number=131480&amp;sourceID=48","131480")</f>
        <v>131480</v>
      </c>
      <c r="G649" s="4" t="str">
        <f>HYPERLINK("http://141.218.60.56/~jnz1568/getInfo.php?workbook=18_16.xlsx&amp;sheet=A0&amp;row=649&amp;col=7&amp;number=&amp;sourceID=49","")</f>
        <v/>
      </c>
      <c r="H649" s="4" t="str">
        <f>HYPERLINK("http://141.218.60.56/~jnz1568/getInfo.php?workbook=18_16.xlsx&amp;sheet=A0&amp;row=649&amp;col=8&amp;number=&amp;sourceID=49","")</f>
        <v/>
      </c>
    </row>
    <row r="650" spans="1:8">
      <c r="A650" s="3">
        <v>18</v>
      </c>
      <c r="B650" s="3">
        <v>16</v>
      </c>
      <c r="C650" s="3">
        <v>72</v>
      </c>
      <c r="D650" s="3">
        <v>32</v>
      </c>
      <c r="E650" s="3">
        <f>((1/(INDEX(E0!J$4:J$87,C650,1)-INDEX(E0!J$4:J$87,D650,1))))*100000000</f>
        <v>0</v>
      </c>
      <c r="F650" s="4" t="str">
        <f>HYPERLINK("http://141.218.60.56/~jnz1568/getInfo.php?workbook=18_16.xlsx&amp;sheet=A0&amp;row=650&amp;col=6&amp;number=8028100&amp;sourceID=48","8028100")</f>
        <v>8028100</v>
      </c>
      <c r="G650" s="4" t="str">
        <f>HYPERLINK("http://141.218.60.56/~jnz1568/getInfo.php?workbook=18_16.xlsx&amp;sheet=A0&amp;row=650&amp;col=7&amp;number=&amp;sourceID=49","")</f>
        <v/>
      </c>
      <c r="H650" s="4" t="str">
        <f>HYPERLINK("http://141.218.60.56/~jnz1568/getInfo.php?workbook=18_16.xlsx&amp;sheet=A0&amp;row=650&amp;col=8&amp;number=&amp;sourceID=49","")</f>
        <v/>
      </c>
    </row>
    <row r="651" spans="1:8">
      <c r="A651" s="3">
        <v>18</v>
      </c>
      <c r="B651" s="3">
        <v>16</v>
      </c>
      <c r="C651" s="3">
        <v>72</v>
      </c>
      <c r="D651" s="3">
        <v>33</v>
      </c>
      <c r="E651" s="3">
        <f>((1/(INDEX(E0!J$4:J$87,C651,1)-INDEX(E0!J$4:J$87,D651,1))))*100000000</f>
        <v>0</v>
      </c>
      <c r="F651" s="4" t="str">
        <f>HYPERLINK("http://141.218.60.56/~jnz1568/getInfo.php?workbook=18_16.xlsx&amp;sheet=A0&amp;row=651&amp;col=6&amp;number=20837000&amp;sourceID=48","20837000")</f>
        <v>20837000</v>
      </c>
      <c r="G651" s="4" t="str">
        <f>HYPERLINK("http://141.218.60.56/~jnz1568/getInfo.php?workbook=18_16.xlsx&amp;sheet=A0&amp;row=651&amp;col=7&amp;number=&amp;sourceID=49","")</f>
        <v/>
      </c>
      <c r="H651" s="4" t="str">
        <f>HYPERLINK("http://141.218.60.56/~jnz1568/getInfo.php?workbook=18_16.xlsx&amp;sheet=A0&amp;row=651&amp;col=8&amp;number=&amp;sourceID=49","")</f>
        <v/>
      </c>
    </row>
    <row r="652" spans="1:8">
      <c r="A652" s="3">
        <v>18</v>
      </c>
      <c r="B652" s="3">
        <v>16</v>
      </c>
      <c r="C652" s="3">
        <v>72</v>
      </c>
      <c r="D652" s="3">
        <v>34</v>
      </c>
      <c r="E652" s="3">
        <f>((1/(INDEX(E0!J$4:J$87,C652,1)-INDEX(E0!J$4:J$87,D652,1))))*100000000</f>
        <v>0</v>
      </c>
      <c r="F652" s="4" t="str">
        <f>HYPERLINK("http://141.218.60.56/~jnz1568/getInfo.php?workbook=18_16.xlsx&amp;sheet=A0&amp;row=652&amp;col=6&amp;number=8623000&amp;sourceID=48","8623000")</f>
        <v>8623000</v>
      </c>
      <c r="G652" s="4" t="str">
        <f>HYPERLINK("http://141.218.60.56/~jnz1568/getInfo.php?workbook=18_16.xlsx&amp;sheet=A0&amp;row=652&amp;col=7&amp;number=&amp;sourceID=49","")</f>
        <v/>
      </c>
      <c r="H652" s="4" t="str">
        <f>HYPERLINK("http://141.218.60.56/~jnz1568/getInfo.php?workbook=18_16.xlsx&amp;sheet=A0&amp;row=652&amp;col=8&amp;number=&amp;sourceID=49","")</f>
        <v/>
      </c>
    </row>
    <row r="653" spans="1:8">
      <c r="A653" s="3">
        <v>18</v>
      </c>
      <c r="B653" s="3">
        <v>16</v>
      </c>
      <c r="C653" s="3">
        <v>72</v>
      </c>
      <c r="D653" s="3">
        <v>35</v>
      </c>
      <c r="E653" s="3">
        <f>((1/(INDEX(E0!J$4:J$87,C653,1)-INDEX(E0!J$4:J$87,D653,1))))*100000000</f>
        <v>0</v>
      </c>
      <c r="F653" s="4" t="str">
        <f>HYPERLINK("http://141.218.60.56/~jnz1568/getInfo.php?workbook=18_16.xlsx&amp;sheet=A0&amp;row=653&amp;col=6&amp;number=9251200&amp;sourceID=48","9251200")</f>
        <v>9251200</v>
      </c>
      <c r="G653" s="4" t="str">
        <f>HYPERLINK("http://141.218.60.56/~jnz1568/getInfo.php?workbook=18_16.xlsx&amp;sheet=A0&amp;row=653&amp;col=7&amp;number=&amp;sourceID=49","")</f>
        <v/>
      </c>
      <c r="H653" s="4" t="str">
        <f>HYPERLINK("http://141.218.60.56/~jnz1568/getInfo.php?workbook=18_16.xlsx&amp;sheet=A0&amp;row=653&amp;col=8&amp;number=&amp;sourceID=49","")</f>
        <v/>
      </c>
    </row>
    <row r="654" spans="1:8">
      <c r="A654" s="3">
        <v>18</v>
      </c>
      <c r="B654" s="3">
        <v>16</v>
      </c>
      <c r="C654" s="3">
        <v>72</v>
      </c>
      <c r="D654" s="3">
        <v>37</v>
      </c>
      <c r="E654" s="3">
        <f>((1/(INDEX(E0!J$4:J$87,C654,1)-INDEX(E0!J$4:J$87,D654,1))))*100000000</f>
        <v>0</v>
      </c>
      <c r="F654" s="4" t="str">
        <f>HYPERLINK("http://141.218.60.56/~jnz1568/getInfo.php?workbook=18_16.xlsx&amp;sheet=A0&amp;row=654&amp;col=6&amp;number=3144400&amp;sourceID=48","3144400")</f>
        <v>3144400</v>
      </c>
      <c r="G654" s="4" t="str">
        <f>HYPERLINK("http://141.218.60.56/~jnz1568/getInfo.php?workbook=18_16.xlsx&amp;sheet=A0&amp;row=654&amp;col=7&amp;number=&amp;sourceID=49","")</f>
        <v/>
      </c>
      <c r="H654" s="4" t="str">
        <f>HYPERLINK("http://141.218.60.56/~jnz1568/getInfo.php?workbook=18_16.xlsx&amp;sheet=A0&amp;row=654&amp;col=8&amp;number=&amp;sourceID=49","")</f>
        <v/>
      </c>
    </row>
    <row r="655" spans="1:8">
      <c r="A655" s="3">
        <v>18</v>
      </c>
      <c r="B655" s="3">
        <v>16</v>
      </c>
      <c r="C655" s="3">
        <v>72</v>
      </c>
      <c r="D655" s="3">
        <v>38</v>
      </c>
      <c r="E655" s="3">
        <f>((1/(INDEX(E0!J$4:J$87,C655,1)-INDEX(E0!J$4:J$87,D655,1))))*100000000</f>
        <v>0</v>
      </c>
      <c r="F655" s="4" t="str">
        <f>HYPERLINK("http://141.218.60.56/~jnz1568/getInfo.php?workbook=18_16.xlsx&amp;sheet=A0&amp;row=655&amp;col=6&amp;number=79992000&amp;sourceID=48","79992000")</f>
        <v>79992000</v>
      </c>
      <c r="G655" s="4" t="str">
        <f>HYPERLINK("http://141.218.60.56/~jnz1568/getInfo.php?workbook=18_16.xlsx&amp;sheet=A0&amp;row=655&amp;col=7&amp;number=&amp;sourceID=49","")</f>
        <v/>
      </c>
      <c r="H655" s="4" t="str">
        <f>HYPERLINK("http://141.218.60.56/~jnz1568/getInfo.php?workbook=18_16.xlsx&amp;sheet=A0&amp;row=655&amp;col=8&amp;number=&amp;sourceID=49","")</f>
        <v/>
      </c>
    </row>
    <row r="656" spans="1:8">
      <c r="A656" s="3">
        <v>18</v>
      </c>
      <c r="B656" s="3">
        <v>16</v>
      </c>
      <c r="C656" s="3">
        <v>72</v>
      </c>
      <c r="D656" s="3">
        <v>39</v>
      </c>
      <c r="E656" s="3">
        <f>((1/(INDEX(E0!J$4:J$87,C656,1)-INDEX(E0!J$4:J$87,D656,1))))*100000000</f>
        <v>0</v>
      </c>
      <c r="F656" s="4" t="str">
        <f>HYPERLINK("http://141.218.60.56/~jnz1568/getInfo.php?workbook=18_16.xlsx&amp;sheet=A0&amp;row=656&amp;col=6&amp;number=229890000&amp;sourceID=48","229890000")</f>
        <v>229890000</v>
      </c>
      <c r="G656" s="4" t="str">
        <f>HYPERLINK("http://141.218.60.56/~jnz1568/getInfo.php?workbook=18_16.xlsx&amp;sheet=A0&amp;row=656&amp;col=7&amp;number=&amp;sourceID=49","")</f>
        <v/>
      </c>
      <c r="H656" s="4" t="str">
        <f>HYPERLINK("http://141.218.60.56/~jnz1568/getInfo.php?workbook=18_16.xlsx&amp;sheet=A0&amp;row=656&amp;col=8&amp;number=&amp;sourceID=49","")</f>
        <v/>
      </c>
    </row>
    <row r="657" spans="1:8">
      <c r="A657" s="3">
        <v>18</v>
      </c>
      <c r="B657" s="3">
        <v>16</v>
      </c>
      <c r="C657" s="3">
        <v>72</v>
      </c>
      <c r="D657" s="3">
        <v>41</v>
      </c>
      <c r="E657" s="3">
        <f>((1/(INDEX(E0!J$4:J$87,C657,1)-INDEX(E0!J$4:J$87,D657,1))))*100000000</f>
        <v>0</v>
      </c>
      <c r="F657" s="4" t="str">
        <f>HYPERLINK("http://141.218.60.56/~jnz1568/getInfo.php?workbook=18_16.xlsx&amp;sheet=A0&amp;row=657&amp;col=6&amp;number=57262&amp;sourceID=48","57262")</f>
        <v>57262</v>
      </c>
      <c r="G657" s="4" t="str">
        <f>HYPERLINK("http://141.218.60.56/~jnz1568/getInfo.php?workbook=18_16.xlsx&amp;sheet=A0&amp;row=657&amp;col=7&amp;number=&amp;sourceID=49","")</f>
        <v/>
      </c>
      <c r="H657" s="4" t="str">
        <f>HYPERLINK("http://141.218.60.56/~jnz1568/getInfo.php?workbook=18_16.xlsx&amp;sheet=A0&amp;row=657&amp;col=8&amp;number=&amp;sourceID=49","")</f>
        <v/>
      </c>
    </row>
    <row r="658" spans="1:8">
      <c r="A658" s="3">
        <v>18</v>
      </c>
      <c r="B658" s="3">
        <v>16</v>
      </c>
      <c r="C658" s="3">
        <v>72</v>
      </c>
      <c r="D658" s="3">
        <v>45</v>
      </c>
      <c r="E658" s="3">
        <f>((1/(INDEX(E0!J$4:J$87,C658,1)-INDEX(E0!J$4:J$87,D658,1))))*100000000</f>
        <v>0</v>
      </c>
      <c r="F658" s="4" t="str">
        <f>HYPERLINK("http://141.218.60.56/~jnz1568/getInfo.php?workbook=18_16.xlsx&amp;sheet=A0&amp;row=658&amp;col=6&amp;number=9552100&amp;sourceID=48","9552100")</f>
        <v>9552100</v>
      </c>
      <c r="G658" s="4" t="str">
        <f>HYPERLINK("http://141.218.60.56/~jnz1568/getInfo.php?workbook=18_16.xlsx&amp;sheet=A0&amp;row=658&amp;col=7&amp;number=&amp;sourceID=49","")</f>
        <v/>
      </c>
      <c r="H658" s="4" t="str">
        <f>HYPERLINK("http://141.218.60.56/~jnz1568/getInfo.php?workbook=18_16.xlsx&amp;sheet=A0&amp;row=658&amp;col=8&amp;number=&amp;sourceID=49","")</f>
        <v/>
      </c>
    </row>
    <row r="659" spans="1:8">
      <c r="A659" s="3">
        <v>18</v>
      </c>
      <c r="B659" s="3">
        <v>16</v>
      </c>
      <c r="C659" s="3">
        <v>72</v>
      </c>
      <c r="D659" s="3">
        <v>47</v>
      </c>
      <c r="E659" s="3">
        <f>((1/(INDEX(E0!J$4:J$87,C659,1)-INDEX(E0!J$4:J$87,D659,1))))*100000000</f>
        <v>0</v>
      </c>
      <c r="F659" s="4" t="str">
        <f>HYPERLINK("http://141.218.60.56/~jnz1568/getInfo.php?workbook=18_16.xlsx&amp;sheet=A0&amp;row=659&amp;col=6&amp;number=4893800&amp;sourceID=48","4893800")</f>
        <v>4893800</v>
      </c>
      <c r="G659" s="4" t="str">
        <f>HYPERLINK("http://141.218.60.56/~jnz1568/getInfo.php?workbook=18_16.xlsx&amp;sheet=A0&amp;row=659&amp;col=7&amp;number=&amp;sourceID=49","")</f>
        <v/>
      </c>
      <c r="H659" s="4" t="str">
        <f>HYPERLINK("http://141.218.60.56/~jnz1568/getInfo.php?workbook=18_16.xlsx&amp;sheet=A0&amp;row=659&amp;col=8&amp;number=&amp;sourceID=49","")</f>
        <v/>
      </c>
    </row>
    <row r="660" spans="1:8">
      <c r="A660" s="3">
        <v>18</v>
      </c>
      <c r="B660" s="3">
        <v>16</v>
      </c>
      <c r="C660" s="3">
        <v>72</v>
      </c>
      <c r="D660" s="3">
        <v>48</v>
      </c>
      <c r="E660" s="3">
        <f>((1/(INDEX(E0!J$4:J$87,C660,1)-INDEX(E0!J$4:J$87,D660,1))))*100000000</f>
        <v>0</v>
      </c>
      <c r="F660" s="4" t="str">
        <f>HYPERLINK("http://141.218.60.56/~jnz1568/getInfo.php?workbook=18_16.xlsx&amp;sheet=A0&amp;row=660&amp;col=6&amp;number=3861500&amp;sourceID=48","3861500")</f>
        <v>3861500</v>
      </c>
      <c r="G660" s="4" t="str">
        <f>HYPERLINK("http://141.218.60.56/~jnz1568/getInfo.php?workbook=18_16.xlsx&amp;sheet=A0&amp;row=660&amp;col=7&amp;number=&amp;sourceID=49","")</f>
        <v/>
      </c>
      <c r="H660" s="4" t="str">
        <f>HYPERLINK("http://141.218.60.56/~jnz1568/getInfo.php?workbook=18_16.xlsx&amp;sheet=A0&amp;row=660&amp;col=8&amp;number=&amp;sourceID=49","")</f>
        <v/>
      </c>
    </row>
    <row r="661" spans="1:8">
      <c r="A661" s="3">
        <v>18</v>
      </c>
      <c r="B661" s="3">
        <v>16</v>
      </c>
      <c r="C661" s="3">
        <v>72</v>
      </c>
      <c r="D661" s="3">
        <v>49</v>
      </c>
      <c r="E661" s="3">
        <f>((1/(INDEX(E0!J$4:J$87,C661,1)-INDEX(E0!J$4:J$87,D661,1))))*100000000</f>
        <v>0</v>
      </c>
      <c r="F661" s="4" t="str">
        <f>HYPERLINK("http://141.218.60.56/~jnz1568/getInfo.php?workbook=18_16.xlsx&amp;sheet=A0&amp;row=661&amp;col=6&amp;number=4084600&amp;sourceID=48","4084600")</f>
        <v>4084600</v>
      </c>
      <c r="G661" s="4" t="str">
        <f>HYPERLINK("http://141.218.60.56/~jnz1568/getInfo.php?workbook=18_16.xlsx&amp;sheet=A0&amp;row=661&amp;col=7&amp;number=&amp;sourceID=49","")</f>
        <v/>
      </c>
      <c r="H661" s="4" t="str">
        <f>HYPERLINK("http://141.218.60.56/~jnz1568/getInfo.php?workbook=18_16.xlsx&amp;sheet=A0&amp;row=661&amp;col=8&amp;number=&amp;sourceID=49","")</f>
        <v/>
      </c>
    </row>
    <row r="662" spans="1:8">
      <c r="A662" s="3">
        <v>18</v>
      </c>
      <c r="B662" s="3">
        <v>16</v>
      </c>
      <c r="C662" s="3">
        <v>72</v>
      </c>
      <c r="D662" s="3">
        <v>54</v>
      </c>
      <c r="E662" s="3">
        <f>((1/(INDEX(E0!J$4:J$87,C662,1)-INDEX(E0!J$4:J$87,D662,1))))*100000000</f>
        <v>0</v>
      </c>
      <c r="F662" s="4" t="str">
        <f>HYPERLINK("http://141.218.60.56/~jnz1568/getInfo.php?workbook=18_16.xlsx&amp;sheet=A0&amp;row=662&amp;col=6&amp;number=2624200&amp;sourceID=48","2624200")</f>
        <v>2624200</v>
      </c>
      <c r="G662" s="4" t="str">
        <f>HYPERLINK("http://141.218.60.56/~jnz1568/getInfo.php?workbook=18_16.xlsx&amp;sheet=A0&amp;row=662&amp;col=7&amp;number=&amp;sourceID=49","")</f>
        <v/>
      </c>
      <c r="H662" s="4" t="str">
        <f>HYPERLINK("http://141.218.60.56/~jnz1568/getInfo.php?workbook=18_16.xlsx&amp;sheet=A0&amp;row=662&amp;col=8&amp;number=&amp;sourceID=49","")</f>
        <v/>
      </c>
    </row>
    <row r="663" spans="1:8">
      <c r="A663" s="3">
        <v>18</v>
      </c>
      <c r="B663" s="3">
        <v>16</v>
      </c>
      <c r="C663" s="3">
        <v>72</v>
      </c>
      <c r="D663" s="3">
        <v>55</v>
      </c>
      <c r="E663" s="3">
        <f>((1/(INDEX(E0!J$4:J$87,C663,1)-INDEX(E0!J$4:J$87,D663,1))))*100000000</f>
        <v>0</v>
      </c>
      <c r="F663" s="4" t="str">
        <f>HYPERLINK("http://141.218.60.56/~jnz1568/getInfo.php?workbook=18_16.xlsx&amp;sheet=A0&amp;row=663&amp;col=6&amp;number=78.47&amp;sourceID=48","78.47")</f>
        <v>78.47</v>
      </c>
      <c r="G663" s="4" t="str">
        <f>HYPERLINK("http://141.218.60.56/~jnz1568/getInfo.php?workbook=18_16.xlsx&amp;sheet=A0&amp;row=663&amp;col=7&amp;number=&amp;sourceID=49","")</f>
        <v/>
      </c>
      <c r="H663" s="4" t="str">
        <f>HYPERLINK("http://141.218.60.56/~jnz1568/getInfo.php?workbook=18_16.xlsx&amp;sheet=A0&amp;row=663&amp;col=8&amp;number=&amp;sourceID=49","")</f>
        <v/>
      </c>
    </row>
    <row r="664" spans="1:8">
      <c r="A664" s="3">
        <v>18</v>
      </c>
      <c r="B664" s="3">
        <v>16</v>
      </c>
      <c r="C664" s="3">
        <v>72</v>
      </c>
      <c r="D664" s="3">
        <v>56</v>
      </c>
      <c r="E664" s="3">
        <f>((1/(INDEX(E0!J$4:J$87,C664,1)-INDEX(E0!J$4:J$87,D664,1))))*100000000</f>
        <v>0</v>
      </c>
      <c r="F664" s="4" t="str">
        <f>HYPERLINK("http://141.218.60.56/~jnz1568/getInfo.php?workbook=18_16.xlsx&amp;sheet=A0&amp;row=664&amp;col=6&amp;number=1041800&amp;sourceID=48","1041800")</f>
        <v>1041800</v>
      </c>
      <c r="G664" s="4" t="str">
        <f>HYPERLINK("http://141.218.60.56/~jnz1568/getInfo.php?workbook=18_16.xlsx&amp;sheet=A0&amp;row=664&amp;col=7&amp;number=&amp;sourceID=49","")</f>
        <v/>
      </c>
      <c r="H664" s="4" t="str">
        <f>HYPERLINK("http://141.218.60.56/~jnz1568/getInfo.php?workbook=18_16.xlsx&amp;sheet=A0&amp;row=664&amp;col=8&amp;number=&amp;sourceID=49","")</f>
        <v/>
      </c>
    </row>
    <row r="665" spans="1:8">
      <c r="A665" s="3">
        <v>18</v>
      </c>
      <c r="B665" s="3">
        <v>16</v>
      </c>
      <c r="C665" s="3">
        <v>72</v>
      </c>
      <c r="D665" s="3">
        <v>57</v>
      </c>
      <c r="E665" s="3">
        <f>((1/(INDEX(E0!J$4:J$87,C665,1)-INDEX(E0!J$4:J$87,D665,1))))*100000000</f>
        <v>0</v>
      </c>
      <c r="F665" s="4" t="str">
        <f>HYPERLINK("http://141.218.60.56/~jnz1568/getInfo.php?workbook=18_16.xlsx&amp;sheet=A0&amp;row=665&amp;col=6&amp;number=1678200&amp;sourceID=48","1678200")</f>
        <v>1678200</v>
      </c>
      <c r="G665" s="4" t="str">
        <f>HYPERLINK("http://141.218.60.56/~jnz1568/getInfo.php?workbook=18_16.xlsx&amp;sheet=A0&amp;row=665&amp;col=7&amp;number=&amp;sourceID=49","")</f>
        <v/>
      </c>
      <c r="H665" s="4" t="str">
        <f>HYPERLINK("http://141.218.60.56/~jnz1568/getInfo.php?workbook=18_16.xlsx&amp;sheet=A0&amp;row=665&amp;col=8&amp;number=&amp;sourceID=49","")</f>
        <v/>
      </c>
    </row>
    <row r="666" spans="1:8">
      <c r="A666" s="3">
        <v>18</v>
      </c>
      <c r="B666" s="3">
        <v>16</v>
      </c>
      <c r="C666" s="3">
        <v>72</v>
      </c>
      <c r="D666" s="3">
        <v>58</v>
      </c>
      <c r="E666" s="3">
        <f>((1/(INDEX(E0!J$4:J$87,C666,1)-INDEX(E0!J$4:J$87,D666,1))))*100000000</f>
        <v>0</v>
      </c>
      <c r="F666" s="4" t="str">
        <f>HYPERLINK("http://141.218.60.56/~jnz1568/getInfo.php?workbook=18_16.xlsx&amp;sheet=A0&amp;row=666&amp;col=6&amp;number=366300&amp;sourceID=48","366300")</f>
        <v>366300</v>
      </c>
      <c r="G666" s="4" t="str">
        <f>HYPERLINK("http://141.218.60.56/~jnz1568/getInfo.php?workbook=18_16.xlsx&amp;sheet=A0&amp;row=666&amp;col=7&amp;number=&amp;sourceID=49","")</f>
        <v/>
      </c>
      <c r="H666" s="4" t="str">
        <f>HYPERLINK("http://141.218.60.56/~jnz1568/getInfo.php?workbook=18_16.xlsx&amp;sheet=A0&amp;row=666&amp;col=8&amp;number=&amp;sourceID=49","")</f>
        <v/>
      </c>
    </row>
    <row r="667" spans="1:8">
      <c r="A667" s="3">
        <v>18</v>
      </c>
      <c r="B667" s="3">
        <v>16</v>
      </c>
      <c r="C667" s="3">
        <v>72</v>
      </c>
      <c r="D667" s="3">
        <v>59</v>
      </c>
      <c r="E667" s="3">
        <f>((1/(INDEX(E0!J$4:J$87,C667,1)-INDEX(E0!J$4:J$87,D667,1))))*100000000</f>
        <v>0</v>
      </c>
      <c r="F667" s="4" t="str">
        <f>HYPERLINK("http://141.218.60.56/~jnz1568/getInfo.php?workbook=18_16.xlsx&amp;sheet=A0&amp;row=667&amp;col=6&amp;number=560750&amp;sourceID=48","560750")</f>
        <v>560750</v>
      </c>
      <c r="G667" s="4" t="str">
        <f>HYPERLINK("http://141.218.60.56/~jnz1568/getInfo.php?workbook=18_16.xlsx&amp;sheet=A0&amp;row=667&amp;col=7&amp;number=&amp;sourceID=49","")</f>
        <v/>
      </c>
      <c r="H667" s="4" t="str">
        <f>HYPERLINK("http://141.218.60.56/~jnz1568/getInfo.php?workbook=18_16.xlsx&amp;sheet=A0&amp;row=667&amp;col=8&amp;number=&amp;sourceID=49","")</f>
        <v/>
      </c>
    </row>
    <row r="668" spans="1:8">
      <c r="A668" s="3">
        <v>18</v>
      </c>
      <c r="B668" s="3">
        <v>16</v>
      </c>
      <c r="C668" s="3">
        <v>72</v>
      </c>
      <c r="D668" s="3">
        <v>60</v>
      </c>
      <c r="E668" s="3">
        <f>((1/(INDEX(E0!J$4:J$87,C668,1)-INDEX(E0!J$4:J$87,D668,1))))*100000000</f>
        <v>0</v>
      </c>
      <c r="F668" s="4" t="str">
        <f>HYPERLINK("http://141.218.60.56/~jnz1568/getInfo.php?workbook=18_16.xlsx&amp;sheet=A0&amp;row=668&amp;col=6&amp;number=1490.9&amp;sourceID=48","1490.9")</f>
        <v>1490.9</v>
      </c>
      <c r="G668" s="4" t="str">
        <f>HYPERLINK("http://141.218.60.56/~jnz1568/getInfo.php?workbook=18_16.xlsx&amp;sheet=A0&amp;row=668&amp;col=7&amp;number=&amp;sourceID=49","")</f>
        <v/>
      </c>
      <c r="H668" s="4" t="str">
        <f>HYPERLINK("http://141.218.60.56/~jnz1568/getInfo.php?workbook=18_16.xlsx&amp;sheet=A0&amp;row=668&amp;col=8&amp;number=&amp;sourceID=49","")</f>
        <v/>
      </c>
    </row>
    <row r="669" spans="1:8">
      <c r="A669" s="3">
        <v>18</v>
      </c>
      <c r="B669" s="3">
        <v>16</v>
      </c>
      <c r="C669" s="3">
        <v>72</v>
      </c>
      <c r="D669" s="3">
        <v>61</v>
      </c>
      <c r="E669" s="3">
        <f>((1/(INDEX(E0!J$4:J$87,C669,1)-INDEX(E0!J$4:J$87,D669,1))))*100000000</f>
        <v>0</v>
      </c>
      <c r="F669" s="4" t="str">
        <f>HYPERLINK("http://141.218.60.56/~jnz1568/getInfo.php?workbook=18_16.xlsx&amp;sheet=A0&amp;row=669&amp;col=6&amp;number=1982.2&amp;sourceID=48","1982.2")</f>
        <v>1982.2</v>
      </c>
      <c r="G669" s="4" t="str">
        <f>HYPERLINK("http://141.218.60.56/~jnz1568/getInfo.php?workbook=18_16.xlsx&amp;sheet=A0&amp;row=669&amp;col=7&amp;number=&amp;sourceID=49","")</f>
        <v/>
      </c>
      <c r="H669" s="4" t="str">
        <f>HYPERLINK("http://141.218.60.56/~jnz1568/getInfo.php?workbook=18_16.xlsx&amp;sheet=A0&amp;row=669&amp;col=8&amp;number=&amp;sourceID=49","")</f>
        <v/>
      </c>
    </row>
    <row r="670" spans="1:8">
      <c r="A670" s="3">
        <v>18</v>
      </c>
      <c r="B670" s="3">
        <v>16</v>
      </c>
      <c r="C670" s="3">
        <v>73</v>
      </c>
      <c r="D670" s="3">
        <v>7</v>
      </c>
      <c r="E670" s="3">
        <f>((1/(INDEX(E0!J$4:J$87,C670,1)-INDEX(E0!J$4:J$87,D670,1))))*100000000</f>
        <v>0</v>
      </c>
      <c r="F670" s="4" t="str">
        <f>HYPERLINK("http://141.218.60.56/~jnz1568/getInfo.php?workbook=18_16.xlsx&amp;sheet=A0&amp;row=670&amp;col=6&amp;number=217810000&amp;sourceID=48","217810000")</f>
        <v>217810000</v>
      </c>
      <c r="G670" s="4" t="str">
        <f>HYPERLINK("http://141.218.60.56/~jnz1568/getInfo.php?workbook=18_16.xlsx&amp;sheet=A0&amp;row=670&amp;col=7&amp;number=&amp;sourceID=49","")</f>
        <v/>
      </c>
      <c r="H670" s="4" t="str">
        <f>HYPERLINK("http://141.218.60.56/~jnz1568/getInfo.php?workbook=18_16.xlsx&amp;sheet=A0&amp;row=670&amp;col=8&amp;number=&amp;sourceID=49","")</f>
        <v/>
      </c>
    </row>
    <row r="671" spans="1:8">
      <c r="A671" s="3">
        <v>18</v>
      </c>
      <c r="B671" s="3">
        <v>16</v>
      </c>
      <c r="C671" s="3">
        <v>73</v>
      </c>
      <c r="D671" s="3">
        <v>9</v>
      </c>
      <c r="E671" s="3">
        <f>((1/(INDEX(E0!J$4:J$87,C671,1)-INDEX(E0!J$4:J$87,D671,1))))*100000000</f>
        <v>0</v>
      </c>
      <c r="F671" s="4" t="str">
        <f>HYPERLINK("http://141.218.60.56/~jnz1568/getInfo.php?workbook=18_16.xlsx&amp;sheet=A0&amp;row=671&amp;col=6&amp;number=14034&amp;sourceID=48","14034")</f>
        <v>14034</v>
      </c>
      <c r="G671" s="4" t="str">
        <f>HYPERLINK("http://141.218.60.56/~jnz1568/getInfo.php?workbook=18_16.xlsx&amp;sheet=A0&amp;row=671&amp;col=7&amp;number=&amp;sourceID=49","")</f>
        <v/>
      </c>
      <c r="H671" s="4" t="str">
        <f>HYPERLINK("http://141.218.60.56/~jnz1568/getInfo.php?workbook=18_16.xlsx&amp;sheet=A0&amp;row=671&amp;col=8&amp;number=&amp;sourceID=49","")</f>
        <v/>
      </c>
    </row>
    <row r="672" spans="1:8">
      <c r="A672" s="3">
        <v>18</v>
      </c>
      <c r="B672" s="3">
        <v>16</v>
      </c>
      <c r="C672" s="3">
        <v>73</v>
      </c>
      <c r="D672" s="3">
        <v>11</v>
      </c>
      <c r="E672" s="3">
        <f>((1/(INDEX(E0!J$4:J$87,C672,1)-INDEX(E0!J$4:J$87,D672,1))))*100000000</f>
        <v>0</v>
      </c>
      <c r="F672" s="4" t="str">
        <f>HYPERLINK("http://141.218.60.56/~jnz1568/getInfo.php?workbook=18_16.xlsx&amp;sheet=A0&amp;row=672&amp;col=6&amp;number=29477&amp;sourceID=48","29477")</f>
        <v>29477</v>
      </c>
      <c r="G672" s="4" t="str">
        <f>HYPERLINK("http://141.218.60.56/~jnz1568/getInfo.php?workbook=18_16.xlsx&amp;sheet=A0&amp;row=672&amp;col=7&amp;number=&amp;sourceID=49","")</f>
        <v/>
      </c>
      <c r="H672" s="4" t="str">
        <f>HYPERLINK("http://141.218.60.56/~jnz1568/getInfo.php?workbook=18_16.xlsx&amp;sheet=A0&amp;row=672&amp;col=8&amp;number=&amp;sourceID=49","")</f>
        <v/>
      </c>
    </row>
    <row r="673" spans="1:8">
      <c r="A673" s="3">
        <v>18</v>
      </c>
      <c r="B673" s="3">
        <v>16</v>
      </c>
      <c r="C673" s="3">
        <v>73</v>
      </c>
      <c r="D673" s="3">
        <v>17</v>
      </c>
      <c r="E673" s="3">
        <f>((1/(INDEX(E0!J$4:J$87,C673,1)-INDEX(E0!J$4:J$87,D673,1))))*100000000</f>
        <v>0</v>
      </c>
      <c r="F673" s="4" t="str">
        <f>HYPERLINK("http://141.218.60.56/~jnz1568/getInfo.php?workbook=18_16.xlsx&amp;sheet=A0&amp;row=673&amp;col=6&amp;number=46200000&amp;sourceID=48","46200000")</f>
        <v>46200000</v>
      </c>
      <c r="G673" s="4" t="str">
        <f>HYPERLINK("http://141.218.60.56/~jnz1568/getInfo.php?workbook=18_16.xlsx&amp;sheet=A0&amp;row=673&amp;col=7&amp;number=&amp;sourceID=49","")</f>
        <v/>
      </c>
      <c r="H673" s="4" t="str">
        <f>HYPERLINK("http://141.218.60.56/~jnz1568/getInfo.php?workbook=18_16.xlsx&amp;sheet=A0&amp;row=673&amp;col=8&amp;number=&amp;sourceID=49","")</f>
        <v/>
      </c>
    </row>
    <row r="674" spans="1:8">
      <c r="A674" s="3">
        <v>18</v>
      </c>
      <c r="B674" s="3">
        <v>16</v>
      </c>
      <c r="C674" s="3">
        <v>73</v>
      </c>
      <c r="D674" s="3">
        <v>28</v>
      </c>
      <c r="E674" s="3">
        <f>((1/(INDEX(E0!J$4:J$87,C674,1)-INDEX(E0!J$4:J$87,D674,1))))*100000000</f>
        <v>0</v>
      </c>
      <c r="F674" s="4" t="str">
        <f>HYPERLINK("http://141.218.60.56/~jnz1568/getInfo.php?workbook=18_16.xlsx&amp;sheet=A0&amp;row=674&amp;col=6&amp;number=66877000&amp;sourceID=48","66877000")</f>
        <v>66877000</v>
      </c>
      <c r="G674" s="4" t="str">
        <f>HYPERLINK("http://141.218.60.56/~jnz1568/getInfo.php?workbook=18_16.xlsx&amp;sheet=A0&amp;row=674&amp;col=7&amp;number=&amp;sourceID=49","")</f>
        <v/>
      </c>
      <c r="H674" s="4" t="str">
        <f>HYPERLINK("http://141.218.60.56/~jnz1568/getInfo.php?workbook=18_16.xlsx&amp;sheet=A0&amp;row=674&amp;col=8&amp;number=&amp;sourceID=49","")</f>
        <v/>
      </c>
    </row>
    <row r="675" spans="1:8">
      <c r="A675" s="3">
        <v>18</v>
      </c>
      <c r="B675" s="3">
        <v>16</v>
      </c>
      <c r="C675" s="3">
        <v>73</v>
      </c>
      <c r="D675" s="3">
        <v>32</v>
      </c>
      <c r="E675" s="3">
        <f>((1/(INDEX(E0!J$4:J$87,C675,1)-INDEX(E0!J$4:J$87,D675,1))))*100000000</f>
        <v>0</v>
      </c>
      <c r="F675" s="4" t="str">
        <f>HYPERLINK("http://141.218.60.56/~jnz1568/getInfo.php?workbook=18_16.xlsx&amp;sheet=A0&amp;row=675&amp;col=6&amp;number=35307000&amp;sourceID=48","35307000")</f>
        <v>35307000</v>
      </c>
      <c r="G675" s="4" t="str">
        <f>HYPERLINK("http://141.218.60.56/~jnz1568/getInfo.php?workbook=18_16.xlsx&amp;sheet=A0&amp;row=675&amp;col=7&amp;number=&amp;sourceID=49","")</f>
        <v/>
      </c>
      <c r="H675" s="4" t="str">
        <f>HYPERLINK("http://141.218.60.56/~jnz1568/getInfo.php?workbook=18_16.xlsx&amp;sheet=A0&amp;row=675&amp;col=8&amp;number=&amp;sourceID=49","")</f>
        <v/>
      </c>
    </row>
    <row r="676" spans="1:8">
      <c r="A676" s="3">
        <v>18</v>
      </c>
      <c r="B676" s="3">
        <v>16</v>
      </c>
      <c r="C676" s="3">
        <v>73</v>
      </c>
      <c r="D676" s="3">
        <v>35</v>
      </c>
      <c r="E676" s="3">
        <f>((1/(INDEX(E0!J$4:J$87,C676,1)-INDEX(E0!J$4:J$87,D676,1))))*100000000</f>
        <v>0</v>
      </c>
      <c r="F676" s="4" t="str">
        <f>HYPERLINK("http://141.218.60.56/~jnz1568/getInfo.php?workbook=18_16.xlsx&amp;sheet=A0&amp;row=676&amp;col=6&amp;number=24598000&amp;sourceID=48","24598000")</f>
        <v>24598000</v>
      </c>
      <c r="G676" s="4" t="str">
        <f>HYPERLINK("http://141.218.60.56/~jnz1568/getInfo.php?workbook=18_16.xlsx&amp;sheet=A0&amp;row=676&amp;col=7&amp;number=&amp;sourceID=49","")</f>
        <v/>
      </c>
      <c r="H676" s="4" t="str">
        <f>HYPERLINK("http://141.218.60.56/~jnz1568/getInfo.php?workbook=18_16.xlsx&amp;sheet=A0&amp;row=676&amp;col=8&amp;number=&amp;sourceID=49","")</f>
        <v/>
      </c>
    </row>
    <row r="677" spans="1:8">
      <c r="A677" s="3">
        <v>18</v>
      </c>
      <c r="B677" s="3">
        <v>16</v>
      </c>
      <c r="C677" s="3">
        <v>73</v>
      </c>
      <c r="D677" s="3">
        <v>38</v>
      </c>
      <c r="E677" s="3">
        <f>((1/(INDEX(E0!J$4:J$87,C677,1)-INDEX(E0!J$4:J$87,D677,1))))*100000000</f>
        <v>0</v>
      </c>
      <c r="F677" s="4" t="str">
        <f>HYPERLINK("http://141.218.60.56/~jnz1568/getInfo.php?workbook=18_16.xlsx&amp;sheet=A0&amp;row=677&amp;col=6&amp;number=312670000&amp;sourceID=48","312670000")</f>
        <v>312670000</v>
      </c>
      <c r="G677" s="4" t="str">
        <f>HYPERLINK("http://141.218.60.56/~jnz1568/getInfo.php?workbook=18_16.xlsx&amp;sheet=A0&amp;row=677&amp;col=7&amp;number=&amp;sourceID=49","")</f>
        <v/>
      </c>
      <c r="H677" s="4" t="str">
        <f>HYPERLINK("http://141.218.60.56/~jnz1568/getInfo.php?workbook=18_16.xlsx&amp;sheet=A0&amp;row=677&amp;col=8&amp;number=&amp;sourceID=49","")</f>
        <v/>
      </c>
    </row>
    <row r="678" spans="1:8">
      <c r="A678" s="3">
        <v>18</v>
      </c>
      <c r="B678" s="3">
        <v>16</v>
      </c>
      <c r="C678" s="3">
        <v>73</v>
      </c>
      <c r="D678" s="3">
        <v>45</v>
      </c>
      <c r="E678" s="3">
        <f>((1/(INDEX(E0!J$4:J$87,C678,1)-INDEX(E0!J$4:J$87,D678,1))))*100000000</f>
        <v>0</v>
      </c>
      <c r="F678" s="4" t="str">
        <f>HYPERLINK("http://141.218.60.56/~jnz1568/getInfo.php?workbook=18_16.xlsx&amp;sheet=A0&amp;row=678&amp;col=6&amp;number=8914000&amp;sourceID=48","8914000")</f>
        <v>8914000</v>
      </c>
      <c r="G678" s="4" t="str">
        <f>HYPERLINK("http://141.218.60.56/~jnz1568/getInfo.php?workbook=18_16.xlsx&amp;sheet=A0&amp;row=678&amp;col=7&amp;number=&amp;sourceID=49","")</f>
        <v/>
      </c>
      <c r="H678" s="4" t="str">
        <f>HYPERLINK("http://141.218.60.56/~jnz1568/getInfo.php?workbook=18_16.xlsx&amp;sheet=A0&amp;row=678&amp;col=8&amp;number=&amp;sourceID=49","")</f>
        <v/>
      </c>
    </row>
    <row r="679" spans="1:8">
      <c r="A679" s="3">
        <v>18</v>
      </c>
      <c r="B679" s="3">
        <v>16</v>
      </c>
      <c r="C679" s="3">
        <v>73</v>
      </c>
      <c r="D679" s="3">
        <v>48</v>
      </c>
      <c r="E679" s="3">
        <f>((1/(INDEX(E0!J$4:J$87,C679,1)-INDEX(E0!J$4:J$87,D679,1))))*100000000</f>
        <v>0</v>
      </c>
      <c r="F679" s="4" t="str">
        <f>HYPERLINK("http://141.218.60.56/~jnz1568/getInfo.php?workbook=18_16.xlsx&amp;sheet=A0&amp;row=679&amp;col=6&amp;number=15033000&amp;sourceID=48","15033000")</f>
        <v>15033000</v>
      </c>
      <c r="G679" s="4" t="str">
        <f>HYPERLINK("http://141.218.60.56/~jnz1568/getInfo.php?workbook=18_16.xlsx&amp;sheet=A0&amp;row=679&amp;col=7&amp;number=&amp;sourceID=49","")</f>
        <v/>
      </c>
      <c r="H679" s="4" t="str">
        <f>HYPERLINK("http://141.218.60.56/~jnz1568/getInfo.php?workbook=18_16.xlsx&amp;sheet=A0&amp;row=679&amp;col=8&amp;number=&amp;sourceID=49","")</f>
        <v/>
      </c>
    </row>
    <row r="680" spans="1:8">
      <c r="A680" s="3">
        <v>18</v>
      </c>
      <c r="B680" s="3">
        <v>16</v>
      </c>
      <c r="C680" s="3">
        <v>73</v>
      </c>
      <c r="D680" s="3">
        <v>55</v>
      </c>
      <c r="E680" s="3">
        <f>((1/(INDEX(E0!J$4:J$87,C680,1)-INDEX(E0!J$4:J$87,D680,1))))*100000000</f>
        <v>0</v>
      </c>
      <c r="F680" s="4" t="str">
        <f>HYPERLINK("http://141.218.60.56/~jnz1568/getInfo.php?workbook=18_16.xlsx&amp;sheet=A0&amp;row=680&amp;col=6&amp;number=234760&amp;sourceID=48","234760")</f>
        <v>234760</v>
      </c>
      <c r="G680" s="4" t="str">
        <f>HYPERLINK("http://141.218.60.56/~jnz1568/getInfo.php?workbook=18_16.xlsx&amp;sheet=A0&amp;row=680&amp;col=7&amp;number=&amp;sourceID=49","")</f>
        <v/>
      </c>
      <c r="H680" s="4" t="str">
        <f>HYPERLINK("http://141.218.60.56/~jnz1568/getInfo.php?workbook=18_16.xlsx&amp;sheet=A0&amp;row=680&amp;col=8&amp;number=&amp;sourceID=49","")</f>
        <v/>
      </c>
    </row>
    <row r="681" spans="1:8">
      <c r="A681" s="3">
        <v>18</v>
      </c>
      <c r="B681" s="3">
        <v>16</v>
      </c>
      <c r="C681" s="3">
        <v>73</v>
      </c>
      <c r="D681" s="3">
        <v>56</v>
      </c>
      <c r="E681" s="3">
        <f>((1/(INDEX(E0!J$4:J$87,C681,1)-INDEX(E0!J$4:J$87,D681,1))))*100000000</f>
        <v>0</v>
      </c>
      <c r="F681" s="4" t="str">
        <f>HYPERLINK("http://141.218.60.56/~jnz1568/getInfo.php?workbook=18_16.xlsx&amp;sheet=A0&amp;row=681&amp;col=6&amp;number=3159700&amp;sourceID=48","3159700")</f>
        <v>3159700</v>
      </c>
      <c r="G681" s="4" t="str">
        <f>HYPERLINK("http://141.218.60.56/~jnz1568/getInfo.php?workbook=18_16.xlsx&amp;sheet=A0&amp;row=681&amp;col=7&amp;number=&amp;sourceID=49","")</f>
        <v/>
      </c>
      <c r="H681" s="4" t="str">
        <f>HYPERLINK("http://141.218.60.56/~jnz1568/getInfo.php?workbook=18_16.xlsx&amp;sheet=A0&amp;row=681&amp;col=8&amp;number=&amp;sourceID=49","")</f>
        <v/>
      </c>
    </row>
    <row r="682" spans="1:8">
      <c r="A682" s="3">
        <v>18</v>
      </c>
      <c r="B682" s="3">
        <v>16</v>
      </c>
      <c r="C682" s="3">
        <v>73</v>
      </c>
      <c r="D682" s="3">
        <v>58</v>
      </c>
      <c r="E682" s="3">
        <f>((1/(INDEX(E0!J$4:J$87,C682,1)-INDEX(E0!J$4:J$87,D682,1))))*100000000</f>
        <v>0</v>
      </c>
      <c r="F682" s="4" t="str">
        <f>HYPERLINK("http://141.218.60.56/~jnz1568/getInfo.php?workbook=18_16.xlsx&amp;sheet=A0&amp;row=682&amp;col=6&amp;number=3065900&amp;sourceID=48","3065900")</f>
        <v>3065900</v>
      </c>
      <c r="G682" s="4" t="str">
        <f>HYPERLINK("http://141.218.60.56/~jnz1568/getInfo.php?workbook=18_16.xlsx&amp;sheet=A0&amp;row=682&amp;col=7&amp;number=&amp;sourceID=49","")</f>
        <v/>
      </c>
      <c r="H682" s="4" t="str">
        <f>HYPERLINK("http://141.218.60.56/~jnz1568/getInfo.php?workbook=18_16.xlsx&amp;sheet=A0&amp;row=682&amp;col=8&amp;number=&amp;sourceID=49","")</f>
        <v/>
      </c>
    </row>
    <row r="683" spans="1:8">
      <c r="A683" s="3">
        <v>18</v>
      </c>
      <c r="B683" s="3">
        <v>16</v>
      </c>
      <c r="C683" s="3">
        <v>73</v>
      </c>
      <c r="D683" s="3">
        <v>61</v>
      </c>
      <c r="E683" s="3">
        <f>((1/(INDEX(E0!J$4:J$87,C683,1)-INDEX(E0!J$4:J$87,D683,1))))*100000000</f>
        <v>0</v>
      </c>
      <c r="F683" s="4" t="str">
        <f>HYPERLINK("http://141.218.60.56/~jnz1568/getInfo.php?workbook=18_16.xlsx&amp;sheet=A0&amp;row=683&amp;col=6&amp;number=3660.8&amp;sourceID=48","3660.8")</f>
        <v>3660.8</v>
      </c>
      <c r="G683" s="4" t="str">
        <f>HYPERLINK("http://141.218.60.56/~jnz1568/getInfo.php?workbook=18_16.xlsx&amp;sheet=A0&amp;row=683&amp;col=7&amp;number=&amp;sourceID=49","")</f>
        <v/>
      </c>
      <c r="H683" s="4" t="str">
        <f>HYPERLINK("http://141.218.60.56/~jnz1568/getInfo.php?workbook=18_16.xlsx&amp;sheet=A0&amp;row=683&amp;col=8&amp;number=&amp;sourceID=49","")</f>
        <v/>
      </c>
    </row>
    <row r="684" spans="1:8">
      <c r="A684" s="3">
        <v>18</v>
      </c>
      <c r="B684" s="3">
        <v>16</v>
      </c>
      <c r="C684" s="3">
        <v>74</v>
      </c>
      <c r="D684" s="3">
        <v>6</v>
      </c>
      <c r="E684" s="3">
        <f>((1/(INDEX(E0!J$4:J$87,C684,1)-INDEX(E0!J$4:J$87,D684,1))))*100000000</f>
        <v>0</v>
      </c>
      <c r="F684" s="4" t="str">
        <f>HYPERLINK("http://141.218.60.56/~jnz1568/getInfo.php?workbook=18_16.xlsx&amp;sheet=A0&amp;row=684&amp;col=6&amp;number=154380&amp;sourceID=48","154380")</f>
        <v>154380</v>
      </c>
      <c r="G684" s="4" t="str">
        <f>HYPERLINK("http://141.218.60.56/~jnz1568/getInfo.php?workbook=18_16.xlsx&amp;sheet=A0&amp;row=684&amp;col=7&amp;number=&amp;sourceID=49","")</f>
        <v/>
      </c>
      <c r="H684" s="4" t="str">
        <f>HYPERLINK("http://141.218.60.56/~jnz1568/getInfo.php?workbook=18_16.xlsx&amp;sheet=A0&amp;row=684&amp;col=8&amp;number=&amp;sourceID=49","")</f>
        <v/>
      </c>
    </row>
    <row r="685" spans="1:8">
      <c r="A685" s="3">
        <v>18</v>
      </c>
      <c r="B685" s="3">
        <v>16</v>
      </c>
      <c r="C685" s="3">
        <v>74</v>
      </c>
      <c r="D685" s="3">
        <v>7</v>
      </c>
      <c r="E685" s="3">
        <f>((1/(INDEX(E0!J$4:J$87,C685,1)-INDEX(E0!J$4:J$87,D685,1))))*100000000</f>
        <v>0</v>
      </c>
      <c r="F685" s="4" t="str">
        <f>HYPERLINK("http://141.218.60.56/~jnz1568/getInfo.php?workbook=18_16.xlsx&amp;sheet=A0&amp;row=685&amp;col=6&amp;number=338780&amp;sourceID=48","338780")</f>
        <v>338780</v>
      </c>
      <c r="G685" s="4" t="str">
        <f>HYPERLINK("http://141.218.60.56/~jnz1568/getInfo.php?workbook=18_16.xlsx&amp;sheet=A0&amp;row=685&amp;col=7&amp;number=&amp;sourceID=49","")</f>
        <v/>
      </c>
      <c r="H685" s="4" t="str">
        <f>HYPERLINK("http://141.218.60.56/~jnz1568/getInfo.php?workbook=18_16.xlsx&amp;sheet=A0&amp;row=685&amp;col=8&amp;number=&amp;sourceID=49","")</f>
        <v/>
      </c>
    </row>
    <row r="686" spans="1:8">
      <c r="A686" s="3">
        <v>18</v>
      </c>
      <c r="B686" s="3">
        <v>16</v>
      </c>
      <c r="C686" s="3">
        <v>74</v>
      </c>
      <c r="D686" s="3">
        <v>9</v>
      </c>
      <c r="E686" s="3">
        <f>((1/(INDEX(E0!J$4:J$87,C686,1)-INDEX(E0!J$4:J$87,D686,1))))*100000000</f>
        <v>0</v>
      </c>
      <c r="F686" s="4" t="str">
        <f>HYPERLINK("http://141.218.60.56/~jnz1568/getInfo.php?workbook=18_16.xlsx&amp;sheet=A0&amp;row=686&amp;col=6&amp;number=82214000&amp;sourceID=48","82214000")</f>
        <v>82214000</v>
      </c>
      <c r="G686" s="4" t="str">
        <f>HYPERLINK("http://141.218.60.56/~jnz1568/getInfo.php?workbook=18_16.xlsx&amp;sheet=A0&amp;row=686&amp;col=7&amp;number=&amp;sourceID=49","")</f>
        <v/>
      </c>
      <c r="H686" s="4" t="str">
        <f>HYPERLINK("http://141.218.60.56/~jnz1568/getInfo.php?workbook=18_16.xlsx&amp;sheet=A0&amp;row=686&amp;col=8&amp;number=&amp;sourceID=49","")</f>
        <v/>
      </c>
    </row>
    <row r="687" spans="1:8">
      <c r="A687" s="3">
        <v>18</v>
      </c>
      <c r="B687" s="3">
        <v>16</v>
      </c>
      <c r="C687" s="3">
        <v>74</v>
      </c>
      <c r="D687" s="3">
        <v>11</v>
      </c>
      <c r="E687" s="3">
        <f>((1/(INDEX(E0!J$4:J$87,C687,1)-INDEX(E0!J$4:J$87,D687,1))))*100000000</f>
        <v>0</v>
      </c>
      <c r="F687" s="4" t="str">
        <f>HYPERLINK("http://141.218.60.56/~jnz1568/getInfo.php?workbook=18_16.xlsx&amp;sheet=A0&amp;row=687&amp;col=6&amp;number=12698&amp;sourceID=48","12698")</f>
        <v>12698</v>
      </c>
      <c r="G687" s="4" t="str">
        <f>HYPERLINK("http://141.218.60.56/~jnz1568/getInfo.php?workbook=18_16.xlsx&amp;sheet=A0&amp;row=687&amp;col=7&amp;number=&amp;sourceID=49","")</f>
        <v/>
      </c>
      <c r="H687" s="4" t="str">
        <f>HYPERLINK("http://141.218.60.56/~jnz1568/getInfo.php?workbook=18_16.xlsx&amp;sheet=A0&amp;row=687&amp;col=8&amp;number=&amp;sourceID=49","")</f>
        <v/>
      </c>
    </row>
    <row r="688" spans="1:8">
      <c r="A688" s="3">
        <v>18</v>
      </c>
      <c r="B688" s="3">
        <v>16</v>
      </c>
      <c r="C688" s="3">
        <v>74</v>
      </c>
      <c r="D688" s="3">
        <v>12</v>
      </c>
      <c r="E688" s="3">
        <f>((1/(INDEX(E0!J$4:J$87,C688,1)-INDEX(E0!J$4:J$87,D688,1))))*100000000</f>
        <v>0</v>
      </c>
      <c r="F688" s="4" t="str">
        <f>HYPERLINK("http://141.218.60.56/~jnz1568/getInfo.php?workbook=18_16.xlsx&amp;sheet=A0&amp;row=688&amp;col=6&amp;number=640.9&amp;sourceID=48","640.9")</f>
        <v>640.9</v>
      </c>
      <c r="G688" s="4" t="str">
        <f>HYPERLINK("http://141.218.60.56/~jnz1568/getInfo.php?workbook=18_16.xlsx&amp;sheet=A0&amp;row=688&amp;col=7&amp;number=&amp;sourceID=49","")</f>
        <v/>
      </c>
      <c r="H688" s="4" t="str">
        <f>HYPERLINK("http://141.218.60.56/~jnz1568/getInfo.php?workbook=18_16.xlsx&amp;sheet=A0&amp;row=688&amp;col=8&amp;number=&amp;sourceID=49","")</f>
        <v/>
      </c>
    </row>
    <row r="689" spans="1:8">
      <c r="A689" s="3">
        <v>18</v>
      </c>
      <c r="B689" s="3">
        <v>16</v>
      </c>
      <c r="C689" s="3">
        <v>74</v>
      </c>
      <c r="D689" s="3">
        <v>13</v>
      </c>
      <c r="E689" s="3">
        <f>((1/(INDEX(E0!J$4:J$87,C689,1)-INDEX(E0!J$4:J$87,D689,1))))*100000000</f>
        <v>0</v>
      </c>
      <c r="F689" s="4" t="str">
        <f>HYPERLINK("http://141.218.60.56/~jnz1568/getInfo.php?workbook=18_16.xlsx&amp;sheet=A0&amp;row=689&amp;col=6&amp;number=1363.1&amp;sourceID=48","1363.1")</f>
        <v>1363.1</v>
      </c>
      <c r="G689" s="4" t="str">
        <f>HYPERLINK("http://141.218.60.56/~jnz1568/getInfo.php?workbook=18_16.xlsx&amp;sheet=A0&amp;row=689&amp;col=7&amp;number=&amp;sourceID=49","")</f>
        <v/>
      </c>
      <c r="H689" s="4" t="str">
        <f>HYPERLINK("http://141.218.60.56/~jnz1568/getInfo.php?workbook=18_16.xlsx&amp;sheet=A0&amp;row=689&amp;col=8&amp;number=&amp;sourceID=49","")</f>
        <v/>
      </c>
    </row>
    <row r="690" spans="1:8">
      <c r="A690" s="3">
        <v>18</v>
      </c>
      <c r="B690" s="3">
        <v>16</v>
      </c>
      <c r="C690" s="3">
        <v>74</v>
      </c>
      <c r="D690" s="3">
        <v>15</v>
      </c>
      <c r="E690" s="3">
        <f>((1/(INDEX(E0!J$4:J$87,C690,1)-INDEX(E0!J$4:J$87,D690,1))))*100000000</f>
        <v>0</v>
      </c>
      <c r="F690" s="4" t="str">
        <f>HYPERLINK("http://141.218.60.56/~jnz1568/getInfo.php?workbook=18_16.xlsx&amp;sheet=A0&amp;row=690&amp;col=6&amp;number=84792&amp;sourceID=48","84792")</f>
        <v>84792</v>
      </c>
      <c r="G690" s="4" t="str">
        <f>HYPERLINK("http://141.218.60.56/~jnz1568/getInfo.php?workbook=18_16.xlsx&amp;sheet=A0&amp;row=690&amp;col=7&amp;number=&amp;sourceID=49","")</f>
        <v/>
      </c>
      <c r="H690" s="4" t="str">
        <f>HYPERLINK("http://141.218.60.56/~jnz1568/getInfo.php?workbook=18_16.xlsx&amp;sheet=A0&amp;row=690&amp;col=8&amp;number=&amp;sourceID=49","")</f>
        <v/>
      </c>
    </row>
    <row r="691" spans="1:8">
      <c r="A691" s="3">
        <v>18</v>
      </c>
      <c r="B691" s="3">
        <v>16</v>
      </c>
      <c r="C691" s="3">
        <v>74</v>
      </c>
      <c r="D691" s="3">
        <v>16</v>
      </c>
      <c r="E691" s="3">
        <f>((1/(INDEX(E0!J$4:J$87,C691,1)-INDEX(E0!J$4:J$87,D691,1))))*100000000</f>
        <v>0</v>
      </c>
      <c r="F691" s="4" t="str">
        <f>HYPERLINK("http://141.218.60.56/~jnz1568/getInfo.php?workbook=18_16.xlsx&amp;sheet=A0&amp;row=691&amp;col=6&amp;number=396840&amp;sourceID=48","396840")</f>
        <v>396840</v>
      </c>
      <c r="G691" s="4" t="str">
        <f>HYPERLINK("http://141.218.60.56/~jnz1568/getInfo.php?workbook=18_16.xlsx&amp;sheet=A0&amp;row=691&amp;col=7&amp;number=&amp;sourceID=49","")</f>
        <v/>
      </c>
      <c r="H691" s="4" t="str">
        <f>HYPERLINK("http://141.218.60.56/~jnz1568/getInfo.php?workbook=18_16.xlsx&amp;sheet=A0&amp;row=691&amp;col=8&amp;number=&amp;sourceID=49","")</f>
        <v/>
      </c>
    </row>
    <row r="692" spans="1:8">
      <c r="A692" s="3">
        <v>18</v>
      </c>
      <c r="B692" s="3">
        <v>16</v>
      </c>
      <c r="C692" s="3">
        <v>74</v>
      </c>
      <c r="D692" s="3">
        <v>17</v>
      </c>
      <c r="E692" s="3">
        <f>((1/(INDEX(E0!J$4:J$87,C692,1)-INDEX(E0!J$4:J$87,D692,1))))*100000000</f>
        <v>0</v>
      </c>
      <c r="F692" s="4" t="str">
        <f>HYPERLINK("http://141.218.60.56/~jnz1568/getInfo.php?workbook=18_16.xlsx&amp;sheet=A0&amp;row=692&amp;col=6&amp;number=80441&amp;sourceID=48","80441")</f>
        <v>80441</v>
      </c>
      <c r="G692" s="4" t="str">
        <f>HYPERLINK("http://141.218.60.56/~jnz1568/getInfo.php?workbook=18_16.xlsx&amp;sheet=A0&amp;row=692&amp;col=7&amp;number=&amp;sourceID=49","")</f>
        <v/>
      </c>
      <c r="H692" s="4" t="str">
        <f>HYPERLINK("http://141.218.60.56/~jnz1568/getInfo.php?workbook=18_16.xlsx&amp;sheet=A0&amp;row=692&amp;col=8&amp;number=&amp;sourceID=49","")</f>
        <v/>
      </c>
    </row>
    <row r="693" spans="1:8">
      <c r="A693" s="3">
        <v>18</v>
      </c>
      <c r="B693" s="3">
        <v>16</v>
      </c>
      <c r="C693" s="3">
        <v>74</v>
      </c>
      <c r="D693" s="3">
        <v>19</v>
      </c>
      <c r="E693" s="3">
        <f>((1/(INDEX(E0!J$4:J$87,C693,1)-INDEX(E0!J$4:J$87,D693,1))))*100000000</f>
        <v>0</v>
      </c>
      <c r="F693" s="4" t="str">
        <f>HYPERLINK("http://141.218.60.56/~jnz1568/getInfo.php?workbook=18_16.xlsx&amp;sheet=A0&amp;row=693&amp;col=6&amp;number=13718&amp;sourceID=48","13718")</f>
        <v>13718</v>
      </c>
      <c r="G693" s="4" t="str">
        <f>HYPERLINK("http://141.218.60.56/~jnz1568/getInfo.php?workbook=18_16.xlsx&amp;sheet=A0&amp;row=693&amp;col=7&amp;number=&amp;sourceID=49","")</f>
        <v/>
      </c>
      <c r="H693" s="4" t="str">
        <f>HYPERLINK("http://141.218.60.56/~jnz1568/getInfo.php?workbook=18_16.xlsx&amp;sheet=A0&amp;row=693&amp;col=8&amp;number=&amp;sourceID=49","")</f>
        <v/>
      </c>
    </row>
    <row r="694" spans="1:8">
      <c r="A694" s="3">
        <v>18</v>
      </c>
      <c r="B694" s="3">
        <v>16</v>
      </c>
      <c r="C694" s="3">
        <v>74</v>
      </c>
      <c r="D694" s="3">
        <v>20</v>
      </c>
      <c r="E694" s="3">
        <f>((1/(INDEX(E0!J$4:J$87,C694,1)-INDEX(E0!J$4:J$87,D694,1))))*100000000</f>
        <v>0</v>
      </c>
      <c r="F694" s="4" t="str">
        <f>HYPERLINK("http://141.218.60.56/~jnz1568/getInfo.php?workbook=18_16.xlsx&amp;sheet=A0&amp;row=694&amp;col=6&amp;number=604660&amp;sourceID=48","604660")</f>
        <v>604660</v>
      </c>
      <c r="G694" s="4" t="str">
        <f>HYPERLINK("http://141.218.60.56/~jnz1568/getInfo.php?workbook=18_16.xlsx&amp;sheet=A0&amp;row=694&amp;col=7&amp;number=&amp;sourceID=49","")</f>
        <v/>
      </c>
      <c r="H694" s="4" t="str">
        <f>HYPERLINK("http://141.218.60.56/~jnz1568/getInfo.php?workbook=18_16.xlsx&amp;sheet=A0&amp;row=694&amp;col=8&amp;number=&amp;sourceID=49","")</f>
        <v/>
      </c>
    </row>
    <row r="695" spans="1:8">
      <c r="A695" s="3">
        <v>18</v>
      </c>
      <c r="B695" s="3">
        <v>16</v>
      </c>
      <c r="C695" s="3">
        <v>74</v>
      </c>
      <c r="D695" s="3">
        <v>22</v>
      </c>
      <c r="E695" s="3">
        <f>((1/(INDEX(E0!J$4:J$87,C695,1)-INDEX(E0!J$4:J$87,D695,1))))*100000000</f>
        <v>0</v>
      </c>
      <c r="F695" s="4" t="str">
        <f>HYPERLINK("http://141.218.60.56/~jnz1568/getInfo.php?workbook=18_16.xlsx&amp;sheet=A0&amp;row=695&amp;col=6&amp;number=222240&amp;sourceID=48","222240")</f>
        <v>222240</v>
      </c>
      <c r="G695" s="4" t="str">
        <f>HYPERLINK("http://141.218.60.56/~jnz1568/getInfo.php?workbook=18_16.xlsx&amp;sheet=A0&amp;row=695&amp;col=7&amp;number=&amp;sourceID=49","")</f>
        <v/>
      </c>
      <c r="H695" s="4" t="str">
        <f>HYPERLINK("http://141.218.60.56/~jnz1568/getInfo.php?workbook=18_16.xlsx&amp;sheet=A0&amp;row=695&amp;col=8&amp;number=&amp;sourceID=49","")</f>
        <v/>
      </c>
    </row>
    <row r="696" spans="1:8">
      <c r="A696" s="3">
        <v>18</v>
      </c>
      <c r="B696" s="3">
        <v>16</v>
      </c>
      <c r="C696" s="3">
        <v>74</v>
      </c>
      <c r="D696" s="3">
        <v>25</v>
      </c>
      <c r="E696" s="3">
        <f>((1/(INDEX(E0!J$4:J$87,C696,1)-INDEX(E0!J$4:J$87,D696,1))))*100000000</f>
        <v>0</v>
      </c>
      <c r="F696" s="4" t="str">
        <f>HYPERLINK("http://141.218.60.56/~jnz1568/getInfo.php?workbook=18_16.xlsx&amp;sheet=A0&amp;row=696&amp;col=6&amp;number=305.61&amp;sourceID=48","305.61")</f>
        <v>305.61</v>
      </c>
      <c r="G696" s="4" t="str">
        <f>HYPERLINK("http://141.218.60.56/~jnz1568/getInfo.php?workbook=18_16.xlsx&amp;sheet=A0&amp;row=696&amp;col=7&amp;number=&amp;sourceID=49","")</f>
        <v/>
      </c>
      <c r="H696" s="4" t="str">
        <f>HYPERLINK("http://141.218.60.56/~jnz1568/getInfo.php?workbook=18_16.xlsx&amp;sheet=A0&amp;row=696&amp;col=8&amp;number=&amp;sourceID=49","")</f>
        <v/>
      </c>
    </row>
    <row r="697" spans="1:8">
      <c r="A697" s="3">
        <v>18</v>
      </c>
      <c r="B697" s="3">
        <v>16</v>
      </c>
      <c r="C697" s="3">
        <v>74</v>
      </c>
      <c r="D697" s="3">
        <v>27</v>
      </c>
      <c r="E697" s="3">
        <f>((1/(INDEX(E0!J$4:J$87,C697,1)-INDEX(E0!J$4:J$87,D697,1))))*100000000</f>
        <v>0</v>
      </c>
      <c r="F697" s="4" t="str">
        <f>HYPERLINK("http://141.218.60.56/~jnz1568/getInfo.php?workbook=18_16.xlsx&amp;sheet=A0&amp;row=697&amp;col=6&amp;number=63776000&amp;sourceID=48","63776000")</f>
        <v>63776000</v>
      </c>
      <c r="G697" s="4" t="str">
        <f>HYPERLINK("http://141.218.60.56/~jnz1568/getInfo.php?workbook=18_16.xlsx&amp;sheet=A0&amp;row=697&amp;col=7&amp;number=&amp;sourceID=49","")</f>
        <v/>
      </c>
      <c r="H697" s="4" t="str">
        <f>HYPERLINK("http://141.218.60.56/~jnz1568/getInfo.php?workbook=18_16.xlsx&amp;sheet=A0&amp;row=697&amp;col=8&amp;number=&amp;sourceID=49","")</f>
        <v/>
      </c>
    </row>
    <row r="698" spans="1:8">
      <c r="A698" s="3">
        <v>18</v>
      </c>
      <c r="B698" s="3">
        <v>16</v>
      </c>
      <c r="C698" s="3">
        <v>74</v>
      </c>
      <c r="D698" s="3">
        <v>28</v>
      </c>
      <c r="E698" s="3">
        <f>((1/(INDEX(E0!J$4:J$87,C698,1)-INDEX(E0!J$4:J$87,D698,1))))*100000000</f>
        <v>0</v>
      </c>
      <c r="F698" s="4" t="str">
        <f>HYPERLINK("http://141.218.60.56/~jnz1568/getInfo.php?workbook=18_16.xlsx&amp;sheet=A0&amp;row=698&amp;col=6&amp;number=13880&amp;sourceID=48","13880")</f>
        <v>13880</v>
      </c>
      <c r="G698" s="4" t="str">
        <f>HYPERLINK("http://141.218.60.56/~jnz1568/getInfo.php?workbook=18_16.xlsx&amp;sheet=A0&amp;row=698&amp;col=7&amp;number=&amp;sourceID=49","")</f>
        <v/>
      </c>
      <c r="H698" s="4" t="str">
        <f>HYPERLINK("http://141.218.60.56/~jnz1568/getInfo.php?workbook=18_16.xlsx&amp;sheet=A0&amp;row=698&amp;col=8&amp;number=&amp;sourceID=49","")</f>
        <v/>
      </c>
    </row>
    <row r="699" spans="1:8">
      <c r="A699" s="3">
        <v>18</v>
      </c>
      <c r="B699" s="3">
        <v>16</v>
      </c>
      <c r="C699" s="3">
        <v>74</v>
      </c>
      <c r="D699" s="3">
        <v>30</v>
      </c>
      <c r="E699" s="3">
        <f>((1/(INDEX(E0!J$4:J$87,C699,1)-INDEX(E0!J$4:J$87,D699,1))))*100000000</f>
        <v>0</v>
      </c>
      <c r="F699" s="4" t="str">
        <f>HYPERLINK("http://141.218.60.56/~jnz1568/getInfo.php?workbook=18_16.xlsx&amp;sheet=A0&amp;row=699&amp;col=6&amp;number=2882000&amp;sourceID=48","2882000")</f>
        <v>2882000</v>
      </c>
      <c r="G699" s="4" t="str">
        <f>HYPERLINK("http://141.218.60.56/~jnz1568/getInfo.php?workbook=18_16.xlsx&amp;sheet=A0&amp;row=699&amp;col=7&amp;number=&amp;sourceID=49","")</f>
        <v/>
      </c>
      <c r="H699" s="4" t="str">
        <f>HYPERLINK("http://141.218.60.56/~jnz1568/getInfo.php?workbook=18_16.xlsx&amp;sheet=A0&amp;row=699&amp;col=8&amp;number=&amp;sourceID=49","")</f>
        <v/>
      </c>
    </row>
    <row r="700" spans="1:8">
      <c r="A700" s="3">
        <v>18</v>
      </c>
      <c r="B700" s="3">
        <v>16</v>
      </c>
      <c r="C700" s="3">
        <v>74</v>
      </c>
      <c r="D700" s="3">
        <v>31</v>
      </c>
      <c r="E700" s="3">
        <f>((1/(INDEX(E0!J$4:J$87,C700,1)-INDEX(E0!J$4:J$87,D700,1))))*100000000</f>
        <v>0</v>
      </c>
      <c r="F700" s="4" t="str">
        <f>HYPERLINK("http://141.218.60.56/~jnz1568/getInfo.php?workbook=18_16.xlsx&amp;sheet=A0&amp;row=700&amp;col=6&amp;number=665710&amp;sourceID=48","665710")</f>
        <v>665710</v>
      </c>
      <c r="G700" s="4" t="str">
        <f>HYPERLINK("http://141.218.60.56/~jnz1568/getInfo.php?workbook=18_16.xlsx&amp;sheet=A0&amp;row=700&amp;col=7&amp;number=&amp;sourceID=49","")</f>
        <v/>
      </c>
      <c r="H700" s="4" t="str">
        <f>HYPERLINK("http://141.218.60.56/~jnz1568/getInfo.php?workbook=18_16.xlsx&amp;sheet=A0&amp;row=700&amp;col=8&amp;number=&amp;sourceID=49","")</f>
        <v/>
      </c>
    </row>
    <row r="701" spans="1:8">
      <c r="A701" s="3">
        <v>18</v>
      </c>
      <c r="B701" s="3">
        <v>16</v>
      </c>
      <c r="C701" s="3">
        <v>74</v>
      </c>
      <c r="D701" s="3">
        <v>32</v>
      </c>
      <c r="E701" s="3">
        <f>((1/(INDEX(E0!J$4:J$87,C701,1)-INDEX(E0!J$4:J$87,D701,1))))*100000000</f>
        <v>0</v>
      </c>
      <c r="F701" s="4" t="str">
        <f>HYPERLINK("http://141.218.60.56/~jnz1568/getInfo.php?workbook=18_16.xlsx&amp;sheet=A0&amp;row=701&amp;col=6&amp;number=37682&amp;sourceID=48","37682")</f>
        <v>37682</v>
      </c>
      <c r="G701" s="4" t="str">
        <f>HYPERLINK("http://141.218.60.56/~jnz1568/getInfo.php?workbook=18_16.xlsx&amp;sheet=A0&amp;row=701&amp;col=7&amp;number=&amp;sourceID=49","")</f>
        <v/>
      </c>
      <c r="H701" s="4" t="str">
        <f>HYPERLINK("http://141.218.60.56/~jnz1568/getInfo.php?workbook=18_16.xlsx&amp;sheet=A0&amp;row=701&amp;col=8&amp;number=&amp;sourceID=49","")</f>
        <v/>
      </c>
    </row>
    <row r="702" spans="1:8">
      <c r="A702" s="3">
        <v>18</v>
      </c>
      <c r="B702" s="3">
        <v>16</v>
      </c>
      <c r="C702" s="3">
        <v>74</v>
      </c>
      <c r="D702" s="3">
        <v>33</v>
      </c>
      <c r="E702" s="3">
        <f>((1/(INDEX(E0!J$4:J$87,C702,1)-INDEX(E0!J$4:J$87,D702,1))))*100000000</f>
        <v>0</v>
      </c>
      <c r="F702" s="4" t="str">
        <f>HYPERLINK("http://141.218.60.56/~jnz1568/getInfo.php?workbook=18_16.xlsx&amp;sheet=A0&amp;row=702&amp;col=6&amp;number=516190&amp;sourceID=48","516190")</f>
        <v>516190</v>
      </c>
      <c r="G702" s="4" t="str">
        <f>HYPERLINK("http://141.218.60.56/~jnz1568/getInfo.php?workbook=18_16.xlsx&amp;sheet=A0&amp;row=702&amp;col=7&amp;number=&amp;sourceID=49","")</f>
        <v/>
      </c>
      <c r="H702" s="4" t="str">
        <f>HYPERLINK("http://141.218.60.56/~jnz1568/getInfo.php?workbook=18_16.xlsx&amp;sheet=A0&amp;row=702&amp;col=8&amp;number=&amp;sourceID=49","")</f>
        <v/>
      </c>
    </row>
    <row r="703" spans="1:8">
      <c r="A703" s="3">
        <v>18</v>
      </c>
      <c r="B703" s="3">
        <v>16</v>
      </c>
      <c r="C703" s="3">
        <v>74</v>
      </c>
      <c r="D703" s="3">
        <v>35</v>
      </c>
      <c r="E703" s="3">
        <f>((1/(INDEX(E0!J$4:J$87,C703,1)-INDEX(E0!J$4:J$87,D703,1))))*100000000</f>
        <v>0</v>
      </c>
      <c r="F703" s="4" t="str">
        <f>HYPERLINK("http://141.218.60.56/~jnz1568/getInfo.php?workbook=18_16.xlsx&amp;sheet=A0&amp;row=703&amp;col=6&amp;number=318580&amp;sourceID=48","318580")</f>
        <v>318580</v>
      </c>
      <c r="G703" s="4" t="str">
        <f>HYPERLINK("http://141.218.60.56/~jnz1568/getInfo.php?workbook=18_16.xlsx&amp;sheet=A0&amp;row=703&amp;col=7&amp;number=&amp;sourceID=49","")</f>
        <v/>
      </c>
      <c r="H703" s="4" t="str">
        <f>HYPERLINK("http://141.218.60.56/~jnz1568/getInfo.php?workbook=18_16.xlsx&amp;sheet=A0&amp;row=703&amp;col=8&amp;number=&amp;sourceID=49","")</f>
        <v/>
      </c>
    </row>
    <row r="704" spans="1:8">
      <c r="A704" s="3">
        <v>18</v>
      </c>
      <c r="B704" s="3">
        <v>16</v>
      </c>
      <c r="C704" s="3">
        <v>74</v>
      </c>
      <c r="D704" s="3">
        <v>36</v>
      </c>
      <c r="E704" s="3">
        <f>((1/(INDEX(E0!J$4:J$87,C704,1)-INDEX(E0!J$4:J$87,D704,1))))*100000000</f>
        <v>0</v>
      </c>
      <c r="F704" s="4" t="str">
        <f>HYPERLINK("http://141.218.60.56/~jnz1568/getInfo.php?workbook=18_16.xlsx&amp;sheet=A0&amp;row=704&amp;col=6&amp;number=1996200&amp;sourceID=48","1996200")</f>
        <v>1996200</v>
      </c>
      <c r="G704" s="4" t="str">
        <f>HYPERLINK("http://141.218.60.56/~jnz1568/getInfo.php?workbook=18_16.xlsx&amp;sheet=A0&amp;row=704&amp;col=7&amp;number=&amp;sourceID=49","")</f>
        <v/>
      </c>
      <c r="H704" s="4" t="str">
        <f>HYPERLINK("http://141.218.60.56/~jnz1568/getInfo.php?workbook=18_16.xlsx&amp;sheet=A0&amp;row=704&amp;col=8&amp;number=&amp;sourceID=49","")</f>
        <v/>
      </c>
    </row>
    <row r="705" spans="1:8">
      <c r="A705" s="3">
        <v>18</v>
      </c>
      <c r="B705" s="3">
        <v>16</v>
      </c>
      <c r="C705" s="3">
        <v>74</v>
      </c>
      <c r="D705" s="3">
        <v>37</v>
      </c>
      <c r="E705" s="3">
        <f>((1/(INDEX(E0!J$4:J$87,C705,1)-INDEX(E0!J$4:J$87,D705,1))))*100000000</f>
        <v>0</v>
      </c>
      <c r="F705" s="4" t="str">
        <f>HYPERLINK("http://141.218.60.56/~jnz1568/getInfo.php?workbook=18_16.xlsx&amp;sheet=A0&amp;row=705&amp;col=6&amp;number=233250&amp;sourceID=48","233250")</f>
        <v>233250</v>
      </c>
      <c r="G705" s="4" t="str">
        <f>HYPERLINK("http://141.218.60.56/~jnz1568/getInfo.php?workbook=18_16.xlsx&amp;sheet=A0&amp;row=705&amp;col=7&amp;number=&amp;sourceID=49","")</f>
        <v/>
      </c>
      <c r="H705" s="4" t="str">
        <f>HYPERLINK("http://141.218.60.56/~jnz1568/getInfo.php?workbook=18_16.xlsx&amp;sheet=A0&amp;row=705&amp;col=8&amp;number=&amp;sourceID=49","")</f>
        <v/>
      </c>
    </row>
    <row r="706" spans="1:8">
      <c r="A706" s="3">
        <v>18</v>
      </c>
      <c r="B706" s="3">
        <v>16</v>
      </c>
      <c r="C706" s="3">
        <v>74</v>
      </c>
      <c r="D706" s="3">
        <v>38</v>
      </c>
      <c r="E706" s="3">
        <f>((1/(INDEX(E0!J$4:J$87,C706,1)-INDEX(E0!J$4:J$87,D706,1))))*100000000</f>
        <v>0</v>
      </c>
      <c r="F706" s="4" t="str">
        <f>HYPERLINK("http://141.218.60.56/~jnz1568/getInfo.php?workbook=18_16.xlsx&amp;sheet=A0&amp;row=706&amp;col=6&amp;number=35053&amp;sourceID=48","35053")</f>
        <v>35053</v>
      </c>
      <c r="G706" s="4" t="str">
        <f>HYPERLINK("http://141.218.60.56/~jnz1568/getInfo.php?workbook=18_16.xlsx&amp;sheet=A0&amp;row=706&amp;col=7&amp;number=&amp;sourceID=49","")</f>
        <v/>
      </c>
      <c r="H706" s="4" t="str">
        <f>HYPERLINK("http://141.218.60.56/~jnz1568/getInfo.php?workbook=18_16.xlsx&amp;sheet=A0&amp;row=706&amp;col=8&amp;number=&amp;sourceID=49","")</f>
        <v/>
      </c>
    </row>
    <row r="707" spans="1:8">
      <c r="A707" s="3">
        <v>18</v>
      </c>
      <c r="B707" s="3">
        <v>16</v>
      </c>
      <c r="C707" s="3">
        <v>74</v>
      </c>
      <c r="D707" s="3">
        <v>39</v>
      </c>
      <c r="E707" s="3">
        <f>((1/(INDEX(E0!J$4:J$87,C707,1)-INDEX(E0!J$4:J$87,D707,1))))*100000000</f>
        <v>0</v>
      </c>
      <c r="F707" s="4" t="str">
        <f>HYPERLINK("http://141.218.60.56/~jnz1568/getInfo.php?workbook=18_16.xlsx&amp;sheet=A0&amp;row=707&amp;col=6&amp;number=144780&amp;sourceID=48","144780")</f>
        <v>144780</v>
      </c>
      <c r="G707" s="4" t="str">
        <f>HYPERLINK("http://141.218.60.56/~jnz1568/getInfo.php?workbook=18_16.xlsx&amp;sheet=A0&amp;row=707&amp;col=7&amp;number=&amp;sourceID=49","")</f>
        <v/>
      </c>
      <c r="H707" s="4" t="str">
        <f>HYPERLINK("http://141.218.60.56/~jnz1568/getInfo.php?workbook=18_16.xlsx&amp;sheet=A0&amp;row=707&amp;col=8&amp;number=&amp;sourceID=49","")</f>
        <v/>
      </c>
    </row>
    <row r="708" spans="1:8">
      <c r="A708" s="3">
        <v>18</v>
      </c>
      <c r="B708" s="3">
        <v>16</v>
      </c>
      <c r="C708" s="3">
        <v>74</v>
      </c>
      <c r="D708" s="3">
        <v>40</v>
      </c>
      <c r="E708" s="3">
        <f>((1/(INDEX(E0!J$4:J$87,C708,1)-INDEX(E0!J$4:J$87,D708,1))))*100000000</f>
        <v>0</v>
      </c>
      <c r="F708" s="4" t="str">
        <f>HYPERLINK("http://141.218.60.56/~jnz1568/getInfo.php?workbook=18_16.xlsx&amp;sheet=A0&amp;row=708&amp;col=6&amp;number=344830&amp;sourceID=48","344830")</f>
        <v>344830</v>
      </c>
      <c r="G708" s="4" t="str">
        <f>HYPERLINK("http://141.218.60.56/~jnz1568/getInfo.php?workbook=18_16.xlsx&amp;sheet=A0&amp;row=708&amp;col=7&amp;number=&amp;sourceID=49","")</f>
        <v/>
      </c>
      <c r="H708" s="4" t="str">
        <f>HYPERLINK("http://141.218.60.56/~jnz1568/getInfo.php?workbook=18_16.xlsx&amp;sheet=A0&amp;row=708&amp;col=8&amp;number=&amp;sourceID=49","")</f>
        <v/>
      </c>
    </row>
    <row r="709" spans="1:8">
      <c r="A709" s="3">
        <v>18</v>
      </c>
      <c r="B709" s="3">
        <v>16</v>
      </c>
      <c r="C709" s="3">
        <v>74</v>
      </c>
      <c r="D709" s="3">
        <v>41</v>
      </c>
      <c r="E709" s="3">
        <f>((1/(INDEX(E0!J$4:J$87,C709,1)-INDEX(E0!J$4:J$87,D709,1))))*100000000</f>
        <v>0</v>
      </c>
      <c r="F709" s="4" t="str">
        <f>HYPERLINK("http://141.218.60.56/~jnz1568/getInfo.php?workbook=18_16.xlsx&amp;sheet=A0&amp;row=709&amp;col=6&amp;number=345300000&amp;sourceID=48","345300000")</f>
        <v>345300000</v>
      </c>
      <c r="G709" s="4" t="str">
        <f>HYPERLINK("http://141.218.60.56/~jnz1568/getInfo.php?workbook=18_16.xlsx&amp;sheet=A0&amp;row=709&amp;col=7&amp;number=&amp;sourceID=49","")</f>
        <v/>
      </c>
      <c r="H709" s="4" t="str">
        <f>HYPERLINK("http://141.218.60.56/~jnz1568/getInfo.php?workbook=18_16.xlsx&amp;sheet=A0&amp;row=709&amp;col=8&amp;number=&amp;sourceID=49","")</f>
        <v/>
      </c>
    </row>
    <row r="710" spans="1:8">
      <c r="A710" s="3">
        <v>18</v>
      </c>
      <c r="B710" s="3">
        <v>16</v>
      </c>
      <c r="C710" s="3">
        <v>74</v>
      </c>
      <c r="D710" s="3">
        <v>42</v>
      </c>
      <c r="E710" s="3">
        <f>((1/(INDEX(E0!J$4:J$87,C710,1)-INDEX(E0!J$4:J$87,D710,1))))*100000000</f>
        <v>0</v>
      </c>
      <c r="F710" s="4" t="str">
        <f>HYPERLINK("http://141.218.60.56/~jnz1568/getInfo.php?workbook=18_16.xlsx&amp;sheet=A0&amp;row=710&amp;col=6&amp;number=56246000&amp;sourceID=48","56246000")</f>
        <v>56246000</v>
      </c>
      <c r="G710" s="4" t="str">
        <f>HYPERLINK("http://141.218.60.56/~jnz1568/getInfo.php?workbook=18_16.xlsx&amp;sheet=A0&amp;row=710&amp;col=7&amp;number=&amp;sourceID=49","")</f>
        <v/>
      </c>
      <c r="H710" s="4" t="str">
        <f>HYPERLINK("http://141.218.60.56/~jnz1568/getInfo.php?workbook=18_16.xlsx&amp;sheet=A0&amp;row=710&amp;col=8&amp;number=&amp;sourceID=49","")</f>
        <v/>
      </c>
    </row>
    <row r="711" spans="1:8">
      <c r="A711" s="3">
        <v>18</v>
      </c>
      <c r="B711" s="3">
        <v>16</v>
      </c>
      <c r="C711" s="3">
        <v>74</v>
      </c>
      <c r="D711" s="3">
        <v>45</v>
      </c>
      <c r="E711" s="3">
        <f>((1/(INDEX(E0!J$4:J$87,C711,1)-INDEX(E0!J$4:J$87,D711,1))))*100000000</f>
        <v>0</v>
      </c>
      <c r="F711" s="4" t="str">
        <f>HYPERLINK("http://141.218.60.56/~jnz1568/getInfo.php?workbook=18_16.xlsx&amp;sheet=A0&amp;row=711&amp;col=6&amp;number=52386&amp;sourceID=48","52386")</f>
        <v>52386</v>
      </c>
      <c r="G711" s="4" t="str">
        <f>HYPERLINK("http://141.218.60.56/~jnz1568/getInfo.php?workbook=18_16.xlsx&amp;sheet=A0&amp;row=711&amp;col=7&amp;number=&amp;sourceID=49","")</f>
        <v/>
      </c>
      <c r="H711" s="4" t="str">
        <f>HYPERLINK("http://141.218.60.56/~jnz1568/getInfo.php?workbook=18_16.xlsx&amp;sheet=A0&amp;row=711&amp;col=8&amp;number=&amp;sourceID=49","")</f>
        <v/>
      </c>
    </row>
    <row r="712" spans="1:8">
      <c r="A712" s="3">
        <v>18</v>
      </c>
      <c r="B712" s="3">
        <v>16</v>
      </c>
      <c r="C712" s="3">
        <v>74</v>
      </c>
      <c r="D712" s="3">
        <v>47</v>
      </c>
      <c r="E712" s="3">
        <f>((1/(INDEX(E0!J$4:J$87,C712,1)-INDEX(E0!J$4:J$87,D712,1))))*100000000</f>
        <v>0</v>
      </c>
      <c r="F712" s="4" t="str">
        <f>HYPERLINK("http://141.218.60.56/~jnz1568/getInfo.php?workbook=18_16.xlsx&amp;sheet=A0&amp;row=712&amp;col=6&amp;number=92183&amp;sourceID=48","92183")</f>
        <v>92183</v>
      </c>
      <c r="G712" s="4" t="str">
        <f>HYPERLINK("http://141.218.60.56/~jnz1568/getInfo.php?workbook=18_16.xlsx&amp;sheet=A0&amp;row=712&amp;col=7&amp;number=&amp;sourceID=49","")</f>
        <v/>
      </c>
      <c r="H712" s="4" t="str">
        <f>HYPERLINK("http://141.218.60.56/~jnz1568/getInfo.php?workbook=18_16.xlsx&amp;sheet=A0&amp;row=712&amp;col=8&amp;number=&amp;sourceID=49","")</f>
        <v/>
      </c>
    </row>
    <row r="713" spans="1:8">
      <c r="A713" s="3">
        <v>18</v>
      </c>
      <c r="B713" s="3">
        <v>16</v>
      </c>
      <c r="C713" s="3">
        <v>74</v>
      </c>
      <c r="D713" s="3">
        <v>48</v>
      </c>
      <c r="E713" s="3">
        <f>((1/(INDEX(E0!J$4:J$87,C713,1)-INDEX(E0!J$4:J$87,D713,1))))*100000000</f>
        <v>0</v>
      </c>
      <c r="F713" s="4" t="str">
        <f>HYPERLINK("http://141.218.60.56/~jnz1568/getInfo.php?workbook=18_16.xlsx&amp;sheet=A0&amp;row=713&amp;col=6&amp;number=198840&amp;sourceID=48","198840")</f>
        <v>198840</v>
      </c>
      <c r="G713" s="4" t="str">
        <f>HYPERLINK("http://141.218.60.56/~jnz1568/getInfo.php?workbook=18_16.xlsx&amp;sheet=A0&amp;row=713&amp;col=7&amp;number=&amp;sourceID=49","")</f>
        <v/>
      </c>
      <c r="H713" s="4" t="str">
        <f>HYPERLINK("http://141.218.60.56/~jnz1568/getInfo.php?workbook=18_16.xlsx&amp;sheet=A0&amp;row=713&amp;col=8&amp;number=&amp;sourceID=49","")</f>
        <v/>
      </c>
    </row>
    <row r="714" spans="1:8">
      <c r="A714" s="3">
        <v>18</v>
      </c>
      <c r="B714" s="3">
        <v>16</v>
      </c>
      <c r="C714" s="3">
        <v>74</v>
      </c>
      <c r="D714" s="3">
        <v>53</v>
      </c>
      <c r="E714" s="3">
        <f>((1/(INDEX(E0!J$4:J$87,C714,1)-INDEX(E0!J$4:J$87,D714,1))))*100000000</f>
        <v>0</v>
      </c>
      <c r="F714" s="4" t="str">
        <f>HYPERLINK("http://141.218.60.56/~jnz1568/getInfo.php?workbook=18_16.xlsx&amp;sheet=A0&amp;row=714&amp;col=6&amp;number=190160&amp;sourceID=48","190160")</f>
        <v>190160</v>
      </c>
      <c r="G714" s="4" t="str">
        <f>HYPERLINK("http://141.218.60.56/~jnz1568/getInfo.php?workbook=18_16.xlsx&amp;sheet=A0&amp;row=714&amp;col=7&amp;number=&amp;sourceID=49","")</f>
        <v/>
      </c>
      <c r="H714" s="4" t="str">
        <f>HYPERLINK("http://141.218.60.56/~jnz1568/getInfo.php?workbook=18_16.xlsx&amp;sheet=A0&amp;row=714&amp;col=8&amp;number=&amp;sourceID=49","")</f>
        <v/>
      </c>
    </row>
    <row r="715" spans="1:8">
      <c r="A715" s="3">
        <v>18</v>
      </c>
      <c r="B715" s="3">
        <v>16</v>
      </c>
      <c r="C715" s="3">
        <v>74</v>
      </c>
      <c r="D715" s="3">
        <v>54</v>
      </c>
      <c r="E715" s="3">
        <f>((1/(INDEX(E0!J$4:J$87,C715,1)-INDEX(E0!J$4:J$87,D715,1))))*100000000</f>
        <v>0</v>
      </c>
      <c r="F715" s="4" t="str">
        <f>HYPERLINK("http://141.218.60.56/~jnz1568/getInfo.php?workbook=18_16.xlsx&amp;sheet=A0&amp;row=715&amp;col=6&amp;number=139970&amp;sourceID=48","139970")</f>
        <v>139970</v>
      </c>
      <c r="G715" s="4" t="str">
        <f>HYPERLINK("http://141.218.60.56/~jnz1568/getInfo.php?workbook=18_16.xlsx&amp;sheet=A0&amp;row=715&amp;col=7&amp;number=&amp;sourceID=49","")</f>
        <v/>
      </c>
      <c r="H715" s="4" t="str">
        <f>HYPERLINK("http://141.218.60.56/~jnz1568/getInfo.php?workbook=18_16.xlsx&amp;sheet=A0&amp;row=715&amp;col=8&amp;number=&amp;sourceID=49","")</f>
        <v/>
      </c>
    </row>
    <row r="716" spans="1:8">
      <c r="A716" s="3">
        <v>18</v>
      </c>
      <c r="B716" s="3">
        <v>16</v>
      </c>
      <c r="C716" s="3">
        <v>74</v>
      </c>
      <c r="D716" s="3">
        <v>55</v>
      </c>
      <c r="E716" s="3">
        <f>((1/(INDEX(E0!J$4:J$87,C716,1)-INDEX(E0!J$4:J$87,D716,1))))*100000000</f>
        <v>0</v>
      </c>
      <c r="F716" s="4" t="str">
        <f>HYPERLINK("http://141.218.60.56/~jnz1568/getInfo.php?workbook=18_16.xlsx&amp;sheet=A0&amp;row=716&amp;col=6&amp;number=1847500&amp;sourceID=48","1847500")</f>
        <v>1847500</v>
      </c>
      <c r="G716" s="4" t="str">
        <f>HYPERLINK("http://141.218.60.56/~jnz1568/getInfo.php?workbook=18_16.xlsx&amp;sheet=A0&amp;row=716&amp;col=7&amp;number=&amp;sourceID=49","")</f>
        <v/>
      </c>
      <c r="H716" s="4" t="str">
        <f>HYPERLINK("http://141.218.60.56/~jnz1568/getInfo.php?workbook=18_16.xlsx&amp;sheet=A0&amp;row=716&amp;col=8&amp;number=&amp;sourceID=49","")</f>
        <v/>
      </c>
    </row>
    <row r="717" spans="1:8">
      <c r="A717" s="3">
        <v>18</v>
      </c>
      <c r="B717" s="3">
        <v>16</v>
      </c>
      <c r="C717" s="3">
        <v>74</v>
      </c>
      <c r="D717" s="3">
        <v>56</v>
      </c>
      <c r="E717" s="3">
        <f>((1/(INDEX(E0!J$4:J$87,C717,1)-INDEX(E0!J$4:J$87,D717,1))))*100000000</f>
        <v>0</v>
      </c>
      <c r="F717" s="4" t="str">
        <f>HYPERLINK("http://141.218.60.56/~jnz1568/getInfo.php?workbook=18_16.xlsx&amp;sheet=A0&amp;row=717&amp;col=6&amp;number=26992&amp;sourceID=48","26992")</f>
        <v>26992</v>
      </c>
      <c r="G717" s="4" t="str">
        <f>HYPERLINK("http://141.218.60.56/~jnz1568/getInfo.php?workbook=18_16.xlsx&amp;sheet=A0&amp;row=717&amp;col=7&amp;number=&amp;sourceID=49","")</f>
        <v/>
      </c>
      <c r="H717" s="4" t="str">
        <f>HYPERLINK("http://141.218.60.56/~jnz1568/getInfo.php?workbook=18_16.xlsx&amp;sheet=A0&amp;row=717&amp;col=8&amp;number=&amp;sourceID=49","")</f>
        <v/>
      </c>
    </row>
    <row r="718" spans="1:8">
      <c r="A718" s="3">
        <v>18</v>
      </c>
      <c r="B718" s="3">
        <v>16</v>
      </c>
      <c r="C718" s="3">
        <v>74</v>
      </c>
      <c r="D718" s="3">
        <v>57</v>
      </c>
      <c r="E718" s="3">
        <f>((1/(INDEX(E0!J$4:J$87,C718,1)-INDEX(E0!J$4:J$87,D718,1))))*100000000</f>
        <v>0</v>
      </c>
      <c r="F718" s="4" t="str">
        <f>HYPERLINK("http://141.218.60.56/~jnz1568/getInfo.php?workbook=18_16.xlsx&amp;sheet=A0&amp;row=718&amp;col=6&amp;number=116740&amp;sourceID=48","116740")</f>
        <v>116740</v>
      </c>
      <c r="G718" s="4" t="str">
        <f>HYPERLINK("http://141.218.60.56/~jnz1568/getInfo.php?workbook=18_16.xlsx&amp;sheet=A0&amp;row=718&amp;col=7&amp;number=&amp;sourceID=49","")</f>
        <v/>
      </c>
      <c r="H718" s="4" t="str">
        <f>HYPERLINK("http://141.218.60.56/~jnz1568/getInfo.php?workbook=18_16.xlsx&amp;sheet=A0&amp;row=718&amp;col=8&amp;number=&amp;sourceID=49","")</f>
        <v/>
      </c>
    </row>
    <row r="719" spans="1:8">
      <c r="A719" s="3">
        <v>18</v>
      </c>
      <c r="B719" s="3">
        <v>16</v>
      </c>
      <c r="C719" s="3">
        <v>74</v>
      </c>
      <c r="D719" s="3">
        <v>58</v>
      </c>
      <c r="E719" s="3">
        <f>((1/(INDEX(E0!J$4:J$87,C719,1)-INDEX(E0!J$4:J$87,D719,1))))*100000000</f>
        <v>0</v>
      </c>
      <c r="F719" s="4" t="str">
        <f>HYPERLINK("http://141.218.60.56/~jnz1568/getInfo.php?workbook=18_16.xlsx&amp;sheet=A0&amp;row=719&amp;col=6&amp;number=91468&amp;sourceID=48","91468")</f>
        <v>91468</v>
      </c>
      <c r="G719" s="4" t="str">
        <f>HYPERLINK("http://141.218.60.56/~jnz1568/getInfo.php?workbook=18_16.xlsx&amp;sheet=A0&amp;row=719&amp;col=7&amp;number=&amp;sourceID=49","")</f>
        <v/>
      </c>
      <c r="H719" s="4" t="str">
        <f>HYPERLINK("http://141.218.60.56/~jnz1568/getInfo.php?workbook=18_16.xlsx&amp;sheet=A0&amp;row=719&amp;col=8&amp;number=&amp;sourceID=49","")</f>
        <v/>
      </c>
    </row>
    <row r="720" spans="1:8">
      <c r="A720" s="3">
        <v>18</v>
      </c>
      <c r="B720" s="3">
        <v>16</v>
      </c>
      <c r="C720" s="3">
        <v>74</v>
      </c>
      <c r="D720" s="3">
        <v>60</v>
      </c>
      <c r="E720" s="3">
        <f>((1/(INDEX(E0!J$4:J$87,C720,1)-INDEX(E0!J$4:J$87,D720,1))))*100000000</f>
        <v>0</v>
      </c>
      <c r="F720" s="4" t="str">
        <f>HYPERLINK("http://141.218.60.56/~jnz1568/getInfo.php?workbook=18_16.xlsx&amp;sheet=A0&amp;row=720&amp;col=6&amp;number=2114300&amp;sourceID=48","2114300")</f>
        <v>2114300</v>
      </c>
      <c r="G720" s="4" t="str">
        <f>HYPERLINK("http://141.218.60.56/~jnz1568/getInfo.php?workbook=18_16.xlsx&amp;sheet=A0&amp;row=720&amp;col=7&amp;number=&amp;sourceID=49","")</f>
        <v/>
      </c>
      <c r="H720" s="4" t="str">
        <f>HYPERLINK("http://141.218.60.56/~jnz1568/getInfo.php?workbook=18_16.xlsx&amp;sheet=A0&amp;row=720&amp;col=8&amp;number=&amp;sourceID=49","")</f>
        <v/>
      </c>
    </row>
    <row r="721" spans="1:8">
      <c r="A721" s="3">
        <v>18</v>
      </c>
      <c r="B721" s="3">
        <v>16</v>
      </c>
      <c r="C721" s="3">
        <v>74</v>
      </c>
      <c r="D721" s="3">
        <v>61</v>
      </c>
      <c r="E721" s="3">
        <f>((1/(INDEX(E0!J$4:J$87,C721,1)-INDEX(E0!J$4:J$87,D721,1))))*100000000</f>
        <v>0</v>
      </c>
      <c r="F721" s="4" t="str">
        <f>HYPERLINK("http://141.218.60.56/~jnz1568/getInfo.php?workbook=18_16.xlsx&amp;sheet=A0&amp;row=721&amp;col=6&amp;number=1399800&amp;sourceID=48","1399800")</f>
        <v>1399800</v>
      </c>
      <c r="G721" s="4" t="str">
        <f>HYPERLINK("http://141.218.60.56/~jnz1568/getInfo.php?workbook=18_16.xlsx&amp;sheet=A0&amp;row=721&amp;col=7&amp;number=&amp;sourceID=49","")</f>
        <v/>
      </c>
      <c r="H721" s="4" t="str">
        <f>HYPERLINK("http://141.218.60.56/~jnz1568/getInfo.php?workbook=18_16.xlsx&amp;sheet=A0&amp;row=721&amp;col=8&amp;number=&amp;sourceID=49","")</f>
        <v/>
      </c>
    </row>
    <row r="722" spans="1:8">
      <c r="A722" s="3">
        <v>18</v>
      </c>
      <c r="B722" s="3">
        <v>16</v>
      </c>
      <c r="C722" s="3">
        <v>74</v>
      </c>
      <c r="D722" s="3">
        <v>63</v>
      </c>
      <c r="E722" s="3">
        <f>((1/(INDEX(E0!J$4:J$87,C722,1)-INDEX(E0!J$4:J$87,D722,1))))*100000000</f>
        <v>0</v>
      </c>
      <c r="F722" s="4" t="str">
        <f>HYPERLINK("http://141.218.60.56/~jnz1568/getInfo.php?workbook=18_16.xlsx&amp;sheet=A0&amp;row=722&amp;col=6&amp;number=566370&amp;sourceID=48","566370")</f>
        <v>566370</v>
      </c>
      <c r="G722" s="4" t="str">
        <f>HYPERLINK("http://141.218.60.56/~jnz1568/getInfo.php?workbook=18_16.xlsx&amp;sheet=A0&amp;row=722&amp;col=7&amp;number=&amp;sourceID=49","")</f>
        <v/>
      </c>
      <c r="H722" s="4" t="str">
        <f>HYPERLINK("http://141.218.60.56/~jnz1568/getInfo.php?workbook=18_16.xlsx&amp;sheet=A0&amp;row=722&amp;col=8&amp;number=&amp;sourceID=49","")</f>
        <v/>
      </c>
    </row>
    <row r="723" spans="1:8">
      <c r="A723" s="3">
        <v>18</v>
      </c>
      <c r="B723" s="3">
        <v>16</v>
      </c>
      <c r="C723" s="3">
        <v>75</v>
      </c>
      <c r="D723" s="3">
        <v>1</v>
      </c>
      <c r="E723" s="3">
        <f>((1/(INDEX(E0!J$4:J$87,C723,1)-INDEX(E0!J$4:J$87,D723,1))))*100000000</f>
        <v>0</v>
      </c>
      <c r="F723" s="4" t="str">
        <f>HYPERLINK("http://141.218.60.56/~jnz1568/getInfo.php?workbook=18_16.xlsx&amp;sheet=A0&amp;row=723&amp;col=6&amp;number=544350&amp;sourceID=48","544350")</f>
        <v>544350</v>
      </c>
      <c r="G723" s="4" t="str">
        <f>HYPERLINK("http://141.218.60.56/~jnz1568/getInfo.php?workbook=18_16.xlsx&amp;sheet=A0&amp;row=723&amp;col=7&amp;number=&amp;sourceID=49","")</f>
        <v/>
      </c>
      <c r="H723" s="4" t="str">
        <f>HYPERLINK("http://141.218.60.56/~jnz1568/getInfo.php?workbook=18_16.xlsx&amp;sheet=A0&amp;row=723&amp;col=8&amp;number=&amp;sourceID=49","")</f>
        <v/>
      </c>
    </row>
    <row r="724" spans="1:8">
      <c r="A724" s="3">
        <v>18</v>
      </c>
      <c r="B724" s="3">
        <v>16</v>
      </c>
      <c r="C724" s="3">
        <v>75</v>
      </c>
      <c r="D724" s="3">
        <v>2</v>
      </c>
      <c r="E724" s="3">
        <f>((1/(INDEX(E0!J$4:J$87,C724,1)-INDEX(E0!J$4:J$87,D724,1))))*100000000</f>
        <v>0</v>
      </c>
      <c r="F724" s="4" t="str">
        <f>HYPERLINK("http://141.218.60.56/~jnz1568/getInfo.php?workbook=18_16.xlsx&amp;sheet=A0&amp;row=724&amp;col=6&amp;number=381180&amp;sourceID=48","381180")</f>
        <v>381180</v>
      </c>
      <c r="G724" s="4" t="str">
        <f>HYPERLINK("http://141.218.60.56/~jnz1568/getInfo.php?workbook=18_16.xlsx&amp;sheet=A0&amp;row=724&amp;col=7&amp;number=&amp;sourceID=49","")</f>
        <v/>
      </c>
      <c r="H724" s="4" t="str">
        <f>HYPERLINK("http://141.218.60.56/~jnz1568/getInfo.php?workbook=18_16.xlsx&amp;sheet=A0&amp;row=724&amp;col=8&amp;number=&amp;sourceID=49","")</f>
        <v/>
      </c>
    </row>
    <row r="725" spans="1:8">
      <c r="A725" s="3">
        <v>18</v>
      </c>
      <c r="B725" s="3">
        <v>16</v>
      </c>
      <c r="C725" s="3">
        <v>75</v>
      </c>
      <c r="D725" s="3">
        <v>3</v>
      </c>
      <c r="E725" s="3">
        <f>((1/(INDEX(E0!J$4:J$87,C725,1)-INDEX(E0!J$4:J$87,D725,1))))*100000000</f>
        <v>0</v>
      </c>
      <c r="F725" s="4" t="str">
        <f>HYPERLINK("http://141.218.60.56/~jnz1568/getInfo.php?workbook=18_16.xlsx&amp;sheet=A0&amp;row=725&amp;col=6&amp;number=830180&amp;sourceID=48","830180")</f>
        <v>830180</v>
      </c>
      <c r="G725" s="4" t="str">
        <f>HYPERLINK("http://141.218.60.56/~jnz1568/getInfo.php?workbook=18_16.xlsx&amp;sheet=A0&amp;row=725&amp;col=7&amp;number=&amp;sourceID=49","")</f>
        <v/>
      </c>
      <c r="H725" s="4" t="str">
        <f>HYPERLINK("http://141.218.60.56/~jnz1568/getInfo.php?workbook=18_16.xlsx&amp;sheet=A0&amp;row=725&amp;col=8&amp;number=&amp;sourceID=49","")</f>
        <v/>
      </c>
    </row>
    <row r="726" spans="1:8">
      <c r="A726" s="3">
        <v>18</v>
      </c>
      <c r="B726" s="3">
        <v>16</v>
      </c>
      <c r="C726" s="3">
        <v>75</v>
      </c>
      <c r="D726" s="3">
        <v>4</v>
      </c>
      <c r="E726" s="3">
        <f>((1/(INDEX(E0!J$4:J$87,C726,1)-INDEX(E0!J$4:J$87,D726,1))))*100000000</f>
        <v>0</v>
      </c>
      <c r="F726" s="4" t="str">
        <f>HYPERLINK("http://141.218.60.56/~jnz1568/getInfo.php?workbook=18_16.xlsx&amp;sheet=A0&amp;row=726&amp;col=6&amp;number=377100000&amp;sourceID=48","377100000")</f>
        <v>377100000</v>
      </c>
      <c r="G726" s="4" t="str">
        <f>HYPERLINK("http://141.218.60.56/~jnz1568/getInfo.php?workbook=18_16.xlsx&amp;sheet=A0&amp;row=726&amp;col=7&amp;number=&amp;sourceID=49","")</f>
        <v/>
      </c>
      <c r="H726" s="4" t="str">
        <f>HYPERLINK("http://141.218.60.56/~jnz1568/getInfo.php?workbook=18_16.xlsx&amp;sheet=A0&amp;row=726&amp;col=8&amp;number=&amp;sourceID=49","")</f>
        <v/>
      </c>
    </row>
    <row r="727" spans="1:8">
      <c r="A727" s="3">
        <v>18</v>
      </c>
      <c r="B727" s="3">
        <v>16</v>
      </c>
      <c r="C727" s="3">
        <v>75</v>
      </c>
      <c r="D727" s="3">
        <v>5</v>
      </c>
      <c r="E727" s="3">
        <f>((1/(INDEX(E0!J$4:J$87,C727,1)-INDEX(E0!J$4:J$87,D727,1))))*100000000</f>
        <v>0</v>
      </c>
      <c r="F727" s="4" t="str">
        <f>HYPERLINK("http://141.218.60.56/~jnz1568/getInfo.php?workbook=18_16.xlsx&amp;sheet=A0&amp;row=727&amp;col=6&amp;number=32660000000&amp;sourceID=48","32660000000")</f>
        <v>32660000000</v>
      </c>
      <c r="G727" s="4" t="str">
        <f>HYPERLINK("http://141.218.60.56/~jnz1568/getInfo.php?workbook=18_16.xlsx&amp;sheet=A0&amp;row=727&amp;col=7&amp;number=&amp;sourceID=49","")</f>
        <v/>
      </c>
      <c r="H727" s="4" t="str">
        <f>HYPERLINK("http://141.218.60.56/~jnz1568/getInfo.php?workbook=18_16.xlsx&amp;sheet=A0&amp;row=727&amp;col=8&amp;number=&amp;sourceID=49","")</f>
        <v/>
      </c>
    </row>
    <row r="728" spans="1:8">
      <c r="A728" s="3">
        <v>18</v>
      </c>
      <c r="B728" s="3">
        <v>16</v>
      </c>
      <c r="C728" s="3">
        <v>75</v>
      </c>
      <c r="D728" s="3">
        <v>43</v>
      </c>
      <c r="E728" s="3">
        <f>((1/(INDEX(E0!J$4:J$87,C728,1)-INDEX(E0!J$4:J$87,D728,1))))*100000000</f>
        <v>0</v>
      </c>
      <c r="F728" s="4" t="str">
        <f>HYPERLINK("http://141.218.60.56/~jnz1568/getInfo.php?workbook=18_16.xlsx&amp;sheet=A0&amp;row=728&amp;col=6&amp;number=6.9377&amp;sourceID=48","6.9377")</f>
        <v>6.9377</v>
      </c>
      <c r="G728" s="4" t="str">
        <f>HYPERLINK("http://141.218.60.56/~jnz1568/getInfo.php?workbook=18_16.xlsx&amp;sheet=A0&amp;row=728&amp;col=7&amp;number=&amp;sourceID=49","")</f>
        <v/>
      </c>
      <c r="H728" s="4" t="str">
        <f>HYPERLINK("http://141.218.60.56/~jnz1568/getInfo.php?workbook=18_16.xlsx&amp;sheet=A0&amp;row=728&amp;col=8&amp;number=&amp;sourceID=49","")</f>
        <v/>
      </c>
    </row>
    <row r="729" spans="1:8">
      <c r="A729" s="3">
        <v>18</v>
      </c>
      <c r="B729" s="3">
        <v>16</v>
      </c>
      <c r="C729" s="3">
        <v>75</v>
      </c>
      <c r="D729" s="3">
        <v>44</v>
      </c>
      <c r="E729" s="3">
        <f>((1/(INDEX(E0!J$4:J$87,C729,1)-INDEX(E0!J$4:J$87,D729,1))))*100000000</f>
        <v>0</v>
      </c>
      <c r="F729" s="4" t="str">
        <f>HYPERLINK("http://141.218.60.56/~jnz1568/getInfo.php?workbook=18_16.xlsx&amp;sheet=A0&amp;row=729&amp;col=6&amp;number=0.75635&amp;sourceID=48","0.75635")</f>
        <v>0.75635</v>
      </c>
      <c r="G729" s="4" t="str">
        <f>HYPERLINK("http://141.218.60.56/~jnz1568/getInfo.php?workbook=18_16.xlsx&amp;sheet=A0&amp;row=729&amp;col=7&amp;number=&amp;sourceID=49","")</f>
        <v/>
      </c>
      <c r="H729" s="4" t="str">
        <f>HYPERLINK("http://141.218.60.56/~jnz1568/getInfo.php?workbook=18_16.xlsx&amp;sheet=A0&amp;row=729&amp;col=8&amp;number=&amp;sourceID=49","")</f>
        <v/>
      </c>
    </row>
    <row r="730" spans="1:8">
      <c r="A730" s="3">
        <v>18</v>
      </c>
      <c r="B730" s="3">
        <v>16</v>
      </c>
      <c r="C730" s="3">
        <v>75</v>
      </c>
      <c r="D730" s="3">
        <v>50</v>
      </c>
      <c r="E730" s="3">
        <f>((1/(INDEX(E0!J$4:J$87,C730,1)-INDEX(E0!J$4:J$87,D730,1))))*100000000</f>
        <v>0</v>
      </c>
      <c r="F730" s="4" t="str">
        <f>HYPERLINK("http://141.218.60.56/~jnz1568/getInfo.php?workbook=18_16.xlsx&amp;sheet=A0&amp;row=730&amp;col=6&amp;number=1632.5&amp;sourceID=48","1632.5")</f>
        <v>1632.5</v>
      </c>
      <c r="G730" s="4" t="str">
        <f>HYPERLINK("http://141.218.60.56/~jnz1568/getInfo.php?workbook=18_16.xlsx&amp;sheet=A0&amp;row=730&amp;col=7&amp;number=&amp;sourceID=49","")</f>
        <v/>
      </c>
      <c r="H730" s="4" t="str">
        <f>HYPERLINK("http://141.218.60.56/~jnz1568/getInfo.php?workbook=18_16.xlsx&amp;sheet=A0&amp;row=730&amp;col=8&amp;number=&amp;sourceID=49","")</f>
        <v/>
      </c>
    </row>
    <row r="731" spans="1:8">
      <c r="A731" s="3">
        <v>18</v>
      </c>
      <c r="B731" s="3">
        <v>16</v>
      </c>
      <c r="C731" s="3">
        <v>75</v>
      </c>
      <c r="D731" s="3">
        <v>51</v>
      </c>
      <c r="E731" s="3">
        <f>((1/(INDEX(E0!J$4:J$87,C731,1)-INDEX(E0!J$4:J$87,D731,1))))*100000000</f>
        <v>0</v>
      </c>
      <c r="F731" s="4" t="str">
        <f>HYPERLINK("http://141.218.60.56/~jnz1568/getInfo.php?workbook=18_16.xlsx&amp;sheet=A0&amp;row=731&amp;col=6&amp;number=110.97&amp;sourceID=48","110.97")</f>
        <v>110.97</v>
      </c>
      <c r="G731" s="4" t="str">
        <f>HYPERLINK("http://141.218.60.56/~jnz1568/getInfo.php?workbook=18_16.xlsx&amp;sheet=A0&amp;row=731&amp;col=7&amp;number=&amp;sourceID=49","")</f>
        <v/>
      </c>
      <c r="H731" s="4" t="str">
        <f>HYPERLINK("http://141.218.60.56/~jnz1568/getInfo.php?workbook=18_16.xlsx&amp;sheet=A0&amp;row=731&amp;col=8&amp;number=&amp;sourceID=49","")</f>
        <v/>
      </c>
    </row>
    <row r="732" spans="1:8">
      <c r="A732" s="3">
        <v>18</v>
      </c>
      <c r="B732" s="3">
        <v>16</v>
      </c>
      <c r="C732" s="3">
        <v>75</v>
      </c>
      <c r="D732" s="3">
        <v>52</v>
      </c>
      <c r="E732" s="3">
        <f>((1/(INDEX(E0!J$4:J$87,C732,1)-INDEX(E0!J$4:J$87,D732,1))))*100000000</f>
        <v>0</v>
      </c>
      <c r="F732" s="4" t="str">
        <f>HYPERLINK("http://141.218.60.56/~jnz1568/getInfo.php?workbook=18_16.xlsx&amp;sheet=A0&amp;row=732&amp;col=6&amp;number=19140&amp;sourceID=48","19140")</f>
        <v>19140</v>
      </c>
      <c r="G732" s="4" t="str">
        <f>HYPERLINK("http://141.218.60.56/~jnz1568/getInfo.php?workbook=18_16.xlsx&amp;sheet=A0&amp;row=732&amp;col=7&amp;number=&amp;sourceID=49","")</f>
        <v/>
      </c>
      <c r="H732" s="4" t="str">
        <f>HYPERLINK("http://141.218.60.56/~jnz1568/getInfo.php?workbook=18_16.xlsx&amp;sheet=A0&amp;row=732&amp;col=8&amp;number=&amp;sourceID=49","")</f>
        <v/>
      </c>
    </row>
    <row r="733" spans="1:8">
      <c r="A733" s="3">
        <v>18</v>
      </c>
      <c r="B733" s="3">
        <v>16</v>
      </c>
      <c r="C733" s="3">
        <v>75</v>
      </c>
      <c r="D733" s="3">
        <v>62</v>
      </c>
      <c r="E733" s="3">
        <f>((1/(INDEX(E0!J$4:J$87,C733,1)-INDEX(E0!J$4:J$87,D733,1))))*100000000</f>
        <v>0</v>
      </c>
      <c r="F733" s="4" t="str">
        <f>HYPERLINK("http://141.218.60.56/~jnz1568/getInfo.php?workbook=18_16.xlsx&amp;sheet=A0&amp;row=733&amp;col=6&amp;number=661490&amp;sourceID=48","661490")</f>
        <v>661490</v>
      </c>
      <c r="G733" s="4" t="str">
        <f>HYPERLINK("http://141.218.60.56/~jnz1568/getInfo.php?workbook=18_16.xlsx&amp;sheet=A0&amp;row=733&amp;col=7&amp;number=&amp;sourceID=49","")</f>
        <v/>
      </c>
      <c r="H733" s="4" t="str">
        <f>HYPERLINK("http://141.218.60.56/~jnz1568/getInfo.php?workbook=18_16.xlsx&amp;sheet=A0&amp;row=733&amp;col=8&amp;number=&amp;sourceID=49","")</f>
        <v/>
      </c>
    </row>
    <row r="734" spans="1:8">
      <c r="A734" s="3">
        <v>18</v>
      </c>
      <c r="B734" s="3">
        <v>16</v>
      </c>
      <c r="C734" s="3">
        <v>75</v>
      </c>
      <c r="D734" s="3">
        <v>64</v>
      </c>
      <c r="E734" s="3">
        <f>((1/(INDEX(E0!J$4:J$87,C734,1)-INDEX(E0!J$4:J$87,D734,1))))*100000000</f>
        <v>0</v>
      </c>
      <c r="F734" s="4" t="str">
        <f>HYPERLINK("http://141.218.60.56/~jnz1568/getInfo.php?workbook=18_16.xlsx&amp;sheet=A0&amp;row=734&amp;col=6&amp;number=2.5342&amp;sourceID=48","2.5342")</f>
        <v>2.5342</v>
      </c>
      <c r="G734" s="4" t="str">
        <f>HYPERLINK("http://141.218.60.56/~jnz1568/getInfo.php?workbook=18_16.xlsx&amp;sheet=A0&amp;row=734&amp;col=7&amp;number=&amp;sourceID=49","")</f>
        <v/>
      </c>
      <c r="H734" s="4" t="str">
        <f>HYPERLINK("http://141.218.60.56/~jnz1568/getInfo.php?workbook=18_16.xlsx&amp;sheet=A0&amp;row=734&amp;col=8&amp;number=&amp;sourceID=49","")</f>
        <v/>
      </c>
    </row>
    <row r="735" spans="1:8">
      <c r="A735" s="3">
        <v>18</v>
      </c>
      <c r="B735" s="3">
        <v>16</v>
      </c>
      <c r="C735" s="3">
        <v>75</v>
      </c>
      <c r="D735" s="3">
        <v>65</v>
      </c>
      <c r="E735" s="3">
        <f>((1/(INDEX(E0!J$4:J$87,C735,1)-INDEX(E0!J$4:J$87,D735,1))))*100000000</f>
        <v>0</v>
      </c>
      <c r="F735" s="4" t="str">
        <f>HYPERLINK("http://141.218.60.56/~jnz1568/getInfo.php?workbook=18_16.xlsx&amp;sheet=A0&amp;row=735&amp;col=6&amp;number=25324&amp;sourceID=48","25324")</f>
        <v>25324</v>
      </c>
      <c r="G735" s="4" t="str">
        <f>HYPERLINK("http://141.218.60.56/~jnz1568/getInfo.php?workbook=18_16.xlsx&amp;sheet=A0&amp;row=735&amp;col=7&amp;number=&amp;sourceID=49","")</f>
        <v/>
      </c>
      <c r="H735" s="4" t="str">
        <f>HYPERLINK("http://141.218.60.56/~jnz1568/getInfo.php?workbook=18_16.xlsx&amp;sheet=A0&amp;row=735&amp;col=8&amp;number=&amp;sourceID=49","")</f>
        <v/>
      </c>
    </row>
    <row r="736" spans="1:8">
      <c r="A736" s="3">
        <v>18</v>
      </c>
      <c r="B736" s="3">
        <v>16</v>
      </c>
      <c r="C736" s="3">
        <v>75</v>
      </c>
      <c r="D736" s="3">
        <v>67</v>
      </c>
      <c r="E736" s="3">
        <f>((1/(INDEX(E0!J$4:J$87,C736,1)-INDEX(E0!J$4:J$87,D736,1))))*100000000</f>
        <v>0</v>
      </c>
      <c r="F736" s="4" t="str">
        <f>HYPERLINK("http://141.218.60.56/~jnz1568/getInfo.php?workbook=18_16.xlsx&amp;sheet=A0&amp;row=736&amp;col=6&amp;number=553.65&amp;sourceID=48","553.65")</f>
        <v>553.65</v>
      </c>
      <c r="G736" s="4" t="str">
        <f>HYPERLINK("http://141.218.60.56/~jnz1568/getInfo.php?workbook=18_16.xlsx&amp;sheet=A0&amp;row=736&amp;col=7&amp;number=&amp;sourceID=49","")</f>
        <v/>
      </c>
      <c r="H736" s="4" t="str">
        <f>HYPERLINK("http://141.218.60.56/~jnz1568/getInfo.php?workbook=18_16.xlsx&amp;sheet=A0&amp;row=736&amp;col=8&amp;number=&amp;sourceID=49","")</f>
        <v/>
      </c>
    </row>
    <row r="737" spans="1:8">
      <c r="A737" s="3">
        <v>18</v>
      </c>
      <c r="B737" s="3">
        <v>16</v>
      </c>
      <c r="C737" s="3">
        <v>75</v>
      </c>
      <c r="D737" s="3">
        <v>71</v>
      </c>
      <c r="E737" s="3">
        <f>((1/(INDEX(E0!J$4:J$87,C737,1)-INDEX(E0!J$4:J$87,D737,1))))*100000000</f>
        <v>0</v>
      </c>
      <c r="F737" s="4" t="str">
        <f>HYPERLINK("http://141.218.60.56/~jnz1568/getInfo.php?workbook=18_16.xlsx&amp;sheet=A0&amp;row=737&amp;col=6&amp;number=26.672&amp;sourceID=48","26.672")</f>
        <v>26.672</v>
      </c>
      <c r="G737" s="4" t="str">
        <f>HYPERLINK("http://141.218.60.56/~jnz1568/getInfo.php?workbook=18_16.xlsx&amp;sheet=A0&amp;row=737&amp;col=7&amp;number=&amp;sourceID=49","")</f>
        <v/>
      </c>
      <c r="H737" s="4" t="str">
        <f>HYPERLINK("http://141.218.60.56/~jnz1568/getInfo.php?workbook=18_16.xlsx&amp;sheet=A0&amp;row=737&amp;col=8&amp;number=&amp;sourceID=49","")</f>
        <v/>
      </c>
    </row>
    <row r="738" spans="1:8">
      <c r="A738" s="3">
        <v>18</v>
      </c>
      <c r="B738" s="3">
        <v>16</v>
      </c>
      <c r="C738" s="3">
        <v>75</v>
      </c>
      <c r="D738" s="3">
        <v>72</v>
      </c>
      <c r="E738" s="3">
        <f>((1/(INDEX(E0!J$4:J$87,C738,1)-INDEX(E0!J$4:J$87,D738,1))))*100000000</f>
        <v>0</v>
      </c>
      <c r="F738" s="4" t="str">
        <f>HYPERLINK("http://141.218.60.56/~jnz1568/getInfo.php?workbook=18_16.xlsx&amp;sheet=A0&amp;row=738&amp;col=6&amp;number=357.38&amp;sourceID=48","357.38")</f>
        <v>357.38</v>
      </c>
      <c r="G738" s="4" t="str">
        <f>HYPERLINK("http://141.218.60.56/~jnz1568/getInfo.php?workbook=18_16.xlsx&amp;sheet=A0&amp;row=738&amp;col=7&amp;number=&amp;sourceID=49","")</f>
        <v/>
      </c>
      <c r="H738" s="4" t="str">
        <f>HYPERLINK("http://141.218.60.56/~jnz1568/getInfo.php?workbook=18_16.xlsx&amp;sheet=A0&amp;row=738&amp;col=8&amp;number=&amp;sourceID=49","")</f>
        <v/>
      </c>
    </row>
    <row r="739" spans="1:8">
      <c r="A739" s="3">
        <v>18</v>
      </c>
      <c r="B739" s="3">
        <v>16</v>
      </c>
      <c r="C739" s="3">
        <v>75</v>
      </c>
      <c r="D739" s="3">
        <v>73</v>
      </c>
      <c r="E739" s="3">
        <f>((1/(INDEX(E0!J$4:J$87,C739,1)-INDEX(E0!J$4:J$87,D739,1))))*100000000</f>
        <v>0</v>
      </c>
      <c r="F739" s="4" t="str">
        <f>HYPERLINK("http://141.218.60.56/~jnz1568/getInfo.php?workbook=18_16.xlsx&amp;sheet=A0&amp;row=739&amp;col=6&amp;number=732.76&amp;sourceID=48","732.76")</f>
        <v>732.76</v>
      </c>
      <c r="G739" s="4" t="str">
        <f>HYPERLINK("http://141.218.60.56/~jnz1568/getInfo.php?workbook=18_16.xlsx&amp;sheet=A0&amp;row=739&amp;col=7&amp;number=&amp;sourceID=49","")</f>
        <v/>
      </c>
      <c r="H739" s="4" t="str">
        <f>HYPERLINK("http://141.218.60.56/~jnz1568/getInfo.php?workbook=18_16.xlsx&amp;sheet=A0&amp;row=739&amp;col=8&amp;number=&amp;sourceID=49","")</f>
        <v/>
      </c>
    </row>
    <row r="740" spans="1:8">
      <c r="A740" s="3">
        <v>18</v>
      </c>
      <c r="B740" s="3">
        <v>16</v>
      </c>
      <c r="C740" s="3">
        <v>75</v>
      </c>
      <c r="D740" s="3">
        <v>74</v>
      </c>
      <c r="E740" s="3">
        <f>((1/(INDEX(E0!J$4:J$87,C740,1)-INDEX(E0!J$4:J$87,D740,1))))*100000000</f>
        <v>0</v>
      </c>
      <c r="F740" s="4" t="str">
        <f>HYPERLINK("http://141.218.60.56/~jnz1568/getInfo.php?workbook=18_16.xlsx&amp;sheet=A0&amp;row=740&amp;col=6&amp;number=523.36&amp;sourceID=48","523.36")</f>
        <v>523.36</v>
      </c>
      <c r="G740" s="4" t="str">
        <f>HYPERLINK("http://141.218.60.56/~jnz1568/getInfo.php?workbook=18_16.xlsx&amp;sheet=A0&amp;row=740&amp;col=7&amp;number=&amp;sourceID=49","")</f>
        <v/>
      </c>
      <c r="H740" s="4" t="str">
        <f>HYPERLINK("http://141.218.60.56/~jnz1568/getInfo.php?workbook=18_16.xlsx&amp;sheet=A0&amp;row=740&amp;col=8&amp;number=&amp;sourceID=49","")</f>
        <v/>
      </c>
    </row>
    <row r="741" spans="1:8">
      <c r="A741" s="3">
        <v>18</v>
      </c>
      <c r="B741" s="3">
        <v>16</v>
      </c>
      <c r="C741" s="3">
        <v>76</v>
      </c>
      <c r="D741" s="3">
        <v>6</v>
      </c>
      <c r="E741" s="3">
        <f>((1/(INDEX(E0!J$4:J$87,C741,1)-INDEX(E0!J$4:J$87,D741,1))))*100000000</f>
        <v>0</v>
      </c>
      <c r="F741" s="4" t="str">
        <f>HYPERLINK("http://141.218.60.56/~jnz1568/getInfo.php?workbook=18_16.xlsx&amp;sheet=A0&amp;row=741&amp;col=6&amp;number=145040000&amp;sourceID=48","145040000")</f>
        <v>145040000</v>
      </c>
      <c r="G741" s="4" t="str">
        <f>HYPERLINK("http://141.218.60.56/~jnz1568/getInfo.php?workbook=18_16.xlsx&amp;sheet=A0&amp;row=741&amp;col=7&amp;number=&amp;sourceID=49","")</f>
        <v/>
      </c>
      <c r="H741" s="4" t="str">
        <f>HYPERLINK("http://141.218.60.56/~jnz1568/getInfo.php?workbook=18_16.xlsx&amp;sheet=A0&amp;row=741&amp;col=8&amp;number=&amp;sourceID=49","")</f>
        <v/>
      </c>
    </row>
    <row r="742" spans="1:8">
      <c r="A742" s="3">
        <v>18</v>
      </c>
      <c r="B742" s="3">
        <v>16</v>
      </c>
      <c r="C742" s="3">
        <v>76</v>
      </c>
      <c r="D742" s="3">
        <v>7</v>
      </c>
      <c r="E742" s="3">
        <f>((1/(INDEX(E0!J$4:J$87,C742,1)-INDEX(E0!J$4:J$87,D742,1))))*100000000</f>
        <v>0</v>
      </c>
      <c r="F742" s="4" t="str">
        <f>HYPERLINK("http://141.218.60.56/~jnz1568/getInfo.php?workbook=18_16.xlsx&amp;sheet=A0&amp;row=742&amp;col=6&amp;number=131880000&amp;sourceID=48","131880000")</f>
        <v>131880000</v>
      </c>
      <c r="G742" s="4" t="str">
        <f>HYPERLINK("http://141.218.60.56/~jnz1568/getInfo.php?workbook=18_16.xlsx&amp;sheet=A0&amp;row=742&amp;col=7&amp;number=&amp;sourceID=49","")</f>
        <v/>
      </c>
      <c r="H742" s="4" t="str">
        <f>HYPERLINK("http://141.218.60.56/~jnz1568/getInfo.php?workbook=18_16.xlsx&amp;sheet=A0&amp;row=742&amp;col=8&amp;number=&amp;sourceID=49","")</f>
        <v/>
      </c>
    </row>
    <row r="743" spans="1:8">
      <c r="A743" s="3">
        <v>18</v>
      </c>
      <c r="B743" s="3">
        <v>16</v>
      </c>
      <c r="C743" s="3">
        <v>76</v>
      </c>
      <c r="D743" s="3">
        <v>8</v>
      </c>
      <c r="E743" s="3">
        <f>((1/(INDEX(E0!J$4:J$87,C743,1)-INDEX(E0!J$4:J$87,D743,1))))*100000000</f>
        <v>0</v>
      </c>
      <c r="F743" s="4" t="str">
        <f>HYPERLINK("http://141.218.60.56/~jnz1568/getInfo.php?workbook=18_16.xlsx&amp;sheet=A0&amp;row=743&amp;col=6&amp;number=46602000&amp;sourceID=48","46602000")</f>
        <v>46602000</v>
      </c>
      <c r="G743" s="4" t="str">
        <f>HYPERLINK("http://141.218.60.56/~jnz1568/getInfo.php?workbook=18_16.xlsx&amp;sheet=A0&amp;row=743&amp;col=7&amp;number=&amp;sourceID=49","")</f>
        <v/>
      </c>
      <c r="H743" s="4" t="str">
        <f>HYPERLINK("http://141.218.60.56/~jnz1568/getInfo.php?workbook=18_16.xlsx&amp;sheet=A0&amp;row=743&amp;col=8&amp;number=&amp;sourceID=49","")</f>
        <v/>
      </c>
    </row>
    <row r="744" spans="1:8">
      <c r="A744" s="3">
        <v>18</v>
      </c>
      <c r="B744" s="3">
        <v>16</v>
      </c>
      <c r="C744" s="3">
        <v>76</v>
      </c>
      <c r="D744" s="3">
        <v>9</v>
      </c>
      <c r="E744" s="3">
        <f>((1/(INDEX(E0!J$4:J$87,C744,1)-INDEX(E0!J$4:J$87,D744,1))))*100000000</f>
        <v>0</v>
      </c>
      <c r="F744" s="4" t="str">
        <f>HYPERLINK("http://141.218.60.56/~jnz1568/getInfo.php?workbook=18_16.xlsx&amp;sheet=A0&amp;row=744&amp;col=6&amp;number=307630&amp;sourceID=48","307630")</f>
        <v>307630</v>
      </c>
      <c r="G744" s="4" t="str">
        <f>HYPERLINK("http://141.218.60.56/~jnz1568/getInfo.php?workbook=18_16.xlsx&amp;sheet=A0&amp;row=744&amp;col=7&amp;number=&amp;sourceID=49","")</f>
        <v/>
      </c>
      <c r="H744" s="4" t="str">
        <f>HYPERLINK("http://141.218.60.56/~jnz1568/getInfo.php?workbook=18_16.xlsx&amp;sheet=A0&amp;row=744&amp;col=8&amp;number=&amp;sourceID=49","")</f>
        <v/>
      </c>
    </row>
    <row r="745" spans="1:8">
      <c r="A745" s="3">
        <v>18</v>
      </c>
      <c r="B745" s="3">
        <v>16</v>
      </c>
      <c r="C745" s="3">
        <v>76</v>
      </c>
      <c r="D745" s="3">
        <v>10</v>
      </c>
      <c r="E745" s="3">
        <f>((1/(INDEX(E0!J$4:J$87,C745,1)-INDEX(E0!J$4:J$87,D745,1))))*100000000</f>
        <v>0</v>
      </c>
      <c r="F745" s="4" t="str">
        <f>HYPERLINK("http://141.218.60.56/~jnz1568/getInfo.php?workbook=18_16.xlsx&amp;sheet=A0&amp;row=745&amp;col=6&amp;number=54218&amp;sourceID=48","54218")</f>
        <v>54218</v>
      </c>
      <c r="G745" s="4" t="str">
        <f>HYPERLINK("http://141.218.60.56/~jnz1568/getInfo.php?workbook=18_16.xlsx&amp;sheet=A0&amp;row=745&amp;col=7&amp;number=&amp;sourceID=49","")</f>
        <v/>
      </c>
      <c r="H745" s="4" t="str">
        <f>HYPERLINK("http://141.218.60.56/~jnz1568/getInfo.php?workbook=18_16.xlsx&amp;sheet=A0&amp;row=745&amp;col=8&amp;number=&amp;sourceID=49","")</f>
        <v/>
      </c>
    </row>
    <row r="746" spans="1:8">
      <c r="A746" s="3">
        <v>18</v>
      </c>
      <c r="B746" s="3">
        <v>16</v>
      </c>
      <c r="C746" s="3">
        <v>76</v>
      </c>
      <c r="D746" s="3">
        <v>11</v>
      </c>
      <c r="E746" s="3">
        <f>((1/(INDEX(E0!J$4:J$87,C746,1)-INDEX(E0!J$4:J$87,D746,1))))*100000000</f>
        <v>0</v>
      </c>
      <c r="F746" s="4" t="str">
        <f>HYPERLINK("http://141.218.60.56/~jnz1568/getInfo.php?workbook=18_16.xlsx&amp;sheet=A0&amp;row=746&amp;col=6&amp;number=111190&amp;sourceID=48","111190")</f>
        <v>111190</v>
      </c>
      <c r="G746" s="4" t="str">
        <f>HYPERLINK("http://141.218.60.56/~jnz1568/getInfo.php?workbook=18_16.xlsx&amp;sheet=A0&amp;row=746&amp;col=7&amp;number=&amp;sourceID=49","")</f>
        <v/>
      </c>
      <c r="H746" s="4" t="str">
        <f>HYPERLINK("http://141.218.60.56/~jnz1568/getInfo.php?workbook=18_16.xlsx&amp;sheet=A0&amp;row=746&amp;col=8&amp;number=&amp;sourceID=49","")</f>
        <v/>
      </c>
    </row>
    <row r="747" spans="1:8">
      <c r="A747" s="3">
        <v>18</v>
      </c>
      <c r="B747" s="3">
        <v>16</v>
      </c>
      <c r="C747" s="3">
        <v>76</v>
      </c>
      <c r="D747" s="3">
        <v>12</v>
      </c>
      <c r="E747" s="3">
        <f>((1/(INDEX(E0!J$4:J$87,C747,1)-INDEX(E0!J$4:J$87,D747,1))))*100000000</f>
        <v>0</v>
      </c>
      <c r="F747" s="4" t="str">
        <f>HYPERLINK("http://141.218.60.56/~jnz1568/getInfo.php?workbook=18_16.xlsx&amp;sheet=A0&amp;row=747&amp;col=6&amp;number=80153&amp;sourceID=48","80153")</f>
        <v>80153</v>
      </c>
      <c r="G747" s="4" t="str">
        <f>HYPERLINK("http://141.218.60.56/~jnz1568/getInfo.php?workbook=18_16.xlsx&amp;sheet=A0&amp;row=747&amp;col=7&amp;number=&amp;sourceID=49","")</f>
        <v/>
      </c>
      <c r="H747" s="4" t="str">
        <f>HYPERLINK("http://141.218.60.56/~jnz1568/getInfo.php?workbook=18_16.xlsx&amp;sheet=A0&amp;row=747&amp;col=8&amp;number=&amp;sourceID=49","")</f>
        <v/>
      </c>
    </row>
    <row r="748" spans="1:8">
      <c r="A748" s="3">
        <v>18</v>
      </c>
      <c r="B748" s="3">
        <v>16</v>
      </c>
      <c r="C748" s="3">
        <v>76</v>
      </c>
      <c r="D748" s="3">
        <v>16</v>
      </c>
      <c r="E748" s="3">
        <f>((1/(INDEX(E0!J$4:J$87,C748,1)-INDEX(E0!J$4:J$87,D748,1))))*100000000</f>
        <v>0</v>
      </c>
      <c r="F748" s="4" t="str">
        <f>HYPERLINK("http://141.218.60.56/~jnz1568/getInfo.php?workbook=18_16.xlsx&amp;sheet=A0&amp;row=748&amp;col=6&amp;number=563640&amp;sourceID=48","563640")</f>
        <v>563640</v>
      </c>
      <c r="G748" s="4" t="str">
        <f>HYPERLINK("http://141.218.60.56/~jnz1568/getInfo.php?workbook=18_16.xlsx&amp;sheet=A0&amp;row=748&amp;col=7&amp;number=&amp;sourceID=49","")</f>
        <v/>
      </c>
      <c r="H748" s="4" t="str">
        <f>HYPERLINK("http://141.218.60.56/~jnz1568/getInfo.php?workbook=18_16.xlsx&amp;sheet=A0&amp;row=748&amp;col=8&amp;number=&amp;sourceID=49","")</f>
        <v/>
      </c>
    </row>
    <row r="749" spans="1:8">
      <c r="A749" s="3">
        <v>18</v>
      </c>
      <c r="B749" s="3">
        <v>16</v>
      </c>
      <c r="C749" s="3">
        <v>76</v>
      </c>
      <c r="D749" s="3">
        <v>17</v>
      </c>
      <c r="E749" s="3">
        <f>((1/(INDEX(E0!J$4:J$87,C749,1)-INDEX(E0!J$4:J$87,D749,1))))*100000000</f>
        <v>0</v>
      </c>
      <c r="F749" s="4" t="str">
        <f>HYPERLINK("http://141.218.60.56/~jnz1568/getInfo.php?workbook=18_16.xlsx&amp;sheet=A0&amp;row=749&amp;col=6&amp;number=219050&amp;sourceID=48","219050")</f>
        <v>219050</v>
      </c>
      <c r="G749" s="4" t="str">
        <f>HYPERLINK("http://141.218.60.56/~jnz1568/getInfo.php?workbook=18_16.xlsx&amp;sheet=A0&amp;row=749&amp;col=7&amp;number=&amp;sourceID=49","")</f>
        <v/>
      </c>
      <c r="H749" s="4" t="str">
        <f>HYPERLINK("http://141.218.60.56/~jnz1568/getInfo.php?workbook=18_16.xlsx&amp;sheet=A0&amp;row=749&amp;col=8&amp;number=&amp;sourceID=49","")</f>
        <v/>
      </c>
    </row>
    <row r="750" spans="1:8">
      <c r="A750" s="3">
        <v>18</v>
      </c>
      <c r="B750" s="3">
        <v>16</v>
      </c>
      <c r="C750" s="3">
        <v>76</v>
      </c>
      <c r="D750" s="3">
        <v>18</v>
      </c>
      <c r="E750" s="3">
        <f>((1/(INDEX(E0!J$4:J$87,C750,1)-INDEX(E0!J$4:J$87,D750,1))))*100000000</f>
        <v>0</v>
      </c>
      <c r="F750" s="4" t="str">
        <f>HYPERLINK("http://141.218.60.56/~jnz1568/getInfo.php?workbook=18_16.xlsx&amp;sheet=A0&amp;row=750&amp;col=6&amp;number=7959.5&amp;sourceID=48","7959.5")</f>
        <v>7959.5</v>
      </c>
      <c r="G750" s="4" t="str">
        <f>HYPERLINK("http://141.218.60.56/~jnz1568/getInfo.php?workbook=18_16.xlsx&amp;sheet=A0&amp;row=750&amp;col=7&amp;number=&amp;sourceID=49","")</f>
        <v/>
      </c>
      <c r="H750" s="4" t="str">
        <f>HYPERLINK("http://141.218.60.56/~jnz1568/getInfo.php?workbook=18_16.xlsx&amp;sheet=A0&amp;row=750&amp;col=8&amp;number=&amp;sourceID=49","")</f>
        <v/>
      </c>
    </row>
    <row r="751" spans="1:8">
      <c r="A751" s="3">
        <v>18</v>
      </c>
      <c r="B751" s="3">
        <v>16</v>
      </c>
      <c r="C751" s="3">
        <v>76</v>
      </c>
      <c r="D751" s="3">
        <v>19</v>
      </c>
      <c r="E751" s="3">
        <f>((1/(INDEX(E0!J$4:J$87,C751,1)-INDEX(E0!J$4:J$87,D751,1))))*100000000</f>
        <v>0</v>
      </c>
      <c r="F751" s="4" t="str">
        <f>HYPERLINK("http://141.218.60.56/~jnz1568/getInfo.php?workbook=18_16.xlsx&amp;sheet=A0&amp;row=751&amp;col=6&amp;number=44.982&amp;sourceID=48","44.982")</f>
        <v>44.982</v>
      </c>
      <c r="G751" s="4" t="str">
        <f>HYPERLINK("http://141.218.60.56/~jnz1568/getInfo.php?workbook=18_16.xlsx&amp;sheet=A0&amp;row=751&amp;col=7&amp;number=&amp;sourceID=49","")</f>
        <v/>
      </c>
      <c r="H751" s="4" t="str">
        <f>HYPERLINK("http://141.218.60.56/~jnz1568/getInfo.php?workbook=18_16.xlsx&amp;sheet=A0&amp;row=751&amp;col=8&amp;number=&amp;sourceID=49","")</f>
        <v/>
      </c>
    </row>
    <row r="752" spans="1:8">
      <c r="A752" s="3">
        <v>18</v>
      </c>
      <c r="B752" s="3">
        <v>16</v>
      </c>
      <c r="C752" s="3">
        <v>76</v>
      </c>
      <c r="D752" s="3">
        <v>25</v>
      </c>
      <c r="E752" s="3">
        <f>((1/(INDEX(E0!J$4:J$87,C752,1)-INDEX(E0!J$4:J$87,D752,1))))*100000000</f>
        <v>0</v>
      </c>
      <c r="F752" s="4" t="str">
        <f>HYPERLINK("http://141.218.60.56/~jnz1568/getInfo.php?workbook=18_16.xlsx&amp;sheet=A0&amp;row=752&amp;col=6&amp;number=2437.4&amp;sourceID=48","2437.4")</f>
        <v>2437.4</v>
      </c>
      <c r="G752" s="4" t="str">
        <f>HYPERLINK("http://141.218.60.56/~jnz1568/getInfo.php?workbook=18_16.xlsx&amp;sheet=A0&amp;row=752&amp;col=7&amp;number=&amp;sourceID=49","")</f>
        <v/>
      </c>
      <c r="H752" s="4" t="str">
        <f>HYPERLINK("http://141.218.60.56/~jnz1568/getInfo.php?workbook=18_16.xlsx&amp;sheet=A0&amp;row=752&amp;col=8&amp;number=&amp;sourceID=49","")</f>
        <v/>
      </c>
    </row>
    <row r="753" spans="1:8">
      <c r="A753" s="3">
        <v>18</v>
      </c>
      <c r="B753" s="3">
        <v>16</v>
      </c>
      <c r="C753" s="3">
        <v>76</v>
      </c>
      <c r="D753" s="3">
        <v>27</v>
      </c>
      <c r="E753" s="3">
        <f>((1/(INDEX(E0!J$4:J$87,C753,1)-INDEX(E0!J$4:J$87,D753,1))))*100000000</f>
        <v>0</v>
      </c>
      <c r="F753" s="4" t="str">
        <f>HYPERLINK("http://141.218.60.56/~jnz1568/getInfo.php?workbook=18_16.xlsx&amp;sheet=A0&amp;row=753&amp;col=6&amp;number=298670&amp;sourceID=48","298670")</f>
        <v>298670</v>
      </c>
      <c r="G753" s="4" t="str">
        <f>HYPERLINK("http://141.218.60.56/~jnz1568/getInfo.php?workbook=18_16.xlsx&amp;sheet=A0&amp;row=753&amp;col=7&amp;number=&amp;sourceID=49","")</f>
        <v/>
      </c>
      <c r="H753" s="4" t="str">
        <f>HYPERLINK("http://141.218.60.56/~jnz1568/getInfo.php?workbook=18_16.xlsx&amp;sheet=A0&amp;row=753&amp;col=8&amp;number=&amp;sourceID=49","")</f>
        <v/>
      </c>
    </row>
    <row r="754" spans="1:8">
      <c r="A754" s="3">
        <v>18</v>
      </c>
      <c r="B754" s="3">
        <v>16</v>
      </c>
      <c r="C754" s="3">
        <v>76</v>
      </c>
      <c r="D754" s="3">
        <v>28</v>
      </c>
      <c r="E754" s="3">
        <f>((1/(INDEX(E0!J$4:J$87,C754,1)-INDEX(E0!J$4:J$87,D754,1))))*100000000</f>
        <v>0</v>
      </c>
      <c r="F754" s="4" t="str">
        <f>HYPERLINK("http://141.218.60.56/~jnz1568/getInfo.php?workbook=18_16.xlsx&amp;sheet=A0&amp;row=754&amp;col=6&amp;number=768700&amp;sourceID=48","768700")</f>
        <v>768700</v>
      </c>
      <c r="G754" s="4" t="str">
        <f>HYPERLINK("http://141.218.60.56/~jnz1568/getInfo.php?workbook=18_16.xlsx&amp;sheet=A0&amp;row=754&amp;col=7&amp;number=&amp;sourceID=49","")</f>
        <v/>
      </c>
      <c r="H754" s="4" t="str">
        <f>HYPERLINK("http://141.218.60.56/~jnz1568/getInfo.php?workbook=18_16.xlsx&amp;sheet=A0&amp;row=754&amp;col=8&amp;number=&amp;sourceID=49","")</f>
        <v/>
      </c>
    </row>
    <row r="755" spans="1:8">
      <c r="A755" s="3">
        <v>18</v>
      </c>
      <c r="B755" s="3">
        <v>16</v>
      </c>
      <c r="C755" s="3">
        <v>76</v>
      </c>
      <c r="D755" s="3">
        <v>31</v>
      </c>
      <c r="E755" s="3">
        <f>((1/(INDEX(E0!J$4:J$87,C755,1)-INDEX(E0!J$4:J$87,D755,1))))*100000000</f>
        <v>0</v>
      </c>
      <c r="F755" s="4" t="str">
        <f>HYPERLINK("http://141.218.60.56/~jnz1568/getInfo.php?workbook=18_16.xlsx&amp;sheet=A0&amp;row=755&amp;col=6&amp;number=10126&amp;sourceID=48","10126")</f>
        <v>10126</v>
      </c>
      <c r="G755" s="4" t="str">
        <f>HYPERLINK("http://141.218.60.56/~jnz1568/getInfo.php?workbook=18_16.xlsx&amp;sheet=A0&amp;row=755&amp;col=7&amp;number=&amp;sourceID=49","")</f>
        <v/>
      </c>
      <c r="H755" s="4" t="str">
        <f>HYPERLINK("http://141.218.60.56/~jnz1568/getInfo.php?workbook=18_16.xlsx&amp;sheet=A0&amp;row=755&amp;col=8&amp;number=&amp;sourceID=49","")</f>
        <v/>
      </c>
    </row>
    <row r="756" spans="1:8">
      <c r="A756" s="3">
        <v>18</v>
      </c>
      <c r="B756" s="3">
        <v>16</v>
      </c>
      <c r="C756" s="3">
        <v>76</v>
      </c>
      <c r="D756" s="3">
        <v>32</v>
      </c>
      <c r="E756" s="3">
        <f>((1/(INDEX(E0!J$4:J$87,C756,1)-INDEX(E0!J$4:J$87,D756,1))))*100000000</f>
        <v>0</v>
      </c>
      <c r="F756" s="4" t="str">
        <f>HYPERLINK("http://141.218.60.56/~jnz1568/getInfo.php?workbook=18_16.xlsx&amp;sheet=A0&amp;row=756&amp;col=6&amp;number=68383&amp;sourceID=48","68383")</f>
        <v>68383</v>
      </c>
      <c r="G756" s="4" t="str">
        <f>HYPERLINK("http://141.218.60.56/~jnz1568/getInfo.php?workbook=18_16.xlsx&amp;sheet=A0&amp;row=756&amp;col=7&amp;number=&amp;sourceID=49","")</f>
        <v/>
      </c>
      <c r="H756" s="4" t="str">
        <f>HYPERLINK("http://141.218.60.56/~jnz1568/getInfo.php?workbook=18_16.xlsx&amp;sheet=A0&amp;row=756&amp;col=8&amp;number=&amp;sourceID=49","")</f>
        <v/>
      </c>
    </row>
    <row r="757" spans="1:8">
      <c r="A757" s="3">
        <v>18</v>
      </c>
      <c r="B757" s="3">
        <v>16</v>
      </c>
      <c r="C757" s="3">
        <v>76</v>
      </c>
      <c r="D757" s="3">
        <v>33</v>
      </c>
      <c r="E757" s="3">
        <f>((1/(INDEX(E0!J$4:J$87,C757,1)-INDEX(E0!J$4:J$87,D757,1))))*100000000</f>
        <v>0</v>
      </c>
      <c r="F757" s="4" t="str">
        <f>HYPERLINK("http://141.218.60.56/~jnz1568/getInfo.php?workbook=18_16.xlsx&amp;sheet=A0&amp;row=757&amp;col=6&amp;number=129220&amp;sourceID=48","129220")</f>
        <v>129220</v>
      </c>
      <c r="G757" s="4" t="str">
        <f>HYPERLINK("http://141.218.60.56/~jnz1568/getInfo.php?workbook=18_16.xlsx&amp;sheet=A0&amp;row=757&amp;col=7&amp;number=&amp;sourceID=49","")</f>
        <v/>
      </c>
      <c r="H757" s="4" t="str">
        <f>HYPERLINK("http://141.218.60.56/~jnz1568/getInfo.php?workbook=18_16.xlsx&amp;sheet=A0&amp;row=757&amp;col=8&amp;number=&amp;sourceID=49","")</f>
        <v/>
      </c>
    </row>
    <row r="758" spans="1:8">
      <c r="A758" s="3">
        <v>18</v>
      </c>
      <c r="B758" s="3">
        <v>16</v>
      </c>
      <c r="C758" s="3">
        <v>76</v>
      </c>
      <c r="D758" s="3">
        <v>34</v>
      </c>
      <c r="E758" s="3">
        <f>((1/(INDEX(E0!J$4:J$87,C758,1)-INDEX(E0!J$4:J$87,D758,1))))*100000000</f>
        <v>0</v>
      </c>
      <c r="F758" s="4" t="str">
        <f>HYPERLINK("http://141.218.60.56/~jnz1568/getInfo.php?workbook=18_16.xlsx&amp;sheet=A0&amp;row=758&amp;col=6&amp;number=26576000&amp;sourceID=48","26576000")</f>
        <v>26576000</v>
      </c>
      <c r="G758" s="4" t="str">
        <f>HYPERLINK("http://141.218.60.56/~jnz1568/getInfo.php?workbook=18_16.xlsx&amp;sheet=A0&amp;row=758&amp;col=7&amp;number=&amp;sourceID=49","")</f>
        <v/>
      </c>
      <c r="H758" s="4" t="str">
        <f>HYPERLINK("http://141.218.60.56/~jnz1568/getInfo.php?workbook=18_16.xlsx&amp;sheet=A0&amp;row=758&amp;col=8&amp;number=&amp;sourceID=49","")</f>
        <v/>
      </c>
    </row>
    <row r="759" spans="1:8">
      <c r="A759" s="3">
        <v>18</v>
      </c>
      <c r="B759" s="3">
        <v>16</v>
      </c>
      <c r="C759" s="3">
        <v>76</v>
      </c>
      <c r="D759" s="3">
        <v>35</v>
      </c>
      <c r="E759" s="3">
        <f>((1/(INDEX(E0!J$4:J$87,C759,1)-INDEX(E0!J$4:J$87,D759,1))))*100000000</f>
        <v>0</v>
      </c>
      <c r="F759" s="4" t="str">
        <f>HYPERLINK("http://141.218.60.56/~jnz1568/getInfo.php?workbook=18_16.xlsx&amp;sheet=A0&amp;row=759&amp;col=6&amp;number=83589000&amp;sourceID=48","83589000")</f>
        <v>83589000</v>
      </c>
      <c r="G759" s="4" t="str">
        <f>HYPERLINK("http://141.218.60.56/~jnz1568/getInfo.php?workbook=18_16.xlsx&amp;sheet=A0&amp;row=759&amp;col=7&amp;number=&amp;sourceID=49","")</f>
        <v/>
      </c>
      <c r="H759" s="4" t="str">
        <f>HYPERLINK("http://141.218.60.56/~jnz1568/getInfo.php?workbook=18_16.xlsx&amp;sheet=A0&amp;row=759&amp;col=8&amp;number=&amp;sourceID=49","")</f>
        <v/>
      </c>
    </row>
    <row r="760" spans="1:8">
      <c r="A760" s="3">
        <v>18</v>
      </c>
      <c r="B760" s="3">
        <v>16</v>
      </c>
      <c r="C760" s="3">
        <v>76</v>
      </c>
      <c r="D760" s="3">
        <v>37</v>
      </c>
      <c r="E760" s="3">
        <f>((1/(INDEX(E0!J$4:J$87,C760,1)-INDEX(E0!J$4:J$87,D760,1))))*100000000</f>
        <v>0</v>
      </c>
      <c r="F760" s="4" t="str">
        <f>HYPERLINK("http://141.218.60.56/~jnz1568/getInfo.php?workbook=18_16.xlsx&amp;sheet=A0&amp;row=760&amp;col=6&amp;number=129870000&amp;sourceID=48","129870000")</f>
        <v>129870000</v>
      </c>
      <c r="G760" s="4" t="str">
        <f>HYPERLINK("http://141.218.60.56/~jnz1568/getInfo.php?workbook=18_16.xlsx&amp;sheet=A0&amp;row=760&amp;col=7&amp;number=&amp;sourceID=49","")</f>
        <v/>
      </c>
      <c r="H760" s="4" t="str">
        <f>HYPERLINK("http://141.218.60.56/~jnz1568/getInfo.php?workbook=18_16.xlsx&amp;sheet=A0&amp;row=760&amp;col=8&amp;number=&amp;sourceID=49","")</f>
        <v/>
      </c>
    </row>
    <row r="761" spans="1:8">
      <c r="A761" s="3">
        <v>18</v>
      </c>
      <c r="B761" s="3">
        <v>16</v>
      </c>
      <c r="C761" s="3">
        <v>76</v>
      </c>
      <c r="D761" s="3">
        <v>38</v>
      </c>
      <c r="E761" s="3">
        <f>((1/(INDEX(E0!J$4:J$87,C761,1)-INDEX(E0!J$4:J$87,D761,1))))*100000000</f>
        <v>0</v>
      </c>
      <c r="F761" s="4" t="str">
        <f>HYPERLINK("http://141.218.60.56/~jnz1568/getInfo.php?workbook=18_16.xlsx&amp;sheet=A0&amp;row=761&amp;col=6&amp;number=167620&amp;sourceID=48","167620")</f>
        <v>167620</v>
      </c>
      <c r="G761" s="4" t="str">
        <f>HYPERLINK("http://141.218.60.56/~jnz1568/getInfo.php?workbook=18_16.xlsx&amp;sheet=A0&amp;row=761&amp;col=7&amp;number=&amp;sourceID=49","")</f>
        <v/>
      </c>
      <c r="H761" s="4" t="str">
        <f>HYPERLINK("http://141.218.60.56/~jnz1568/getInfo.php?workbook=18_16.xlsx&amp;sheet=A0&amp;row=761&amp;col=8&amp;number=&amp;sourceID=49","")</f>
        <v/>
      </c>
    </row>
    <row r="762" spans="1:8">
      <c r="A762" s="3">
        <v>18</v>
      </c>
      <c r="B762" s="3">
        <v>16</v>
      </c>
      <c r="C762" s="3">
        <v>76</v>
      </c>
      <c r="D762" s="3">
        <v>39</v>
      </c>
      <c r="E762" s="3">
        <f>((1/(INDEX(E0!J$4:J$87,C762,1)-INDEX(E0!J$4:J$87,D762,1))))*100000000</f>
        <v>0</v>
      </c>
      <c r="F762" s="4" t="str">
        <f>HYPERLINK("http://141.218.60.56/~jnz1568/getInfo.php?workbook=18_16.xlsx&amp;sheet=A0&amp;row=762&amp;col=6&amp;number=445640&amp;sourceID=48","445640")</f>
        <v>445640</v>
      </c>
      <c r="G762" s="4" t="str">
        <f>HYPERLINK("http://141.218.60.56/~jnz1568/getInfo.php?workbook=18_16.xlsx&amp;sheet=A0&amp;row=762&amp;col=7&amp;number=&amp;sourceID=49","")</f>
        <v/>
      </c>
      <c r="H762" s="4" t="str">
        <f>HYPERLINK("http://141.218.60.56/~jnz1568/getInfo.php?workbook=18_16.xlsx&amp;sheet=A0&amp;row=762&amp;col=8&amp;number=&amp;sourceID=49","")</f>
        <v/>
      </c>
    </row>
    <row r="763" spans="1:8">
      <c r="A763" s="3">
        <v>18</v>
      </c>
      <c r="B763" s="3">
        <v>16</v>
      </c>
      <c r="C763" s="3">
        <v>76</v>
      </c>
      <c r="D763" s="3">
        <v>41</v>
      </c>
      <c r="E763" s="3">
        <f>((1/(INDEX(E0!J$4:J$87,C763,1)-INDEX(E0!J$4:J$87,D763,1))))*100000000</f>
        <v>0</v>
      </c>
      <c r="F763" s="4" t="str">
        <f>HYPERLINK("http://141.218.60.56/~jnz1568/getInfo.php?workbook=18_16.xlsx&amp;sheet=A0&amp;row=763&amp;col=6&amp;number=485050&amp;sourceID=48","485050")</f>
        <v>485050</v>
      </c>
      <c r="G763" s="4" t="str">
        <f>HYPERLINK("http://141.218.60.56/~jnz1568/getInfo.php?workbook=18_16.xlsx&amp;sheet=A0&amp;row=763&amp;col=7&amp;number=&amp;sourceID=49","")</f>
        <v/>
      </c>
      <c r="H763" s="4" t="str">
        <f>HYPERLINK("http://141.218.60.56/~jnz1568/getInfo.php?workbook=18_16.xlsx&amp;sheet=A0&amp;row=763&amp;col=8&amp;number=&amp;sourceID=49","")</f>
        <v/>
      </c>
    </row>
    <row r="764" spans="1:8">
      <c r="A764" s="3">
        <v>18</v>
      </c>
      <c r="B764" s="3">
        <v>16</v>
      </c>
      <c r="C764" s="3">
        <v>76</v>
      </c>
      <c r="D764" s="3">
        <v>45</v>
      </c>
      <c r="E764" s="3">
        <f>((1/(INDEX(E0!J$4:J$87,C764,1)-INDEX(E0!J$4:J$87,D764,1))))*100000000</f>
        <v>0</v>
      </c>
      <c r="F764" s="4" t="str">
        <f>HYPERLINK("http://141.218.60.56/~jnz1568/getInfo.php?workbook=18_16.xlsx&amp;sheet=A0&amp;row=764&amp;col=6&amp;number=559980&amp;sourceID=48","559980")</f>
        <v>559980</v>
      </c>
      <c r="G764" s="4" t="str">
        <f>HYPERLINK("http://141.218.60.56/~jnz1568/getInfo.php?workbook=18_16.xlsx&amp;sheet=A0&amp;row=764&amp;col=7&amp;number=&amp;sourceID=49","")</f>
        <v/>
      </c>
      <c r="H764" s="4" t="str">
        <f>HYPERLINK("http://141.218.60.56/~jnz1568/getInfo.php?workbook=18_16.xlsx&amp;sheet=A0&amp;row=764&amp;col=8&amp;number=&amp;sourceID=49","")</f>
        <v/>
      </c>
    </row>
    <row r="765" spans="1:8">
      <c r="A765" s="3">
        <v>18</v>
      </c>
      <c r="B765" s="3">
        <v>16</v>
      </c>
      <c r="C765" s="3">
        <v>76</v>
      </c>
      <c r="D765" s="3">
        <v>47</v>
      </c>
      <c r="E765" s="3">
        <f>((1/(INDEX(E0!J$4:J$87,C765,1)-INDEX(E0!J$4:J$87,D765,1))))*100000000</f>
        <v>0</v>
      </c>
      <c r="F765" s="4" t="str">
        <f>HYPERLINK("http://141.218.60.56/~jnz1568/getInfo.php?workbook=18_16.xlsx&amp;sheet=A0&amp;row=765&amp;col=6&amp;number=68455000&amp;sourceID=48","68455000")</f>
        <v>68455000</v>
      </c>
      <c r="G765" s="4" t="str">
        <f>HYPERLINK("http://141.218.60.56/~jnz1568/getInfo.php?workbook=18_16.xlsx&amp;sheet=A0&amp;row=765&amp;col=7&amp;number=&amp;sourceID=49","")</f>
        <v/>
      </c>
      <c r="H765" s="4" t="str">
        <f>HYPERLINK("http://141.218.60.56/~jnz1568/getInfo.php?workbook=18_16.xlsx&amp;sheet=A0&amp;row=765&amp;col=8&amp;number=&amp;sourceID=49","")</f>
        <v/>
      </c>
    </row>
    <row r="766" spans="1:8">
      <c r="A766" s="3">
        <v>18</v>
      </c>
      <c r="B766" s="3">
        <v>16</v>
      </c>
      <c r="C766" s="3">
        <v>76</v>
      </c>
      <c r="D766" s="3">
        <v>48</v>
      </c>
      <c r="E766" s="3">
        <f>((1/(INDEX(E0!J$4:J$87,C766,1)-INDEX(E0!J$4:J$87,D766,1))))*100000000</f>
        <v>0</v>
      </c>
      <c r="F766" s="4" t="str">
        <f>HYPERLINK("http://141.218.60.56/~jnz1568/getInfo.php?workbook=18_16.xlsx&amp;sheet=A0&amp;row=766&amp;col=6&amp;number=27466000&amp;sourceID=48","27466000")</f>
        <v>27466000</v>
      </c>
      <c r="G766" s="4" t="str">
        <f>HYPERLINK("http://141.218.60.56/~jnz1568/getInfo.php?workbook=18_16.xlsx&amp;sheet=A0&amp;row=766&amp;col=7&amp;number=&amp;sourceID=49","")</f>
        <v/>
      </c>
      <c r="H766" s="4" t="str">
        <f>HYPERLINK("http://141.218.60.56/~jnz1568/getInfo.php?workbook=18_16.xlsx&amp;sheet=A0&amp;row=766&amp;col=8&amp;number=&amp;sourceID=49","")</f>
        <v/>
      </c>
    </row>
    <row r="767" spans="1:8">
      <c r="A767" s="3">
        <v>18</v>
      </c>
      <c r="B767" s="3">
        <v>16</v>
      </c>
      <c r="C767" s="3">
        <v>76</v>
      </c>
      <c r="D767" s="3">
        <v>49</v>
      </c>
      <c r="E767" s="3">
        <f>((1/(INDEX(E0!J$4:J$87,C767,1)-INDEX(E0!J$4:J$87,D767,1))))*100000000</f>
        <v>0</v>
      </c>
      <c r="F767" s="4" t="str">
        <f>HYPERLINK("http://141.218.60.56/~jnz1568/getInfo.php?workbook=18_16.xlsx&amp;sheet=A0&amp;row=767&amp;col=6&amp;number=8307900&amp;sourceID=48","8307900")</f>
        <v>8307900</v>
      </c>
      <c r="G767" s="4" t="str">
        <f>HYPERLINK("http://141.218.60.56/~jnz1568/getInfo.php?workbook=18_16.xlsx&amp;sheet=A0&amp;row=767&amp;col=7&amp;number=&amp;sourceID=49","")</f>
        <v/>
      </c>
      <c r="H767" s="4" t="str">
        <f>HYPERLINK("http://141.218.60.56/~jnz1568/getInfo.php?workbook=18_16.xlsx&amp;sheet=A0&amp;row=767&amp;col=8&amp;number=&amp;sourceID=49","")</f>
        <v/>
      </c>
    </row>
    <row r="768" spans="1:8">
      <c r="A768" s="3">
        <v>18</v>
      </c>
      <c r="B768" s="3">
        <v>16</v>
      </c>
      <c r="C768" s="3">
        <v>76</v>
      </c>
      <c r="D768" s="3">
        <v>54</v>
      </c>
      <c r="E768" s="3">
        <f>((1/(INDEX(E0!J$4:J$87,C768,1)-INDEX(E0!J$4:J$87,D768,1))))*100000000</f>
        <v>0</v>
      </c>
      <c r="F768" s="4" t="str">
        <f>HYPERLINK("http://141.218.60.56/~jnz1568/getInfo.php?workbook=18_16.xlsx&amp;sheet=A0&amp;row=768&amp;col=6&amp;number=1017000&amp;sourceID=48","1017000")</f>
        <v>1017000</v>
      </c>
      <c r="G768" s="4" t="str">
        <f>HYPERLINK("http://141.218.60.56/~jnz1568/getInfo.php?workbook=18_16.xlsx&amp;sheet=A0&amp;row=768&amp;col=7&amp;number=&amp;sourceID=49","")</f>
        <v/>
      </c>
      <c r="H768" s="4" t="str">
        <f>HYPERLINK("http://141.218.60.56/~jnz1568/getInfo.php?workbook=18_16.xlsx&amp;sheet=A0&amp;row=768&amp;col=8&amp;number=&amp;sourceID=49","")</f>
        <v/>
      </c>
    </row>
    <row r="769" spans="1:8">
      <c r="A769" s="3">
        <v>18</v>
      </c>
      <c r="B769" s="3">
        <v>16</v>
      </c>
      <c r="C769" s="3">
        <v>76</v>
      </c>
      <c r="D769" s="3">
        <v>55</v>
      </c>
      <c r="E769" s="3">
        <f>((1/(INDEX(E0!J$4:J$87,C769,1)-INDEX(E0!J$4:J$87,D769,1))))*100000000</f>
        <v>0</v>
      </c>
      <c r="F769" s="4" t="str">
        <f>HYPERLINK("http://141.218.60.56/~jnz1568/getInfo.php?workbook=18_16.xlsx&amp;sheet=A0&amp;row=769&amp;col=6&amp;number=206510&amp;sourceID=48","206510")</f>
        <v>206510</v>
      </c>
      <c r="G769" s="4" t="str">
        <f>HYPERLINK("http://141.218.60.56/~jnz1568/getInfo.php?workbook=18_16.xlsx&amp;sheet=A0&amp;row=769&amp;col=7&amp;number=&amp;sourceID=49","")</f>
        <v/>
      </c>
      <c r="H769" s="4" t="str">
        <f>HYPERLINK("http://141.218.60.56/~jnz1568/getInfo.php?workbook=18_16.xlsx&amp;sheet=A0&amp;row=769&amp;col=8&amp;number=&amp;sourceID=49","")</f>
        <v/>
      </c>
    </row>
    <row r="770" spans="1:8">
      <c r="A770" s="3">
        <v>18</v>
      </c>
      <c r="B770" s="3">
        <v>16</v>
      </c>
      <c r="C770" s="3">
        <v>76</v>
      </c>
      <c r="D770" s="3">
        <v>56</v>
      </c>
      <c r="E770" s="3">
        <f>((1/(INDEX(E0!J$4:J$87,C770,1)-INDEX(E0!J$4:J$87,D770,1))))*100000000</f>
        <v>0</v>
      </c>
      <c r="F770" s="4" t="str">
        <f>HYPERLINK("http://141.218.60.56/~jnz1568/getInfo.php?workbook=18_16.xlsx&amp;sheet=A0&amp;row=770&amp;col=6&amp;number=289630&amp;sourceID=48","289630")</f>
        <v>289630</v>
      </c>
      <c r="G770" s="4" t="str">
        <f>HYPERLINK("http://141.218.60.56/~jnz1568/getInfo.php?workbook=18_16.xlsx&amp;sheet=A0&amp;row=770&amp;col=7&amp;number=&amp;sourceID=49","")</f>
        <v/>
      </c>
      <c r="H770" s="4" t="str">
        <f>HYPERLINK("http://141.218.60.56/~jnz1568/getInfo.php?workbook=18_16.xlsx&amp;sheet=A0&amp;row=770&amp;col=8&amp;number=&amp;sourceID=49","")</f>
        <v/>
      </c>
    </row>
    <row r="771" spans="1:8">
      <c r="A771" s="3">
        <v>18</v>
      </c>
      <c r="B771" s="3">
        <v>16</v>
      </c>
      <c r="C771" s="3">
        <v>76</v>
      </c>
      <c r="D771" s="3">
        <v>57</v>
      </c>
      <c r="E771" s="3">
        <f>((1/(INDEX(E0!J$4:J$87,C771,1)-INDEX(E0!J$4:J$87,D771,1))))*100000000</f>
        <v>0</v>
      </c>
      <c r="F771" s="4" t="str">
        <f>HYPERLINK("http://141.218.60.56/~jnz1568/getInfo.php?workbook=18_16.xlsx&amp;sheet=A0&amp;row=771&amp;col=6&amp;number=29491000&amp;sourceID=48","29491000")</f>
        <v>29491000</v>
      </c>
      <c r="G771" s="4" t="str">
        <f>HYPERLINK("http://141.218.60.56/~jnz1568/getInfo.php?workbook=18_16.xlsx&amp;sheet=A0&amp;row=771&amp;col=7&amp;number=&amp;sourceID=49","")</f>
        <v/>
      </c>
      <c r="H771" s="4" t="str">
        <f>HYPERLINK("http://141.218.60.56/~jnz1568/getInfo.php?workbook=18_16.xlsx&amp;sheet=A0&amp;row=771&amp;col=8&amp;number=&amp;sourceID=49","")</f>
        <v/>
      </c>
    </row>
    <row r="772" spans="1:8">
      <c r="A772" s="3">
        <v>18</v>
      </c>
      <c r="B772" s="3">
        <v>16</v>
      </c>
      <c r="C772" s="3">
        <v>76</v>
      </c>
      <c r="D772" s="3">
        <v>58</v>
      </c>
      <c r="E772" s="3">
        <f>((1/(INDEX(E0!J$4:J$87,C772,1)-INDEX(E0!J$4:J$87,D772,1))))*100000000</f>
        <v>0</v>
      </c>
      <c r="F772" s="4" t="str">
        <f>HYPERLINK("http://141.218.60.56/~jnz1568/getInfo.php?workbook=18_16.xlsx&amp;sheet=A0&amp;row=772&amp;col=6&amp;number=18277000&amp;sourceID=48","18277000")</f>
        <v>18277000</v>
      </c>
      <c r="G772" s="4" t="str">
        <f>HYPERLINK("http://141.218.60.56/~jnz1568/getInfo.php?workbook=18_16.xlsx&amp;sheet=A0&amp;row=772&amp;col=7&amp;number=&amp;sourceID=49","")</f>
        <v/>
      </c>
      <c r="H772" s="4" t="str">
        <f>HYPERLINK("http://141.218.60.56/~jnz1568/getInfo.php?workbook=18_16.xlsx&amp;sheet=A0&amp;row=772&amp;col=8&amp;number=&amp;sourceID=49","")</f>
        <v/>
      </c>
    </row>
    <row r="773" spans="1:8">
      <c r="A773" s="3">
        <v>18</v>
      </c>
      <c r="B773" s="3">
        <v>16</v>
      </c>
      <c r="C773" s="3">
        <v>76</v>
      </c>
      <c r="D773" s="3">
        <v>59</v>
      </c>
      <c r="E773" s="3">
        <f>((1/(INDEX(E0!J$4:J$87,C773,1)-INDEX(E0!J$4:J$87,D773,1))))*100000000</f>
        <v>0</v>
      </c>
      <c r="F773" s="4" t="str">
        <f>HYPERLINK("http://141.218.60.56/~jnz1568/getInfo.php?workbook=18_16.xlsx&amp;sheet=A0&amp;row=773&amp;col=6&amp;number=5350700&amp;sourceID=48","5350700")</f>
        <v>5350700</v>
      </c>
      <c r="G773" s="4" t="str">
        <f>HYPERLINK("http://141.218.60.56/~jnz1568/getInfo.php?workbook=18_16.xlsx&amp;sheet=A0&amp;row=773&amp;col=7&amp;number=&amp;sourceID=49","")</f>
        <v/>
      </c>
      <c r="H773" s="4" t="str">
        <f>HYPERLINK("http://141.218.60.56/~jnz1568/getInfo.php?workbook=18_16.xlsx&amp;sheet=A0&amp;row=773&amp;col=8&amp;number=&amp;sourceID=49","")</f>
        <v/>
      </c>
    </row>
    <row r="774" spans="1:8">
      <c r="A774" s="3">
        <v>18</v>
      </c>
      <c r="B774" s="3">
        <v>16</v>
      </c>
      <c r="C774" s="3">
        <v>76</v>
      </c>
      <c r="D774" s="3">
        <v>60</v>
      </c>
      <c r="E774" s="3">
        <f>((1/(INDEX(E0!J$4:J$87,C774,1)-INDEX(E0!J$4:J$87,D774,1))))*100000000</f>
        <v>0</v>
      </c>
      <c r="F774" s="4" t="str">
        <f>HYPERLINK("http://141.218.60.56/~jnz1568/getInfo.php?workbook=18_16.xlsx&amp;sheet=A0&amp;row=774&amp;col=6&amp;number=13299&amp;sourceID=48","13299")</f>
        <v>13299</v>
      </c>
      <c r="G774" s="4" t="str">
        <f>HYPERLINK("http://141.218.60.56/~jnz1568/getInfo.php?workbook=18_16.xlsx&amp;sheet=A0&amp;row=774&amp;col=7&amp;number=&amp;sourceID=49","")</f>
        <v/>
      </c>
      <c r="H774" s="4" t="str">
        <f>HYPERLINK("http://141.218.60.56/~jnz1568/getInfo.php?workbook=18_16.xlsx&amp;sheet=A0&amp;row=774&amp;col=8&amp;number=&amp;sourceID=49","")</f>
        <v/>
      </c>
    </row>
    <row r="775" spans="1:8">
      <c r="A775" s="3">
        <v>18</v>
      </c>
      <c r="B775" s="3">
        <v>16</v>
      </c>
      <c r="C775" s="3">
        <v>76</v>
      </c>
      <c r="D775" s="3">
        <v>61</v>
      </c>
      <c r="E775" s="3">
        <f>((1/(INDEX(E0!J$4:J$87,C775,1)-INDEX(E0!J$4:J$87,D775,1))))*100000000</f>
        <v>0</v>
      </c>
      <c r="F775" s="4" t="str">
        <f>HYPERLINK("http://141.218.60.56/~jnz1568/getInfo.php?workbook=18_16.xlsx&amp;sheet=A0&amp;row=775&amp;col=6&amp;number=1.8175&amp;sourceID=48","1.8175")</f>
        <v>1.8175</v>
      </c>
      <c r="G775" s="4" t="str">
        <f>HYPERLINK("http://141.218.60.56/~jnz1568/getInfo.php?workbook=18_16.xlsx&amp;sheet=A0&amp;row=775&amp;col=7&amp;number=&amp;sourceID=49","")</f>
        <v/>
      </c>
      <c r="H775" s="4" t="str">
        <f>HYPERLINK("http://141.218.60.56/~jnz1568/getInfo.php?workbook=18_16.xlsx&amp;sheet=A0&amp;row=775&amp;col=8&amp;number=&amp;sourceID=49","")</f>
        <v/>
      </c>
    </row>
    <row r="776" spans="1:8">
      <c r="A776" s="3">
        <v>18</v>
      </c>
      <c r="B776" s="3">
        <v>16</v>
      </c>
      <c r="C776" s="3">
        <v>77</v>
      </c>
      <c r="D776" s="3">
        <v>6</v>
      </c>
      <c r="E776" s="3">
        <f>((1/(INDEX(E0!J$4:J$87,C776,1)-INDEX(E0!J$4:J$87,D776,1))))*100000000</f>
        <v>0</v>
      </c>
      <c r="F776" s="4" t="str">
        <f>HYPERLINK("http://141.218.60.56/~jnz1568/getInfo.php?workbook=18_16.xlsx&amp;sheet=A0&amp;row=776&amp;col=6&amp;number=463920&amp;sourceID=48","463920")</f>
        <v>463920</v>
      </c>
      <c r="G776" s="4" t="str">
        <f>HYPERLINK("http://141.218.60.56/~jnz1568/getInfo.php?workbook=18_16.xlsx&amp;sheet=A0&amp;row=776&amp;col=7&amp;number=&amp;sourceID=49","")</f>
        <v/>
      </c>
      <c r="H776" s="4" t="str">
        <f>HYPERLINK("http://141.218.60.56/~jnz1568/getInfo.php?workbook=18_16.xlsx&amp;sheet=A0&amp;row=776&amp;col=8&amp;number=&amp;sourceID=49","")</f>
        <v/>
      </c>
    </row>
    <row r="777" spans="1:8">
      <c r="A777" s="3">
        <v>18</v>
      </c>
      <c r="B777" s="3">
        <v>16</v>
      </c>
      <c r="C777" s="3">
        <v>77</v>
      </c>
      <c r="D777" s="3">
        <v>7</v>
      </c>
      <c r="E777" s="3">
        <f>((1/(INDEX(E0!J$4:J$87,C777,1)-INDEX(E0!J$4:J$87,D777,1))))*100000000</f>
        <v>0</v>
      </c>
      <c r="F777" s="4" t="str">
        <f>HYPERLINK("http://141.218.60.56/~jnz1568/getInfo.php?workbook=18_16.xlsx&amp;sheet=A0&amp;row=777&amp;col=6&amp;number=12140000&amp;sourceID=48","12140000")</f>
        <v>12140000</v>
      </c>
      <c r="G777" s="4" t="str">
        <f>HYPERLINK("http://141.218.60.56/~jnz1568/getInfo.php?workbook=18_16.xlsx&amp;sheet=A0&amp;row=777&amp;col=7&amp;number=&amp;sourceID=49","")</f>
        <v/>
      </c>
      <c r="H777" s="4" t="str">
        <f>HYPERLINK("http://141.218.60.56/~jnz1568/getInfo.php?workbook=18_16.xlsx&amp;sheet=A0&amp;row=777&amp;col=8&amp;number=&amp;sourceID=49","")</f>
        <v/>
      </c>
    </row>
    <row r="778" spans="1:8">
      <c r="A778" s="3">
        <v>18</v>
      </c>
      <c r="B778" s="3">
        <v>16</v>
      </c>
      <c r="C778" s="3">
        <v>77</v>
      </c>
      <c r="D778" s="3">
        <v>8</v>
      </c>
      <c r="E778" s="3">
        <f>((1/(INDEX(E0!J$4:J$87,C778,1)-INDEX(E0!J$4:J$87,D778,1))))*100000000</f>
        <v>0</v>
      </c>
      <c r="F778" s="4" t="str">
        <f>HYPERLINK("http://141.218.60.56/~jnz1568/getInfo.php?workbook=18_16.xlsx&amp;sheet=A0&amp;row=778&amp;col=6&amp;number=11744000&amp;sourceID=48","11744000")</f>
        <v>11744000</v>
      </c>
      <c r="G778" s="4" t="str">
        <f>HYPERLINK("http://141.218.60.56/~jnz1568/getInfo.php?workbook=18_16.xlsx&amp;sheet=A0&amp;row=778&amp;col=7&amp;number=&amp;sourceID=49","")</f>
        <v/>
      </c>
      <c r="H778" s="4" t="str">
        <f>HYPERLINK("http://141.218.60.56/~jnz1568/getInfo.php?workbook=18_16.xlsx&amp;sheet=A0&amp;row=778&amp;col=8&amp;number=&amp;sourceID=49","")</f>
        <v/>
      </c>
    </row>
    <row r="779" spans="1:8">
      <c r="A779" s="3">
        <v>18</v>
      </c>
      <c r="B779" s="3">
        <v>16</v>
      </c>
      <c r="C779" s="3">
        <v>77</v>
      </c>
      <c r="D779" s="3">
        <v>9</v>
      </c>
      <c r="E779" s="3">
        <f>((1/(INDEX(E0!J$4:J$87,C779,1)-INDEX(E0!J$4:J$87,D779,1))))*100000000</f>
        <v>0</v>
      </c>
      <c r="F779" s="4" t="str">
        <f>HYPERLINK("http://141.218.60.56/~jnz1568/getInfo.php?workbook=18_16.xlsx&amp;sheet=A0&amp;row=779&amp;col=6&amp;number=678460&amp;sourceID=48","678460")</f>
        <v>678460</v>
      </c>
      <c r="G779" s="4" t="str">
        <f>HYPERLINK("http://141.218.60.56/~jnz1568/getInfo.php?workbook=18_16.xlsx&amp;sheet=A0&amp;row=779&amp;col=7&amp;number=&amp;sourceID=49","")</f>
        <v/>
      </c>
      <c r="H779" s="4" t="str">
        <f>HYPERLINK("http://141.218.60.56/~jnz1568/getInfo.php?workbook=18_16.xlsx&amp;sheet=A0&amp;row=779&amp;col=8&amp;number=&amp;sourceID=49","")</f>
        <v/>
      </c>
    </row>
    <row r="780" spans="1:8">
      <c r="A780" s="3">
        <v>18</v>
      </c>
      <c r="B780" s="3">
        <v>16</v>
      </c>
      <c r="C780" s="3">
        <v>77</v>
      </c>
      <c r="D780" s="3">
        <v>10</v>
      </c>
      <c r="E780" s="3">
        <f>((1/(INDEX(E0!J$4:J$87,C780,1)-INDEX(E0!J$4:J$87,D780,1))))*100000000</f>
        <v>0</v>
      </c>
      <c r="F780" s="4" t="str">
        <f>HYPERLINK("http://141.218.60.56/~jnz1568/getInfo.php?workbook=18_16.xlsx&amp;sheet=A0&amp;row=780&amp;col=6&amp;number=4420.6&amp;sourceID=48","4420.6")</f>
        <v>4420.6</v>
      </c>
      <c r="G780" s="4" t="str">
        <f>HYPERLINK("http://141.218.60.56/~jnz1568/getInfo.php?workbook=18_16.xlsx&amp;sheet=A0&amp;row=780&amp;col=7&amp;number=&amp;sourceID=49","")</f>
        <v/>
      </c>
      <c r="H780" s="4" t="str">
        <f>HYPERLINK("http://141.218.60.56/~jnz1568/getInfo.php?workbook=18_16.xlsx&amp;sheet=A0&amp;row=780&amp;col=8&amp;number=&amp;sourceID=49","")</f>
        <v/>
      </c>
    </row>
    <row r="781" spans="1:8">
      <c r="A781" s="3">
        <v>18</v>
      </c>
      <c r="B781" s="3">
        <v>16</v>
      </c>
      <c r="C781" s="3">
        <v>77</v>
      </c>
      <c r="D781" s="3">
        <v>11</v>
      </c>
      <c r="E781" s="3">
        <f>((1/(INDEX(E0!J$4:J$87,C781,1)-INDEX(E0!J$4:J$87,D781,1))))*100000000</f>
        <v>0</v>
      </c>
      <c r="F781" s="4" t="str">
        <f>HYPERLINK("http://141.218.60.56/~jnz1568/getInfo.php?workbook=18_16.xlsx&amp;sheet=A0&amp;row=781&amp;col=6&amp;number=24.7&amp;sourceID=48","24.7")</f>
        <v>24.7</v>
      </c>
      <c r="G781" s="4" t="str">
        <f>HYPERLINK("http://141.218.60.56/~jnz1568/getInfo.php?workbook=18_16.xlsx&amp;sheet=A0&amp;row=781&amp;col=7&amp;number=&amp;sourceID=49","")</f>
        <v/>
      </c>
      <c r="H781" s="4" t="str">
        <f>HYPERLINK("http://141.218.60.56/~jnz1568/getInfo.php?workbook=18_16.xlsx&amp;sheet=A0&amp;row=781&amp;col=8&amp;number=&amp;sourceID=49","")</f>
        <v/>
      </c>
    </row>
    <row r="782" spans="1:8">
      <c r="A782" s="3">
        <v>18</v>
      </c>
      <c r="B782" s="3">
        <v>16</v>
      </c>
      <c r="C782" s="3">
        <v>77</v>
      </c>
      <c r="D782" s="3">
        <v>12</v>
      </c>
      <c r="E782" s="3">
        <f>((1/(INDEX(E0!J$4:J$87,C782,1)-INDEX(E0!J$4:J$87,D782,1))))*100000000</f>
        <v>0</v>
      </c>
      <c r="F782" s="4" t="str">
        <f>HYPERLINK("http://141.218.60.56/~jnz1568/getInfo.php?workbook=18_16.xlsx&amp;sheet=A0&amp;row=782&amp;col=6&amp;number=30.624&amp;sourceID=48","30.624")</f>
        <v>30.624</v>
      </c>
      <c r="G782" s="4" t="str">
        <f>HYPERLINK("http://141.218.60.56/~jnz1568/getInfo.php?workbook=18_16.xlsx&amp;sheet=A0&amp;row=782&amp;col=7&amp;number=&amp;sourceID=49","")</f>
        <v/>
      </c>
      <c r="H782" s="4" t="str">
        <f>HYPERLINK("http://141.218.60.56/~jnz1568/getInfo.php?workbook=18_16.xlsx&amp;sheet=A0&amp;row=782&amp;col=8&amp;number=&amp;sourceID=49","")</f>
        <v/>
      </c>
    </row>
    <row r="783" spans="1:8">
      <c r="A783" s="3">
        <v>18</v>
      </c>
      <c r="B783" s="3">
        <v>16</v>
      </c>
      <c r="C783" s="3">
        <v>77</v>
      </c>
      <c r="D783" s="3">
        <v>16</v>
      </c>
      <c r="E783" s="3">
        <f>((1/(INDEX(E0!J$4:J$87,C783,1)-INDEX(E0!J$4:J$87,D783,1))))*100000000</f>
        <v>0</v>
      </c>
      <c r="F783" s="4" t="str">
        <f>HYPERLINK("http://141.218.60.56/~jnz1568/getInfo.php?workbook=18_16.xlsx&amp;sheet=A0&amp;row=783&amp;col=6&amp;number=7435900&amp;sourceID=48","7435900")</f>
        <v>7435900</v>
      </c>
      <c r="G783" s="4" t="str">
        <f>HYPERLINK("http://141.218.60.56/~jnz1568/getInfo.php?workbook=18_16.xlsx&amp;sheet=A0&amp;row=783&amp;col=7&amp;number=&amp;sourceID=49","")</f>
        <v/>
      </c>
      <c r="H783" s="4" t="str">
        <f>HYPERLINK("http://141.218.60.56/~jnz1568/getInfo.php?workbook=18_16.xlsx&amp;sheet=A0&amp;row=783&amp;col=8&amp;number=&amp;sourceID=49","")</f>
        <v/>
      </c>
    </row>
    <row r="784" spans="1:8">
      <c r="A784" s="3">
        <v>18</v>
      </c>
      <c r="B784" s="3">
        <v>16</v>
      </c>
      <c r="C784" s="3">
        <v>77</v>
      </c>
      <c r="D784" s="3">
        <v>17</v>
      </c>
      <c r="E784" s="3">
        <f>((1/(INDEX(E0!J$4:J$87,C784,1)-INDEX(E0!J$4:J$87,D784,1))))*100000000</f>
        <v>0</v>
      </c>
      <c r="F784" s="4" t="str">
        <f>HYPERLINK("http://141.218.60.56/~jnz1568/getInfo.php?workbook=18_16.xlsx&amp;sheet=A0&amp;row=784&amp;col=6&amp;number=26510000&amp;sourceID=48","26510000")</f>
        <v>26510000</v>
      </c>
      <c r="G784" s="4" t="str">
        <f>HYPERLINK("http://141.218.60.56/~jnz1568/getInfo.php?workbook=18_16.xlsx&amp;sheet=A0&amp;row=784&amp;col=7&amp;number=&amp;sourceID=49","")</f>
        <v/>
      </c>
      <c r="H784" s="4" t="str">
        <f>HYPERLINK("http://141.218.60.56/~jnz1568/getInfo.php?workbook=18_16.xlsx&amp;sheet=A0&amp;row=784&amp;col=8&amp;number=&amp;sourceID=49","")</f>
        <v/>
      </c>
    </row>
    <row r="785" spans="1:8">
      <c r="A785" s="3">
        <v>18</v>
      </c>
      <c r="B785" s="3">
        <v>16</v>
      </c>
      <c r="C785" s="3">
        <v>77</v>
      </c>
      <c r="D785" s="3">
        <v>18</v>
      </c>
      <c r="E785" s="3">
        <f>((1/(INDEX(E0!J$4:J$87,C785,1)-INDEX(E0!J$4:J$87,D785,1))))*100000000</f>
        <v>0</v>
      </c>
      <c r="F785" s="4" t="str">
        <f>HYPERLINK("http://141.218.60.56/~jnz1568/getInfo.php?workbook=18_16.xlsx&amp;sheet=A0&amp;row=785&amp;col=6&amp;number=884960&amp;sourceID=48","884960")</f>
        <v>884960</v>
      </c>
      <c r="G785" s="4" t="str">
        <f>HYPERLINK("http://141.218.60.56/~jnz1568/getInfo.php?workbook=18_16.xlsx&amp;sheet=A0&amp;row=785&amp;col=7&amp;number=&amp;sourceID=49","")</f>
        <v/>
      </c>
      <c r="H785" s="4" t="str">
        <f>HYPERLINK("http://141.218.60.56/~jnz1568/getInfo.php?workbook=18_16.xlsx&amp;sheet=A0&amp;row=785&amp;col=8&amp;number=&amp;sourceID=49","")</f>
        <v/>
      </c>
    </row>
    <row r="786" spans="1:8">
      <c r="A786" s="3">
        <v>18</v>
      </c>
      <c r="B786" s="3">
        <v>16</v>
      </c>
      <c r="C786" s="3">
        <v>77</v>
      </c>
      <c r="D786" s="3">
        <v>19</v>
      </c>
      <c r="E786" s="3">
        <f>((1/(INDEX(E0!J$4:J$87,C786,1)-INDEX(E0!J$4:J$87,D786,1))))*100000000</f>
        <v>0</v>
      </c>
      <c r="F786" s="4" t="str">
        <f>HYPERLINK("http://141.218.60.56/~jnz1568/getInfo.php?workbook=18_16.xlsx&amp;sheet=A0&amp;row=786&amp;col=6&amp;number=50777000&amp;sourceID=48","50777000")</f>
        <v>50777000</v>
      </c>
      <c r="G786" s="4" t="str">
        <f>HYPERLINK("http://141.218.60.56/~jnz1568/getInfo.php?workbook=18_16.xlsx&amp;sheet=A0&amp;row=786&amp;col=7&amp;number=&amp;sourceID=49","")</f>
        <v/>
      </c>
      <c r="H786" s="4" t="str">
        <f>HYPERLINK("http://141.218.60.56/~jnz1568/getInfo.php?workbook=18_16.xlsx&amp;sheet=A0&amp;row=786&amp;col=8&amp;number=&amp;sourceID=49","")</f>
        <v/>
      </c>
    </row>
    <row r="787" spans="1:8">
      <c r="A787" s="3">
        <v>18</v>
      </c>
      <c r="B787" s="3">
        <v>16</v>
      </c>
      <c r="C787" s="3">
        <v>77</v>
      </c>
      <c r="D787" s="3">
        <v>25</v>
      </c>
      <c r="E787" s="3">
        <f>((1/(INDEX(E0!J$4:J$87,C787,1)-INDEX(E0!J$4:J$87,D787,1))))*100000000</f>
        <v>0</v>
      </c>
      <c r="F787" s="4" t="str">
        <f>HYPERLINK("http://141.218.60.56/~jnz1568/getInfo.php?workbook=18_16.xlsx&amp;sheet=A0&amp;row=787&amp;col=6&amp;number=5.801&amp;sourceID=48","5.801")</f>
        <v>5.801</v>
      </c>
      <c r="G787" s="4" t="str">
        <f>HYPERLINK("http://141.218.60.56/~jnz1568/getInfo.php?workbook=18_16.xlsx&amp;sheet=A0&amp;row=787&amp;col=7&amp;number=&amp;sourceID=49","")</f>
        <v/>
      </c>
      <c r="H787" s="4" t="str">
        <f>HYPERLINK("http://141.218.60.56/~jnz1568/getInfo.php?workbook=18_16.xlsx&amp;sheet=A0&amp;row=787&amp;col=8&amp;number=&amp;sourceID=49","")</f>
        <v/>
      </c>
    </row>
    <row r="788" spans="1:8">
      <c r="A788" s="3">
        <v>18</v>
      </c>
      <c r="B788" s="3">
        <v>16</v>
      </c>
      <c r="C788" s="3">
        <v>77</v>
      </c>
      <c r="D788" s="3">
        <v>27</v>
      </c>
      <c r="E788" s="3">
        <f>((1/(INDEX(E0!J$4:J$87,C788,1)-INDEX(E0!J$4:J$87,D788,1))))*100000000</f>
        <v>0</v>
      </c>
      <c r="F788" s="4" t="str">
        <f>HYPERLINK("http://141.218.60.56/~jnz1568/getInfo.php?workbook=18_16.xlsx&amp;sheet=A0&amp;row=788&amp;col=6&amp;number=8432700&amp;sourceID=48","8432700")</f>
        <v>8432700</v>
      </c>
      <c r="G788" s="4" t="str">
        <f>HYPERLINK("http://141.218.60.56/~jnz1568/getInfo.php?workbook=18_16.xlsx&amp;sheet=A0&amp;row=788&amp;col=7&amp;number=&amp;sourceID=49","")</f>
        <v/>
      </c>
      <c r="H788" s="4" t="str">
        <f>HYPERLINK("http://141.218.60.56/~jnz1568/getInfo.php?workbook=18_16.xlsx&amp;sheet=A0&amp;row=788&amp;col=8&amp;number=&amp;sourceID=49","")</f>
        <v/>
      </c>
    </row>
    <row r="789" spans="1:8">
      <c r="A789" s="3">
        <v>18</v>
      </c>
      <c r="B789" s="3">
        <v>16</v>
      </c>
      <c r="C789" s="3">
        <v>77</v>
      </c>
      <c r="D789" s="3">
        <v>28</v>
      </c>
      <c r="E789" s="3">
        <f>((1/(INDEX(E0!J$4:J$87,C789,1)-INDEX(E0!J$4:J$87,D789,1))))*100000000</f>
        <v>0</v>
      </c>
      <c r="F789" s="4" t="str">
        <f>HYPERLINK("http://141.218.60.56/~jnz1568/getInfo.php?workbook=18_16.xlsx&amp;sheet=A0&amp;row=789&amp;col=6&amp;number=3233.7&amp;sourceID=48","3233.7")</f>
        <v>3233.7</v>
      </c>
      <c r="G789" s="4" t="str">
        <f>HYPERLINK("http://141.218.60.56/~jnz1568/getInfo.php?workbook=18_16.xlsx&amp;sheet=A0&amp;row=789&amp;col=7&amp;number=&amp;sourceID=49","")</f>
        <v/>
      </c>
      <c r="H789" s="4" t="str">
        <f>HYPERLINK("http://141.218.60.56/~jnz1568/getInfo.php?workbook=18_16.xlsx&amp;sheet=A0&amp;row=789&amp;col=8&amp;number=&amp;sourceID=49","")</f>
        <v/>
      </c>
    </row>
    <row r="790" spans="1:8">
      <c r="A790" s="3">
        <v>18</v>
      </c>
      <c r="B790" s="3">
        <v>16</v>
      </c>
      <c r="C790" s="3">
        <v>77</v>
      </c>
      <c r="D790" s="3">
        <v>31</v>
      </c>
      <c r="E790" s="3">
        <f>((1/(INDEX(E0!J$4:J$87,C790,1)-INDEX(E0!J$4:J$87,D790,1))))*100000000</f>
        <v>0</v>
      </c>
      <c r="F790" s="4" t="str">
        <f>HYPERLINK("http://141.218.60.56/~jnz1568/getInfo.php?workbook=18_16.xlsx&amp;sheet=A0&amp;row=790&amp;col=6&amp;number=278960000&amp;sourceID=48","278960000")</f>
        <v>278960000</v>
      </c>
      <c r="G790" s="4" t="str">
        <f>HYPERLINK("http://141.218.60.56/~jnz1568/getInfo.php?workbook=18_16.xlsx&amp;sheet=A0&amp;row=790&amp;col=7&amp;number=&amp;sourceID=49","")</f>
        <v/>
      </c>
      <c r="H790" s="4" t="str">
        <f>HYPERLINK("http://141.218.60.56/~jnz1568/getInfo.php?workbook=18_16.xlsx&amp;sheet=A0&amp;row=790&amp;col=8&amp;number=&amp;sourceID=49","")</f>
        <v/>
      </c>
    </row>
    <row r="791" spans="1:8">
      <c r="A791" s="3">
        <v>18</v>
      </c>
      <c r="B791" s="3">
        <v>16</v>
      </c>
      <c r="C791" s="3">
        <v>77</v>
      </c>
      <c r="D791" s="3">
        <v>32</v>
      </c>
      <c r="E791" s="3">
        <f>((1/(INDEX(E0!J$4:J$87,C791,1)-INDEX(E0!J$4:J$87,D791,1))))*100000000</f>
        <v>0</v>
      </c>
      <c r="F791" s="4" t="str">
        <f>HYPERLINK("http://141.218.60.56/~jnz1568/getInfo.php?workbook=18_16.xlsx&amp;sheet=A0&amp;row=791&amp;col=6&amp;number=6669300&amp;sourceID=48","6669300")</f>
        <v>6669300</v>
      </c>
      <c r="G791" s="4" t="str">
        <f>HYPERLINK("http://141.218.60.56/~jnz1568/getInfo.php?workbook=18_16.xlsx&amp;sheet=A0&amp;row=791&amp;col=7&amp;number=&amp;sourceID=49","")</f>
        <v/>
      </c>
      <c r="H791" s="4" t="str">
        <f>HYPERLINK("http://141.218.60.56/~jnz1568/getInfo.php?workbook=18_16.xlsx&amp;sheet=A0&amp;row=791&amp;col=8&amp;number=&amp;sourceID=49","")</f>
        <v/>
      </c>
    </row>
    <row r="792" spans="1:8">
      <c r="A792" s="3">
        <v>18</v>
      </c>
      <c r="B792" s="3">
        <v>16</v>
      </c>
      <c r="C792" s="3">
        <v>77</v>
      </c>
      <c r="D792" s="3">
        <v>33</v>
      </c>
      <c r="E792" s="3">
        <f>((1/(INDEX(E0!J$4:J$87,C792,1)-INDEX(E0!J$4:J$87,D792,1))))*100000000</f>
        <v>0</v>
      </c>
      <c r="F792" s="4" t="str">
        <f>HYPERLINK("http://141.218.60.56/~jnz1568/getInfo.php?workbook=18_16.xlsx&amp;sheet=A0&amp;row=792&amp;col=6&amp;number=29630&amp;sourceID=48","29630")</f>
        <v>29630</v>
      </c>
      <c r="G792" s="4" t="str">
        <f>HYPERLINK("http://141.218.60.56/~jnz1568/getInfo.php?workbook=18_16.xlsx&amp;sheet=A0&amp;row=792&amp;col=7&amp;number=&amp;sourceID=49","")</f>
        <v/>
      </c>
      <c r="H792" s="4" t="str">
        <f>HYPERLINK("http://141.218.60.56/~jnz1568/getInfo.php?workbook=18_16.xlsx&amp;sheet=A0&amp;row=792&amp;col=8&amp;number=&amp;sourceID=49","")</f>
        <v/>
      </c>
    </row>
    <row r="793" spans="1:8">
      <c r="A793" s="3">
        <v>18</v>
      </c>
      <c r="B793" s="3">
        <v>16</v>
      </c>
      <c r="C793" s="3">
        <v>77</v>
      </c>
      <c r="D793" s="3">
        <v>34</v>
      </c>
      <c r="E793" s="3">
        <f>((1/(INDEX(E0!J$4:J$87,C793,1)-INDEX(E0!J$4:J$87,D793,1))))*100000000</f>
        <v>0</v>
      </c>
      <c r="F793" s="4" t="str">
        <f>HYPERLINK("http://141.218.60.56/~jnz1568/getInfo.php?workbook=18_16.xlsx&amp;sheet=A0&amp;row=793&amp;col=6&amp;number=1040200&amp;sourceID=48","1040200")</f>
        <v>1040200</v>
      </c>
      <c r="G793" s="4" t="str">
        <f>HYPERLINK("http://141.218.60.56/~jnz1568/getInfo.php?workbook=18_16.xlsx&amp;sheet=A0&amp;row=793&amp;col=7&amp;number=&amp;sourceID=49","")</f>
        <v/>
      </c>
      <c r="H793" s="4" t="str">
        <f>HYPERLINK("http://141.218.60.56/~jnz1568/getInfo.php?workbook=18_16.xlsx&amp;sheet=A0&amp;row=793&amp;col=8&amp;number=&amp;sourceID=49","")</f>
        <v/>
      </c>
    </row>
    <row r="794" spans="1:8">
      <c r="A794" s="3">
        <v>18</v>
      </c>
      <c r="B794" s="3">
        <v>16</v>
      </c>
      <c r="C794" s="3">
        <v>77</v>
      </c>
      <c r="D794" s="3">
        <v>35</v>
      </c>
      <c r="E794" s="3">
        <f>((1/(INDEX(E0!J$4:J$87,C794,1)-INDEX(E0!J$4:J$87,D794,1))))*100000000</f>
        <v>0</v>
      </c>
      <c r="F794" s="4" t="str">
        <f>HYPERLINK("http://141.218.60.56/~jnz1568/getInfo.php?workbook=18_16.xlsx&amp;sheet=A0&amp;row=794&amp;col=6&amp;number=1724200&amp;sourceID=48","1724200")</f>
        <v>1724200</v>
      </c>
      <c r="G794" s="4" t="str">
        <f>HYPERLINK("http://141.218.60.56/~jnz1568/getInfo.php?workbook=18_16.xlsx&amp;sheet=A0&amp;row=794&amp;col=7&amp;number=&amp;sourceID=49","")</f>
        <v/>
      </c>
      <c r="H794" s="4" t="str">
        <f>HYPERLINK("http://141.218.60.56/~jnz1568/getInfo.php?workbook=18_16.xlsx&amp;sheet=A0&amp;row=794&amp;col=8&amp;number=&amp;sourceID=49","")</f>
        <v/>
      </c>
    </row>
    <row r="795" spans="1:8">
      <c r="A795" s="3">
        <v>18</v>
      </c>
      <c r="B795" s="3">
        <v>16</v>
      </c>
      <c r="C795" s="3">
        <v>77</v>
      </c>
      <c r="D795" s="3">
        <v>37</v>
      </c>
      <c r="E795" s="3">
        <f>((1/(INDEX(E0!J$4:J$87,C795,1)-INDEX(E0!J$4:J$87,D795,1))))*100000000</f>
        <v>0</v>
      </c>
      <c r="F795" s="4" t="str">
        <f>HYPERLINK("http://141.218.60.56/~jnz1568/getInfo.php?workbook=18_16.xlsx&amp;sheet=A0&amp;row=795&amp;col=6&amp;number=68887&amp;sourceID=48","68887")</f>
        <v>68887</v>
      </c>
      <c r="G795" s="4" t="str">
        <f>HYPERLINK("http://141.218.60.56/~jnz1568/getInfo.php?workbook=18_16.xlsx&amp;sheet=A0&amp;row=795&amp;col=7&amp;number=&amp;sourceID=49","")</f>
        <v/>
      </c>
      <c r="H795" s="4" t="str">
        <f>HYPERLINK("http://141.218.60.56/~jnz1568/getInfo.php?workbook=18_16.xlsx&amp;sheet=A0&amp;row=795&amp;col=8&amp;number=&amp;sourceID=49","")</f>
        <v/>
      </c>
    </row>
    <row r="796" spans="1:8">
      <c r="A796" s="3">
        <v>18</v>
      </c>
      <c r="B796" s="3">
        <v>16</v>
      </c>
      <c r="C796" s="3">
        <v>77</v>
      </c>
      <c r="D796" s="3">
        <v>38</v>
      </c>
      <c r="E796" s="3">
        <f>((1/(INDEX(E0!J$4:J$87,C796,1)-INDEX(E0!J$4:J$87,D796,1))))*100000000</f>
        <v>0</v>
      </c>
      <c r="F796" s="4" t="str">
        <f>HYPERLINK("http://141.218.60.56/~jnz1568/getInfo.php?workbook=18_16.xlsx&amp;sheet=A0&amp;row=796&amp;col=6&amp;number=10030000&amp;sourceID=48","10030000")</f>
        <v>10030000</v>
      </c>
      <c r="G796" s="4" t="str">
        <f>HYPERLINK("http://141.218.60.56/~jnz1568/getInfo.php?workbook=18_16.xlsx&amp;sheet=A0&amp;row=796&amp;col=7&amp;number=&amp;sourceID=49","")</f>
        <v/>
      </c>
      <c r="H796" s="4" t="str">
        <f>HYPERLINK("http://141.218.60.56/~jnz1568/getInfo.php?workbook=18_16.xlsx&amp;sheet=A0&amp;row=796&amp;col=8&amp;number=&amp;sourceID=49","")</f>
        <v/>
      </c>
    </row>
    <row r="797" spans="1:8">
      <c r="A797" s="3">
        <v>18</v>
      </c>
      <c r="B797" s="3">
        <v>16</v>
      </c>
      <c r="C797" s="3">
        <v>77</v>
      </c>
      <c r="D797" s="3">
        <v>39</v>
      </c>
      <c r="E797" s="3">
        <f>((1/(INDEX(E0!J$4:J$87,C797,1)-INDEX(E0!J$4:J$87,D797,1))))*100000000</f>
        <v>0</v>
      </c>
      <c r="F797" s="4" t="str">
        <f>HYPERLINK("http://141.218.60.56/~jnz1568/getInfo.php?workbook=18_16.xlsx&amp;sheet=A0&amp;row=797&amp;col=6&amp;number=4237900&amp;sourceID=48","4237900")</f>
        <v>4237900</v>
      </c>
      <c r="G797" s="4" t="str">
        <f>HYPERLINK("http://141.218.60.56/~jnz1568/getInfo.php?workbook=18_16.xlsx&amp;sheet=A0&amp;row=797&amp;col=7&amp;number=&amp;sourceID=49","")</f>
        <v/>
      </c>
      <c r="H797" s="4" t="str">
        <f>HYPERLINK("http://141.218.60.56/~jnz1568/getInfo.php?workbook=18_16.xlsx&amp;sheet=A0&amp;row=797&amp;col=8&amp;number=&amp;sourceID=49","")</f>
        <v/>
      </c>
    </row>
    <row r="798" spans="1:8">
      <c r="A798" s="3">
        <v>18</v>
      </c>
      <c r="B798" s="3">
        <v>16</v>
      </c>
      <c r="C798" s="3">
        <v>77</v>
      </c>
      <c r="D798" s="3">
        <v>41</v>
      </c>
      <c r="E798" s="3">
        <f>((1/(INDEX(E0!J$4:J$87,C798,1)-INDEX(E0!J$4:J$87,D798,1))))*100000000</f>
        <v>0</v>
      </c>
      <c r="F798" s="4" t="str">
        <f>HYPERLINK("http://141.218.60.56/~jnz1568/getInfo.php?workbook=18_16.xlsx&amp;sheet=A0&amp;row=798&amp;col=6&amp;number=1859400&amp;sourceID=48","1859400")</f>
        <v>1859400</v>
      </c>
      <c r="G798" s="4" t="str">
        <f>HYPERLINK("http://141.218.60.56/~jnz1568/getInfo.php?workbook=18_16.xlsx&amp;sheet=A0&amp;row=798&amp;col=7&amp;number=&amp;sourceID=49","")</f>
        <v/>
      </c>
      <c r="H798" s="4" t="str">
        <f>HYPERLINK("http://141.218.60.56/~jnz1568/getInfo.php?workbook=18_16.xlsx&amp;sheet=A0&amp;row=798&amp;col=8&amp;number=&amp;sourceID=49","")</f>
        <v/>
      </c>
    </row>
    <row r="799" spans="1:8">
      <c r="A799" s="3">
        <v>18</v>
      </c>
      <c r="B799" s="3">
        <v>16</v>
      </c>
      <c r="C799" s="3">
        <v>77</v>
      </c>
      <c r="D799" s="3">
        <v>45</v>
      </c>
      <c r="E799" s="3">
        <f>((1/(INDEX(E0!J$4:J$87,C799,1)-INDEX(E0!J$4:J$87,D799,1))))*100000000</f>
        <v>0</v>
      </c>
      <c r="F799" s="4" t="str">
        <f>HYPERLINK("http://141.218.60.56/~jnz1568/getInfo.php?workbook=18_16.xlsx&amp;sheet=A0&amp;row=799&amp;col=6&amp;number=191660&amp;sourceID=48","191660")</f>
        <v>191660</v>
      </c>
      <c r="G799" s="4" t="str">
        <f>HYPERLINK("http://141.218.60.56/~jnz1568/getInfo.php?workbook=18_16.xlsx&amp;sheet=A0&amp;row=799&amp;col=7&amp;number=&amp;sourceID=49","")</f>
        <v/>
      </c>
      <c r="H799" s="4" t="str">
        <f>HYPERLINK("http://141.218.60.56/~jnz1568/getInfo.php?workbook=18_16.xlsx&amp;sheet=A0&amp;row=799&amp;col=8&amp;number=&amp;sourceID=49","")</f>
        <v/>
      </c>
    </row>
    <row r="800" spans="1:8">
      <c r="A800" s="3">
        <v>18</v>
      </c>
      <c r="B800" s="3">
        <v>16</v>
      </c>
      <c r="C800" s="3">
        <v>77</v>
      </c>
      <c r="D800" s="3">
        <v>47</v>
      </c>
      <c r="E800" s="3">
        <f>((1/(INDEX(E0!J$4:J$87,C800,1)-INDEX(E0!J$4:J$87,D800,1))))*100000000</f>
        <v>0</v>
      </c>
      <c r="F800" s="4" t="str">
        <f>HYPERLINK("http://141.218.60.56/~jnz1568/getInfo.php?workbook=18_16.xlsx&amp;sheet=A0&amp;row=800&amp;col=6&amp;number=3037900&amp;sourceID=48","3037900")</f>
        <v>3037900</v>
      </c>
      <c r="G800" s="4" t="str">
        <f>HYPERLINK("http://141.218.60.56/~jnz1568/getInfo.php?workbook=18_16.xlsx&amp;sheet=A0&amp;row=800&amp;col=7&amp;number=&amp;sourceID=49","")</f>
        <v/>
      </c>
      <c r="H800" s="4" t="str">
        <f>HYPERLINK("http://141.218.60.56/~jnz1568/getInfo.php?workbook=18_16.xlsx&amp;sheet=A0&amp;row=800&amp;col=8&amp;number=&amp;sourceID=49","")</f>
        <v/>
      </c>
    </row>
    <row r="801" spans="1:8">
      <c r="A801" s="3">
        <v>18</v>
      </c>
      <c r="B801" s="3">
        <v>16</v>
      </c>
      <c r="C801" s="3">
        <v>77</v>
      </c>
      <c r="D801" s="3">
        <v>48</v>
      </c>
      <c r="E801" s="3">
        <f>((1/(INDEX(E0!J$4:J$87,C801,1)-INDEX(E0!J$4:J$87,D801,1))))*100000000</f>
        <v>0</v>
      </c>
      <c r="F801" s="4" t="str">
        <f>HYPERLINK("http://141.218.60.56/~jnz1568/getInfo.php?workbook=18_16.xlsx&amp;sheet=A0&amp;row=801&amp;col=6&amp;number=64210000&amp;sourceID=48","64210000")</f>
        <v>64210000</v>
      </c>
      <c r="G801" s="4" t="str">
        <f>HYPERLINK("http://141.218.60.56/~jnz1568/getInfo.php?workbook=18_16.xlsx&amp;sheet=A0&amp;row=801&amp;col=7&amp;number=&amp;sourceID=49","")</f>
        <v/>
      </c>
      <c r="H801" s="4" t="str">
        <f>HYPERLINK("http://141.218.60.56/~jnz1568/getInfo.php?workbook=18_16.xlsx&amp;sheet=A0&amp;row=801&amp;col=8&amp;number=&amp;sourceID=49","")</f>
        <v/>
      </c>
    </row>
    <row r="802" spans="1:8">
      <c r="A802" s="3">
        <v>18</v>
      </c>
      <c r="B802" s="3">
        <v>16</v>
      </c>
      <c r="C802" s="3">
        <v>77</v>
      </c>
      <c r="D802" s="3">
        <v>49</v>
      </c>
      <c r="E802" s="3">
        <f>((1/(INDEX(E0!J$4:J$87,C802,1)-INDEX(E0!J$4:J$87,D802,1))))*100000000</f>
        <v>0</v>
      </c>
      <c r="F802" s="4" t="str">
        <f>HYPERLINK("http://141.218.60.56/~jnz1568/getInfo.php?workbook=18_16.xlsx&amp;sheet=A0&amp;row=802&amp;col=6&amp;number=90951000&amp;sourceID=48","90951000")</f>
        <v>90951000</v>
      </c>
      <c r="G802" s="4" t="str">
        <f>HYPERLINK("http://141.218.60.56/~jnz1568/getInfo.php?workbook=18_16.xlsx&amp;sheet=A0&amp;row=802&amp;col=7&amp;number=&amp;sourceID=49","")</f>
        <v/>
      </c>
      <c r="H802" s="4" t="str">
        <f>HYPERLINK("http://141.218.60.56/~jnz1568/getInfo.php?workbook=18_16.xlsx&amp;sheet=A0&amp;row=802&amp;col=8&amp;number=&amp;sourceID=49","")</f>
        <v/>
      </c>
    </row>
    <row r="803" spans="1:8">
      <c r="A803" s="3">
        <v>18</v>
      </c>
      <c r="B803" s="3">
        <v>16</v>
      </c>
      <c r="C803" s="3">
        <v>77</v>
      </c>
      <c r="D803" s="3">
        <v>54</v>
      </c>
      <c r="E803" s="3">
        <f>((1/(INDEX(E0!J$4:J$87,C803,1)-INDEX(E0!J$4:J$87,D803,1))))*100000000</f>
        <v>0</v>
      </c>
      <c r="F803" s="4" t="str">
        <f>HYPERLINK("http://141.218.60.56/~jnz1568/getInfo.php?workbook=18_16.xlsx&amp;sheet=A0&amp;row=803&amp;col=6&amp;number=1439800&amp;sourceID=48","1439800")</f>
        <v>1439800</v>
      </c>
      <c r="G803" s="4" t="str">
        <f>HYPERLINK("http://141.218.60.56/~jnz1568/getInfo.php?workbook=18_16.xlsx&amp;sheet=A0&amp;row=803&amp;col=7&amp;number=&amp;sourceID=49","")</f>
        <v/>
      </c>
      <c r="H803" s="4" t="str">
        <f>HYPERLINK("http://141.218.60.56/~jnz1568/getInfo.php?workbook=18_16.xlsx&amp;sheet=A0&amp;row=803&amp;col=8&amp;number=&amp;sourceID=49","")</f>
        <v/>
      </c>
    </row>
    <row r="804" spans="1:8">
      <c r="A804" s="3">
        <v>18</v>
      </c>
      <c r="B804" s="3">
        <v>16</v>
      </c>
      <c r="C804" s="3">
        <v>77</v>
      </c>
      <c r="D804" s="3">
        <v>55</v>
      </c>
      <c r="E804" s="3">
        <f>((1/(INDEX(E0!J$4:J$87,C804,1)-INDEX(E0!J$4:J$87,D804,1))))*100000000</f>
        <v>0</v>
      </c>
      <c r="F804" s="4" t="str">
        <f>HYPERLINK("http://141.218.60.56/~jnz1568/getInfo.php?workbook=18_16.xlsx&amp;sheet=A0&amp;row=804&amp;col=6&amp;number=2830200&amp;sourceID=48","2830200")</f>
        <v>2830200</v>
      </c>
      <c r="G804" s="4" t="str">
        <f>HYPERLINK("http://141.218.60.56/~jnz1568/getInfo.php?workbook=18_16.xlsx&amp;sheet=A0&amp;row=804&amp;col=7&amp;number=&amp;sourceID=49","")</f>
        <v/>
      </c>
      <c r="H804" s="4" t="str">
        <f>HYPERLINK("http://141.218.60.56/~jnz1568/getInfo.php?workbook=18_16.xlsx&amp;sheet=A0&amp;row=804&amp;col=8&amp;number=&amp;sourceID=49","")</f>
        <v/>
      </c>
    </row>
    <row r="805" spans="1:8">
      <c r="A805" s="3">
        <v>18</v>
      </c>
      <c r="B805" s="3">
        <v>16</v>
      </c>
      <c r="C805" s="3">
        <v>77</v>
      </c>
      <c r="D805" s="3">
        <v>56</v>
      </c>
      <c r="E805" s="3">
        <f>((1/(INDEX(E0!J$4:J$87,C805,1)-INDEX(E0!J$4:J$87,D805,1))))*100000000</f>
        <v>0</v>
      </c>
      <c r="F805" s="4" t="str">
        <f>HYPERLINK("http://141.218.60.56/~jnz1568/getInfo.php?workbook=18_16.xlsx&amp;sheet=A0&amp;row=805&amp;col=6&amp;number=3888800&amp;sourceID=48","3888800")</f>
        <v>3888800</v>
      </c>
      <c r="G805" s="4" t="str">
        <f>HYPERLINK("http://141.218.60.56/~jnz1568/getInfo.php?workbook=18_16.xlsx&amp;sheet=A0&amp;row=805&amp;col=7&amp;number=&amp;sourceID=49","")</f>
        <v/>
      </c>
      <c r="H805" s="4" t="str">
        <f>HYPERLINK("http://141.218.60.56/~jnz1568/getInfo.php?workbook=18_16.xlsx&amp;sheet=A0&amp;row=805&amp;col=8&amp;number=&amp;sourceID=49","")</f>
        <v/>
      </c>
    </row>
    <row r="806" spans="1:8">
      <c r="A806" s="3">
        <v>18</v>
      </c>
      <c r="B806" s="3">
        <v>16</v>
      </c>
      <c r="C806" s="3">
        <v>77</v>
      </c>
      <c r="D806" s="3">
        <v>57</v>
      </c>
      <c r="E806" s="3">
        <f>((1/(INDEX(E0!J$4:J$87,C806,1)-INDEX(E0!J$4:J$87,D806,1))))*100000000</f>
        <v>0</v>
      </c>
      <c r="F806" s="4" t="str">
        <f>HYPERLINK("http://141.218.60.56/~jnz1568/getInfo.php?workbook=18_16.xlsx&amp;sheet=A0&amp;row=806&amp;col=6&amp;number=848810&amp;sourceID=48","848810")</f>
        <v>848810</v>
      </c>
      <c r="G806" s="4" t="str">
        <f>HYPERLINK("http://141.218.60.56/~jnz1568/getInfo.php?workbook=18_16.xlsx&amp;sheet=A0&amp;row=806&amp;col=7&amp;number=&amp;sourceID=49","")</f>
        <v/>
      </c>
      <c r="H806" s="4" t="str">
        <f>HYPERLINK("http://141.218.60.56/~jnz1568/getInfo.php?workbook=18_16.xlsx&amp;sheet=A0&amp;row=806&amp;col=8&amp;number=&amp;sourceID=49","")</f>
        <v/>
      </c>
    </row>
    <row r="807" spans="1:8">
      <c r="A807" s="3">
        <v>18</v>
      </c>
      <c r="B807" s="3">
        <v>16</v>
      </c>
      <c r="C807" s="3">
        <v>77</v>
      </c>
      <c r="D807" s="3">
        <v>58</v>
      </c>
      <c r="E807" s="3">
        <f>((1/(INDEX(E0!J$4:J$87,C807,1)-INDEX(E0!J$4:J$87,D807,1))))*100000000</f>
        <v>0</v>
      </c>
      <c r="F807" s="4" t="str">
        <f>HYPERLINK("http://141.218.60.56/~jnz1568/getInfo.php?workbook=18_16.xlsx&amp;sheet=A0&amp;row=807&amp;col=6&amp;number=13411000&amp;sourceID=48","13411000")</f>
        <v>13411000</v>
      </c>
      <c r="G807" s="4" t="str">
        <f>HYPERLINK("http://141.218.60.56/~jnz1568/getInfo.php?workbook=18_16.xlsx&amp;sheet=A0&amp;row=807&amp;col=7&amp;number=&amp;sourceID=49","")</f>
        <v/>
      </c>
      <c r="H807" s="4" t="str">
        <f>HYPERLINK("http://141.218.60.56/~jnz1568/getInfo.php?workbook=18_16.xlsx&amp;sheet=A0&amp;row=807&amp;col=8&amp;number=&amp;sourceID=49","")</f>
        <v/>
      </c>
    </row>
    <row r="808" spans="1:8">
      <c r="A808" s="3">
        <v>18</v>
      </c>
      <c r="B808" s="3">
        <v>16</v>
      </c>
      <c r="C808" s="3">
        <v>77</v>
      </c>
      <c r="D808" s="3">
        <v>59</v>
      </c>
      <c r="E808" s="3">
        <f>((1/(INDEX(E0!J$4:J$87,C808,1)-INDEX(E0!J$4:J$87,D808,1))))*100000000</f>
        <v>0</v>
      </c>
      <c r="F808" s="4" t="str">
        <f>HYPERLINK("http://141.218.60.56/~jnz1568/getInfo.php?workbook=18_16.xlsx&amp;sheet=A0&amp;row=808&amp;col=6&amp;number=13770000&amp;sourceID=48","13770000")</f>
        <v>13770000</v>
      </c>
      <c r="G808" s="4" t="str">
        <f>HYPERLINK("http://141.218.60.56/~jnz1568/getInfo.php?workbook=18_16.xlsx&amp;sheet=A0&amp;row=808&amp;col=7&amp;number=&amp;sourceID=49","")</f>
        <v/>
      </c>
      <c r="H808" s="4" t="str">
        <f>HYPERLINK("http://141.218.60.56/~jnz1568/getInfo.php?workbook=18_16.xlsx&amp;sheet=A0&amp;row=808&amp;col=8&amp;number=&amp;sourceID=49","")</f>
        <v/>
      </c>
    </row>
    <row r="809" spans="1:8">
      <c r="A809" s="3">
        <v>18</v>
      </c>
      <c r="B809" s="3">
        <v>16</v>
      </c>
      <c r="C809" s="3">
        <v>77</v>
      </c>
      <c r="D809" s="3">
        <v>60</v>
      </c>
      <c r="E809" s="3">
        <f>((1/(INDEX(E0!J$4:J$87,C809,1)-INDEX(E0!J$4:J$87,D809,1))))*100000000</f>
        <v>0</v>
      </c>
      <c r="F809" s="4" t="str">
        <f>HYPERLINK("http://141.218.60.56/~jnz1568/getInfo.php?workbook=18_16.xlsx&amp;sheet=A0&amp;row=809&amp;col=6&amp;number=212040&amp;sourceID=48","212040")</f>
        <v>212040</v>
      </c>
      <c r="G809" s="4" t="str">
        <f>HYPERLINK("http://141.218.60.56/~jnz1568/getInfo.php?workbook=18_16.xlsx&amp;sheet=A0&amp;row=809&amp;col=7&amp;number=&amp;sourceID=49","")</f>
        <v/>
      </c>
      <c r="H809" s="4" t="str">
        <f>HYPERLINK("http://141.218.60.56/~jnz1568/getInfo.php?workbook=18_16.xlsx&amp;sheet=A0&amp;row=809&amp;col=8&amp;number=&amp;sourceID=49","")</f>
        <v/>
      </c>
    </row>
    <row r="810" spans="1:8">
      <c r="A810" s="3">
        <v>18</v>
      </c>
      <c r="B810" s="3">
        <v>16</v>
      </c>
      <c r="C810" s="3">
        <v>77</v>
      </c>
      <c r="D810" s="3">
        <v>61</v>
      </c>
      <c r="E810" s="3">
        <f>((1/(INDEX(E0!J$4:J$87,C810,1)-INDEX(E0!J$4:J$87,D810,1))))*100000000</f>
        <v>0</v>
      </c>
      <c r="F810" s="4" t="str">
        <f>HYPERLINK("http://141.218.60.56/~jnz1568/getInfo.php?workbook=18_16.xlsx&amp;sheet=A0&amp;row=810&amp;col=6&amp;number=353960&amp;sourceID=48","353960")</f>
        <v>353960</v>
      </c>
      <c r="G810" s="4" t="str">
        <f>HYPERLINK("http://141.218.60.56/~jnz1568/getInfo.php?workbook=18_16.xlsx&amp;sheet=A0&amp;row=810&amp;col=7&amp;number=&amp;sourceID=49","")</f>
        <v/>
      </c>
      <c r="H810" s="4" t="str">
        <f>HYPERLINK("http://141.218.60.56/~jnz1568/getInfo.php?workbook=18_16.xlsx&amp;sheet=A0&amp;row=810&amp;col=8&amp;number=&amp;sourceID=49","")</f>
        <v/>
      </c>
    </row>
    <row r="811" spans="1:8">
      <c r="A811" s="3">
        <v>18</v>
      </c>
      <c r="B811" s="3">
        <v>16</v>
      </c>
      <c r="C811" s="3">
        <v>78</v>
      </c>
      <c r="D811" s="3">
        <v>6</v>
      </c>
      <c r="E811" s="3">
        <f>((1/(INDEX(E0!J$4:J$87,C811,1)-INDEX(E0!J$4:J$87,D811,1))))*100000000</f>
        <v>0</v>
      </c>
      <c r="F811" s="4" t="str">
        <f>HYPERLINK("http://141.218.60.56/~jnz1568/getInfo.php?workbook=18_16.xlsx&amp;sheet=A0&amp;row=811&amp;col=6&amp;number=6443900&amp;sourceID=48","6443900")</f>
        <v>6443900</v>
      </c>
      <c r="G811" s="4" t="str">
        <f>HYPERLINK("http://141.218.60.56/~jnz1568/getInfo.php?workbook=18_16.xlsx&amp;sheet=A0&amp;row=811&amp;col=7&amp;number=&amp;sourceID=49","")</f>
        <v/>
      </c>
      <c r="H811" s="4" t="str">
        <f>HYPERLINK("http://141.218.60.56/~jnz1568/getInfo.php?workbook=18_16.xlsx&amp;sheet=A0&amp;row=811&amp;col=8&amp;number=&amp;sourceID=49","")</f>
        <v/>
      </c>
    </row>
    <row r="812" spans="1:8">
      <c r="A812" s="3">
        <v>18</v>
      </c>
      <c r="B812" s="3">
        <v>16</v>
      </c>
      <c r="C812" s="3">
        <v>78</v>
      </c>
      <c r="D812" s="3">
        <v>7</v>
      </c>
      <c r="E812" s="3">
        <f>((1/(INDEX(E0!J$4:J$87,C812,1)-INDEX(E0!J$4:J$87,D812,1))))*100000000</f>
        <v>0</v>
      </c>
      <c r="F812" s="4" t="str">
        <f>HYPERLINK("http://141.218.60.56/~jnz1568/getInfo.php?workbook=18_16.xlsx&amp;sheet=A0&amp;row=812&amp;col=6&amp;number=18972000&amp;sourceID=48","18972000")</f>
        <v>18972000</v>
      </c>
      <c r="G812" s="4" t="str">
        <f>HYPERLINK("http://141.218.60.56/~jnz1568/getInfo.php?workbook=18_16.xlsx&amp;sheet=A0&amp;row=812&amp;col=7&amp;number=&amp;sourceID=49","")</f>
        <v/>
      </c>
      <c r="H812" s="4" t="str">
        <f>HYPERLINK("http://141.218.60.56/~jnz1568/getInfo.php?workbook=18_16.xlsx&amp;sheet=A0&amp;row=812&amp;col=8&amp;number=&amp;sourceID=49","")</f>
        <v/>
      </c>
    </row>
    <row r="813" spans="1:8">
      <c r="A813" s="3">
        <v>18</v>
      </c>
      <c r="B813" s="3">
        <v>16</v>
      </c>
      <c r="C813" s="3">
        <v>78</v>
      </c>
      <c r="D813" s="3">
        <v>9</v>
      </c>
      <c r="E813" s="3">
        <f>((1/(INDEX(E0!J$4:J$87,C813,1)-INDEX(E0!J$4:J$87,D813,1))))*100000000</f>
        <v>0</v>
      </c>
      <c r="F813" s="4" t="str">
        <f>HYPERLINK("http://141.218.60.56/~jnz1568/getInfo.php?workbook=18_16.xlsx&amp;sheet=A0&amp;row=813&amp;col=6&amp;number=885920&amp;sourceID=48","885920")</f>
        <v>885920</v>
      </c>
      <c r="G813" s="4" t="str">
        <f>HYPERLINK("http://141.218.60.56/~jnz1568/getInfo.php?workbook=18_16.xlsx&amp;sheet=A0&amp;row=813&amp;col=7&amp;number=&amp;sourceID=49","")</f>
        <v/>
      </c>
      <c r="H813" s="4" t="str">
        <f>HYPERLINK("http://141.218.60.56/~jnz1568/getInfo.php?workbook=18_16.xlsx&amp;sheet=A0&amp;row=813&amp;col=8&amp;number=&amp;sourceID=49","")</f>
        <v/>
      </c>
    </row>
    <row r="814" spans="1:8">
      <c r="A814" s="3">
        <v>18</v>
      </c>
      <c r="B814" s="3">
        <v>16</v>
      </c>
      <c r="C814" s="3">
        <v>78</v>
      </c>
      <c r="D814" s="3">
        <v>11</v>
      </c>
      <c r="E814" s="3">
        <f>((1/(INDEX(E0!J$4:J$87,C814,1)-INDEX(E0!J$4:J$87,D814,1))))*100000000</f>
        <v>0</v>
      </c>
      <c r="F814" s="4" t="str">
        <f>HYPERLINK("http://141.218.60.56/~jnz1568/getInfo.php?workbook=18_16.xlsx&amp;sheet=A0&amp;row=814&amp;col=6&amp;number=6054.1&amp;sourceID=48","6054.1")</f>
        <v>6054.1</v>
      </c>
      <c r="G814" s="4" t="str">
        <f>HYPERLINK("http://141.218.60.56/~jnz1568/getInfo.php?workbook=18_16.xlsx&amp;sheet=A0&amp;row=814&amp;col=7&amp;number=&amp;sourceID=49","")</f>
        <v/>
      </c>
      <c r="H814" s="4" t="str">
        <f>HYPERLINK("http://141.218.60.56/~jnz1568/getInfo.php?workbook=18_16.xlsx&amp;sheet=A0&amp;row=814&amp;col=8&amp;number=&amp;sourceID=49","")</f>
        <v/>
      </c>
    </row>
    <row r="815" spans="1:8">
      <c r="A815" s="3">
        <v>18</v>
      </c>
      <c r="B815" s="3">
        <v>16</v>
      </c>
      <c r="C815" s="3">
        <v>78</v>
      </c>
      <c r="D815" s="3">
        <v>12</v>
      </c>
      <c r="E815" s="3">
        <f>((1/(INDEX(E0!J$4:J$87,C815,1)-INDEX(E0!J$4:J$87,D815,1))))*100000000</f>
        <v>0</v>
      </c>
      <c r="F815" s="4" t="str">
        <f>HYPERLINK("http://141.218.60.56/~jnz1568/getInfo.php?workbook=18_16.xlsx&amp;sheet=A0&amp;row=815&amp;col=6&amp;number=2110.2&amp;sourceID=48","2110.2")</f>
        <v>2110.2</v>
      </c>
      <c r="G815" s="4" t="str">
        <f>HYPERLINK("http://141.218.60.56/~jnz1568/getInfo.php?workbook=18_16.xlsx&amp;sheet=A0&amp;row=815&amp;col=7&amp;number=&amp;sourceID=49","")</f>
        <v/>
      </c>
      <c r="H815" s="4" t="str">
        <f>HYPERLINK("http://141.218.60.56/~jnz1568/getInfo.php?workbook=18_16.xlsx&amp;sheet=A0&amp;row=815&amp;col=8&amp;number=&amp;sourceID=49","")</f>
        <v/>
      </c>
    </row>
    <row r="816" spans="1:8">
      <c r="A816" s="3">
        <v>18</v>
      </c>
      <c r="B816" s="3">
        <v>16</v>
      </c>
      <c r="C816" s="3">
        <v>78</v>
      </c>
      <c r="D816" s="3">
        <v>13</v>
      </c>
      <c r="E816" s="3">
        <f>((1/(INDEX(E0!J$4:J$87,C816,1)-INDEX(E0!J$4:J$87,D816,1))))*100000000</f>
        <v>0</v>
      </c>
      <c r="F816" s="4" t="str">
        <f>HYPERLINK("http://141.218.60.56/~jnz1568/getInfo.php?workbook=18_16.xlsx&amp;sheet=A0&amp;row=816&amp;col=6&amp;number=1868.7&amp;sourceID=48","1868.7")</f>
        <v>1868.7</v>
      </c>
      <c r="G816" s="4" t="str">
        <f>HYPERLINK("http://141.218.60.56/~jnz1568/getInfo.php?workbook=18_16.xlsx&amp;sheet=A0&amp;row=816&amp;col=7&amp;number=&amp;sourceID=49","")</f>
        <v/>
      </c>
      <c r="H816" s="4" t="str">
        <f>HYPERLINK("http://141.218.60.56/~jnz1568/getInfo.php?workbook=18_16.xlsx&amp;sheet=A0&amp;row=816&amp;col=8&amp;number=&amp;sourceID=49","")</f>
        <v/>
      </c>
    </row>
    <row r="817" spans="1:8">
      <c r="A817" s="3">
        <v>18</v>
      </c>
      <c r="B817" s="3">
        <v>16</v>
      </c>
      <c r="C817" s="3">
        <v>78</v>
      </c>
      <c r="D817" s="3">
        <v>15</v>
      </c>
      <c r="E817" s="3">
        <f>((1/(INDEX(E0!J$4:J$87,C817,1)-INDEX(E0!J$4:J$87,D817,1))))*100000000</f>
        <v>0</v>
      </c>
      <c r="F817" s="4" t="str">
        <f>HYPERLINK("http://141.218.60.56/~jnz1568/getInfo.php?workbook=18_16.xlsx&amp;sheet=A0&amp;row=817&amp;col=6&amp;number=4519500&amp;sourceID=48","4519500")</f>
        <v>4519500</v>
      </c>
      <c r="G817" s="4" t="str">
        <f>HYPERLINK("http://141.218.60.56/~jnz1568/getInfo.php?workbook=18_16.xlsx&amp;sheet=A0&amp;row=817&amp;col=7&amp;number=&amp;sourceID=49","")</f>
        <v/>
      </c>
      <c r="H817" s="4" t="str">
        <f>HYPERLINK("http://141.218.60.56/~jnz1568/getInfo.php?workbook=18_16.xlsx&amp;sheet=A0&amp;row=817&amp;col=8&amp;number=&amp;sourceID=49","")</f>
        <v/>
      </c>
    </row>
    <row r="818" spans="1:8">
      <c r="A818" s="3">
        <v>18</v>
      </c>
      <c r="B818" s="3">
        <v>16</v>
      </c>
      <c r="C818" s="3">
        <v>78</v>
      </c>
      <c r="D818" s="3">
        <v>16</v>
      </c>
      <c r="E818" s="3">
        <f>((1/(INDEX(E0!J$4:J$87,C818,1)-INDEX(E0!J$4:J$87,D818,1))))*100000000</f>
        <v>0</v>
      </c>
      <c r="F818" s="4" t="str">
        <f>HYPERLINK("http://141.218.60.56/~jnz1568/getInfo.php?workbook=18_16.xlsx&amp;sheet=A0&amp;row=818&amp;col=6&amp;number=22184000&amp;sourceID=48","22184000")</f>
        <v>22184000</v>
      </c>
      <c r="G818" s="4" t="str">
        <f>HYPERLINK("http://141.218.60.56/~jnz1568/getInfo.php?workbook=18_16.xlsx&amp;sheet=A0&amp;row=818&amp;col=7&amp;number=&amp;sourceID=49","")</f>
        <v/>
      </c>
      <c r="H818" s="4" t="str">
        <f>HYPERLINK("http://141.218.60.56/~jnz1568/getInfo.php?workbook=18_16.xlsx&amp;sheet=A0&amp;row=818&amp;col=8&amp;number=&amp;sourceID=49","")</f>
        <v/>
      </c>
    </row>
    <row r="819" spans="1:8">
      <c r="A819" s="3">
        <v>18</v>
      </c>
      <c r="B819" s="3">
        <v>16</v>
      </c>
      <c r="C819" s="3">
        <v>78</v>
      </c>
      <c r="D819" s="3">
        <v>17</v>
      </c>
      <c r="E819" s="3">
        <f>((1/(INDEX(E0!J$4:J$87,C819,1)-INDEX(E0!J$4:J$87,D819,1))))*100000000</f>
        <v>0</v>
      </c>
      <c r="F819" s="4" t="str">
        <f>HYPERLINK("http://141.218.60.56/~jnz1568/getInfo.php?workbook=18_16.xlsx&amp;sheet=A0&amp;row=819&amp;col=6&amp;number=5926700&amp;sourceID=48","5926700")</f>
        <v>5926700</v>
      </c>
      <c r="G819" s="4" t="str">
        <f>HYPERLINK("http://141.218.60.56/~jnz1568/getInfo.php?workbook=18_16.xlsx&amp;sheet=A0&amp;row=819&amp;col=7&amp;number=&amp;sourceID=49","")</f>
        <v/>
      </c>
      <c r="H819" s="4" t="str">
        <f>HYPERLINK("http://141.218.60.56/~jnz1568/getInfo.php?workbook=18_16.xlsx&amp;sheet=A0&amp;row=819&amp;col=8&amp;number=&amp;sourceID=49","")</f>
        <v/>
      </c>
    </row>
    <row r="820" spans="1:8">
      <c r="A820" s="3">
        <v>18</v>
      </c>
      <c r="B820" s="3">
        <v>16</v>
      </c>
      <c r="C820" s="3">
        <v>78</v>
      </c>
      <c r="D820" s="3">
        <v>19</v>
      </c>
      <c r="E820" s="3">
        <f>((1/(INDEX(E0!J$4:J$87,C820,1)-INDEX(E0!J$4:J$87,D820,1))))*100000000</f>
        <v>0</v>
      </c>
      <c r="F820" s="4" t="str">
        <f>HYPERLINK("http://141.218.60.56/~jnz1568/getInfo.php?workbook=18_16.xlsx&amp;sheet=A0&amp;row=820&amp;col=6&amp;number=3247200&amp;sourceID=48","3247200")</f>
        <v>3247200</v>
      </c>
      <c r="G820" s="4" t="str">
        <f>HYPERLINK("http://141.218.60.56/~jnz1568/getInfo.php?workbook=18_16.xlsx&amp;sheet=A0&amp;row=820&amp;col=7&amp;number=&amp;sourceID=49","")</f>
        <v/>
      </c>
      <c r="H820" s="4" t="str">
        <f>HYPERLINK("http://141.218.60.56/~jnz1568/getInfo.php?workbook=18_16.xlsx&amp;sheet=A0&amp;row=820&amp;col=8&amp;number=&amp;sourceID=49","")</f>
        <v/>
      </c>
    </row>
    <row r="821" spans="1:8">
      <c r="A821" s="3">
        <v>18</v>
      </c>
      <c r="B821" s="3">
        <v>16</v>
      </c>
      <c r="C821" s="3">
        <v>78</v>
      </c>
      <c r="D821" s="3">
        <v>20</v>
      </c>
      <c r="E821" s="3">
        <f>((1/(INDEX(E0!J$4:J$87,C821,1)-INDEX(E0!J$4:J$87,D821,1))))*100000000</f>
        <v>0</v>
      </c>
      <c r="F821" s="4" t="str">
        <f>HYPERLINK("http://141.218.60.56/~jnz1568/getInfo.php?workbook=18_16.xlsx&amp;sheet=A0&amp;row=821&amp;col=6&amp;number=50086000&amp;sourceID=48","50086000")</f>
        <v>50086000</v>
      </c>
      <c r="G821" s="4" t="str">
        <f>HYPERLINK("http://141.218.60.56/~jnz1568/getInfo.php?workbook=18_16.xlsx&amp;sheet=A0&amp;row=821&amp;col=7&amp;number=&amp;sourceID=49","")</f>
        <v/>
      </c>
      <c r="H821" s="4" t="str">
        <f>HYPERLINK("http://141.218.60.56/~jnz1568/getInfo.php?workbook=18_16.xlsx&amp;sheet=A0&amp;row=821&amp;col=8&amp;number=&amp;sourceID=49","")</f>
        <v/>
      </c>
    </row>
    <row r="822" spans="1:8">
      <c r="A822" s="3">
        <v>18</v>
      </c>
      <c r="B822" s="3">
        <v>16</v>
      </c>
      <c r="C822" s="3">
        <v>78</v>
      </c>
      <c r="D822" s="3">
        <v>22</v>
      </c>
      <c r="E822" s="3">
        <f>((1/(INDEX(E0!J$4:J$87,C822,1)-INDEX(E0!J$4:J$87,D822,1))))*100000000</f>
        <v>0</v>
      </c>
      <c r="F822" s="4" t="str">
        <f>HYPERLINK("http://141.218.60.56/~jnz1568/getInfo.php?workbook=18_16.xlsx&amp;sheet=A0&amp;row=822&amp;col=6&amp;number=226820&amp;sourceID=48","226820")</f>
        <v>226820</v>
      </c>
      <c r="G822" s="4" t="str">
        <f>HYPERLINK("http://141.218.60.56/~jnz1568/getInfo.php?workbook=18_16.xlsx&amp;sheet=A0&amp;row=822&amp;col=7&amp;number=&amp;sourceID=49","")</f>
        <v/>
      </c>
      <c r="H822" s="4" t="str">
        <f>HYPERLINK("http://141.218.60.56/~jnz1568/getInfo.php?workbook=18_16.xlsx&amp;sheet=A0&amp;row=822&amp;col=8&amp;number=&amp;sourceID=49","")</f>
        <v/>
      </c>
    </row>
    <row r="823" spans="1:8">
      <c r="A823" s="3">
        <v>18</v>
      </c>
      <c r="B823" s="3">
        <v>16</v>
      </c>
      <c r="C823" s="3">
        <v>78</v>
      </c>
      <c r="D823" s="3">
        <v>25</v>
      </c>
      <c r="E823" s="3">
        <f>((1/(INDEX(E0!J$4:J$87,C823,1)-INDEX(E0!J$4:J$87,D823,1))))*100000000</f>
        <v>0</v>
      </c>
      <c r="F823" s="4" t="str">
        <f>HYPERLINK("http://141.218.60.56/~jnz1568/getInfo.php?workbook=18_16.xlsx&amp;sheet=A0&amp;row=823&amp;col=6&amp;number=116.23&amp;sourceID=48","116.23")</f>
        <v>116.23</v>
      </c>
      <c r="G823" s="4" t="str">
        <f>HYPERLINK("http://141.218.60.56/~jnz1568/getInfo.php?workbook=18_16.xlsx&amp;sheet=A0&amp;row=823&amp;col=7&amp;number=&amp;sourceID=49","")</f>
        <v/>
      </c>
      <c r="H823" s="4" t="str">
        <f>HYPERLINK("http://141.218.60.56/~jnz1568/getInfo.php?workbook=18_16.xlsx&amp;sheet=A0&amp;row=823&amp;col=8&amp;number=&amp;sourceID=49","")</f>
        <v/>
      </c>
    </row>
    <row r="824" spans="1:8">
      <c r="A824" s="3">
        <v>18</v>
      </c>
      <c r="B824" s="3">
        <v>16</v>
      </c>
      <c r="C824" s="3">
        <v>78</v>
      </c>
      <c r="D824" s="3">
        <v>27</v>
      </c>
      <c r="E824" s="3">
        <f>((1/(INDEX(E0!J$4:J$87,C824,1)-INDEX(E0!J$4:J$87,D824,1))))*100000000</f>
        <v>0</v>
      </c>
      <c r="F824" s="4" t="str">
        <f>HYPERLINK("http://141.218.60.56/~jnz1568/getInfo.php?workbook=18_16.xlsx&amp;sheet=A0&amp;row=824&amp;col=6&amp;number=1259900&amp;sourceID=48","1259900")</f>
        <v>1259900</v>
      </c>
      <c r="G824" s="4" t="str">
        <f>HYPERLINK("http://141.218.60.56/~jnz1568/getInfo.php?workbook=18_16.xlsx&amp;sheet=A0&amp;row=824&amp;col=7&amp;number=&amp;sourceID=49","")</f>
        <v/>
      </c>
      <c r="H824" s="4" t="str">
        <f>HYPERLINK("http://141.218.60.56/~jnz1568/getInfo.php?workbook=18_16.xlsx&amp;sheet=A0&amp;row=824&amp;col=8&amp;number=&amp;sourceID=49","")</f>
        <v/>
      </c>
    </row>
    <row r="825" spans="1:8">
      <c r="A825" s="3">
        <v>18</v>
      </c>
      <c r="B825" s="3">
        <v>16</v>
      </c>
      <c r="C825" s="3">
        <v>78</v>
      </c>
      <c r="D825" s="3">
        <v>28</v>
      </c>
      <c r="E825" s="3">
        <f>((1/(INDEX(E0!J$4:J$87,C825,1)-INDEX(E0!J$4:J$87,D825,1))))*100000000</f>
        <v>0</v>
      </c>
      <c r="F825" s="4" t="str">
        <f>HYPERLINK("http://141.218.60.56/~jnz1568/getInfo.php?workbook=18_16.xlsx&amp;sheet=A0&amp;row=825&amp;col=6&amp;number=31027&amp;sourceID=48","31027")</f>
        <v>31027</v>
      </c>
      <c r="G825" s="4" t="str">
        <f>HYPERLINK("http://141.218.60.56/~jnz1568/getInfo.php?workbook=18_16.xlsx&amp;sheet=A0&amp;row=825&amp;col=7&amp;number=&amp;sourceID=49","")</f>
        <v/>
      </c>
      <c r="H825" s="4" t="str">
        <f>HYPERLINK("http://141.218.60.56/~jnz1568/getInfo.php?workbook=18_16.xlsx&amp;sheet=A0&amp;row=825&amp;col=8&amp;number=&amp;sourceID=49","")</f>
        <v/>
      </c>
    </row>
    <row r="826" spans="1:8">
      <c r="A826" s="3">
        <v>18</v>
      </c>
      <c r="B826" s="3">
        <v>16</v>
      </c>
      <c r="C826" s="3">
        <v>78</v>
      </c>
      <c r="D826" s="3">
        <v>30</v>
      </c>
      <c r="E826" s="3">
        <f>((1/(INDEX(E0!J$4:J$87,C826,1)-INDEX(E0!J$4:J$87,D826,1))))*100000000</f>
        <v>0</v>
      </c>
      <c r="F826" s="4" t="str">
        <f>HYPERLINK("http://141.218.60.56/~jnz1568/getInfo.php?workbook=18_16.xlsx&amp;sheet=A0&amp;row=826&amp;col=6&amp;number=253540000&amp;sourceID=48","253540000")</f>
        <v>253540000</v>
      </c>
      <c r="G826" s="4" t="str">
        <f>HYPERLINK("http://141.218.60.56/~jnz1568/getInfo.php?workbook=18_16.xlsx&amp;sheet=A0&amp;row=826&amp;col=7&amp;number=&amp;sourceID=49","")</f>
        <v/>
      </c>
      <c r="H826" s="4" t="str">
        <f>HYPERLINK("http://141.218.60.56/~jnz1568/getInfo.php?workbook=18_16.xlsx&amp;sheet=A0&amp;row=826&amp;col=8&amp;number=&amp;sourceID=49","")</f>
        <v/>
      </c>
    </row>
    <row r="827" spans="1:8">
      <c r="A827" s="3">
        <v>18</v>
      </c>
      <c r="B827" s="3">
        <v>16</v>
      </c>
      <c r="C827" s="3">
        <v>78</v>
      </c>
      <c r="D827" s="3">
        <v>31</v>
      </c>
      <c r="E827" s="3">
        <f>((1/(INDEX(E0!J$4:J$87,C827,1)-INDEX(E0!J$4:J$87,D827,1))))*100000000</f>
        <v>0</v>
      </c>
      <c r="F827" s="4" t="str">
        <f>HYPERLINK("http://141.218.60.56/~jnz1568/getInfo.php?workbook=18_16.xlsx&amp;sheet=A0&amp;row=827&amp;col=6&amp;number=28469000&amp;sourceID=48","28469000")</f>
        <v>28469000</v>
      </c>
      <c r="G827" s="4" t="str">
        <f>HYPERLINK("http://141.218.60.56/~jnz1568/getInfo.php?workbook=18_16.xlsx&amp;sheet=A0&amp;row=827&amp;col=7&amp;number=&amp;sourceID=49","")</f>
        <v/>
      </c>
      <c r="H827" s="4" t="str">
        <f>HYPERLINK("http://141.218.60.56/~jnz1568/getInfo.php?workbook=18_16.xlsx&amp;sheet=A0&amp;row=827&amp;col=8&amp;number=&amp;sourceID=49","")</f>
        <v/>
      </c>
    </row>
    <row r="828" spans="1:8">
      <c r="A828" s="3">
        <v>18</v>
      </c>
      <c r="B828" s="3">
        <v>16</v>
      </c>
      <c r="C828" s="3">
        <v>78</v>
      </c>
      <c r="D828" s="3">
        <v>32</v>
      </c>
      <c r="E828" s="3">
        <f>((1/(INDEX(E0!J$4:J$87,C828,1)-INDEX(E0!J$4:J$87,D828,1))))*100000000</f>
        <v>0</v>
      </c>
      <c r="F828" s="4" t="str">
        <f>HYPERLINK("http://141.218.60.56/~jnz1568/getInfo.php?workbook=18_16.xlsx&amp;sheet=A0&amp;row=828&amp;col=6&amp;number=1341800&amp;sourceID=48","1341800")</f>
        <v>1341800</v>
      </c>
      <c r="G828" s="4" t="str">
        <f>HYPERLINK("http://141.218.60.56/~jnz1568/getInfo.php?workbook=18_16.xlsx&amp;sheet=A0&amp;row=828&amp;col=7&amp;number=&amp;sourceID=49","")</f>
        <v/>
      </c>
      <c r="H828" s="4" t="str">
        <f>HYPERLINK("http://141.218.60.56/~jnz1568/getInfo.php?workbook=18_16.xlsx&amp;sheet=A0&amp;row=828&amp;col=8&amp;number=&amp;sourceID=49","")</f>
        <v/>
      </c>
    </row>
    <row r="829" spans="1:8">
      <c r="A829" s="3">
        <v>18</v>
      </c>
      <c r="B829" s="3">
        <v>16</v>
      </c>
      <c r="C829" s="3">
        <v>78</v>
      </c>
      <c r="D829" s="3">
        <v>33</v>
      </c>
      <c r="E829" s="3">
        <f>((1/(INDEX(E0!J$4:J$87,C829,1)-INDEX(E0!J$4:J$87,D829,1))))*100000000</f>
        <v>0</v>
      </c>
      <c r="F829" s="4" t="str">
        <f>HYPERLINK("http://141.218.60.56/~jnz1568/getInfo.php?workbook=18_16.xlsx&amp;sheet=A0&amp;row=829&amp;col=6&amp;number=8172000&amp;sourceID=48","8172000")</f>
        <v>8172000</v>
      </c>
      <c r="G829" s="4" t="str">
        <f>HYPERLINK("http://141.218.60.56/~jnz1568/getInfo.php?workbook=18_16.xlsx&amp;sheet=A0&amp;row=829&amp;col=7&amp;number=&amp;sourceID=49","")</f>
        <v/>
      </c>
      <c r="H829" s="4" t="str">
        <f>HYPERLINK("http://141.218.60.56/~jnz1568/getInfo.php?workbook=18_16.xlsx&amp;sheet=A0&amp;row=829&amp;col=8&amp;number=&amp;sourceID=49","")</f>
        <v/>
      </c>
    </row>
    <row r="830" spans="1:8">
      <c r="A830" s="3">
        <v>18</v>
      </c>
      <c r="B830" s="3">
        <v>16</v>
      </c>
      <c r="C830" s="3">
        <v>78</v>
      </c>
      <c r="D830" s="3">
        <v>35</v>
      </c>
      <c r="E830" s="3">
        <f>((1/(INDEX(E0!J$4:J$87,C830,1)-INDEX(E0!J$4:J$87,D830,1))))*100000000</f>
        <v>0</v>
      </c>
      <c r="F830" s="4" t="str">
        <f>HYPERLINK("http://141.218.60.56/~jnz1568/getInfo.php?workbook=18_16.xlsx&amp;sheet=A0&amp;row=830&amp;col=6&amp;number=1418900&amp;sourceID=48","1418900")</f>
        <v>1418900</v>
      </c>
      <c r="G830" s="4" t="str">
        <f>HYPERLINK("http://141.218.60.56/~jnz1568/getInfo.php?workbook=18_16.xlsx&amp;sheet=A0&amp;row=830&amp;col=7&amp;number=&amp;sourceID=49","")</f>
        <v/>
      </c>
      <c r="H830" s="4" t="str">
        <f>HYPERLINK("http://141.218.60.56/~jnz1568/getInfo.php?workbook=18_16.xlsx&amp;sheet=A0&amp;row=830&amp;col=8&amp;number=&amp;sourceID=49","")</f>
        <v/>
      </c>
    </row>
    <row r="831" spans="1:8">
      <c r="A831" s="3">
        <v>18</v>
      </c>
      <c r="B831" s="3">
        <v>16</v>
      </c>
      <c r="C831" s="3">
        <v>78</v>
      </c>
      <c r="D831" s="3">
        <v>36</v>
      </c>
      <c r="E831" s="3">
        <f>((1/(INDEX(E0!J$4:J$87,C831,1)-INDEX(E0!J$4:J$87,D831,1))))*100000000</f>
        <v>0</v>
      </c>
      <c r="F831" s="4" t="str">
        <f>HYPERLINK("http://141.218.60.56/~jnz1568/getInfo.php?workbook=18_16.xlsx&amp;sheet=A0&amp;row=831&amp;col=6&amp;number=1812800&amp;sourceID=48","1812800")</f>
        <v>1812800</v>
      </c>
      <c r="G831" s="4" t="str">
        <f>HYPERLINK("http://141.218.60.56/~jnz1568/getInfo.php?workbook=18_16.xlsx&amp;sheet=A0&amp;row=831&amp;col=7&amp;number=&amp;sourceID=49","")</f>
        <v/>
      </c>
      <c r="H831" s="4" t="str">
        <f>HYPERLINK("http://141.218.60.56/~jnz1568/getInfo.php?workbook=18_16.xlsx&amp;sheet=A0&amp;row=831&amp;col=8&amp;number=&amp;sourceID=49","")</f>
        <v/>
      </c>
    </row>
    <row r="832" spans="1:8">
      <c r="A832" s="3">
        <v>18</v>
      </c>
      <c r="B832" s="3">
        <v>16</v>
      </c>
      <c r="C832" s="3">
        <v>78</v>
      </c>
      <c r="D832" s="3">
        <v>37</v>
      </c>
      <c r="E832" s="3">
        <f>((1/(INDEX(E0!J$4:J$87,C832,1)-INDEX(E0!J$4:J$87,D832,1))))*100000000</f>
        <v>0</v>
      </c>
      <c r="F832" s="4" t="str">
        <f>HYPERLINK("http://141.218.60.56/~jnz1568/getInfo.php?workbook=18_16.xlsx&amp;sheet=A0&amp;row=832&amp;col=6&amp;number=1713000&amp;sourceID=48","1713000")</f>
        <v>1713000</v>
      </c>
      <c r="G832" s="4" t="str">
        <f>HYPERLINK("http://141.218.60.56/~jnz1568/getInfo.php?workbook=18_16.xlsx&amp;sheet=A0&amp;row=832&amp;col=7&amp;number=&amp;sourceID=49","")</f>
        <v/>
      </c>
      <c r="H832" s="4" t="str">
        <f>HYPERLINK("http://141.218.60.56/~jnz1568/getInfo.php?workbook=18_16.xlsx&amp;sheet=A0&amp;row=832&amp;col=8&amp;number=&amp;sourceID=49","")</f>
        <v/>
      </c>
    </row>
    <row r="833" spans="1:8">
      <c r="A833" s="3">
        <v>18</v>
      </c>
      <c r="B833" s="3">
        <v>16</v>
      </c>
      <c r="C833" s="3">
        <v>78</v>
      </c>
      <c r="D833" s="3">
        <v>38</v>
      </c>
      <c r="E833" s="3">
        <f>((1/(INDEX(E0!J$4:J$87,C833,1)-INDEX(E0!J$4:J$87,D833,1))))*100000000</f>
        <v>0</v>
      </c>
      <c r="F833" s="4" t="str">
        <f>HYPERLINK("http://141.218.60.56/~jnz1568/getInfo.php?workbook=18_16.xlsx&amp;sheet=A0&amp;row=833&amp;col=6&amp;number=2293800&amp;sourceID=48","2293800")</f>
        <v>2293800</v>
      </c>
      <c r="G833" s="4" t="str">
        <f>HYPERLINK("http://141.218.60.56/~jnz1568/getInfo.php?workbook=18_16.xlsx&amp;sheet=A0&amp;row=833&amp;col=7&amp;number=&amp;sourceID=49","")</f>
        <v/>
      </c>
      <c r="H833" s="4" t="str">
        <f>HYPERLINK("http://141.218.60.56/~jnz1568/getInfo.php?workbook=18_16.xlsx&amp;sheet=A0&amp;row=833&amp;col=8&amp;number=&amp;sourceID=49","")</f>
        <v/>
      </c>
    </row>
    <row r="834" spans="1:8">
      <c r="A834" s="3">
        <v>18</v>
      </c>
      <c r="B834" s="3">
        <v>16</v>
      </c>
      <c r="C834" s="3">
        <v>78</v>
      </c>
      <c r="D834" s="3">
        <v>39</v>
      </c>
      <c r="E834" s="3">
        <f>((1/(INDEX(E0!J$4:J$87,C834,1)-INDEX(E0!J$4:J$87,D834,1))))*100000000</f>
        <v>0</v>
      </c>
      <c r="F834" s="4" t="str">
        <f>HYPERLINK("http://141.218.60.56/~jnz1568/getInfo.php?workbook=18_16.xlsx&amp;sheet=A0&amp;row=834&amp;col=6&amp;number=9342000&amp;sourceID=48","9342000")</f>
        <v>9342000</v>
      </c>
      <c r="G834" s="4" t="str">
        <f>HYPERLINK("http://141.218.60.56/~jnz1568/getInfo.php?workbook=18_16.xlsx&amp;sheet=A0&amp;row=834&amp;col=7&amp;number=&amp;sourceID=49","")</f>
        <v/>
      </c>
      <c r="H834" s="4" t="str">
        <f>HYPERLINK("http://141.218.60.56/~jnz1568/getInfo.php?workbook=18_16.xlsx&amp;sheet=A0&amp;row=834&amp;col=8&amp;number=&amp;sourceID=49","")</f>
        <v/>
      </c>
    </row>
    <row r="835" spans="1:8">
      <c r="A835" s="3">
        <v>18</v>
      </c>
      <c r="B835" s="3">
        <v>16</v>
      </c>
      <c r="C835" s="3">
        <v>78</v>
      </c>
      <c r="D835" s="3">
        <v>40</v>
      </c>
      <c r="E835" s="3">
        <f>((1/(INDEX(E0!J$4:J$87,C835,1)-INDEX(E0!J$4:J$87,D835,1))))*100000000</f>
        <v>0</v>
      </c>
      <c r="F835" s="4" t="str">
        <f>HYPERLINK("http://141.218.60.56/~jnz1568/getInfo.php?workbook=18_16.xlsx&amp;sheet=A0&amp;row=835&amp;col=6&amp;number=3766300&amp;sourceID=48","3766300")</f>
        <v>3766300</v>
      </c>
      <c r="G835" s="4" t="str">
        <f>HYPERLINK("http://141.218.60.56/~jnz1568/getInfo.php?workbook=18_16.xlsx&amp;sheet=A0&amp;row=835&amp;col=7&amp;number=&amp;sourceID=49","")</f>
        <v/>
      </c>
      <c r="H835" s="4" t="str">
        <f>HYPERLINK("http://141.218.60.56/~jnz1568/getInfo.php?workbook=18_16.xlsx&amp;sheet=A0&amp;row=835&amp;col=8&amp;number=&amp;sourceID=49","")</f>
        <v/>
      </c>
    </row>
    <row r="836" spans="1:8">
      <c r="A836" s="3">
        <v>18</v>
      </c>
      <c r="B836" s="3">
        <v>16</v>
      </c>
      <c r="C836" s="3">
        <v>78</v>
      </c>
      <c r="D836" s="3">
        <v>41</v>
      </c>
      <c r="E836" s="3">
        <f>((1/(INDEX(E0!J$4:J$87,C836,1)-INDEX(E0!J$4:J$87,D836,1))))*100000000</f>
        <v>0</v>
      </c>
      <c r="F836" s="4" t="str">
        <f>HYPERLINK("http://141.218.60.56/~jnz1568/getInfo.php?workbook=18_16.xlsx&amp;sheet=A0&amp;row=836&amp;col=6&amp;number=1701900&amp;sourceID=48","1701900")</f>
        <v>1701900</v>
      </c>
      <c r="G836" s="4" t="str">
        <f>HYPERLINK("http://141.218.60.56/~jnz1568/getInfo.php?workbook=18_16.xlsx&amp;sheet=A0&amp;row=836&amp;col=7&amp;number=&amp;sourceID=49","")</f>
        <v/>
      </c>
      <c r="H836" s="4" t="str">
        <f>HYPERLINK("http://141.218.60.56/~jnz1568/getInfo.php?workbook=18_16.xlsx&amp;sheet=A0&amp;row=836&amp;col=8&amp;number=&amp;sourceID=49","")</f>
        <v/>
      </c>
    </row>
    <row r="837" spans="1:8">
      <c r="A837" s="3">
        <v>18</v>
      </c>
      <c r="B837" s="3">
        <v>16</v>
      </c>
      <c r="C837" s="3">
        <v>78</v>
      </c>
      <c r="D837" s="3">
        <v>42</v>
      </c>
      <c r="E837" s="3">
        <f>((1/(INDEX(E0!J$4:J$87,C837,1)-INDEX(E0!J$4:J$87,D837,1))))*100000000</f>
        <v>0</v>
      </c>
      <c r="F837" s="4" t="str">
        <f>HYPERLINK("http://141.218.60.56/~jnz1568/getInfo.php?workbook=18_16.xlsx&amp;sheet=A0&amp;row=837&amp;col=6&amp;number=864110&amp;sourceID=48","864110")</f>
        <v>864110</v>
      </c>
      <c r="G837" s="4" t="str">
        <f>HYPERLINK("http://141.218.60.56/~jnz1568/getInfo.php?workbook=18_16.xlsx&amp;sheet=A0&amp;row=837&amp;col=7&amp;number=&amp;sourceID=49","")</f>
        <v/>
      </c>
      <c r="H837" s="4" t="str">
        <f>HYPERLINK("http://141.218.60.56/~jnz1568/getInfo.php?workbook=18_16.xlsx&amp;sheet=A0&amp;row=837&amp;col=8&amp;number=&amp;sourceID=49","")</f>
        <v/>
      </c>
    </row>
    <row r="838" spans="1:8">
      <c r="A838" s="3">
        <v>18</v>
      </c>
      <c r="B838" s="3">
        <v>16</v>
      </c>
      <c r="C838" s="3">
        <v>78</v>
      </c>
      <c r="D838" s="3">
        <v>45</v>
      </c>
      <c r="E838" s="3">
        <f>((1/(INDEX(E0!J$4:J$87,C838,1)-INDEX(E0!J$4:J$87,D838,1))))*100000000</f>
        <v>0</v>
      </c>
      <c r="F838" s="4" t="str">
        <f>HYPERLINK("http://141.218.60.56/~jnz1568/getInfo.php?workbook=18_16.xlsx&amp;sheet=A0&amp;row=838&amp;col=6&amp;number=270640&amp;sourceID=48","270640")</f>
        <v>270640</v>
      </c>
      <c r="G838" s="4" t="str">
        <f>HYPERLINK("http://141.218.60.56/~jnz1568/getInfo.php?workbook=18_16.xlsx&amp;sheet=A0&amp;row=838&amp;col=7&amp;number=&amp;sourceID=49","")</f>
        <v/>
      </c>
      <c r="H838" s="4" t="str">
        <f>HYPERLINK("http://141.218.60.56/~jnz1568/getInfo.php?workbook=18_16.xlsx&amp;sheet=A0&amp;row=838&amp;col=8&amp;number=&amp;sourceID=49","")</f>
        <v/>
      </c>
    </row>
    <row r="839" spans="1:8">
      <c r="A839" s="3">
        <v>18</v>
      </c>
      <c r="B839" s="3">
        <v>16</v>
      </c>
      <c r="C839" s="3">
        <v>78</v>
      </c>
      <c r="D839" s="3">
        <v>47</v>
      </c>
      <c r="E839" s="3">
        <f>((1/(INDEX(E0!J$4:J$87,C839,1)-INDEX(E0!J$4:J$87,D839,1))))*100000000</f>
        <v>0</v>
      </c>
      <c r="F839" s="4" t="str">
        <f>HYPERLINK("http://141.218.60.56/~jnz1568/getInfo.php?workbook=18_16.xlsx&amp;sheet=A0&amp;row=839&amp;col=6&amp;number=31939000&amp;sourceID=48","31939000")</f>
        <v>31939000</v>
      </c>
      <c r="G839" s="4" t="str">
        <f>HYPERLINK("http://141.218.60.56/~jnz1568/getInfo.php?workbook=18_16.xlsx&amp;sheet=A0&amp;row=839&amp;col=7&amp;number=&amp;sourceID=49","")</f>
        <v/>
      </c>
      <c r="H839" s="4" t="str">
        <f>HYPERLINK("http://141.218.60.56/~jnz1568/getInfo.php?workbook=18_16.xlsx&amp;sheet=A0&amp;row=839&amp;col=8&amp;number=&amp;sourceID=49","")</f>
        <v/>
      </c>
    </row>
    <row r="840" spans="1:8">
      <c r="A840" s="3">
        <v>18</v>
      </c>
      <c r="B840" s="3">
        <v>16</v>
      </c>
      <c r="C840" s="3">
        <v>78</v>
      </c>
      <c r="D840" s="3">
        <v>48</v>
      </c>
      <c r="E840" s="3">
        <f>((1/(INDEX(E0!J$4:J$87,C840,1)-INDEX(E0!J$4:J$87,D840,1))))*100000000</f>
        <v>0</v>
      </c>
      <c r="F840" s="4" t="str">
        <f>HYPERLINK("http://141.218.60.56/~jnz1568/getInfo.php?workbook=18_16.xlsx&amp;sheet=A0&amp;row=840&amp;col=6&amp;number=127000000&amp;sourceID=48","127000000")</f>
        <v>127000000</v>
      </c>
      <c r="G840" s="4" t="str">
        <f>HYPERLINK("http://141.218.60.56/~jnz1568/getInfo.php?workbook=18_16.xlsx&amp;sheet=A0&amp;row=840&amp;col=7&amp;number=&amp;sourceID=49","")</f>
        <v/>
      </c>
      <c r="H840" s="4" t="str">
        <f>HYPERLINK("http://141.218.60.56/~jnz1568/getInfo.php?workbook=18_16.xlsx&amp;sheet=A0&amp;row=840&amp;col=8&amp;number=&amp;sourceID=49","")</f>
        <v/>
      </c>
    </row>
    <row r="841" spans="1:8">
      <c r="A841" s="3">
        <v>18</v>
      </c>
      <c r="B841" s="3">
        <v>16</v>
      </c>
      <c r="C841" s="3">
        <v>78</v>
      </c>
      <c r="D841" s="3">
        <v>53</v>
      </c>
      <c r="E841" s="3">
        <f>((1/(INDEX(E0!J$4:J$87,C841,1)-INDEX(E0!J$4:J$87,D841,1))))*100000000</f>
        <v>0</v>
      </c>
      <c r="F841" s="4" t="str">
        <f>HYPERLINK("http://141.218.60.56/~jnz1568/getInfo.php?workbook=18_16.xlsx&amp;sheet=A0&amp;row=841&amp;col=6&amp;number=1546200&amp;sourceID=48","1546200")</f>
        <v>1546200</v>
      </c>
      <c r="G841" s="4" t="str">
        <f>HYPERLINK("http://141.218.60.56/~jnz1568/getInfo.php?workbook=18_16.xlsx&amp;sheet=A0&amp;row=841&amp;col=7&amp;number=&amp;sourceID=49","")</f>
        <v/>
      </c>
      <c r="H841" s="4" t="str">
        <f>HYPERLINK("http://141.218.60.56/~jnz1568/getInfo.php?workbook=18_16.xlsx&amp;sheet=A0&amp;row=841&amp;col=8&amp;number=&amp;sourceID=49","")</f>
        <v/>
      </c>
    </row>
    <row r="842" spans="1:8">
      <c r="A842" s="3">
        <v>18</v>
      </c>
      <c r="B842" s="3">
        <v>16</v>
      </c>
      <c r="C842" s="3">
        <v>78</v>
      </c>
      <c r="D842" s="3">
        <v>54</v>
      </c>
      <c r="E842" s="3">
        <f>((1/(INDEX(E0!J$4:J$87,C842,1)-INDEX(E0!J$4:J$87,D842,1))))*100000000</f>
        <v>0</v>
      </c>
      <c r="F842" s="4" t="str">
        <f>HYPERLINK("http://141.218.60.56/~jnz1568/getInfo.php?workbook=18_16.xlsx&amp;sheet=A0&amp;row=842&amp;col=6&amp;number=3460200&amp;sourceID=48","3460200")</f>
        <v>3460200</v>
      </c>
      <c r="G842" s="4" t="str">
        <f>HYPERLINK("http://141.218.60.56/~jnz1568/getInfo.php?workbook=18_16.xlsx&amp;sheet=A0&amp;row=842&amp;col=7&amp;number=&amp;sourceID=49","")</f>
        <v/>
      </c>
      <c r="H842" s="4" t="str">
        <f>HYPERLINK("http://141.218.60.56/~jnz1568/getInfo.php?workbook=18_16.xlsx&amp;sheet=A0&amp;row=842&amp;col=8&amp;number=&amp;sourceID=49","")</f>
        <v/>
      </c>
    </row>
    <row r="843" spans="1:8">
      <c r="A843" s="3">
        <v>18</v>
      </c>
      <c r="B843" s="3">
        <v>16</v>
      </c>
      <c r="C843" s="3">
        <v>78</v>
      </c>
      <c r="D843" s="3">
        <v>55</v>
      </c>
      <c r="E843" s="3">
        <f>((1/(INDEX(E0!J$4:J$87,C843,1)-INDEX(E0!J$4:J$87,D843,1))))*100000000</f>
        <v>0</v>
      </c>
      <c r="F843" s="4" t="str">
        <f>HYPERLINK("http://141.218.60.56/~jnz1568/getInfo.php?workbook=18_16.xlsx&amp;sheet=A0&amp;row=843&amp;col=6&amp;number=154580&amp;sourceID=48","154580")</f>
        <v>154580</v>
      </c>
      <c r="G843" s="4" t="str">
        <f>HYPERLINK("http://141.218.60.56/~jnz1568/getInfo.php?workbook=18_16.xlsx&amp;sheet=A0&amp;row=843&amp;col=7&amp;number=&amp;sourceID=49","")</f>
        <v/>
      </c>
      <c r="H843" s="4" t="str">
        <f>HYPERLINK("http://141.218.60.56/~jnz1568/getInfo.php?workbook=18_16.xlsx&amp;sheet=A0&amp;row=843&amp;col=8&amp;number=&amp;sourceID=49","")</f>
        <v/>
      </c>
    </row>
    <row r="844" spans="1:8">
      <c r="A844" s="3">
        <v>18</v>
      </c>
      <c r="B844" s="3">
        <v>16</v>
      </c>
      <c r="C844" s="3">
        <v>78</v>
      </c>
      <c r="D844" s="3">
        <v>56</v>
      </c>
      <c r="E844" s="3">
        <f>((1/(INDEX(E0!J$4:J$87,C844,1)-INDEX(E0!J$4:J$87,D844,1))))*100000000</f>
        <v>0</v>
      </c>
      <c r="F844" s="4" t="str">
        <f>HYPERLINK("http://141.218.60.56/~jnz1568/getInfo.php?workbook=18_16.xlsx&amp;sheet=A0&amp;row=844&amp;col=6&amp;number=1776100&amp;sourceID=48","1776100")</f>
        <v>1776100</v>
      </c>
      <c r="G844" s="4" t="str">
        <f>HYPERLINK("http://141.218.60.56/~jnz1568/getInfo.php?workbook=18_16.xlsx&amp;sheet=A0&amp;row=844&amp;col=7&amp;number=&amp;sourceID=49","")</f>
        <v/>
      </c>
      <c r="H844" s="4" t="str">
        <f>HYPERLINK("http://141.218.60.56/~jnz1568/getInfo.php?workbook=18_16.xlsx&amp;sheet=A0&amp;row=844&amp;col=8&amp;number=&amp;sourceID=49","")</f>
        <v/>
      </c>
    </row>
    <row r="845" spans="1:8">
      <c r="A845" s="3">
        <v>18</v>
      </c>
      <c r="B845" s="3">
        <v>16</v>
      </c>
      <c r="C845" s="3">
        <v>78</v>
      </c>
      <c r="D845" s="3">
        <v>57</v>
      </c>
      <c r="E845" s="3">
        <f>((1/(INDEX(E0!J$4:J$87,C845,1)-INDEX(E0!J$4:J$87,D845,1))))*100000000</f>
        <v>0</v>
      </c>
      <c r="F845" s="4" t="str">
        <f>HYPERLINK("http://141.218.60.56/~jnz1568/getInfo.php?workbook=18_16.xlsx&amp;sheet=A0&amp;row=845&amp;col=6&amp;number=7789900&amp;sourceID=48","7789900")</f>
        <v>7789900</v>
      </c>
      <c r="G845" s="4" t="str">
        <f>HYPERLINK("http://141.218.60.56/~jnz1568/getInfo.php?workbook=18_16.xlsx&amp;sheet=A0&amp;row=845&amp;col=7&amp;number=&amp;sourceID=49","")</f>
        <v/>
      </c>
      <c r="H845" s="4" t="str">
        <f>HYPERLINK("http://141.218.60.56/~jnz1568/getInfo.php?workbook=18_16.xlsx&amp;sheet=A0&amp;row=845&amp;col=8&amp;number=&amp;sourceID=49","")</f>
        <v/>
      </c>
    </row>
    <row r="846" spans="1:8">
      <c r="A846" s="3">
        <v>18</v>
      </c>
      <c r="B846" s="3">
        <v>16</v>
      </c>
      <c r="C846" s="3">
        <v>78</v>
      </c>
      <c r="D846" s="3">
        <v>58</v>
      </c>
      <c r="E846" s="3">
        <f>((1/(INDEX(E0!J$4:J$87,C846,1)-INDEX(E0!J$4:J$87,D846,1))))*100000000</f>
        <v>0</v>
      </c>
      <c r="F846" s="4" t="str">
        <f>HYPERLINK("http://141.218.60.56/~jnz1568/getInfo.php?workbook=18_16.xlsx&amp;sheet=A0&amp;row=846&amp;col=6&amp;number=23604000&amp;sourceID=48","23604000")</f>
        <v>23604000</v>
      </c>
      <c r="G846" s="4" t="str">
        <f>HYPERLINK("http://141.218.60.56/~jnz1568/getInfo.php?workbook=18_16.xlsx&amp;sheet=A0&amp;row=846&amp;col=7&amp;number=&amp;sourceID=49","")</f>
        <v/>
      </c>
      <c r="H846" s="4" t="str">
        <f>HYPERLINK("http://141.218.60.56/~jnz1568/getInfo.php?workbook=18_16.xlsx&amp;sheet=A0&amp;row=846&amp;col=8&amp;number=&amp;sourceID=49","")</f>
        <v/>
      </c>
    </row>
    <row r="847" spans="1:8">
      <c r="A847" s="3">
        <v>18</v>
      </c>
      <c r="B847" s="3">
        <v>16</v>
      </c>
      <c r="C847" s="3">
        <v>78</v>
      </c>
      <c r="D847" s="3">
        <v>60</v>
      </c>
      <c r="E847" s="3">
        <f>((1/(INDEX(E0!J$4:J$87,C847,1)-INDEX(E0!J$4:J$87,D847,1))))*100000000</f>
        <v>0</v>
      </c>
      <c r="F847" s="4" t="str">
        <f>HYPERLINK("http://141.218.60.56/~jnz1568/getInfo.php?workbook=18_16.xlsx&amp;sheet=A0&amp;row=847&amp;col=6&amp;number=49782&amp;sourceID=48","49782")</f>
        <v>49782</v>
      </c>
      <c r="G847" s="4" t="str">
        <f>HYPERLINK("http://141.218.60.56/~jnz1568/getInfo.php?workbook=18_16.xlsx&amp;sheet=A0&amp;row=847&amp;col=7&amp;number=&amp;sourceID=49","")</f>
        <v/>
      </c>
      <c r="H847" s="4" t="str">
        <f>HYPERLINK("http://141.218.60.56/~jnz1568/getInfo.php?workbook=18_16.xlsx&amp;sheet=A0&amp;row=847&amp;col=8&amp;number=&amp;sourceID=49","")</f>
        <v/>
      </c>
    </row>
    <row r="848" spans="1:8">
      <c r="A848" s="3">
        <v>18</v>
      </c>
      <c r="B848" s="3">
        <v>16</v>
      </c>
      <c r="C848" s="3">
        <v>78</v>
      </c>
      <c r="D848" s="3">
        <v>61</v>
      </c>
      <c r="E848" s="3">
        <f>((1/(INDEX(E0!J$4:J$87,C848,1)-INDEX(E0!J$4:J$87,D848,1))))*100000000</f>
        <v>0</v>
      </c>
      <c r="F848" s="4" t="str">
        <f>HYPERLINK("http://141.218.60.56/~jnz1568/getInfo.php?workbook=18_16.xlsx&amp;sheet=A0&amp;row=848&amp;col=6&amp;number=52723&amp;sourceID=48","52723")</f>
        <v>52723</v>
      </c>
      <c r="G848" s="4" t="str">
        <f>HYPERLINK("http://141.218.60.56/~jnz1568/getInfo.php?workbook=18_16.xlsx&amp;sheet=A0&amp;row=848&amp;col=7&amp;number=&amp;sourceID=49","")</f>
        <v/>
      </c>
      <c r="H848" s="4" t="str">
        <f>HYPERLINK("http://141.218.60.56/~jnz1568/getInfo.php?workbook=18_16.xlsx&amp;sheet=A0&amp;row=848&amp;col=8&amp;number=&amp;sourceID=49","")</f>
        <v/>
      </c>
    </row>
    <row r="849" spans="1:8">
      <c r="A849" s="3">
        <v>18</v>
      </c>
      <c r="B849" s="3">
        <v>16</v>
      </c>
      <c r="C849" s="3">
        <v>78</v>
      </c>
      <c r="D849" s="3">
        <v>63</v>
      </c>
      <c r="E849" s="3">
        <f>((1/(INDEX(E0!J$4:J$87,C849,1)-INDEX(E0!J$4:J$87,D849,1))))*100000000</f>
        <v>0</v>
      </c>
      <c r="F849" s="4" t="str">
        <f>HYPERLINK("http://141.218.60.56/~jnz1568/getInfo.php?workbook=18_16.xlsx&amp;sheet=A0&amp;row=849&amp;col=6&amp;number=19866&amp;sourceID=48","19866")</f>
        <v>19866</v>
      </c>
      <c r="G849" s="4" t="str">
        <f>HYPERLINK("http://141.218.60.56/~jnz1568/getInfo.php?workbook=18_16.xlsx&amp;sheet=A0&amp;row=849&amp;col=7&amp;number=&amp;sourceID=49","")</f>
        <v/>
      </c>
      <c r="H849" s="4" t="str">
        <f>HYPERLINK("http://141.218.60.56/~jnz1568/getInfo.php?workbook=18_16.xlsx&amp;sheet=A0&amp;row=849&amp;col=8&amp;number=&amp;sourceID=49","")</f>
        <v/>
      </c>
    </row>
    <row r="850" spans="1:8">
      <c r="A850" s="3">
        <v>18</v>
      </c>
      <c r="B850" s="3">
        <v>16</v>
      </c>
      <c r="C850" s="3">
        <v>79</v>
      </c>
      <c r="D850" s="3">
        <v>6</v>
      </c>
      <c r="E850" s="3">
        <f>((1/(INDEX(E0!J$4:J$87,C850,1)-INDEX(E0!J$4:J$87,D850,1))))*100000000</f>
        <v>0</v>
      </c>
      <c r="F850" s="4" t="str">
        <f>HYPERLINK("http://141.218.60.56/~jnz1568/getInfo.php?workbook=18_16.xlsx&amp;sheet=A0&amp;row=850&amp;col=6&amp;number=21081000&amp;sourceID=48","21081000")</f>
        <v>21081000</v>
      </c>
      <c r="G850" s="4" t="str">
        <f>HYPERLINK("http://141.218.60.56/~jnz1568/getInfo.php?workbook=18_16.xlsx&amp;sheet=A0&amp;row=850&amp;col=7&amp;number=&amp;sourceID=49","")</f>
        <v/>
      </c>
      <c r="H850" s="4" t="str">
        <f>HYPERLINK("http://141.218.60.56/~jnz1568/getInfo.php?workbook=18_16.xlsx&amp;sheet=A0&amp;row=850&amp;col=8&amp;number=&amp;sourceID=49","")</f>
        <v/>
      </c>
    </row>
    <row r="851" spans="1:8">
      <c r="A851" s="3">
        <v>18</v>
      </c>
      <c r="B851" s="3">
        <v>16</v>
      </c>
      <c r="C851" s="3">
        <v>79</v>
      </c>
      <c r="D851" s="3">
        <v>12</v>
      </c>
      <c r="E851" s="3">
        <f>((1/(INDEX(E0!J$4:J$87,C851,1)-INDEX(E0!J$4:J$87,D851,1))))*100000000</f>
        <v>0</v>
      </c>
      <c r="F851" s="4" t="str">
        <f>HYPERLINK("http://141.218.60.56/~jnz1568/getInfo.php?workbook=18_16.xlsx&amp;sheet=A0&amp;row=851&amp;col=6&amp;number=7799.2&amp;sourceID=48","7799.2")</f>
        <v>7799.2</v>
      </c>
      <c r="G851" s="4" t="str">
        <f>HYPERLINK("http://141.218.60.56/~jnz1568/getInfo.php?workbook=18_16.xlsx&amp;sheet=A0&amp;row=851&amp;col=7&amp;number=&amp;sourceID=49","")</f>
        <v/>
      </c>
      <c r="H851" s="4" t="str">
        <f>HYPERLINK("http://141.218.60.56/~jnz1568/getInfo.php?workbook=18_16.xlsx&amp;sheet=A0&amp;row=851&amp;col=8&amp;number=&amp;sourceID=49","")</f>
        <v/>
      </c>
    </row>
    <row r="852" spans="1:8">
      <c r="A852" s="3">
        <v>18</v>
      </c>
      <c r="B852" s="3">
        <v>16</v>
      </c>
      <c r="C852" s="3">
        <v>79</v>
      </c>
      <c r="D852" s="3">
        <v>13</v>
      </c>
      <c r="E852" s="3">
        <f>((1/(INDEX(E0!J$4:J$87,C852,1)-INDEX(E0!J$4:J$87,D852,1))))*100000000</f>
        <v>0</v>
      </c>
      <c r="F852" s="4" t="str">
        <f>HYPERLINK("http://141.218.60.56/~jnz1568/getInfo.php?workbook=18_16.xlsx&amp;sheet=A0&amp;row=852&amp;col=6&amp;number=14437&amp;sourceID=48","14437")</f>
        <v>14437</v>
      </c>
      <c r="G852" s="4" t="str">
        <f>HYPERLINK("http://141.218.60.56/~jnz1568/getInfo.php?workbook=18_16.xlsx&amp;sheet=A0&amp;row=852&amp;col=7&amp;number=&amp;sourceID=49","")</f>
        <v/>
      </c>
      <c r="H852" s="4" t="str">
        <f>HYPERLINK("http://141.218.60.56/~jnz1568/getInfo.php?workbook=18_16.xlsx&amp;sheet=A0&amp;row=852&amp;col=8&amp;number=&amp;sourceID=49","")</f>
        <v/>
      </c>
    </row>
    <row r="853" spans="1:8">
      <c r="A853" s="3">
        <v>18</v>
      </c>
      <c r="B853" s="3">
        <v>16</v>
      </c>
      <c r="C853" s="3">
        <v>79</v>
      </c>
      <c r="D853" s="3">
        <v>14</v>
      </c>
      <c r="E853" s="3">
        <f>((1/(INDEX(E0!J$4:J$87,C853,1)-INDEX(E0!J$4:J$87,D853,1))))*100000000</f>
        <v>0</v>
      </c>
      <c r="F853" s="4" t="str">
        <f>HYPERLINK("http://141.218.60.56/~jnz1568/getInfo.php?workbook=18_16.xlsx&amp;sheet=A0&amp;row=853&amp;col=6&amp;number=30603&amp;sourceID=48","30603")</f>
        <v>30603</v>
      </c>
      <c r="G853" s="4" t="str">
        <f>HYPERLINK("http://141.218.60.56/~jnz1568/getInfo.php?workbook=18_16.xlsx&amp;sheet=A0&amp;row=853&amp;col=7&amp;number=&amp;sourceID=49","")</f>
        <v/>
      </c>
      <c r="H853" s="4" t="str">
        <f>HYPERLINK("http://141.218.60.56/~jnz1568/getInfo.php?workbook=18_16.xlsx&amp;sheet=A0&amp;row=853&amp;col=8&amp;number=&amp;sourceID=49","")</f>
        <v/>
      </c>
    </row>
    <row r="854" spans="1:8">
      <c r="A854" s="3">
        <v>18</v>
      </c>
      <c r="B854" s="3">
        <v>16</v>
      </c>
      <c r="C854" s="3">
        <v>79</v>
      </c>
      <c r="D854" s="3">
        <v>15</v>
      </c>
      <c r="E854" s="3">
        <f>((1/(INDEX(E0!J$4:J$87,C854,1)-INDEX(E0!J$4:J$87,D854,1))))*100000000</f>
        <v>0</v>
      </c>
      <c r="F854" s="4" t="str">
        <f>HYPERLINK("http://141.218.60.56/~jnz1568/getInfo.php?workbook=18_16.xlsx&amp;sheet=A0&amp;row=854&amp;col=6&amp;number=27256000&amp;sourceID=48","27256000")</f>
        <v>27256000</v>
      </c>
      <c r="G854" s="4" t="str">
        <f>HYPERLINK("http://141.218.60.56/~jnz1568/getInfo.php?workbook=18_16.xlsx&amp;sheet=A0&amp;row=854&amp;col=7&amp;number=&amp;sourceID=49","")</f>
        <v/>
      </c>
      <c r="H854" s="4" t="str">
        <f>HYPERLINK("http://141.218.60.56/~jnz1568/getInfo.php?workbook=18_16.xlsx&amp;sheet=A0&amp;row=854&amp;col=8&amp;number=&amp;sourceID=49","")</f>
        <v/>
      </c>
    </row>
    <row r="855" spans="1:8">
      <c r="A855" s="3">
        <v>18</v>
      </c>
      <c r="B855" s="3">
        <v>16</v>
      </c>
      <c r="C855" s="3">
        <v>79</v>
      </c>
      <c r="D855" s="3">
        <v>16</v>
      </c>
      <c r="E855" s="3">
        <f>((1/(INDEX(E0!J$4:J$87,C855,1)-INDEX(E0!J$4:J$87,D855,1))))*100000000</f>
        <v>0</v>
      </c>
      <c r="F855" s="4" t="str">
        <f>HYPERLINK("http://141.218.60.56/~jnz1568/getInfo.php?workbook=18_16.xlsx&amp;sheet=A0&amp;row=855&amp;col=6&amp;number=4268200&amp;sourceID=48","4268200")</f>
        <v>4268200</v>
      </c>
      <c r="G855" s="4" t="str">
        <f>HYPERLINK("http://141.218.60.56/~jnz1568/getInfo.php?workbook=18_16.xlsx&amp;sheet=A0&amp;row=855&amp;col=7&amp;number=&amp;sourceID=49","")</f>
        <v/>
      </c>
      <c r="H855" s="4" t="str">
        <f>HYPERLINK("http://141.218.60.56/~jnz1568/getInfo.php?workbook=18_16.xlsx&amp;sheet=A0&amp;row=855&amp;col=8&amp;number=&amp;sourceID=49","")</f>
        <v/>
      </c>
    </row>
    <row r="856" spans="1:8">
      <c r="A856" s="3">
        <v>18</v>
      </c>
      <c r="B856" s="3">
        <v>16</v>
      </c>
      <c r="C856" s="3">
        <v>79</v>
      </c>
      <c r="D856" s="3">
        <v>19</v>
      </c>
      <c r="E856" s="3">
        <f>((1/(INDEX(E0!J$4:J$87,C856,1)-INDEX(E0!J$4:J$87,D856,1))))*100000000</f>
        <v>0</v>
      </c>
      <c r="F856" s="4" t="str">
        <f>HYPERLINK("http://141.218.60.56/~jnz1568/getInfo.php?workbook=18_16.xlsx&amp;sheet=A0&amp;row=856&amp;col=6&amp;number=14784&amp;sourceID=48","14784")</f>
        <v>14784</v>
      </c>
      <c r="G856" s="4" t="str">
        <f>HYPERLINK("http://141.218.60.56/~jnz1568/getInfo.php?workbook=18_16.xlsx&amp;sheet=A0&amp;row=856&amp;col=7&amp;number=&amp;sourceID=49","")</f>
        <v/>
      </c>
      <c r="H856" s="4" t="str">
        <f>HYPERLINK("http://141.218.60.56/~jnz1568/getInfo.php?workbook=18_16.xlsx&amp;sheet=A0&amp;row=856&amp;col=8&amp;number=&amp;sourceID=49","")</f>
        <v/>
      </c>
    </row>
    <row r="857" spans="1:8">
      <c r="A857" s="3">
        <v>18</v>
      </c>
      <c r="B857" s="3">
        <v>16</v>
      </c>
      <c r="C857" s="3">
        <v>79</v>
      </c>
      <c r="D857" s="3">
        <v>20</v>
      </c>
      <c r="E857" s="3">
        <f>((1/(INDEX(E0!J$4:J$87,C857,1)-INDEX(E0!J$4:J$87,D857,1))))*100000000</f>
        <v>0</v>
      </c>
      <c r="F857" s="4" t="str">
        <f>HYPERLINK("http://141.218.60.56/~jnz1568/getInfo.php?workbook=18_16.xlsx&amp;sheet=A0&amp;row=857&amp;col=6&amp;number=2058200&amp;sourceID=48","2058200")</f>
        <v>2058200</v>
      </c>
      <c r="G857" s="4" t="str">
        <f>HYPERLINK("http://141.218.60.56/~jnz1568/getInfo.php?workbook=18_16.xlsx&amp;sheet=A0&amp;row=857&amp;col=7&amp;number=&amp;sourceID=49","")</f>
        <v/>
      </c>
      <c r="H857" s="4" t="str">
        <f>HYPERLINK("http://141.218.60.56/~jnz1568/getInfo.php?workbook=18_16.xlsx&amp;sheet=A0&amp;row=857&amp;col=8&amp;number=&amp;sourceID=49","")</f>
        <v/>
      </c>
    </row>
    <row r="858" spans="1:8">
      <c r="A858" s="3">
        <v>18</v>
      </c>
      <c r="B858" s="3">
        <v>16</v>
      </c>
      <c r="C858" s="3">
        <v>79</v>
      </c>
      <c r="D858" s="3">
        <v>21</v>
      </c>
      <c r="E858" s="3">
        <f>((1/(INDEX(E0!J$4:J$87,C858,1)-INDEX(E0!J$4:J$87,D858,1))))*100000000</f>
        <v>0</v>
      </c>
      <c r="F858" s="4" t="str">
        <f>HYPERLINK("http://141.218.60.56/~jnz1568/getInfo.php?workbook=18_16.xlsx&amp;sheet=A0&amp;row=858&amp;col=6&amp;number=55323000&amp;sourceID=48","55323000")</f>
        <v>55323000</v>
      </c>
      <c r="G858" s="4" t="str">
        <f>HYPERLINK("http://141.218.60.56/~jnz1568/getInfo.php?workbook=18_16.xlsx&amp;sheet=A0&amp;row=858&amp;col=7&amp;number=&amp;sourceID=49","")</f>
        <v/>
      </c>
      <c r="H858" s="4" t="str">
        <f>HYPERLINK("http://141.218.60.56/~jnz1568/getInfo.php?workbook=18_16.xlsx&amp;sheet=A0&amp;row=858&amp;col=8&amp;number=&amp;sourceID=49","")</f>
        <v/>
      </c>
    </row>
    <row r="859" spans="1:8">
      <c r="A859" s="3">
        <v>18</v>
      </c>
      <c r="B859" s="3">
        <v>16</v>
      </c>
      <c r="C859" s="3">
        <v>79</v>
      </c>
      <c r="D859" s="3">
        <v>22</v>
      </c>
      <c r="E859" s="3">
        <f>((1/(INDEX(E0!J$4:J$87,C859,1)-INDEX(E0!J$4:J$87,D859,1))))*100000000</f>
        <v>0</v>
      </c>
      <c r="F859" s="4" t="str">
        <f>HYPERLINK("http://141.218.60.56/~jnz1568/getInfo.php?workbook=18_16.xlsx&amp;sheet=A0&amp;row=859&amp;col=6&amp;number=21630&amp;sourceID=48","21630")</f>
        <v>21630</v>
      </c>
      <c r="G859" s="4" t="str">
        <f>HYPERLINK("http://141.218.60.56/~jnz1568/getInfo.php?workbook=18_16.xlsx&amp;sheet=A0&amp;row=859&amp;col=7&amp;number=&amp;sourceID=49","")</f>
        <v/>
      </c>
      <c r="H859" s="4" t="str">
        <f>HYPERLINK("http://141.218.60.56/~jnz1568/getInfo.php?workbook=18_16.xlsx&amp;sheet=A0&amp;row=859&amp;col=8&amp;number=&amp;sourceID=49","")</f>
        <v/>
      </c>
    </row>
    <row r="860" spans="1:8">
      <c r="A860" s="3">
        <v>18</v>
      </c>
      <c r="B860" s="3">
        <v>16</v>
      </c>
      <c r="C860" s="3">
        <v>79</v>
      </c>
      <c r="D860" s="3">
        <v>23</v>
      </c>
      <c r="E860" s="3">
        <f>((1/(INDEX(E0!J$4:J$87,C860,1)-INDEX(E0!J$4:J$87,D860,1))))*100000000</f>
        <v>0</v>
      </c>
      <c r="F860" s="4" t="str">
        <f>HYPERLINK("http://141.218.60.56/~jnz1568/getInfo.php?workbook=18_16.xlsx&amp;sheet=A0&amp;row=860&amp;col=6&amp;number=365740&amp;sourceID=48","365740")</f>
        <v>365740</v>
      </c>
      <c r="G860" s="4" t="str">
        <f>HYPERLINK("http://141.218.60.56/~jnz1568/getInfo.php?workbook=18_16.xlsx&amp;sheet=A0&amp;row=860&amp;col=7&amp;number=&amp;sourceID=49","")</f>
        <v/>
      </c>
      <c r="H860" s="4" t="str">
        <f>HYPERLINK("http://141.218.60.56/~jnz1568/getInfo.php?workbook=18_16.xlsx&amp;sheet=A0&amp;row=860&amp;col=8&amp;number=&amp;sourceID=49","")</f>
        <v/>
      </c>
    </row>
    <row r="861" spans="1:8">
      <c r="A861" s="3">
        <v>18</v>
      </c>
      <c r="B861" s="3">
        <v>16</v>
      </c>
      <c r="C861" s="3">
        <v>79</v>
      </c>
      <c r="D861" s="3">
        <v>25</v>
      </c>
      <c r="E861" s="3">
        <f>((1/(INDEX(E0!J$4:J$87,C861,1)-INDEX(E0!J$4:J$87,D861,1))))*100000000</f>
        <v>0</v>
      </c>
      <c r="F861" s="4" t="str">
        <f>HYPERLINK("http://141.218.60.56/~jnz1568/getInfo.php?workbook=18_16.xlsx&amp;sheet=A0&amp;row=861&amp;col=6&amp;number=54.234&amp;sourceID=48","54.234")</f>
        <v>54.234</v>
      </c>
      <c r="G861" s="4" t="str">
        <f>HYPERLINK("http://141.218.60.56/~jnz1568/getInfo.php?workbook=18_16.xlsx&amp;sheet=A0&amp;row=861&amp;col=7&amp;number=&amp;sourceID=49","")</f>
        <v/>
      </c>
      <c r="H861" s="4" t="str">
        <f>HYPERLINK("http://141.218.60.56/~jnz1568/getInfo.php?workbook=18_16.xlsx&amp;sheet=A0&amp;row=861&amp;col=8&amp;number=&amp;sourceID=49","")</f>
        <v/>
      </c>
    </row>
    <row r="862" spans="1:8">
      <c r="A862" s="3">
        <v>18</v>
      </c>
      <c r="B862" s="3">
        <v>16</v>
      </c>
      <c r="C862" s="3">
        <v>79</v>
      </c>
      <c r="D862" s="3">
        <v>26</v>
      </c>
      <c r="E862" s="3">
        <f>((1/(INDEX(E0!J$4:J$87,C862,1)-INDEX(E0!J$4:J$87,D862,1))))*100000000</f>
        <v>0</v>
      </c>
      <c r="F862" s="4" t="str">
        <f>HYPERLINK("http://141.218.60.56/~jnz1568/getInfo.php?workbook=18_16.xlsx&amp;sheet=A0&amp;row=862&amp;col=6&amp;number=51813&amp;sourceID=48","51813")</f>
        <v>51813</v>
      </c>
      <c r="G862" s="4" t="str">
        <f>HYPERLINK("http://141.218.60.56/~jnz1568/getInfo.php?workbook=18_16.xlsx&amp;sheet=A0&amp;row=862&amp;col=7&amp;number=&amp;sourceID=49","")</f>
        <v/>
      </c>
      <c r="H862" s="4" t="str">
        <f>HYPERLINK("http://141.218.60.56/~jnz1568/getInfo.php?workbook=18_16.xlsx&amp;sheet=A0&amp;row=862&amp;col=8&amp;number=&amp;sourceID=49","")</f>
        <v/>
      </c>
    </row>
    <row r="863" spans="1:8">
      <c r="A863" s="3">
        <v>18</v>
      </c>
      <c r="B863" s="3">
        <v>16</v>
      </c>
      <c r="C863" s="3">
        <v>79</v>
      </c>
      <c r="D863" s="3">
        <v>27</v>
      </c>
      <c r="E863" s="3">
        <f>((1/(INDEX(E0!J$4:J$87,C863,1)-INDEX(E0!J$4:J$87,D863,1))))*100000000</f>
        <v>0</v>
      </c>
      <c r="F863" s="4" t="str">
        <f>HYPERLINK("http://141.218.60.56/~jnz1568/getInfo.php?workbook=18_16.xlsx&amp;sheet=A0&amp;row=863&amp;col=6&amp;number=14908&amp;sourceID=48","14908")</f>
        <v>14908</v>
      </c>
      <c r="G863" s="4" t="str">
        <f>HYPERLINK("http://141.218.60.56/~jnz1568/getInfo.php?workbook=18_16.xlsx&amp;sheet=A0&amp;row=863&amp;col=7&amp;number=&amp;sourceID=49","")</f>
        <v/>
      </c>
      <c r="H863" s="4" t="str">
        <f>HYPERLINK("http://141.218.60.56/~jnz1568/getInfo.php?workbook=18_16.xlsx&amp;sheet=A0&amp;row=863&amp;col=8&amp;number=&amp;sourceID=49","")</f>
        <v/>
      </c>
    </row>
    <row r="864" spans="1:8">
      <c r="A864" s="3">
        <v>18</v>
      </c>
      <c r="B864" s="3">
        <v>16</v>
      </c>
      <c r="C864" s="3">
        <v>79</v>
      </c>
      <c r="D864" s="3">
        <v>29</v>
      </c>
      <c r="E864" s="3">
        <f>((1/(INDEX(E0!J$4:J$87,C864,1)-INDEX(E0!J$4:J$87,D864,1))))*100000000</f>
        <v>0</v>
      </c>
      <c r="F864" s="4" t="str">
        <f>HYPERLINK("http://141.218.60.56/~jnz1568/getInfo.php?workbook=18_16.xlsx&amp;sheet=A0&amp;row=864&amp;col=6&amp;number=263840000&amp;sourceID=48","263840000")</f>
        <v>263840000</v>
      </c>
      <c r="G864" s="4" t="str">
        <f>HYPERLINK("http://141.218.60.56/~jnz1568/getInfo.php?workbook=18_16.xlsx&amp;sheet=A0&amp;row=864&amp;col=7&amp;number=&amp;sourceID=49","")</f>
        <v/>
      </c>
      <c r="H864" s="4" t="str">
        <f>HYPERLINK("http://141.218.60.56/~jnz1568/getInfo.php?workbook=18_16.xlsx&amp;sheet=A0&amp;row=864&amp;col=8&amp;number=&amp;sourceID=49","")</f>
        <v/>
      </c>
    </row>
    <row r="865" spans="1:8">
      <c r="A865" s="3">
        <v>18</v>
      </c>
      <c r="B865" s="3">
        <v>16</v>
      </c>
      <c r="C865" s="3">
        <v>79</v>
      </c>
      <c r="D865" s="3">
        <v>30</v>
      </c>
      <c r="E865" s="3">
        <f>((1/(INDEX(E0!J$4:J$87,C865,1)-INDEX(E0!J$4:J$87,D865,1))))*100000000</f>
        <v>0</v>
      </c>
      <c r="F865" s="4" t="str">
        <f>HYPERLINK("http://141.218.60.56/~jnz1568/getInfo.php?workbook=18_16.xlsx&amp;sheet=A0&amp;row=865&amp;col=6&amp;number=21406000&amp;sourceID=48","21406000")</f>
        <v>21406000</v>
      </c>
      <c r="G865" s="4" t="str">
        <f>HYPERLINK("http://141.218.60.56/~jnz1568/getInfo.php?workbook=18_16.xlsx&amp;sheet=A0&amp;row=865&amp;col=7&amp;number=&amp;sourceID=49","")</f>
        <v/>
      </c>
      <c r="H865" s="4" t="str">
        <f>HYPERLINK("http://141.218.60.56/~jnz1568/getInfo.php?workbook=18_16.xlsx&amp;sheet=A0&amp;row=865&amp;col=8&amp;number=&amp;sourceID=49","")</f>
        <v/>
      </c>
    </row>
    <row r="866" spans="1:8">
      <c r="A866" s="3">
        <v>18</v>
      </c>
      <c r="B866" s="3">
        <v>16</v>
      </c>
      <c r="C866" s="3">
        <v>79</v>
      </c>
      <c r="D866" s="3">
        <v>31</v>
      </c>
      <c r="E866" s="3">
        <f>((1/(INDEX(E0!J$4:J$87,C866,1)-INDEX(E0!J$4:J$87,D866,1))))*100000000</f>
        <v>0</v>
      </c>
      <c r="F866" s="4" t="str">
        <f>HYPERLINK("http://141.218.60.56/~jnz1568/getInfo.php?workbook=18_16.xlsx&amp;sheet=A0&amp;row=866&amp;col=6&amp;number=503730&amp;sourceID=48","503730")</f>
        <v>503730</v>
      </c>
      <c r="G866" s="4" t="str">
        <f>HYPERLINK("http://141.218.60.56/~jnz1568/getInfo.php?workbook=18_16.xlsx&amp;sheet=A0&amp;row=866&amp;col=7&amp;number=&amp;sourceID=49","")</f>
        <v/>
      </c>
      <c r="H866" s="4" t="str">
        <f>HYPERLINK("http://141.218.60.56/~jnz1568/getInfo.php?workbook=18_16.xlsx&amp;sheet=A0&amp;row=866&amp;col=8&amp;number=&amp;sourceID=49","")</f>
        <v/>
      </c>
    </row>
    <row r="867" spans="1:8">
      <c r="A867" s="3">
        <v>18</v>
      </c>
      <c r="B867" s="3">
        <v>16</v>
      </c>
      <c r="C867" s="3">
        <v>79</v>
      </c>
      <c r="D867" s="3">
        <v>33</v>
      </c>
      <c r="E867" s="3">
        <f>((1/(INDEX(E0!J$4:J$87,C867,1)-INDEX(E0!J$4:J$87,D867,1))))*100000000</f>
        <v>0</v>
      </c>
      <c r="F867" s="4" t="str">
        <f>HYPERLINK("http://141.218.60.56/~jnz1568/getInfo.php?workbook=18_16.xlsx&amp;sheet=A0&amp;row=867&amp;col=6&amp;number=1341800&amp;sourceID=48","1341800")</f>
        <v>1341800</v>
      </c>
      <c r="G867" s="4" t="str">
        <f>HYPERLINK("http://141.218.60.56/~jnz1568/getInfo.php?workbook=18_16.xlsx&amp;sheet=A0&amp;row=867&amp;col=7&amp;number=&amp;sourceID=49","")</f>
        <v/>
      </c>
      <c r="H867" s="4" t="str">
        <f>HYPERLINK("http://141.218.60.56/~jnz1568/getInfo.php?workbook=18_16.xlsx&amp;sheet=A0&amp;row=867&amp;col=8&amp;number=&amp;sourceID=49","")</f>
        <v/>
      </c>
    </row>
    <row r="868" spans="1:8">
      <c r="A868" s="3">
        <v>18</v>
      </c>
      <c r="B868" s="3">
        <v>16</v>
      </c>
      <c r="C868" s="3">
        <v>79</v>
      </c>
      <c r="D868" s="3">
        <v>36</v>
      </c>
      <c r="E868" s="3">
        <f>((1/(INDEX(E0!J$4:J$87,C868,1)-INDEX(E0!J$4:J$87,D868,1))))*100000000</f>
        <v>0</v>
      </c>
      <c r="F868" s="4" t="str">
        <f>HYPERLINK("http://141.218.60.56/~jnz1568/getInfo.php?workbook=18_16.xlsx&amp;sheet=A0&amp;row=868&amp;col=6&amp;number=11602000&amp;sourceID=48","11602000")</f>
        <v>11602000</v>
      </c>
      <c r="G868" s="4" t="str">
        <f>HYPERLINK("http://141.218.60.56/~jnz1568/getInfo.php?workbook=18_16.xlsx&amp;sheet=A0&amp;row=868&amp;col=7&amp;number=&amp;sourceID=49","")</f>
        <v/>
      </c>
      <c r="H868" s="4" t="str">
        <f>HYPERLINK("http://141.218.60.56/~jnz1568/getInfo.php?workbook=18_16.xlsx&amp;sheet=A0&amp;row=868&amp;col=8&amp;number=&amp;sourceID=49","")</f>
        <v/>
      </c>
    </row>
    <row r="869" spans="1:8">
      <c r="A869" s="3">
        <v>18</v>
      </c>
      <c r="B869" s="3">
        <v>16</v>
      </c>
      <c r="C869" s="3">
        <v>79</v>
      </c>
      <c r="D869" s="3">
        <v>37</v>
      </c>
      <c r="E869" s="3">
        <f>((1/(INDEX(E0!J$4:J$87,C869,1)-INDEX(E0!J$4:J$87,D869,1))))*100000000</f>
        <v>0</v>
      </c>
      <c r="F869" s="4" t="str">
        <f>HYPERLINK("http://141.218.60.56/~jnz1568/getInfo.php?workbook=18_16.xlsx&amp;sheet=A0&amp;row=869&amp;col=6&amp;number=2695200&amp;sourceID=48","2695200")</f>
        <v>2695200</v>
      </c>
      <c r="G869" s="4" t="str">
        <f>HYPERLINK("http://141.218.60.56/~jnz1568/getInfo.php?workbook=18_16.xlsx&amp;sheet=A0&amp;row=869&amp;col=7&amp;number=&amp;sourceID=49","")</f>
        <v/>
      </c>
      <c r="H869" s="4" t="str">
        <f>HYPERLINK("http://141.218.60.56/~jnz1568/getInfo.php?workbook=18_16.xlsx&amp;sheet=A0&amp;row=869&amp;col=8&amp;number=&amp;sourceID=49","")</f>
        <v/>
      </c>
    </row>
    <row r="870" spans="1:8">
      <c r="A870" s="3">
        <v>18</v>
      </c>
      <c r="B870" s="3">
        <v>16</v>
      </c>
      <c r="C870" s="3">
        <v>79</v>
      </c>
      <c r="D870" s="3">
        <v>39</v>
      </c>
      <c r="E870" s="3">
        <f>((1/(INDEX(E0!J$4:J$87,C870,1)-INDEX(E0!J$4:J$87,D870,1))))*100000000</f>
        <v>0</v>
      </c>
      <c r="F870" s="4" t="str">
        <f>HYPERLINK("http://141.218.60.56/~jnz1568/getInfo.php?workbook=18_16.xlsx&amp;sheet=A0&amp;row=870&amp;col=6&amp;number=1823000&amp;sourceID=48","1823000")</f>
        <v>1823000</v>
      </c>
      <c r="G870" s="4" t="str">
        <f>HYPERLINK("http://141.218.60.56/~jnz1568/getInfo.php?workbook=18_16.xlsx&amp;sheet=A0&amp;row=870&amp;col=7&amp;number=&amp;sourceID=49","")</f>
        <v/>
      </c>
      <c r="H870" s="4" t="str">
        <f>HYPERLINK("http://141.218.60.56/~jnz1568/getInfo.php?workbook=18_16.xlsx&amp;sheet=A0&amp;row=870&amp;col=8&amp;number=&amp;sourceID=49","")</f>
        <v/>
      </c>
    </row>
    <row r="871" spans="1:8">
      <c r="A871" s="3">
        <v>18</v>
      </c>
      <c r="B871" s="3">
        <v>16</v>
      </c>
      <c r="C871" s="3">
        <v>79</v>
      </c>
      <c r="D871" s="3">
        <v>40</v>
      </c>
      <c r="E871" s="3">
        <f>((1/(INDEX(E0!J$4:J$87,C871,1)-INDEX(E0!J$4:J$87,D871,1))))*100000000</f>
        <v>0</v>
      </c>
      <c r="F871" s="4" t="str">
        <f>HYPERLINK("http://141.218.60.56/~jnz1568/getInfo.php?workbook=18_16.xlsx&amp;sheet=A0&amp;row=871&amp;col=6&amp;number=13829000&amp;sourceID=48","13829000")</f>
        <v>13829000</v>
      </c>
      <c r="G871" s="4" t="str">
        <f>HYPERLINK("http://141.218.60.56/~jnz1568/getInfo.php?workbook=18_16.xlsx&amp;sheet=A0&amp;row=871&amp;col=7&amp;number=&amp;sourceID=49","")</f>
        <v/>
      </c>
      <c r="H871" s="4" t="str">
        <f>HYPERLINK("http://141.218.60.56/~jnz1568/getInfo.php?workbook=18_16.xlsx&amp;sheet=A0&amp;row=871&amp;col=8&amp;number=&amp;sourceID=49","")</f>
        <v/>
      </c>
    </row>
    <row r="872" spans="1:8">
      <c r="A872" s="3">
        <v>18</v>
      </c>
      <c r="B872" s="3">
        <v>16</v>
      </c>
      <c r="C872" s="3">
        <v>79</v>
      </c>
      <c r="D872" s="3">
        <v>41</v>
      </c>
      <c r="E872" s="3">
        <f>((1/(INDEX(E0!J$4:J$87,C872,1)-INDEX(E0!J$4:J$87,D872,1))))*100000000</f>
        <v>0</v>
      </c>
      <c r="F872" s="4" t="str">
        <f>HYPERLINK("http://141.218.60.56/~jnz1568/getInfo.php?workbook=18_16.xlsx&amp;sheet=A0&amp;row=872&amp;col=6&amp;number=111730&amp;sourceID=48","111730")</f>
        <v>111730</v>
      </c>
      <c r="G872" s="4" t="str">
        <f>HYPERLINK("http://141.218.60.56/~jnz1568/getInfo.php?workbook=18_16.xlsx&amp;sheet=A0&amp;row=872&amp;col=7&amp;number=&amp;sourceID=49","")</f>
        <v/>
      </c>
      <c r="H872" s="4" t="str">
        <f>HYPERLINK("http://141.218.60.56/~jnz1568/getInfo.php?workbook=18_16.xlsx&amp;sheet=A0&amp;row=872&amp;col=8&amp;number=&amp;sourceID=49","")</f>
        <v/>
      </c>
    </row>
    <row r="873" spans="1:8">
      <c r="A873" s="3">
        <v>18</v>
      </c>
      <c r="B873" s="3">
        <v>16</v>
      </c>
      <c r="C873" s="3">
        <v>79</v>
      </c>
      <c r="D873" s="3">
        <v>42</v>
      </c>
      <c r="E873" s="3">
        <f>((1/(INDEX(E0!J$4:J$87,C873,1)-INDEX(E0!J$4:J$87,D873,1))))*100000000</f>
        <v>0</v>
      </c>
      <c r="F873" s="4" t="str">
        <f>HYPERLINK("http://141.218.60.56/~jnz1568/getInfo.php?workbook=18_16.xlsx&amp;sheet=A0&amp;row=873&amp;col=6&amp;number=237200&amp;sourceID=48","237200")</f>
        <v>237200</v>
      </c>
      <c r="G873" s="4" t="str">
        <f>HYPERLINK("http://141.218.60.56/~jnz1568/getInfo.php?workbook=18_16.xlsx&amp;sheet=A0&amp;row=873&amp;col=7&amp;number=&amp;sourceID=49","")</f>
        <v/>
      </c>
      <c r="H873" s="4" t="str">
        <f>HYPERLINK("http://141.218.60.56/~jnz1568/getInfo.php?workbook=18_16.xlsx&amp;sheet=A0&amp;row=873&amp;col=8&amp;number=&amp;sourceID=49","")</f>
        <v/>
      </c>
    </row>
    <row r="874" spans="1:8">
      <c r="A874" s="3">
        <v>18</v>
      </c>
      <c r="B874" s="3">
        <v>16</v>
      </c>
      <c r="C874" s="3">
        <v>79</v>
      </c>
      <c r="D874" s="3">
        <v>47</v>
      </c>
      <c r="E874" s="3">
        <f>((1/(INDEX(E0!J$4:J$87,C874,1)-INDEX(E0!J$4:J$87,D874,1))))*100000000</f>
        <v>0</v>
      </c>
      <c r="F874" s="4" t="str">
        <f>HYPERLINK("http://141.218.60.56/~jnz1568/getInfo.php?workbook=18_16.xlsx&amp;sheet=A0&amp;row=874&amp;col=6&amp;number=155430000&amp;sourceID=48","155430000")</f>
        <v>155430000</v>
      </c>
      <c r="G874" s="4" t="str">
        <f>HYPERLINK("http://141.218.60.56/~jnz1568/getInfo.php?workbook=18_16.xlsx&amp;sheet=A0&amp;row=874&amp;col=7&amp;number=&amp;sourceID=49","")</f>
        <v/>
      </c>
      <c r="H874" s="4" t="str">
        <f>HYPERLINK("http://141.218.60.56/~jnz1568/getInfo.php?workbook=18_16.xlsx&amp;sheet=A0&amp;row=874&amp;col=8&amp;number=&amp;sourceID=49","")</f>
        <v/>
      </c>
    </row>
    <row r="875" spans="1:8">
      <c r="A875" s="3">
        <v>18</v>
      </c>
      <c r="B875" s="3">
        <v>16</v>
      </c>
      <c r="C875" s="3">
        <v>79</v>
      </c>
      <c r="D875" s="3">
        <v>53</v>
      </c>
      <c r="E875" s="3">
        <f>((1/(INDEX(E0!J$4:J$87,C875,1)-INDEX(E0!J$4:J$87,D875,1))))*100000000</f>
        <v>0</v>
      </c>
      <c r="F875" s="4" t="str">
        <f>HYPERLINK("http://141.218.60.56/~jnz1568/getInfo.php?workbook=18_16.xlsx&amp;sheet=A0&amp;row=875&amp;col=6&amp;number=6679200&amp;sourceID=48","6679200")</f>
        <v>6679200</v>
      </c>
      <c r="G875" s="4" t="str">
        <f>HYPERLINK("http://141.218.60.56/~jnz1568/getInfo.php?workbook=18_16.xlsx&amp;sheet=A0&amp;row=875&amp;col=7&amp;number=&amp;sourceID=49","")</f>
        <v/>
      </c>
      <c r="H875" s="4" t="str">
        <f>HYPERLINK("http://141.218.60.56/~jnz1568/getInfo.php?workbook=18_16.xlsx&amp;sheet=A0&amp;row=875&amp;col=8&amp;number=&amp;sourceID=49","")</f>
        <v/>
      </c>
    </row>
    <row r="876" spans="1:8">
      <c r="A876" s="3">
        <v>18</v>
      </c>
      <c r="B876" s="3">
        <v>16</v>
      </c>
      <c r="C876" s="3">
        <v>79</v>
      </c>
      <c r="D876" s="3">
        <v>54</v>
      </c>
      <c r="E876" s="3">
        <f>((1/(INDEX(E0!J$4:J$87,C876,1)-INDEX(E0!J$4:J$87,D876,1))))*100000000</f>
        <v>0</v>
      </c>
      <c r="F876" s="4" t="str">
        <f>HYPERLINK("http://141.218.60.56/~jnz1568/getInfo.php?workbook=18_16.xlsx&amp;sheet=A0&amp;row=876&amp;col=6&amp;number=2228500&amp;sourceID=48","2228500")</f>
        <v>2228500</v>
      </c>
      <c r="G876" s="4" t="str">
        <f>HYPERLINK("http://141.218.60.56/~jnz1568/getInfo.php?workbook=18_16.xlsx&amp;sheet=A0&amp;row=876&amp;col=7&amp;number=&amp;sourceID=49","")</f>
        <v/>
      </c>
      <c r="H876" s="4" t="str">
        <f>HYPERLINK("http://141.218.60.56/~jnz1568/getInfo.php?workbook=18_16.xlsx&amp;sheet=A0&amp;row=876&amp;col=8&amp;number=&amp;sourceID=49","")</f>
        <v/>
      </c>
    </row>
    <row r="877" spans="1:8">
      <c r="A877" s="3">
        <v>18</v>
      </c>
      <c r="B877" s="3">
        <v>16</v>
      </c>
      <c r="C877" s="3">
        <v>79</v>
      </c>
      <c r="D877" s="3">
        <v>57</v>
      </c>
      <c r="E877" s="3">
        <f>((1/(INDEX(E0!J$4:J$87,C877,1)-INDEX(E0!J$4:J$87,D877,1))))*100000000</f>
        <v>0</v>
      </c>
      <c r="F877" s="4" t="str">
        <f>HYPERLINK("http://141.218.60.56/~jnz1568/getInfo.php?workbook=18_16.xlsx&amp;sheet=A0&amp;row=877&amp;col=6&amp;number=31484000&amp;sourceID=48","31484000")</f>
        <v>31484000</v>
      </c>
      <c r="G877" s="4" t="str">
        <f>HYPERLINK("http://141.218.60.56/~jnz1568/getInfo.php?workbook=18_16.xlsx&amp;sheet=A0&amp;row=877&amp;col=7&amp;number=&amp;sourceID=49","")</f>
        <v/>
      </c>
      <c r="H877" s="4" t="str">
        <f>HYPERLINK("http://141.218.60.56/~jnz1568/getInfo.php?workbook=18_16.xlsx&amp;sheet=A0&amp;row=877&amp;col=8&amp;number=&amp;sourceID=49","")</f>
        <v/>
      </c>
    </row>
    <row r="878" spans="1:8">
      <c r="A878" s="3">
        <v>18</v>
      </c>
      <c r="B878" s="3">
        <v>16</v>
      </c>
      <c r="C878" s="3">
        <v>79</v>
      </c>
      <c r="D878" s="3">
        <v>60</v>
      </c>
      <c r="E878" s="3">
        <f>((1/(INDEX(E0!J$4:J$87,C878,1)-INDEX(E0!J$4:J$87,D878,1))))*100000000</f>
        <v>0</v>
      </c>
      <c r="F878" s="4" t="str">
        <f>HYPERLINK("http://141.218.60.56/~jnz1568/getInfo.php?workbook=18_16.xlsx&amp;sheet=A0&amp;row=878&amp;col=6&amp;number=41818&amp;sourceID=48","41818")</f>
        <v>41818</v>
      </c>
      <c r="G878" s="4" t="str">
        <f>HYPERLINK("http://141.218.60.56/~jnz1568/getInfo.php?workbook=18_16.xlsx&amp;sheet=A0&amp;row=878&amp;col=7&amp;number=&amp;sourceID=49","")</f>
        <v/>
      </c>
      <c r="H878" s="4" t="str">
        <f>HYPERLINK("http://141.218.60.56/~jnz1568/getInfo.php?workbook=18_16.xlsx&amp;sheet=A0&amp;row=878&amp;col=8&amp;number=&amp;sourceID=49","")</f>
        <v/>
      </c>
    </row>
    <row r="879" spans="1:8">
      <c r="A879" s="3">
        <v>18</v>
      </c>
      <c r="B879" s="3">
        <v>16</v>
      </c>
      <c r="C879" s="3">
        <v>79</v>
      </c>
      <c r="D879" s="3">
        <v>63</v>
      </c>
      <c r="E879" s="3">
        <f>((1/(INDEX(E0!J$4:J$87,C879,1)-INDEX(E0!J$4:J$87,D879,1))))*100000000</f>
        <v>0</v>
      </c>
      <c r="F879" s="4" t="str">
        <f>HYPERLINK("http://141.218.60.56/~jnz1568/getInfo.php?workbook=18_16.xlsx&amp;sheet=A0&amp;row=879&amp;col=6&amp;number=8274.6&amp;sourceID=48","8274.6")</f>
        <v>8274.6</v>
      </c>
      <c r="G879" s="4" t="str">
        <f>HYPERLINK("http://141.218.60.56/~jnz1568/getInfo.php?workbook=18_16.xlsx&amp;sheet=A0&amp;row=879&amp;col=7&amp;number=&amp;sourceID=49","")</f>
        <v/>
      </c>
      <c r="H879" s="4" t="str">
        <f>HYPERLINK("http://141.218.60.56/~jnz1568/getInfo.php?workbook=18_16.xlsx&amp;sheet=A0&amp;row=879&amp;col=8&amp;number=&amp;sourceID=49","")</f>
        <v/>
      </c>
    </row>
    <row r="880" spans="1:8">
      <c r="A880" s="3">
        <v>18</v>
      </c>
      <c r="B880" s="3">
        <v>16</v>
      </c>
      <c r="C880" s="3">
        <v>80</v>
      </c>
      <c r="D880" s="3">
        <v>6</v>
      </c>
      <c r="E880" s="3">
        <f>((1/(INDEX(E0!J$4:J$87,C880,1)-INDEX(E0!J$4:J$87,D880,1))))*100000000</f>
        <v>0</v>
      </c>
      <c r="F880" s="4" t="str">
        <f>HYPERLINK("http://141.218.60.56/~jnz1568/getInfo.php?workbook=18_16.xlsx&amp;sheet=A0&amp;row=880&amp;col=6&amp;number=2904500&amp;sourceID=48","2904500")</f>
        <v>2904500</v>
      </c>
      <c r="G880" s="4" t="str">
        <f>HYPERLINK("http://141.218.60.56/~jnz1568/getInfo.php?workbook=18_16.xlsx&amp;sheet=A0&amp;row=880&amp;col=7&amp;number=&amp;sourceID=49","")</f>
        <v/>
      </c>
      <c r="H880" s="4" t="str">
        <f>HYPERLINK("http://141.218.60.56/~jnz1568/getInfo.php?workbook=18_16.xlsx&amp;sheet=A0&amp;row=880&amp;col=8&amp;number=&amp;sourceID=49","")</f>
        <v/>
      </c>
    </row>
    <row r="881" spans="1:8">
      <c r="A881" s="3">
        <v>18</v>
      </c>
      <c r="B881" s="3">
        <v>16</v>
      </c>
      <c r="C881" s="3">
        <v>80</v>
      </c>
      <c r="D881" s="3">
        <v>7</v>
      </c>
      <c r="E881" s="3">
        <f>((1/(INDEX(E0!J$4:J$87,C881,1)-INDEX(E0!J$4:J$87,D881,1))))*100000000</f>
        <v>0</v>
      </c>
      <c r="F881" s="4" t="str">
        <f>HYPERLINK("http://141.218.60.56/~jnz1568/getInfo.php?workbook=18_16.xlsx&amp;sheet=A0&amp;row=881&amp;col=6&amp;number=676840&amp;sourceID=48","676840")</f>
        <v>676840</v>
      </c>
      <c r="G881" s="4" t="str">
        <f>HYPERLINK("http://141.218.60.56/~jnz1568/getInfo.php?workbook=18_16.xlsx&amp;sheet=A0&amp;row=881&amp;col=7&amp;number=&amp;sourceID=49","")</f>
        <v/>
      </c>
      <c r="H881" s="4" t="str">
        <f>HYPERLINK("http://141.218.60.56/~jnz1568/getInfo.php?workbook=18_16.xlsx&amp;sheet=A0&amp;row=881&amp;col=8&amp;number=&amp;sourceID=49","")</f>
        <v/>
      </c>
    </row>
    <row r="882" spans="1:8">
      <c r="A882" s="3">
        <v>18</v>
      </c>
      <c r="B882" s="3">
        <v>16</v>
      </c>
      <c r="C882" s="3">
        <v>80</v>
      </c>
      <c r="D882" s="3">
        <v>8</v>
      </c>
      <c r="E882" s="3">
        <f>((1/(INDEX(E0!J$4:J$87,C882,1)-INDEX(E0!J$4:J$87,D882,1))))*100000000</f>
        <v>0</v>
      </c>
      <c r="F882" s="4" t="str">
        <f>HYPERLINK("http://141.218.60.56/~jnz1568/getInfo.php?workbook=18_16.xlsx&amp;sheet=A0&amp;row=882&amp;col=6&amp;number=93061&amp;sourceID=48","93061")</f>
        <v>93061</v>
      </c>
      <c r="G882" s="4" t="str">
        <f>HYPERLINK("http://141.218.60.56/~jnz1568/getInfo.php?workbook=18_16.xlsx&amp;sheet=A0&amp;row=882&amp;col=7&amp;number=&amp;sourceID=49","")</f>
        <v/>
      </c>
      <c r="H882" s="4" t="str">
        <f>HYPERLINK("http://141.218.60.56/~jnz1568/getInfo.php?workbook=18_16.xlsx&amp;sheet=A0&amp;row=882&amp;col=8&amp;number=&amp;sourceID=49","")</f>
        <v/>
      </c>
    </row>
    <row r="883" spans="1:8">
      <c r="A883" s="3">
        <v>18</v>
      </c>
      <c r="B883" s="3">
        <v>16</v>
      </c>
      <c r="C883" s="3">
        <v>80</v>
      </c>
      <c r="D883" s="3">
        <v>9</v>
      </c>
      <c r="E883" s="3">
        <f>((1/(INDEX(E0!J$4:J$87,C883,1)-INDEX(E0!J$4:J$87,D883,1))))*100000000</f>
        <v>0</v>
      </c>
      <c r="F883" s="4" t="str">
        <f>HYPERLINK("http://141.218.60.56/~jnz1568/getInfo.php?workbook=18_16.xlsx&amp;sheet=A0&amp;row=883&amp;col=6&amp;number=17720000&amp;sourceID=48","17720000")</f>
        <v>17720000</v>
      </c>
      <c r="G883" s="4" t="str">
        <f>HYPERLINK("http://141.218.60.56/~jnz1568/getInfo.php?workbook=18_16.xlsx&amp;sheet=A0&amp;row=883&amp;col=7&amp;number=&amp;sourceID=49","")</f>
        <v/>
      </c>
      <c r="H883" s="4" t="str">
        <f>HYPERLINK("http://141.218.60.56/~jnz1568/getInfo.php?workbook=18_16.xlsx&amp;sheet=A0&amp;row=883&amp;col=8&amp;number=&amp;sourceID=49","")</f>
        <v/>
      </c>
    </row>
    <row r="884" spans="1:8">
      <c r="A884" s="3">
        <v>18</v>
      </c>
      <c r="B884" s="3">
        <v>16</v>
      </c>
      <c r="C884" s="3">
        <v>80</v>
      </c>
      <c r="D884" s="3">
        <v>10</v>
      </c>
      <c r="E884" s="3">
        <f>((1/(INDEX(E0!J$4:J$87,C884,1)-INDEX(E0!J$4:J$87,D884,1))))*100000000</f>
        <v>0</v>
      </c>
      <c r="F884" s="4" t="str">
        <f>HYPERLINK("http://141.218.60.56/~jnz1568/getInfo.php?workbook=18_16.xlsx&amp;sheet=A0&amp;row=884&amp;col=6&amp;number=2.1362&amp;sourceID=48","2.1362")</f>
        <v>2.1362</v>
      </c>
      <c r="G884" s="4" t="str">
        <f>HYPERLINK("http://141.218.60.56/~jnz1568/getInfo.php?workbook=18_16.xlsx&amp;sheet=A0&amp;row=884&amp;col=7&amp;number=&amp;sourceID=49","")</f>
        <v/>
      </c>
      <c r="H884" s="4" t="str">
        <f>HYPERLINK("http://141.218.60.56/~jnz1568/getInfo.php?workbook=18_16.xlsx&amp;sheet=A0&amp;row=884&amp;col=8&amp;number=&amp;sourceID=49","")</f>
        <v/>
      </c>
    </row>
    <row r="885" spans="1:8">
      <c r="A885" s="3">
        <v>18</v>
      </c>
      <c r="B885" s="3">
        <v>16</v>
      </c>
      <c r="C885" s="3">
        <v>80</v>
      </c>
      <c r="D885" s="3">
        <v>11</v>
      </c>
      <c r="E885" s="3">
        <f>((1/(INDEX(E0!J$4:J$87,C885,1)-INDEX(E0!J$4:J$87,D885,1))))*100000000</f>
        <v>0</v>
      </c>
      <c r="F885" s="4" t="str">
        <f>HYPERLINK("http://141.218.60.56/~jnz1568/getInfo.php?workbook=18_16.xlsx&amp;sheet=A0&amp;row=885&amp;col=6&amp;number=4847.8&amp;sourceID=48","4847.8")</f>
        <v>4847.8</v>
      </c>
      <c r="G885" s="4" t="str">
        <f>HYPERLINK("http://141.218.60.56/~jnz1568/getInfo.php?workbook=18_16.xlsx&amp;sheet=A0&amp;row=885&amp;col=7&amp;number=&amp;sourceID=49","")</f>
        <v/>
      </c>
      <c r="H885" s="4" t="str">
        <f>HYPERLINK("http://141.218.60.56/~jnz1568/getInfo.php?workbook=18_16.xlsx&amp;sheet=A0&amp;row=885&amp;col=8&amp;number=&amp;sourceID=49","")</f>
        <v/>
      </c>
    </row>
    <row r="886" spans="1:8">
      <c r="A886" s="3">
        <v>18</v>
      </c>
      <c r="B886" s="3">
        <v>16</v>
      </c>
      <c r="C886" s="3">
        <v>80</v>
      </c>
      <c r="D886" s="3">
        <v>12</v>
      </c>
      <c r="E886" s="3">
        <f>((1/(INDEX(E0!J$4:J$87,C886,1)-INDEX(E0!J$4:J$87,D886,1))))*100000000</f>
        <v>0</v>
      </c>
      <c r="F886" s="4" t="str">
        <f>HYPERLINK("http://141.218.60.56/~jnz1568/getInfo.php?workbook=18_16.xlsx&amp;sheet=A0&amp;row=886&amp;col=6&amp;number=167.25&amp;sourceID=48","167.25")</f>
        <v>167.25</v>
      </c>
      <c r="G886" s="4" t="str">
        <f>HYPERLINK("http://141.218.60.56/~jnz1568/getInfo.php?workbook=18_16.xlsx&amp;sheet=A0&amp;row=886&amp;col=7&amp;number=&amp;sourceID=49","")</f>
        <v/>
      </c>
      <c r="H886" s="4" t="str">
        <f>HYPERLINK("http://141.218.60.56/~jnz1568/getInfo.php?workbook=18_16.xlsx&amp;sheet=A0&amp;row=886&amp;col=8&amp;number=&amp;sourceID=49","")</f>
        <v/>
      </c>
    </row>
    <row r="887" spans="1:8">
      <c r="A887" s="3">
        <v>18</v>
      </c>
      <c r="B887" s="3">
        <v>16</v>
      </c>
      <c r="C887" s="3">
        <v>80</v>
      </c>
      <c r="D887" s="3">
        <v>16</v>
      </c>
      <c r="E887" s="3">
        <f>((1/(INDEX(E0!J$4:J$87,C887,1)-INDEX(E0!J$4:J$87,D887,1))))*100000000</f>
        <v>0</v>
      </c>
      <c r="F887" s="4" t="str">
        <f>HYPERLINK("http://141.218.60.56/~jnz1568/getInfo.php?workbook=18_16.xlsx&amp;sheet=A0&amp;row=887&amp;col=6&amp;number=972450&amp;sourceID=48","972450")</f>
        <v>972450</v>
      </c>
      <c r="G887" s="4" t="str">
        <f>HYPERLINK("http://141.218.60.56/~jnz1568/getInfo.php?workbook=18_16.xlsx&amp;sheet=A0&amp;row=887&amp;col=7&amp;number=&amp;sourceID=49","")</f>
        <v/>
      </c>
      <c r="H887" s="4" t="str">
        <f>HYPERLINK("http://141.218.60.56/~jnz1568/getInfo.php?workbook=18_16.xlsx&amp;sheet=A0&amp;row=887&amp;col=8&amp;number=&amp;sourceID=49","")</f>
        <v/>
      </c>
    </row>
    <row r="888" spans="1:8">
      <c r="A888" s="3">
        <v>18</v>
      </c>
      <c r="B888" s="3">
        <v>16</v>
      </c>
      <c r="C888" s="3">
        <v>80</v>
      </c>
      <c r="D888" s="3">
        <v>17</v>
      </c>
      <c r="E888" s="3">
        <f>((1/(INDEX(E0!J$4:J$87,C888,1)-INDEX(E0!J$4:J$87,D888,1))))*100000000</f>
        <v>0</v>
      </c>
      <c r="F888" s="4" t="str">
        <f>HYPERLINK("http://141.218.60.56/~jnz1568/getInfo.php?workbook=18_16.xlsx&amp;sheet=A0&amp;row=888&amp;col=6&amp;number=473070&amp;sourceID=48","473070")</f>
        <v>473070</v>
      </c>
      <c r="G888" s="4" t="str">
        <f>HYPERLINK("http://141.218.60.56/~jnz1568/getInfo.php?workbook=18_16.xlsx&amp;sheet=A0&amp;row=888&amp;col=7&amp;number=&amp;sourceID=49","")</f>
        <v/>
      </c>
      <c r="H888" s="4" t="str">
        <f>HYPERLINK("http://141.218.60.56/~jnz1568/getInfo.php?workbook=18_16.xlsx&amp;sheet=A0&amp;row=888&amp;col=8&amp;number=&amp;sourceID=49","")</f>
        <v/>
      </c>
    </row>
    <row r="889" spans="1:8">
      <c r="A889" s="3">
        <v>18</v>
      </c>
      <c r="B889" s="3">
        <v>16</v>
      </c>
      <c r="C889" s="3">
        <v>80</v>
      </c>
      <c r="D889" s="3">
        <v>18</v>
      </c>
      <c r="E889" s="3">
        <f>((1/(INDEX(E0!J$4:J$87,C889,1)-INDEX(E0!J$4:J$87,D889,1))))*100000000</f>
        <v>0</v>
      </c>
      <c r="F889" s="4" t="str">
        <f>HYPERLINK("http://141.218.60.56/~jnz1568/getInfo.php?workbook=18_16.xlsx&amp;sheet=A0&amp;row=889&amp;col=6&amp;number=30630000&amp;sourceID=48","30630000")</f>
        <v>30630000</v>
      </c>
      <c r="G889" s="4" t="str">
        <f>HYPERLINK("http://141.218.60.56/~jnz1568/getInfo.php?workbook=18_16.xlsx&amp;sheet=A0&amp;row=889&amp;col=7&amp;number=&amp;sourceID=49","")</f>
        <v/>
      </c>
      <c r="H889" s="4" t="str">
        <f>HYPERLINK("http://141.218.60.56/~jnz1568/getInfo.php?workbook=18_16.xlsx&amp;sheet=A0&amp;row=889&amp;col=8&amp;number=&amp;sourceID=49","")</f>
        <v/>
      </c>
    </row>
    <row r="890" spans="1:8">
      <c r="A890" s="3">
        <v>18</v>
      </c>
      <c r="B890" s="3">
        <v>16</v>
      </c>
      <c r="C890" s="3">
        <v>80</v>
      </c>
      <c r="D890" s="3">
        <v>19</v>
      </c>
      <c r="E890" s="3">
        <f>((1/(INDEX(E0!J$4:J$87,C890,1)-INDEX(E0!J$4:J$87,D890,1))))*100000000</f>
        <v>0</v>
      </c>
      <c r="F890" s="4" t="str">
        <f>HYPERLINK("http://141.218.60.56/~jnz1568/getInfo.php?workbook=18_16.xlsx&amp;sheet=A0&amp;row=890&amp;col=6&amp;number=865850&amp;sourceID=48","865850")</f>
        <v>865850</v>
      </c>
      <c r="G890" s="4" t="str">
        <f>HYPERLINK("http://141.218.60.56/~jnz1568/getInfo.php?workbook=18_16.xlsx&amp;sheet=A0&amp;row=890&amp;col=7&amp;number=&amp;sourceID=49","")</f>
        <v/>
      </c>
      <c r="H890" s="4" t="str">
        <f>HYPERLINK("http://141.218.60.56/~jnz1568/getInfo.php?workbook=18_16.xlsx&amp;sheet=A0&amp;row=890&amp;col=8&amp;number=&amp;sourceID=49","")</f>
        <v/>
      </c>
    </row>
    <row r="891" spans="1:8">
      <c r="A891" s="3">
        <v>18</v>
      </c>
      <c r="B891" s="3">
        <v>16</v>
      </c>
      <c r="C891" s="3">
        <v>80</v>
      </c>
      <c r="D891" s="3">
        <v>25</v>
      </c>
      <c r="E891" s="3">
        <f>((1/(INDEX(E0!J$4:J$87,C891,1)-INDEX(E0!J$4:J$87,D891,1))))*100000000</f>
        <v>0</v>
      </c>
      <c r="F891" s="4" t="str">
        <f>HYPERLINK("http://141.218.60.56/~jnz1568/getInfo.php?workbook=18_16.xlsx&amp;sheet=A0&amp;row=891&amp;col=6&amp;number=385.31&amp;sourceID=48","385.31")</f>
        <v>385.31</v>
      </c>
      <c r="G891" s="4" t="str">
        <f>HYPERLINK("http://141.218.60.56/~jnz1568/getInfo.php?workbook=18_16.xlsx&amp;sheet=A0&amp;row=891&amp;col=7&amp;number=&amp;sourceID=49","")</f>
        <v/>
      </c>
      <c r="H891" s="4" t="str">
        <f>HYPERLINK("http://141.218.60.56/~jnz1568/getInfo.php?workbook=18_16.xlsx&amp;sheet=A0&amp;row=891&amp;col=8&amp;number=&amp;sourceID=49","")</f>
        <v/>
      </c>
    </row>
    <row r="892" spans="1:8">
      <c r="A892" s="3">
        <v>18</v>
      </c>
      <c r="B892" s="3">
        <v>16</v>
      </c>
      <c r="C892" s="3">
        <v>80</v>
      </c>
      <c r="D892" s="3">
        <v>27</v>
      </c>
      <c r="E892" s="3">
        <f>((1/(INDEX(E0!J$4:J$87,C892,1)-INDEX(E0!J$4:J$87,D892,1))))*100000000</f>
        <v>0</v>
      </c>
      <c r="F892" s="4" t="str">
        <f>HYPERLINK("http://141.218.60.56/~jnz1568/getInfo.php?workbook=18_16.xlsx&amp;sheet=A0&amp;row=892&amp;col=6&amp;number=195760000&amp;sourceID=48","195760000")</f>
        <v>195760000</v>
      </c>
      <c r="G892" s="4" t="str">
        <f>HYPERLINK("http://141.218.60.56/~jnz1568/getInfo.php?workbook=18_16.xlsx&amp;sheet=A0&amp;row=892&amp;col=7&amp;number=&amp;sourceID=49","")</f>
        <v/>
      </c>
      <c r="H892" s="4" t="str">
        <f>HYPERLINK("http://141.218.60.56/~jnz1568/getInfo.php?workbook=18_16.xlsx&amp;sheet=A0&amp;row=892&amp;col=8&amp;number=&amp;sourceID=49","")</f>
        <v/>
      </c>
    </row>
    <row r="893" spans="1:8">
      <c r="A893" s="3">
        <v>18</v>
      </c>
      <c r="B893" s="3">
        <v>16</v>
      </c>
      <c r="C893" s="3">
        <v>80</v>
      </c>
      <c r="D893" s="3">
        <v>28</v>
      </c>
      <c r="E893" s="3">
        <f>((1/(INDEX(E0!J$4:J$87,C893,1)-INDEX(E0!J$4:J$87,D893,1))))*100000000</f>
        <v>0</v>
      </c>
      <c r="F893" s="4" t="str">
        <f>HYPERLINK("http://141.218.60.56/~jnz1568/getInfo.php?workbook=18_16.xlsx&amp;sheet=A0&amp;row=893&amp;col=6&amp;number=579190&amp;sourceID=48","579190")</f>
        <v>579190</v>
      </c>
      <c r="G893" s="4" t="str">
        <f>HYPERLINK("http://141.218.60.56/~jnz1568/getInfo.php?workbook=18_16.xlsx&amp;sheet=A0&amp;row=893&amp;col=7&amp;number=&amp;sourceID=49","")</f>
        <v/>
      </c>
      <c r="H893" s="4" t="str">
        <f>HYPERLINK("http://141.218.60.56/~jnz1568/getInfo.php?workbook=18_16.xlsx&amp;sheet=A0&amp;row=893&amp;col=8&amp;number=&amp;sourceID=49","")</f>
        <v/>
      </c>
    </row>
    <row r="894" spans="1:8">
      <c r="A894" s="3">
        <v>18</v>
      </c>
      <c r="B894" s="3">
        <v>16</v>
      </c>
      <c r="C894" s="3">
        <v>80</v>
      </c>
      <c r="D894" s="3">
        <v>31</v>
      </c>
      <c r="E894" s="3">
        <f>((1/(INDEX(E0!J$4:J$87,C894,1)-INDEX(E0!J$4:J$87,D894,1))))*100000000</f>
        <v>0</v>
      </c>
      <c r="F894" s="4" t="str">
        <f>HYPERLINK("http://141.218.60.56/~jnz1568/getInfo.php?workbook=18_16.xlsx&amp;sheet=A0&amp;row=894&amp;col=6&amp;number=11199000&amp;sourceID=48","11199000")</f>
        <v>11199000</v>
      </c>
      <c r="G894" s="4" t="str">
        <f>HYPERLINK("http://141.218.60.56/~jnz1568/getInfo.php?workbook=18_16.xlsx&amp;sheet=A0&amp;row=894&amp;col=7&amp;number=&amp;sourceID=49","")</f>
        <v/>
      </c>
      <c r="H894" s="4" t="str">
        <f>HYPERLINK("http://141.218.60.56/~jnz1568/getInfo.php?workbook=18_16.xlsx&amp;sheet=A0&amp;row=894&amp;col=8&amp;number=&amp;sourceID=49","")</f>
        <v/>
      </c>
    </row>
    <row r="895" spans="1:8">
      <c r="A895" s="3">
        <v>18</v>
      </c>
      <c r="B895" s="3">
        <v>16</v>
      </c>
      <c r="C895" s="3">
        <v>80</v>
      </c>
      <c r="D895" s="3">
        <v>32</v>
      </c>
      <c r="E895" s="3">
        <f>((1/(INDEX(E0!J$4:J$87,C895,1)-INDEX(E0!J$4:J$87,D895,1))))*100000000</f>
        <v>0</v>
      </c>
      <c r="F895" s="4" t="str">
        <f>HYPERLINK("http://141.218.60.56/~jnz1568/getInfo.php?workbook=18_16.xlsx&amp;sheet=A0&amp;row=895&amp;col=6&amp;number=1024800&amp;sourceID=48","1024800")</f>
        <v>1024800</v>
      </c>
      <c r="G895" s="4" t="str">
        <f>HYPERLINK("http://141.218.60.56/~jnz1568/getInfo.php?workbook=18_16.xlsx&amp;sheet=A0&amp;row=895&amp;col=7&amp;number=&amp;sourceID=49","")</f>
        <v/>
      </c>
      <c r="H895" s="4" t="str">
        <f>HYPERLINK("http://141.218.60.56/~jnz1568/getInfo.php?workbook=18_16.xlsx&amp;sheet=A0&amp;row=895&amp;col=8&amp;number=&amp;sourceID=49","")</f>
        <v/>
      </c>
    </row>
    <row r="896" spans="1:8">
      <c r="A896" s="3">
        <v>18</v>
      </c>
      <c r="B896" s="3">
        <v>16</v>
      </c>
      <c r="C896" s="3">
        <v>80</v>
      </c>
      <c r="D896" s="3">
        <v>33</v>
      </c>
      <c r="E896" s="3">
        <f>((1/(INDEX(E0!J$4:J$87,C896,1)-INDEX(E0!J$4:J$87,D896,1))))*100000000</f>
        <v>0</v>
      </c>
      <c r="F896" s="4" t="str">
        <f>HYPERLINK("http://141.218.60.56/~jnz1568/getInfo.php?workbook=18_16.xlsx&amp;sheet=A0&amp;row=896&amp;col=6&amp;number=5268000&amp;sourceID=48","5268000")</f>
        <v>5268000</v>
      </c>
      <c r="G896" s="4" t="str">
        <f>HYPERLINK("http://141.218.60.56/~jnz1568/getInfo.php?workbook=18_16.xlsx&amp;sheet=A0&amp;row=896&amp;col=7&amp;number=&amp;sourceID=49","")</f>
        <v/>
      </c>
      <c r="H896" s="4" t="str">
        <f>HYPERLINK("http://141.218.60.56/~jnz1568/getInfo.php?workbook=18_16.xlsx&amp;sheet=A0&amp;row=896&amp;col=8&amp;number=&amp;sourceID=49","")</f>
        <v/>
      </c>
    </row>
    <row r="897" spans="1:8">
      <c r="A897" s="3">
        <v>18</v>
      </c>
      <c r="B897" s="3">
        <v>16</v>
      </c>
      <c r="C897" s="3">
        <v>80</v>
      </c>
      <c r="D897" s="3">
        <v>34</v>
      </c>
      <c r="E897" s="3">
        <f>((1/(INDEX(E0!J$4:J$87,C897,1)-INDEX(E0!J$4:J$87,D897,1))))*100000000</f>
        <v>0</v>
      </c>
      <c r="F897" s="4" t="str">
        <f>HYPERLINK("http://141.218.60.56/~jnz1568/getInfo.php?workbook=18_16.xlsx&amp;sheet=A0&amp;row=897&amp;col=6&amp;number=237890&amp;sourceID=48","237890")</f>
        <v>237890</v>
      </c>
      <c r="G897" s="4" t="str">
        <f>HYPERLINK("http://141.218.60.56/~jnz1568/getInfo.php?workbook=18_16.xlsx&amp;sheet=A0&amp;row=897&amp;col=7&amp;number=&amp;sourceID=49","")</f>
        <v/>
      </c>
      <c r="H897" s="4" t="str">
        <f>HYPERLINK("http://141.218.60.56/~jnz1568/getInfo.php?workbook=18_16.xlsx&amp;sheet=A0&amp;row=897&amp;col=8&amp;number=&amp;sourceID=49","")</f>
        <v/>
      </c>
    </row>
    <row r="898" spans="1:8">
      <c r="A898" s="3">
        <v>18</v>
      </c>
      <c r="B898" s="3">
        <v>16</v>
      </c>
      <c r="C898" s="3">
        <v>80</v>
      </c>
      <c r="D898" s="3">
        <v>35</v>
      </c>
      <c r="E898" s="3">
        <f>((1/(INDEX(E0!J$4:J$87,C898,1)-INDEX(E0!J$4:J$87,D898,1))))*100000000</f>
        <v>0</v>
      </c>
      <c r="F898" s="4" t="str">
        <f>HYPERLINK("http://141.218.60.56/~jnz1568/getInfo.php?workbook=18_16.xlsx&amp;sheet=A0&amp;row=898&amp;col=6&amp;number=239090&amp;sourceID=48","239090")</f>
        <v>239090</v>
      </c>
      <c r="G898" s="4" t="str">
        <f>HYPERLINK("http://141.218.60.56/~jnz1568/getInfo.php?workbook=18_16.xlsx&amp;sheet=A0&amp;row=898&amp;col=7&amp;number=&amp;sourceID=49","")</f>
        <v/>
      </c>
      <c r="H898" s="4" t="str">
        <f>HYPERLINK("http://141.218.60.56/~jnz1568/getInfo.php?workbook=18_16.xlsx&amp;sheet=A0&amp;row=898&amp;col=8&amp;number=&amp;sourceID=49","")</f>
        <v/>
      </c>
    </row>
    <row r="899" spans="1:8">
      <c r="A899" s="3">
        <v>18</v>
      </c>
      <c r="B899" s="3">
        <v>16</v>
      </c>
      <c r="C899" s="3">
        <v>80</v>
      </c>
      <c r="D899" s="3">
        <v>37</v>
      </c>
      <c r="E899" s="3">
        <f>((1/(INDEX(E0!J$4:J$87,C899,1)-INDEX(E0!J$4:J$87,D899,1))))*100000000</f>
        <v>0</v>
      </c>
      <c r="F899" s="4" t="str">
        <f>HYPERLINK("http://141.218.60.56/~jnz1568/getInfo.php?workbook=18_16.xlsx&amp;sheet=A0&amp;row=899&amp;col=6&amp;number=1767500&amp;sourceID=48","1767500")</f>
        <v>1767500</v>
      </c>
      <c r="G899" s="4" t="str">
        <f>HYPERLINK("http://141.218.60.56/~jnz1568/getInfo.php?workbook=18_16.xlsx&amp;sheet=A0&amp;row=899&amp;col=7&amp;number=&amp;sourceID=49","")</f>
        <v/>
      </c>
      <c r="H899" s="4" t="str">
        <f>HYPERLINK("http://141.218.60.56/~jnz1568/getInfo.php?workbook=18_16.xlsx&amp;sheet=A0&amp;row=899&amp;col=8&amp;number=&amp;sourceID=49","")</f>
        <v/>
      </c>
    </row>
    <row r="900" spans="1:8">
      <c r="A900" s="3">
        <v>18</v>
      </c>
      <c r="B900" s="3">
        <v>16</v>
      </c>
      <c r="C900" s="3">
        <v>80</v>
      </c>
      <c r="D900" s="3">
        <v>38</v>
      </c>
      <c r="E900" s="3">
        <f>((1/(INDEX(E0!J$4:J$87,C900,1)-INDEX(E0!J$4:J$87,D900,1))))*100000000</f>
        <v>0</v>
      </c>
      <c r="F900" s="4" t="str">
        <f>HYPERLINK("http://141.218.60.56/~jnz1568/getInfo.php?workbook=18_16.xlsx&amp;sheet=A0&amp;row=900&amp;col=6&amp;number=26352&amp;sourceID=48","26352")</f>
        <v>26352</v>
      </c>
      <c r="G900" s="4" t="str">
        <f>HYPERLINK("http://141.218.60.56/~jnz1568/getInfo.php?workbook=18_16.xlsx&amp;sheet=A0&amp;row=900&amp;col=7&amp;number=&amp;sourceID=49","")</f>
        <v/>
      </c>
      <c r="H900" s="4" t="str">
        <f>HYPERLINK("http://141.218.60.56/~jnz1568/getInfo.php?workbook=18_16.xlsx&amp;sheet=A0&amp;row=900&amp;col=8&amp;number=&amp;sourceID=49","")</f>
        <v/>
      </c>
    </row>
    <row r="901" spans="1:8">
      <c r="A901" s="3">
        <v>18</v>
      </c>
      <c r="B901" s="3">
        <v>16</v>
      </c>
      <c r="C901" s="3">
        <v>80</v>
      </c>
      <c r="D901" s="3">
        <v>39</v>
      </c>
      <c r="E901" s="3">
        <f>((1/(INDEX(E0!J$4:J$87,C901,1)-INDEX(E0!J$4:J$87,D901,1))))*100000000</f>
        <v>0</v>
      </c>
      <c r="F901" s="4" t="str">
        <f>HYPERLINK("http://141.218.60.56/~jnz1568/getInfo.php?workbook=18_16.xlsx&amp;sheet=A0&amp;row=901&amp;col=6&amp;number=1019200&amp;sourceID=48","1019200")</f>
        <v>1019200</v>
      </c>
      <c r="G901" s="4" t="str">
        <f>HYPERLINK("http://141.218.60.56/~jnz1568/getInfo.php?workbook=18_16.xlsx&amp;sheet=A0&amp;row=901&amp;col=7&amp;number=&amp;sourceID=49","")</f>
        <v/>
      </c>
      <c r="H901" s="4" t="str">
        <f>HYPERLINK("http://141.218.60.56/~jnz1568/getInfo.php?workbook=18_16.xlsx&amp;sheet=A0&amp;row=901&amp;col=8&amp;number=&amp;sourceID=49","")</f>
        <v/>
      </c>
    </row>
    <row r="902" spans="1:8">
      <c r="A902" s="3">
        <v>18</v>
      </c>
      <c r="B902" s="3">
        <v>16</v>
      </c>
      <c r="C902" s="3">
        <v>80</v>
      </c>
      <c r="D902" s="3">
        <v>41</v>
      </c>
      <c r="E902" s="3">
        <f>((1/(INDEX(E0!J$4:J$87,C902,1)-INDEX(E0!J$4:J$87,D902,1))))*100000000</f>
        <v>0</v>
      </c>
      <c r="F902" s="4" t="str">
        <f>HYPERLINK("http://141.218.60.56/~jnz1568/getInfo.php?workbook=18_16.xlsx&amp;sheet=A0&amp;row=902&amp;col=6&amp;number=44281000&amp;sourceID=48","44281000")</f>
        <v>44281000</v>
      </c>
      <c r="G902" s="4" t="str">
        <f>HYPERLINK("http://141.218.60.56/~jnz1568/getInfo.php?workbook=18_16.xlsx&amp;sheet=A0&amp;row=902&amp;col=7&amp;number=&amp;sourceID=49","")</f>
        <v/>
      </c>
      <c r="H902" s="4" t="str">
        <f>HYPERLINK("http://141.218.60.56/~jnz1568/getInfo.php?workbook=18_16.xlsx&amp;sheet=A0&amp;row=902&amp;col=8&amp;number=&amp;sourceID=49","")</f>
        <v/>
      </c>
    </row>
    <row r="903" spans="1:8">
      <c r="A903" s="3">
        <v>18</v>
      </c>
      <c r="B903" s="3">
        <v>16</v>
      </c>
      <c r="C903" s="3">
        <v>80</v>
      </c>
      <c r="D903" s="3">
        <v>45</v>
      </c>
      <c r="E903" s="3">
        <f>((1/(INDEX(E0!J$4:J$87,C903,1)-INDEX(E0!J$4:J$87,D903,1))))*100000000</f>
        <v>0</v>
      </c>
      <c r="F903" s="4" t="str">
        <f>HYPERLINK("http://141.218.60.56/~jnz1568/getInfo.php?workbook=18_16.xlsx&amp;sheet=A0&amp;row=903&amp;col=6&amp;number=133810&amp;sourceID=48","133810")</f>
        <v>133810</v>
      </c>
      <c r="G903" s="4" t="str">
        <f>HYPERLINK("http://141.218.60.56/~jnz1568/getInfo.php?workbook=18_16.xlsx&amp;sheet=A0&amp;row=903&amp;col=7&amp;number=&amp;sourceID=49","")</f>
        <v/>
      </c>
      <c r="H903" s="4" t="str">
        <f>HYPERLINK("http://141.218.60.56/~jnz1568/getInfo.php?workbook=18_16.xlsx&amp;sheet=A0&amp;row=903&amp;col=8&amp;number=&amp;sourceID=49","")</f>
        <v/>
      </c>
    </row>
    <row r="904" spans="1:8">
      <c r="A904" s="3">
        <v>18</v>
      </c>
      <c r="B904" s="3">
        <v>16</v>
      </c>
      <c r="C904" s="3">
        <v>80</v>
      </c>
      <c r="D904" s="3">
        <v>47</v>
      </c>
      <c r="E904" s="3">
        <f>((1/(INDEX(E0!J$4:J$87,C904,1)-INDEX(E0!J$4:J$87,D904,1))))*100000000</f>
        <v>0</v>
      </c>
      <c r="F904" s="4" t="str">
        <f>HYPERLINK("http://141.218.60.56/~jnz1568/getInfo.php?workbook=18_16.xlsx&amp;sheet=A0&amp;row=904&amp;col=6&amp;number=756000&amp;sourceID=48","756000")</f>
        <v>756000</v>
      </c>
      <c r="G904" s="4" t="str">
        <f>HYPERLINK("http://141.218.60.56/~jnz1568/getInfo.php?workbook=18_16.xlsx&amp;sheet=A0&amp;row=904&amp;col=7&amp;number=&amp;sourceID=49","")</f>
        <v/>
      </c>
      <c r="H904" s="4" t="str">
        <f>HYPERLINK("http://141.218.60.56/~jnz1568/getInfo.php?workbook=18_16.xlsx&amp;sheet=A0&amp;row=904&amp;col=8&amp;number=&amp;sourceID=49","")</f>
        <v/>
      </c>
    </row>
    <row r="905" spans="1:8">
      <c r="A905" s="3">
        <v>18</v>
      </c>
      <c r="B905" s="3">
        <v>16</v>
      </c>
      <c r="C905" s="3">
        <v>80</v>
      </c>
      <c r="D905" s="3">
        <v>48</v>
      </c>
      <c r="E905" s="3">
        <f>((1/(INDEX(E0!J$4:J$87,C905,1)-INDEX(E0!J$4:J$87,D905,1))))*100000000</f>
        <v>0</v>
      </c>
      <c r="F905" s="4" t="str">
        <f>HYPERLINK("http://141.218.60.56/~jnz1568/getInfo.php?workbook=18_16.xlsx&amp;sheet=A0&amp;row=905&amp;col=6&amp;number=420960&amp;sourceID=48","420960")</f>
        <v>420960</v>
      </c>
      <c r="G905" s="4" t="str">
        <f>HYPERLINK("http://141.218.60.56/~jnz1568/getInfo.php?workbook=18_16.xlsx&amp;sheet=A0&amp;row=905&amp;col=7&amp;number=&amp;sourceID=49","")</f>
        <v/>
      </c>
      <c r="H905" s="4" t="str">
        <f>HYPERLINK("http://141.218.60.56/~jnz1568/getInfo.php?workbook=18_16.xlsx&amp;sheet=A0&amp;row=905&amp;col=8&amp;number=&amp;sourceID=49","")</f>
        <v/>
      </c>
    </row>
    <row r="906" spans="1:8">
      <c r="A906" s="3">
        <v>18</v>
      </c>
      <c r="B906" s="3">
        <v>16</v>
      </c>
      <c r="C906" s="3">
        <v>80</v>
      </c>
      <c r="D906" s="3">
        <v>49</v>
      </c>
      <c r="E906" s="3">
        <f>((1/(INDEX(E0!J$4:J$87,C906,1)-INDEX(E0!J$4:J$87,D906,1))))*100000000</f>
        <v>0</v>
      </c>
      <c r="F906" s="4" t="str">
        <f>HYPERLINK("http://141.218.60.56/~jnz1568/getInfo.php?workbook=18_16.xlsx&amp;sheet=A0&amp;row=906&amp;col=6&amp;number=12638000&amp;sourceID=48","12638000")</f>
        <v>12638000</v>
      </c>
      <c r="G906" s="4" t="str">
        <f>HYPERLINK("http://141.218.60.56/~jnz1568/getInfo.php?workbook=18_16.xlsx&amp;sheet=A0&amp;row=906&amp;col=7&amp;number=&amp;sourceID=49","")</f>
        <v/>
      </c>
      <c r="H906" s="4" t="str">
        <f>HYPERLINK("http://141.218.60.56/~jnz1568/getInfo.php?workbook=18_16.xlsx&amp;sheet=A0&amp;row=906&amp;col=8&amp;number=&amp;sourceID=49","")</f>
        <v/>
      </c>
    </row>
    <row r="907" spans="1:8">
      <c r="A907" s="3">
        <v>18</v>
      </c>
      <c r="B907" s="3">
        <v>16</v>
      </c>
      <c r="C907" s="3">
        <v>80</v>
      </c>
      <c r="D907" s="3">
        <v>54</v>
      </c>
      <c r="E907" s="3">
        <f>((1/(INDEX(E0!J$4:J$87,C907,1)-INDEX(E0!J$4:J$87,D907,1))))*100000000</f>
        <v>0</v>
      </c>
      <c r="F907" s="4" t="str">
        <f>HYPERLINK("http://141.218.60.56/~jnz1568/getInfo.php?workbook=18_16.xlsx&amp;sheet=A0&amp;row=907&amp;col=6&amp;number=2049800&amp;sourceID=48","2049800")</f>
        <v>2049800</v>
      </c>
      <c r="G907" s="4" t="str">
        <f>HYPERLINK("http://141.218.60.56/~jnz1568/getInfo.php?workbook=18_16.xlsx&amp;sheet=A0&amp;row=907&amp;col=7&amp;number=&amp;sourceID=49","")</f>
        <v/>
      </c>
      <c r="H907" s="4" t="str">
        <f>HYPERLINK("http://141.218.60.56/~jnz1568/getInfo.php?workbook=18_16.xlsx&amp;sheet=A0&amp;row=907&amp;col=8&amp;number=&amp;sourceID=49","")</f>
        <v/>
      </c>
    </row>
    <row r="908" spans="1:8">
      <c r="A908" s="3">
        <v>18</v>
      </c>
      <c r="B908" s="3">
        <v>16</v>
      </c>
      <c r="C908" s="3">
        <v>80</v>
      </c>
      <c r="D908" s="3">
        <v>55</v>
      </c>
      <c r="E908" s="3">
        <f>((1/(INDEX(E0!J$4:J$87,C908,1)-INDEX(E0!J$4:J$87,D908,1))))*100000000</f>
        <v>0</v>
      </c>
      <c r="F908" s="4" t="str">
        <f>HYPERLINK("http://141.218.60.56/~jnz1568/getInfo.php?workbook=18_16.xlsx&amp;sheet=A0&amp;row=908&amp;col=6&amp;number=116510000&amp;sourceID=48","116510000")</f>
        <v>116510000</v>
      </c>
      <c r="G908" s="4" t="str">
        <f>HYPERLINK("http://141.218.60.56/~jnz1568/getInfo.php?workbook=18_16.xlsx&amp;sheet=A0&amp;row=908&amp;col=7&amp;number=&amp;sourceID=49","")</f>
        <v/>
      </c>
      <c r="H908" s="4" t="str">
        <f>HYPERLINK("http://141.218.60.56/~jnz1568/getInfo.php?workbook=18_16.xlsx&amp;sheet=A0&amp;row=908&amp;col=8&amp;number=&amp;sourceID=49","")</f>
        <v/>
      </c>
    </row>
    <row r="909" spans="1:8">
      <c r="A909" s="3">
        <v>18</v>
      </c>
      <c r="B909" s="3">
        <v>16</v>
      </c>
      <c r="C909" s="3">
        <v>80</v>
      </c>
      <c r="D909" s="3">
        <v>56</v>
      </c>
      <c r="E909" s="3">
        <f>((1/(INDEX(E0!J$4:J$87,C909,1)-INDEX(E0!J$4:J$87,D909,1))))*100000000</f>
        <v>0</v>
      </c>
      <c r="F909" s="4" t="str">
        <f>HYPERLINK("http://141.218.60.56/~jnz1568/getInfo.php?workbook=18_16.xlsx&amp;sheet=A0&amp;row=909&amp;col=6&amp;number=2043.1&amp;sourceID=48","2043.1")</f>
        <v>2043.1</v>
      </c>
      <c r="G909" s="4" t="str">
        <f>HYPERLINK("http://141.218.60.56/~jnz1568/getInfo.php?workbook=18_16.xlsx&amp;sheet=A0&amp;row=909&amp;col=7&amp;number=&amp;sourceID=49","")</f>
        <v/>
      </c>
      <c r="H909" s="4" t="str">
        <f>HYPERLINK("http://141.218.60.56/~jnz1568/getInfo.php?workbook=18_16.xlsx&amp;sheet=A0&amp;row=909&amp;col=8&amp;number=&amp;sourceID=49","")</f>
        <v/>
      </c>
    </row>
    <row r="910" spans="1:8">
      <c r="A910" s="3">
        <v>18</v>
      </c>
      <c r="B910" s="3">
        <v>16</v>
      </c>
      <c r="C910" s="3">
        <v>80</v>
      </c>
      <c r="D910" s="3">
        <v>57</v>
      </c>
      <c r="E910" s="3">
        <f>((1/(INDEX(E0!J$4:J$87,C910,1)-INDEX(E0!J$4:J$87,D910,1))))*100000000</f>
        <v>0</v>
      </c>
      <c r="F910" s="4" t="str">
        <f>HYPERLINK("http://141.218.60.56/~jnz1568/getInfo.php?workbook=18_16.xlsx&amp;sheet=A0&amp;row=910&amp;col=6&amp;number=11888&amp;sourceID=48","11888")</f>
        <v>11888</v>
      </c>
      <c r="G910" s="4" t="str">
        <f>HYPERLINK("http://141.218.60.56/~jnz1568/getInfo.php?workbook=18_16.xlsx&amp;sheet=A0&amp;row=910&amp;col=7&amp;number=&amp;sourceID=49","")</f>
        <v/>
      </c>
      <c r="H910" s="4" t="str">
        <f>HYPERLINK("http://141.218.60.56/~jnz1568/getInfo.php?workbook=18_16.xlsx&amp;sheet=A0&amp;row=910&amp;col=8&amp;number=&amp;sourceID=49","")</f>
        <v/>
      </c>
    </row>
    <row r="911" spans="1:8">
      <c r="A911" s="3">
        <v>18</v>
      </c>
      <c r="B911" s="3">
        <v>16</v>
      </c>
      <c r="C911" s="3">
        <v>80</v>
      </c>
      <c r="D911" s="3">
        <v>58</v>
      </c>
      <c r="E911" s="3">
        <f>((1/(INDEX(E0!J$4:J$87,C911,1)-INDEX(E0!J$4:J$87,D911,1))))*100000000</f>
        <v>0</v>
      </c>
      <c r="F911" s="4" t="str">
        <f>HYPERLINK("http://141.218.60.56/~jnz1568/getInfo.php?workbook=18_16.xlsx&amp;sheet=A0&amp;row=911&amp;col=6&amp;number=90158&amp;sourceID=48","90158")</f>
        <v>90158</v>
      </c>
      <c r="G911" s="4" t="str">
        <f>HYPERLINK("http://141.218.60.56/~jnz1568/getInfo.php?workbook=18_16.xlsx&amp;sheet=A0&amp;row=911&amp;col=7&amp;number=&amp;sourceID=49","")</f>
        <v/>
      </c>
      <c r="H911" s="4" t="str">
        <f>HYPERLINK("http://141.218.60.56/~jnz1568/getInfo.php?workbook=18_16.xlsx&amp;sheet=A0&amp;row=911&amp;col=8&amp;number=&amp;sourceID=49","")</f>
        <v/>
      </c>
    </row>
    <row r="912" spans="1:8">
      <c r="A912" s="3">
        <v>18</v>
      </c>
      <c r="B912" s="3">
        <v>16</v>
      </c>
      <c r="C912" s="3">
        <v>80</v>
      </c>
      <c r="D912" s="3">
        <v>59</v>
      </c>
      <c r="E912" s="3">
        <f>((1/(INDEX(E0!J$4:J$87,C912,1)-INDEX(E0!J$4:J$87,D912,1))))*100000000</f>
        <v>0</v>
      </c>
      <c r="F912" s="4" t="str">
        <f>HYPERLINK("http://141.218.60.56/~jnz1568/getInfo.php?workbook=18_16.xlsx&amp;sheet=A0&amp;row=912&amp;col=6&amp;number=1545200&amp;sourceID=48","1545200")</f>
        <v>1545200</v>
      </c>
      <c r="G912" s="4" t="str">
        <f>HYPERLINK("http://141.218.60.56/~jnz1568/getInfo.php?workbook=18_16.xlsx&amp;sheet=A0&amp;row=912&amp;col=7&amp;number=&amp;sourceID=49","")</f>
        <v/>
      </c>
      <c r="H912" s="4" t="str">
        <f>HYPERLINK("http://141.218.60.56/~jnz1568/getInfo.php?workbook=18_16.xlsx&amp;sheet=A0&amp;row=912&amp;col=8&amp;number=&amp;sourceID=49","")</f>
        <v/>
      </c>
    </row>
    <row r="913" spans="1:8">
      <c r="A913" s="3">
        <v>18</v>
      </c>
      <c r="B913" s="3">
        <v>16</v>
      </c>
      <c r="C913" s="3">
        <v>80</v>
      </c>
      <c r="D913" s="3">
        <v>60</v>
      </c>
      <c r="E913" s="3">
        <f>((1/(INDEX(E0!J$4:J$87,C913,1)-INDEX(E0!J$4:J$87,D913,1))))*100000000</f>
        <v>0</v>
      </c>
      <c r="F913" s="4" t="str">
        <f>HYPERLINK("http://141.218.60.56/~jnz1568/getInfo.php?workbook=18_16.xlsx&amp;sheet=A0&amp;row=913&amp;col=6&amp;number=9544700&amp;sourceID=48","9544700")</f>
        <v>9544700</v>
      </c>
      <c r="G913" s="4" t="str">
        <f>HYPERLINK("http://141.218.60.56/~jnz1568/getInfo.php?workbook=18_16.xlsx&amp;sheet=A0&amp;row=913&amp;col=7&amp;number=&amp;sourceID=49","")</f>
        <v/>
      </c>
      <c r="H913" s="4" t="str">
        <f>HYPERLINK("http://141.218.60.56/~jnz1568/getInfo.php?workbook=18_16.xlsx&amp;sheet=A0&amp;row=913&amp;col=8&amp;number=&amp;sourceID=49","")</f>
        <v/>
      </c>
    </row>
    <row r="914" spans="1:8">
      <c r="A914" s="3">
        <v>18</v>
      </c>
      <c r="B914" s="3">
        <v>16</v>
      </c>
      <c r="C914" s="3">
        <v>80</v>
      </c>
      <c r="D914" s="3">
        <v>61</v>
      </c>
      <c r="E914" s="3">
        <f>((1/(INDEX(E0!J$4:J$87,C914,1)-INDEX(E0!J$4:J$87,D914,1))))*100000000</f>
        <v>0</v>
      </c>
      <c r="F914" s="4" t="str">
        <f>HYPERLINK("http://141.218.60.56/~jnz1568/getInfo.php?workbook=18_16.xlsx&amp;sheet=A0&amp;row=914&amp;col=6&amp;number=16895000&amp;sourceID=48","16895000")</f>
        <v>16895000</v>
      </c>
      <c r="G914" s="4" t="str">
        <f>HYPERLINK("http://141.218.60.56/~jnz1568/getInfo.php?workbook=18_16.xlsx&amp;sheet=A0&amp;row=914&amp;col=7&amp;number=&amp;sourceID=49","")</f>
        <v/>
      </c>
      <c r="H914" s="4" t="str">
        <f>HYPERLINK("http://141.218.60.56/~jnz1568/getInfo.php?workbook=18_16.xlsx&amp;sheet=A0&amp;row=914&amp;col=8&amp;number=&amp;sourceID=49","")</f>
        <v/>
      </c>
    </row>
    <row r="915" spans="1:8">
      <c r="A915" s="3">
        <v>18</v>
      </c>
      <c r="B915" s="3">
        <v>16</v>
      </c>
      <c r="C915" s="3">
        <v>80</v>
      </c>
      <c r="D915" s="3">
        <v>75</v>
      </c>
      <c r="E915" s="3">
        <f>((1/(INDEX(E0!J$4:J$87,C915,1)-INDEX(E0!J$4:J$87,D915,1))))*100000000</f>
        <v>0</v>
      </c>
      <c r="F915" s="4" t="str">
        <f>HYPERLINK("http://141.218.60.56/~jnz1568/getInfo.php?workbook=18_16.xlsx&amp;sheet=A0&amp;row=915&amp;col=6&amp;number=2546.9&amp;sourceID=48","2546.9")</f>
        <v>2546.9</v>
      </c>
      <c r="G915" s="4" t="str">
        <f>HYPERLINK("http://141.218.60.56/~jnz1568/getInfo.php?workbook=18_16.xlsx&amp;sheet=A0&amp;row=915&amp;col=7&amp;number=&amp;sourceID=49","")</f>
        <v/>
      </c>
      <c r="H915" s="4" t="str">
        <f>HYPERLINK("http://141.218.60.56/~jnz1568/getInfo.php?workbook=18_16.xlsx&amp;sheet=A0&amp;row=915&amp;col=8&amp;number=&amp;sourceID=49","")</f>
        <v/>
      </c>
    </row>
    <row r="916" spans="1:8">
      <c r="A916" s="3">
        <v>18</v>
      </c>
      <c r="B916" s="3">
        <v>16</v>
      </c>
      <c r="C916" s="3">
        <v>81</v>
      </c>
      <c r="D916" s="3">
        <v>7</v>
      </c>
      <c r="E916" s="3">
        <f>((1/(INDEX(E0!J$4:J$87,C916,1)-INDEX(E0!J$4:J$87,D916,1))))*100000000</f>
        <v>0</v>
      </c>
      <c r="F916" s="4" t="str">
        <f>HYPERLINK("http://141.218.60.56/~jnz1568/getInfo.php?workbook=18_16.xlsx&amp;sheet=A0&amp;row=916&amp;col=6&amp;number=19150000&amp;sourceID=48","19150000")</f>
        <v>19150000</v>
      </c>
      <c r="G916" s="4" t="str">
        <f>HYPERLINK("http://141.218.60.56/~jnz1568/getInfo.php?workbook=18_16.xlsx&amp;sheet=A0&amp;row=916&amp;col=7&amp;number=&amp;sourceID=49","")</f>
        <v/>
      </c>
      <c r="H916" s="4" t="str">
        <f>HYPERLINK("http://141.218.60.56/~jnz1568/getInfo.php?workbook=18_16.xlsx&amp;sheet=A0&amp;row=916&amp;col=8&amp;number=&amp;sourceID=49","")</f>
        <v/>
      </c>
    </row>
    <row r="917" spans="1:8">
      <c r="A917" s="3">
        <v>18</v>
      </c>
      <c r="B917" s="3">
        <v>16</v>
      </c>
      <c r="C917" s="3">
        <v>81</v>
      </c>
      <c r="D917" s="3">
        <v>9</v>
      </c>
      <c r="E917" s="3">
        <f>((1/(INDEX(E0!J$4:J$87,C917,1)-INDEX(E0!J$4:J$87,D917,1))))*100000000</f>
        <v>0</v>
      </c>
      <c r="F917" s="4" t="str">
        <f>HYPERLINK("http://141.218.60.56/~jnz1568/getInfo.php?workbook=18_16.xlsx&amp;sheet=A0&amp;row=917&amp;col=6&amp;number=17895&amp;sourceID=48","17895")</f>
        <v>17895</v>
      </c>
      <c r="G917" s="4" t="str">
        <f>HYPERLINK("http://141.218.60.56/~jnz1568/getInfo.php?workbook=18_16.xlsx&amp;sheet=A0&amp;row=917&amp;col=7&amp;number=&amp;sourceID=49","")</f>
        <v/>
      </c>
      <c r="H917" s="4" t="str">
        <f>HYPERLINK("http://141.218.60.56/~jnz1568/getInfo.php?workbook=18_16.xlsx&amp;sheet=A0&amp;row=917&amp;col=8&amp;number=&amp;sourceID=49","")</f>
        <v/>
      </c>
    </row>
    <row r="918" spans="1:8">
      <c r="A918" s="3">
        <v>18</v>
      </c>
      <c r="B918" s="3">
        <v>16</v>
      </c>
      <c r="C918" s="3">
        <v>81</v>
      </c>
      <c r="D918" s="3">
        <v>11</v>
      </c>
      <c r="E918" s="3">
        <f>((1/(INDEX(E0!J$4:J$87,C918,1)-INDEX(E0!J$4:J$87,D918,1))))*100000000</f>
        <v>0</v>
      </c>
      <c r="F918" s="4" t="str">
        <f>HYPERLINK("http://141.218.60.56/~jnz1568/getInfo.php?workbook=18_16.xlsx&amp;sheet=A0&amp;row=918&amp;col=6&amp;number=1.8495&amp;sourceID=48","1.8495")</f>
        <v>1.8495</v>
      </c>
      <c r="G918" s="4" t="str">
        <f>HYPERLINK("http://141.218.60.56/~jnz1568/getInfo.php?workbook=18_16.xlsx&amp;sheet=A0&amp;row=918&amp;col=7&amp;number=&amp;sourceID=49","")</f>
        <v/>
      </c>
      <c r="H918" s="4" t="str">
        <f>HYPERLINK("http://141.218.60.56/~jnz1568/getInfo.php?workbook=18_16.xlsx&amp;sheet=A0&amp;row=918&amp;col=8&amp;number=&amp;sourceID=49","")</f>
        <v/>
      </c>
    </row>
    <row r="919" spans="1:8">
      <c r="A919" s="3">
        <v>18</v>
      </c>
      <c r="B919" s="3">
        <v>16</v>
      </c>
      <c r="C919" s="3">
        <v>81</v>
      </c>
      <c r="D919" s="3">
        <v>17</v>
      </c>
      <c r="E919" s="3">
        <f>((1/(INDEX(E0!J$4:J$87,C919,1)-INDEX(E0!J$4:J$87,D919,1))))*100000000</f>
        <v>0</v>
      </c>
      <c r="F919" s="4" t="str">
        <f>HYPERLINK("http://141.218.60.56/~jnz1568/getInfo.php?workbook=18_16.xlsx&amp;sheet=A0&amp;row=919&amp;col=6&amp;number=5323900&amp;sourceID=48","5323900")</f>
        <v>5323900</v>
      </c>
      <c r="G919" s="4" t="str">
        <f>HYPERLINK("http://141.218.60.56/~jnz1568/getInfo.php?workbook=18_16.xlsx&amp;sheet=A0&amp;row=919&amp;col=7&amp;number=&amp;sourceID=49","")</f>
        <v/>
      </c>
      <c r="H919" s="4" t="str">
        <f>HYPERLINK("http://141.218.60.56/~jnz1568/getInfo.php?workbook=18_16.xlsx&amp;sheet=A0&amp;row=919&amp;col=8&amp;number=&amp;sourceID=49","")</f>
        <v/>
      </c>
    </row>
    <row r="920" spans="1:8">
      <c r="A920" s="3">
        <v>18</v>
      </c>
      <c r="B920" s="3">
        <v>16</v>
      </c>
      <c r="C920" s="3">
        <v>81</v>
      </c>
      <c r="D920" s="3">
        <v>28</v>
      </c>
      <c r="E920" s="3">
        <f>((1/(INDEX(E0!J$4:J$87,C920,1)-INDEX(E0!J$4:J$87,D920,1))))*100000000</f>
        <v>0</v>
      </c>
      <c r="F920" s="4" t="str">
        <f>HYPERLINK("http://141.218.60.56/~jnz1568/getInfo.php?workbook=18_16.xlsx&amp;sheet=A0&amp;row=920&amp;col=6&amp;number=9864500&amp;sourceID=48","9864500")</f>
        <v>9864500</v>
      </c>
      <c r="G920" s="4" t="str">
        <f>HYPERLINK("http://141.218.60.56/~jnz1568/getInfo.php?workbook=18_16.xlsx&amp;sheet=A0&amp;row=920&amp;col=7&amp;number=&amp;sourceID=49","")</f>
        <v/>
      </c>
      <c r="H920" s="4" t="str">
        <f>HYPERLINK("http://141.218.60.56/~jnz1568/getInfo.php?workbook=18_16.xlsx&amp;sheet=A0&amp;row=920&amp;col=8&amp;number=&amp;sourceID=49","")</f>
        <v/>
      </c>
    </row>
    <row r="921" spans="1:8">
      <c r="A921" s="3">
        <v>18</v>
      </c>
      <c r="B921" s="3">
        <v>16</v>
      </c>
      <c r="C921" s="3">
        <v>81</v>
      </c>
      <c r="D921" s="3">
        <v>32</v>
      </c>
      <c r="E921" s="3">
        <f>((1/(INDEX(E0!J$4:J$87,C921,1)-INDEX(E0!J$4:J$87,D921,1))))*100000000</f>
        <v>0</v>
      </c>
      <c r="F921" s="4" t="str">
        <f>HYPERLINK("http://141.218.60.56/~jnz1568/getInfo.php?workbook=18_16.xlsx&amp;sheet=A0&amp;row=921&amp;col=6&amp;number=159500000&amp;sourceID=48","159500000")</f>
        <v>159500000</v>
      </c>
      <c r="G921" s="4" t="str">
        <f>HYPERLINK("http://141.218.60.56/~jnz1568/getInfo.php?workbook=18_16.xlsx&amp;sheet=A0&amp;row=921&amp;col=7&amp;number=&amp;sourceID=49","")</f>
        <v/>
      </c>
      <c r="H921" s="4" t="str">
        <f>HYPERLINK("http://141.218.60.56/~jnz1568/getInfo.php?workbook=18_16.xlsx&amp;sheet=A0&amp;row=921&amp;col=8&amp;number=&amp;sourceID=49","")</f>
        <v/>
      </c>
    </row>
    <row r="922" spans="1:8">
      <c r="A922" s="3">
        <v>18</v>
      </c>
      <c r="B922" s="3">
        <v>16</v>
      </c>
      <c r="C922" s="3">
        <v>81</v>
      </c>
      <c r="D922" s="3">
        <v>35</v>
      </c>
      <c r="E922" s="3">
        <f>((1/(INDEX(E0!J$4:J$87,C922,1)-INDEX(E0!J$4:J$87,D922,1))))*100000000</f>
        <v>0</v>
      </c>
      <c r="F922" s="4" t="str">
        <f>HYPERLINK("http://141.218.60.56/~jnz1568/getInfo.php?workbook=18_16.xlsx&amp;sheet=A0&amp;row=922&amp;col=6&amp;number=86963000&amp;sourceID=48","86963000")</f>
        <v>86963000</v>
      </c>
      <c r="G922" s="4" t="str">
        <f>HYPERLINK("http://141.218.60.56/~jnz1568/getInfo.php?workbook=18_16.xlsx&amp;sheet=A0&amp;row=922&amp;col=7&amp;number=&amp;sourceID=49","")</f>
        <v/>
      </c>
      <c r="H922" s="4" t="str">
        <f>HYPERLINK("http://141.218.60.56/~jnz1568/getInfo.php?workbook=18_16.xlsx&amp;sheet=A0&amp;row=922&amp;col=8&amp;number=&amp;sourceID=49","")</f>
        <v/>
      </c>
    </row>
    <row r="923" spans="1:8">
      <c r="A923" s="3">
        <v>18</v>
      </c>
      <c r="B923" s="3">
        <v>16</v>
      </c>
      <c r="C923" s="3">
        <v>81</v>
      </c>
      <c r="D923" s="3">
        <v>38</v>
      </c>
      <c r="E923" s="3">
        <f>((1/(INDEX(E0!J$4:J$87,C923,1)-INDEX(E0!J$4:J$87,D923,1))))*100000000</f>
        <v>0</v>
      </c>
      <c r="F923" s="4" t="str">
        <f>HYPERLINK("http://141.218.60.56/~jnz1568/getInfo.php?workbook=18_16.xlsx&amp;sheet=A0&amp;row=923&amp;col=6&amp;number=12066000&amp;sourceID=48","12066000")</f>
        <v>12066000</v>
      </c>
      <c r="G923" s="4" t="str">
        <f>HYPERLINK("http://141.218.60.56/~jnz1568/getInfo.php?workbook=18_16.xlsx&amp;sheet=A0&amp;row=923&amp;col=7&amp;number=&amp;sourceID=49","")</f>
        <v/>
      </c>
      <c r="H923" s="4" t="str">
        <f>HYPERLINK("http://141.218.60.56/~jnz1568/getInfo.php?workbook=18_16.xlsx&amp;sheet=A0&amp;row=923&amp;col=8&amp;number=&amp;sourceID=49","")</f>
        <v/>
      </c>
    </row>
    <row r="924" spans="1:8">
      <c r="A924" s="3">
        <v>18</v>
      </c>
      <c r="B924" s="3">
        <v>16</v>
      </c>
      <c r="C924" s="3">
        <v>81</v>
      </c>
      <c r="D924" s="3">
        <v>45</v>
      </c>
      <c r="E924" s="3">
        <f>((1/(INDEX(E0!J$4:J$87,C924,1)-INDEX(E0!J$4:J$87,D924,1))))*100000000</f>
        <v>0</v>
      </c>
      <c r="F924" s="4" t="str">
        <f>HYPERLINK("http://141.218.60.56/~jnz1568/getInfo.php?workbook=18_16.xlsx&amp;sheet=A0&amp;row=924&amp;col=6&amp;number=3733600&amp;sourceID=48","3733600")</f>
        <v>3733600</v>
      </c>
      <c r="G924" s="4" t="str">
        <f>HYPERLINK("http://141.218.60.56/~jnz1568/getInfo.php?workbook=18_16.xlsx&amp;sheet=A0&amp;row=924&amp;col=7&amp;number=&amp;sourceID=49","")</f>
        <v/>
      </c>
      <c r="H924" s="4" t="str">
        <f>HYPERLINK("http://141.218.60.56/~jnz1568/getInfo.php?workbook=18_16.xlsx&amp;sheet=A0&amp;row=924&amp;col=8&amp;number=&amp;sourceID=49","")</f>
        <v/>
      </c>
    </row>
    <row r="925" spans="1:8">
      <c r="A925" s="3">
        <v>18</v>
      </c>
      <c r="B925" s="3">
        <v>16</v>
      </c>
      <c r="C925" s="3">
        <v>81</v>
      </c>
      <c r="D925" s="3">
        <v>48</v>
      </c>
      <c r="E925" s="3">
        <f>((1/(INDEX(E0!J$4:J$87,C925,1)-INDEX(E0!J$4:J$87,D925,1))))*100000000</f>
        <v>0</v>
      </c>
      <c r="F925" s="4" t="str">
        <f>HYPERLINK("http://141.218.60.56/~jnz1568/getInfo.php?workbook=18_16.xlsx&amp;sheet=A0&amp;row=925&amp;col=6&amp;number=246460000&amp;sourceID=48","246460000")</f>
        <v>246460000</v>
      </c>
      <c r="G925" s="4" t="str">
        <f>HYPERLINK("http://141.218.60.56/~jnz1568/getInfo.php?workbook=18_16.xlsx&amp;sheet=A0&amp;row=925&amp;col=7&amp;number=&amp;sourceID=49","")</f>
        <v/>
      </c>
      <c r="H925" s="4" t="str">
        <f>HYPERLINK("http://141.218.60.56/~jnz1568/getInfo.php?workbook=18_16.xlsx&amp;sheet=A0&amp;row=925&amp;col=8&amp;number=&amp;sourceID=49","")</f>
        <v/>
      </c>
    </row>
    <row r="926" spans="1:8">
      <c r="A926" s="3">
        <v>18</v>
      </c>
      <c r="B926" s="3">
        <v>16</v>
      </c>
      <c r="C926" s="3">
        <v>81</v>
      </c>
      <c r="D926" s="3">
        <v>55</v>
      </c>
      <c r="E926" s="3">
        <f>((1/(INDEX(E0!J$4:J$87,C926,1)-INDEX(E0!J$4:J$87,D926,1))))*100000000</f>
        <v>0</v>
      </c>
      <c r="F926" s="4" t="str">
        <f>HYPERLINK("http://141.218.60.56/~jnz1568/getInfo.php?workbook=18_16.xlsx&amp;sheet=A0&amp;row=926&amp;col=6&amp;number=236750&amp;sourceID=48","236750")</f>
        <v>236750</v>
      </c>
      <c r="G926" s="4" t="str">
        <f>HYPERLINK("http://141.218.60.56/~jnz1568/getInfo.php?workbook=18_16.xlsx&amp;sheet=A0&amp;row=926&amp;col=7&amp;number=&amp;sourceID=49","")</f>
        <v/>
      </c>
      <c r="H926" s="4" t="str">
        <f>HYPERLINK("http://141.218.60.56/~jnz1568/getInfo.php?workbook=18_16.xlsx&amp;sheet=A0&amp;row=926&amp;col=8&amp;number=&amp;sourceID=49","")</f>
        <v/>
      </c>
    </row>
    <row r="927" spans="1:8">
      <c r="A927" s="3">
        <v>18</v>
      </c>
      <c r="B927" s="3">
        <v>16</v>
      </c>
      <c r="C927" s="3">
        <v>81</v>
      </c>
      <c r="D927" s="3">
        <v>56</v>
      </c>
      <c r="E927" s="3">
        <f>((1/(INDEX(E0!J$4:J$87,C927,1)-INDEX(E0!J$4:J$87,D927,1))))*100000000</f>
        <v>0</v>
      </c>
      <c r="F927" s="4" t="str">
        <f>HYPERLINK("http://141.218.60.56/~jnz1568/getInfo.php?workbook=18_16.xlsx&amp;sheet=A0&amp;row=927&amp;col=6&amp;number=37461000&amp;sourceID=48","37461000")</f>
        <v>37461000</v>
      </c>
      <c r="G927" s="4" t="str">
        <f>HYPERLINK("http://141.218.60.56/~jnz1568/getInfo.php?workbook=18_16.xlsx&amp;sheet=A0&amp;row=927&amp;col=7&amp;number=&amp;sourceID=49","")</f>
        <v/>
      </c>
      <c r="H927" s="4" t="str">
        <f>HYPERLINK("http://141.218.60.56/~jnz1568/getInfo.php?workbook=18_16.xlsx&amp;sheet=A0&amp;row=927&amp;col=8&amp;number=&amp;sourceID=49","")</f>
        <v/>
      </c>
    </row>
    <row r="928" spans="1:8">
      <c r="A928" s="3">
        <v>18</v>
      </c>
      <c r="B928" s="3">
        <v>16</v>
      </c>
      <c r="C928" s="3">
        <v>81</v>
      </c>
      <c r="D928" s="3">
        <v>58</v>
      </c>
      <c r="E928" s="3">
        <f>((1/(INDEX(E0!J$4:J$87,C928,1)-INDEX(E0!J$4:J$87,D928,1))))*100000000</f>
        <v>0</v>
      </c>
      <c r="F928" s="4" t="str">
        <f>HYPERLINK("http://141.218.60.56/~jnz1568/getInfo.php?workbook=18_16.xlsx&amp;sheet=A0&amp;row=928&amp;col=6&amp;number=20311000&amp;sourceID=48","20311000")</f>
        <v>20311000</v>
      </c>
      <c r="G928" s="4" t="str">
        <f>HYPERLINK("http://141.218.60.56/~jnz1568/getInfo.php?workbook=18_16.xlsx&amp;sheet=A0&amp;row=928&amp;col=7&amp;number=&amp;sourceID=49","")</f>
        <v/>
      </c>
      <c r="H928" s="4" t="str">
        <f>HYPERLINK("http://141.218.60.56/~jnz1568/getInfo.php?workbook=18_16.xlsx&amp;sheet=A0&amp;row=928&amp;col=8&amp;number=&amp;sourceID=49","")</f>
        <v/>
      </c>
    </row>
    <row r="929" spans="1:8">
      <c r="A929" s="3">
        <v>18</v>
      </c>
      <c r="B929" s="3">
        <v>16</v>
      </c>
      <c r="C929" s="3">
        <v>81</v>
      </c>
      <c r="D929" s="3">
        <v>61</v>
      </c>
      <c r="E929" s="3">
        <f>((1/(INDEX(E0!J$4:J$87,C929,1)-INDEX(E0!J$4:J$87,D929,1))))*100000000</f>
        <v>0</v>
      </c>
      <c r="F929" s="4" t="str">
        <f>HYPERLINK("http://141.218.60.56/~jnz1568/getInfo.php?workbook=18_16.xlsx&amp;sheet=A0&amp;row=929&amp;col=6&amp;number=14614&amp;sourceID=48","14614")</f>
        <v>14614</v>
      </c>
      <c r="G929" s="4" t="str">
        <f>HYPERLINK("http://141.218.60.56/~jnz1568/getInfo.php?workbook=18_16.xlsx&amp;sheet=A0&amp;row=929&amp;col=7&amp;number=&amp;sourceID=49","")</f>
        <v/>
      </c>
      <c r="H929" s="4" t="str">
        <f>HYPERLINK("http://141.218.60.56/~jnz1568/getInfo.php?workbook=18_16.xlsx&amp;sheet=A0&amp;row=929&amp;col=8&amp;number=&amp;sourceID=49","")</f>
        <v/>
      </c>
    </row>
    <row r="930" spans="1:8">
      <c r="A930" s="3">
        <v>18</v>
      </c>
      <c r="B930" s="3">
        <v>16</v>
      </c>
      <c r="C930" s="3">
        <v>81</v>
      </c>
      <c r="D930" s="3">
        <v>75</v>
      </c>
      <c r="E930" s="3">
        <f>((1/(INDEX(E0!J$4:J$87,C930,1)-INDEX(E0!J$4:J$87,D930,1))))*100000000</f>
        <v>0</v>
      </c>
      <c r="F930" s="4" t="str">
        <f>HYPERLINK("http://141.218.60.56/~jnz1568/getInfo.php?workbook=18_16.xlsx&amp;sheet=A0&amp;row=930&amp;col=6&amp;number=14.643&amp;sourceID=48","14.643")</f>
        <v>14.643</v>
      </c>
      <c r="G930" s="4" t="str">
        <f>HYPERLINK("http://141.218.60.56/~jnz1568/getInfo.php?workbook=18_16.xlsx&amp;sheet=A0&amp;row=930&amp;col=7&amp;number=&amp;sourceID=49","")</f>
        <v/>
      </c>
      <c r="H930" s="4" t="str">
        <f>HYPERLINK("http://141.218.60.56/~jnz1568/getInfo.php?workbook=18_16.xlsx&amp;sheet=A0&amp;row=930&amp;col=8&amp;number=&amp;sourceID=49","")</f>
        <v/>
      </c>
    </row>
    <row r="931" spans="1:8">
      <c r="A931" s="3">
        <v>18</v>
      </c>
      <c r="B931" s="3">
        <v>16</v>
      </c>
      <c r="C931" s="3">
        <v>82</v>
      </c>
      <c r="D931" s="3">
        <v>6</v>
      </c>
      <c r="E931" s="3">
        <f>((1/(INDEX(E0!J$4:J$87,C931,1)-INDEX(E0!J$4:J$87,D931,1))))*100000000</f>
        <v>0</v>
      </c>
      <c r="F931" s="4" t="str">
        <f>HYPERLINK("http://141.218.60.56/~jnz1568/getInfo.php?workbook=18_16.xlsx&amp;sheet=A0&amp;row=931&amp;col=6&amp;number=9416800&amp;sourceID=48","9416800")</f>
        <v>9416800</v>
      </c>
      <c r="G931" s="4" t="str">
        <f>HYPERLINK("http://141.218.60.56/~jnz1568/getInfo.php?workbook=18_16.xlsx&amp;sheet=A0&amp;row=931&amp;col=7&amp;number=&amp;sourceID=49","")</f>
        <v/>
      </c>
      <c r="H931" s="4" t="str">
        <f>HYPERLINK("http://141.218.60.56/~jnz1568/getInfo.php?workbook=18_16.xlsx&amp;sheet=A0&amp;row=931&amp;col=8&amp;number=&amp;sourceID=49","")</f>
        <v/>
      </c>
    </row>
    <row r="932" spans="1:8">
      <c r="A932" s="3">
        <v>18</v>
      </c>
      <c r="B932" s="3">
        <v>16</v>
      </c>
      <c r="C932" s="3">
        <v>82</v>
      </c>
      <c r="D932" s="3">
        <v>7</v>
      </c>
      <c r="E932" s="3">
        <f>((1/(INDEX(E0!J$4:J$87,C932,1)-INDEX(E0!J$4:J$87,D932,1))))*100000000</f>
        <v>0</v>
      </c>
      <c r="F932" s="4" t="str">
        <f>HYPERLINK("http://141.218.60.56/~jnz1568/getInfo.php?workbook=18_16.xlsx&amp;sheet=A0&amp;row=932&amp;col=6&amp;number=933930&amp;sourceID=48","933930")</f>
        <v>933930</v>
      </c>
      <c r="G932" s="4" t="str">
        <f>HYPERLINK("http://141.218.60.56/~jnz1568/getInfo.php?workbook=18_16.xlsx&amp;sheet=A0&amp;row=932&amp;col=7&amp;number=&amp;sourceID=49","")</f>
        <v/>
      </c>
      <c r="H932" s="4" t="str">
        <f>HYPERLINK("http://141.218.60.56/~jnz1568/getInfo.php?workbook=18_16.xlsx&amp;sheet=A0&amp;row=932&amp;col=8&amp;number=&amp;sourceID=49","")</f>
        <v/>
      </c>
    </row>
    <row r="933" spans="1:8">
      <c r="A933" s="3">
        <v>18</v>
      </c>
      <c r="B933" s="3">
        <v>16</v>
      </c>
      <c r="C933" s="3">
        <v>82</v>
      </c>
      <c r="D933" s="3">
        <v>8</v>
      </c>
      <c r="E933" s="3">
        <f>((1/(INDEX(E0!J$4:J$87,C933,1)-INDEX(E0!J$4:J$87,D933,1))))*100000000</f>
        <v>0</v>
      </c>
      <c r="F933" s="4" t="str">
        <f>HYPERLINK("http://141.218.60.56/~jnz1568/getInfo.php?workbook=18_16.xlsx&amp;sheet=A0&amp;row=933&amp;col=6&amp;number=5424700&amp;sourceID=48","5424700")</f>
        <v>5424700</v>
      </c>
      <c r="G933" s="4" t="str">
        <f>HYPERLINK("http://141.218.60.56/~jnz1568/getInfo.php?workbook=18_16.xlsx&amp;sheet=A0&amp;row=933&amp;col=7&amp;number=&amp;sourceID=49","")</f>
        <v/>
      </c>
      <c r="H933" s="4" t="str">
        <f>HYPERLINK("http://141.218.60.56/~jnz1568/getInfo.php?workbook=18_16.xlsx&amp;sheet=A0&amp;row=933&amp;col=8&amp;number=&amp;sourceID=49","")</f>
        <v/>
      </c>
    </row>
    <row r="934" spans="1:8">
      <c r="A934" s="3">
        <v>18</v>
      </c>
      <c r="B934" s="3">
        <v>16</v>
      </c>
      <c r="C934" s="3">
        <v>82</v>
      </c>
      <c r="D934" s="3">
        <v>9</v>
      </c>
      <c r="E934" s="3">
        <f>((1/(INDEX(E0!J$4:J$87,C934,1)-INDEX(E0!J$4:J$87,D934,1))))*100000000</f>
        <v>0</v>
      </c>
      <c r="F934" s="4" t="str">
        <f>HYPERLINK("http://141.218.60.56/~jnz1568/getInfo.php?workbook=18_16.xlsx&amp;sheet=A0&amp;row=934&amp;col=6&amp;number=1282600&amp;sourceID=48","1282600")</f>
        <v>1282600</v>
      </c>
      <c r="G934" s="4" t="str">
        <f>HYPERLINK("http://141.218.60.56/~jnz1568/getInfo.php?workbook=18_16.xlsx&amp;sheet=A0&amp;row=934&amp;col=7&amp;number=&amp;sourceID=49","")</f>
        <v/>
      </c>
      <c r="H934" s="4" t="str">
        <f>HYPERLINK("http://141.218.60.56/~jnz1568/getInfo.php?workbook=18_16.xlsx&amp;sheet=A0&amp;row=934&amp;col=8&amp;number=&amp;sourceID=49","")</f>
        <v/>
      </c>
    </row>
    <row r="935" spans="1:8">
      <c r="A935" s="3">
        <v>18</v>
      </c>
      <c r="B935" s="3">
        <v>16</v>
      </c>
      <c r="C935" s="3">
        <v>82</v>
      </c>
      <c r="D935" s="3">
        <v>10</v>
      </c>
      <c r="E935" s="3">
        <f>((1/(INDEX(E0!J$4:J$87,C935,1)-INDEX(E0!J$4:J$87,D935,1))))*100000000</f>
        <v>0</v>
      </c>
      <c r="F935" s="4" t="str">
        <f>HYPERLINK("http://141.218.60.56/~jnz1568/getInfo.php?workbook=18_16.xlsx&amp;sheet=A0&amp;row=935&amp;col=6&amp;number=9776.2&amp;sourceID=48","9776.2")</f>
        <v>9776.2</v>
      </c>
      <c r="G935" s="4" t="str">
        <f>HYPERLINK("http://141.218.60.56/~jnz1568/getInfo.php?workbook=18_16.xlsx&amp;sheet=A0&amp;row=935&amp;col=7&amp;number=&amp;sourceID=49","")</f>
        <v/>
      </c>
      <c r="H935" s="4" t="str">
        <f>HYPERLINK("http://141.218.60.56/~jnz1568/getInfo.php?workbook=18_16.xlsx&amp;sheet=A0&amp;row=935&amp;col=8&amp;number=&amp;sourceID=49","")</f>
        <v/>
      </c>
    </row>
    <row r="936" spans="1:8">
      <c r="A936" s="3">
        <v>18</v>
      </c>
      <c r="B936" s="3">
        <v>16</v>
      </c>
      <c r="C936" s="3">
        <v>82</v>
      </c>
      <c r="D936" s="3">
        <v>11</v>
      </c>
      <c r="E936" s="3">
        <f>((1/(INDEX(E0!J$4:J$87,C936,1)-INDEX(E0!J$4:J$87,D936,1))))*100000000</f>
        <v>0</v>
      </c>
      <c r="F936" s="4" t="str">
        <f>HYPERLINK("http://141.218.60.56/~jnz1568/getInfo.php?workbook=18_16.xlsx&amp;sheet=A0&amp;row=936&amp;col=6&amp;number=15677&amp;sourceID=48","15677")</f>
        <v>15677</v>
      </c>
      <c r="G936" s="4" t="str">
        <f>HYPERLINK("http://141.218.60.56/~jnz1568/getInfo.php?workbook=18_16.xlsx&amp;sheet=A0&amp;row=936&amp;col=7&amp;number=&amp;sourceID=49","")</f>
        <v/>
      </c>
      <c r="H936" s="4" t="str">
        <f>HYPERLINK("http://141.218.60.56/~jnz1568/getInfo.php?workbook=18_16.xlsx&amp;sheet=A0&amp;row=936&amp;col=8&amp;number=&amp;sourceID=49","")</f>
        <v/>
      </c>
    </row>
    <row r="937" spans="1:8">
      <c r="A937" s="3">
        <v>18</v>
      </c>
      <c r="B937" s="3">
        <v>16</v>
      </c>
      <c r="C937" s="3">
        <v>82</v>
      </c>
      <c r="D937" s="3">
        <v>12</v>
      </c>
      <c r="E937" s="3">
        <f>((1/(INDEX(E0!J$4:J$87,C937,1)-INDEX(E0!J$4:J$87,D937,1))))*100000000</f>
        <v>0</v>
      </c>
      <c r="F937" s="4" t="str">
        <f>HYPERLINK("http://141.218.60.56/~jnz1568/getInfo.php?workbook=18_16.xlsx&amp;sheet=A0&amp;row=937&amp;col=6&amp;number=17609&amp;sourceID=48","17609")</f>
        <v>17609</v>
      </c>
      <c r="G937" s="4" t="str">
        <f>HYPERLINK("http://141.218.60.56/~jnz1568/getInfo.php?workbook=18_16.xlsx&amp;sheet=A0&amp;row=937&amp;col=7&amp;number=&amp;sourceID=49","")</f>
        <v/>
      </c>
      <c r="H937" s="4" t="str">
        <f>HYPERLINK("http://141.218.60.56/~jnz1568/getInfo.php?workbook=18_16.xlsx&amp;sheet=A0&amp;row=937&amp;col=8&amp;number=&amp;sourceID=49","")</f>
        <v/>
      </c>
    </row>
    <row r="938" spans="1:8">
      <c r="A938" s="3">
        <v>18</v>
      </c>
      <c r="B938" s="3">
        <v>16</v>
      </c>
      <c r="C938" s="3">
        <v>82</v>
      </c>
      <c r="D938" s="3">
        <v>16</v>
      </c>
      <c r="E938" s="3">
        <f>((1/(INDEX(E0!J$4:J$87,C938,1)-INDEX(E0!J$4:J$87,D938,1))))*100000000</f>
        <v>0</v>
      </c>
      <c r="F938" s="4" t="str">
        <f>HYPERLINK("http://141.218.60.56/~jnz1568/getInfo.php?workbook=18_16.xlsx&amp;sheet=A0&amp;row=938&amp;col=6&amp;number=1886200&amp;sourceID=48","1886200")</f>
        <v>1886200</v>
      </c>
      <c r="G938" s="4" t="str">
        <f>HYPERLINK("http://141.218.60.56/~jnz1568/getInfo.php?workbook=18_16.xlsx&amp;sheet=A0&amp;row=938&amp;col=7&amp;number=&amp;sourceID=49","")</f>
        <v/>
      </c>
      <c r="H938" s="4" t="str">
        <f>HYPERLINK("http://141.218.60.56/~jnz1568/getInfo.php?workbook=18_16.xlsx&amp;sheet=A0&amp;row=938&amp;col=8&amp;number=&amp;sourceID=49","")</f>
        <v/>
      </c>
    </row>
    <row r="939" spans="1:8">
      <c r="A939" s="3">
        <v>18</v>
      </c>
      <c r="B939" s="3">
        <v>16</v>
      </c>
      <c r="C939" s="3">
        <v>82</v>
      </c>
      <c r="D939" s="3">
        <v>17</v>
      </c>
      <c r="E939" s="3">
        <f>((1/(INDEX(E0!J$4:J$87,C939,1)-INDEX(E0!J$4:J$87,D939,1))))*100000000</f>
        <v>0</v>
      </c>
      <c r="F939" s="4" t="str">
        <f>HYPERLINK("http://141.218.60.56/~jnz1568/getInfo.php?workbook=18_16.xlsx&amp;sheet=A0&amp;row=939&amp;col=6&amp;number=2349400&amp;sourceID=48","2349400")</f>
        <v>2349400</v>
      </c>
      <c r="G939" s="4" t="str">
        <f>HYPERLINK("http://141.218.60.56/~jnz1568/getInfo.php?workbook=18_16.xlsx&amp;sheet=A0&amp;row=939&amp;col=7&amp;number=&amp;sourceID=49","")</f>
        <v/>
      </c>
      <c r="H939" s="4" t="str">
        <f>HYPERLINK("http://141.218.60.56/~jnz1568/getInfo.php?workbook=18_16.xlsx&amp;sheet=A0&amp;row=939&amp;col=8&amp;number=&amp;sourceID=49","")</f>
        <v/>
      </c>
    </row>
    <row r="940" spans="1:8">
      <c r="A940" s="3">
        <v>18</v>
      </c>
      <c r="B940" s="3">
        <v>16</v>
      </c>
      <c r="C940" s="3">
        <v>82</v>
      </c>
      <c r="D940" s="3">
        <v>18</v>
      </c>
      <c r="E940" s="3">
        <f>((1/(INDEX(E0!J$4:J$87,C940,1)-INDEX(E0!J$4:J$87,D940,1))))*100000000</f>
        <v>0</v>
      </c>
      <c r="F940" s="4" t="str">
        <f>HYPERLINK("http://141.218.60.56/~jnz1568/getInfo.php?workbook=18_16.xlsx&amp;sheet=A0&amp;row=940&amp;col=6&amp;number=1557300&amp;sourceID=48","1557300")</f>
        <v>1557300</v>
      </c>
      <c r="G940" s="4" t="str">
        <f>HYPERLINK("http://141.218.60.56/~jnz1568/getInfo.php?workbook=18_16.xlsx&amp;sheet=A0&amp;row=940&amp;col=7&amp;number=&amp;sourceID=49","")</f>
        <v/>
      </c>
      <c r="H940" s="4" t="str">
        <f>HYPERLINK("http://141.218.60.56/~jnz1568/getInfo.php?workbook=18_16.xlsx&amp;sheet=A0&amp;row=940&amp;col=8&amp;number=&amp;sourceID=49","")</f>
        <v/>
      </c>
    </row>
    <row r="941" spans="1:8">
      <c r="A941" s="3">
        <v>18</v>
      </c>
      <c r="B941" s="3">
        <v>16</v>
      </c>
      <c r="C941" s="3">
        <v>82</v>
      </c>
      <c r="D941" s="3">
        <v>19</v>
      </c>
      <c r="E941" s="3">
        <f>((1/(INDEX(E0!J$4:J$87,C941,1)-INDEX(E0!J$4:J$87,D941,1))))*100000000</f>
        <v>0</v>
      </c>
      <c r="F941" s="4" t="str">
        <f>HYPERLINK("http://141.218.60.56/~jnz1568/getInfo.php?workbook=18_16.xlsx&amp;sheet=A0&amp;row=941&amp;col=6&amp;number=12679&amp;sourceID=48","12679")</f>
        <v>12679</v>
      </c>
      <c r="G941" s="4" t="str">
        <f>HYPERLINK("http://141.218.60.56/~jnz1568/getInfo.php?workbook=18_16.xlsx&amp;sheet=A0&amp;row=941&amp;col=7&amp;number=&amp;sourceID=49","")</f>
        <v/>
      </c>
      <c r="H941" s="4" t="str">
        <f>HYPERLINK("http://141.218.60.56/~jnz1568/getInfo.php?workbook=18_16.xlsx&amp;sheet=A0&amp;row=941&amp;col=8&amp;number=&amp;sourceID=49","")</f>
        <v/>
      </c>
    </row>
    <row r="942" spans="1:8">
      <c r="A942" s="3">
        <v>18</v>
      </c>
      <c r="B942" s="3">
        <v>16</v>
      </c>
      <c r="C942" s="3">
        <v>82</v>
      </c>
      <c r="D942" s="3">
        <v>25</v>
      </c>
      <c r="E942" s="3">
        <f>((1/(INDEX(E0!J$4:J$87,C942,1)-INDEX(E0!J$4:J$87,D942,1))))*100000000</f>
        <v>0</v>
      </c>
      <c r="F942" s="4" t="str">
        <f>HYPERLINK("http://141.218.60.56/~jnz1568/getInfo.php?workbook=18_16.xlsx&amp;sheet=A0&amp;row=942&amp;col=6&amp;number=6186.9&amp;sourceID=48","6186.9")</f>
        <v>6186.9</v>
      </c>
      <c r="G942" s="4" t="str">
        <f>HYPERLINK("http://141.218.60.56/~jnz1568/getInfo.php?workbook=18_16.xlsx&amp;sheet=A0&amp;row=942&amp;col=7&amp;number=&amp;sourceID=49","")</f>
        <v/>
      </c>
      <c r="H942" s="4" t="str">
        <f>HYPERLINK("http://141.218.60.56/~jnz1568/getInfo.php?workbook=18_16.xlsx&amp;sheet=A0&amp;row=942&amp;col=8&amp;number=&amp;sourceID=49","")</f>
        <v/>
      </c>
    </row>
    <row r="943" spans="1:8">
      <c r="A943" s="3">
        <v>18</v>
      </c>
      <c r="B943" s="3">
        <v>16</v>
      </c>
      <c r="C943" s="3">
        <v>82</v>
      </c>
      <c r="D943" s="3">
        <v>27</v>
      </c>
      <c r="E943" s="3">
        <f>((1/(INDEX(E0!J$4:J$87,C943,1)-INDEX(E0!J$4:J$87,D943,1))))*100000000</f>
        <v>0</v>
      </c>
      <c r="F943" s="4" t="str">
        <f>HYPERLINK("http://141.218.60.56/~jnz1568/getInfo.php?workbook=18_16.xlsx&amp;sheet=A0&amp;row=943&amp;col=6&amp;number=7283500&amp;sourceID=48","7283500")</f>
        <v>7283500</v>
      </c>
      <c r="G943" s="4" t="str">
        <f>HYPERLINK("http://141.218.60.56/~jnz1568/getInfo.php?workbook=18_16.xlsx&amp;sheet=A0&amp;row=943&amp;col=7&amp;number=&amp;sourceID=49","")</f>
        <v/>
      </c>
      <c r="H943" s="4" t="str">
        <f>HYPERLINK("http://141.218.60.56/~jnz1568/getInfo.php?workbook=18_16.xlsx&amp;sheet=A0&amp;row=943&amp;col=8&amp;number=&amp;sourceID=49","")</f>
        <v/>
      </c>
    </row>
    <row r="944" spans="1:8">
      <c r="A944" s="3">
        <v>18</v>
      </c>
      <c r="B944" s="3">
        <v>16</v>
      </c>
      <c r="C944" s="3">
        <v>82</v>
      </c>
      <c r="D944" s="3">
        <v>28</v>
      </c>
      <c r="E944" s="3">
        <f>((1/(INDEX(E0!J$4:J$87,C944,1)-INDEX(E0!J$4:J$87,D944,1))))*100000000</f>
        <v>0</v>
      </c>
      <c r="F944" s="4" t="str">
        <f>HYPERLINK("http://141.218.60.56/~jnz1568/getInfo.php?workbook=18_16.xlsx&amp;sheet=A0&amp;row=944&amp;col=6&amp;number=7924100&amp;sourceID=48","7924100")</f>
        <v>7924100</v>
      </c>
      <c r="G944" s="4" t="str">
        <f>HYPERLINK("http://141.218.60.56/~jnz1568/getInfo.php?workbook=18_16.xlsx&amp;sheet=A0&amp;row=944&amp;col=7&amp;number=&amp;sourceID=49","")</f>
        <v/>
      </c>
      <c r="H944" s="4" t="str">
        <f>HYPERLINK("http://141.218.60.56/~jnz1568/getInfo.php?workbook=18_16.xlsx&amp;sheet=A0&amp;row=944&amp;col=8&amp;number=&amp;sourceID=49","")</f>
        <v/>
      </c>
    </row>
    <row r="945" spans="1:8">
      <c r="A945" s="3">
        <v>18</v>
      </c>
      <c r="B945" s="3">
        <v>16</v>
      </c>
      <c r="C945" s="3">
        <v>82</v>
      </c>
      <c r="D945" s="3">
        <v>31</v>
      </c>
      <c r="E945" s="3">
        <f>((1/(INDEX(E0!J$4:J$87,C945,1)-INDEX(E0!J$4:J$87,D945,1))))*100000000</f>
        <v>0</v>
      </c>
      <c r="F945" s="4" t="str">
        <f>HYPERLINK("http://141.218.60.56/~jnz1568/getInfo.php?workbook=18_16.xlsx&amp;sheet=A0&amp;row=945&amp;col=6&amp;number=5463&amp;sourceID=48","5463")</f>
        <v>5463</v>
      </c>
      <c r="G945" s="4" t="str">
        <f>HYPERLINK("http://141.218.60.56/~jnz1568/getInfo.php?workbook=18_16.xlsx&amp;sheet=A0&amp;row=945&amp;col=7&amp;number=&amp;sourceID=49","")</f>
        <v/>
      </c>
      <c r="H945" s="4" t="str">
        <f>HYPERLINK("http://141.218.60.56/~jnz1568/getInfo.php?workbook=18_16.xlsx&amp;sheet=A0&amp;row=945&amp;col=8&amp;number=&amp;sourceID=49","")</f>
        <v/>
      </c>
    </row>
    <row r="946" spans="1:8">
      <c r="A946" s="3">
        <v>18</v>
      </c>
      <c r="B946" s="3">
        <v>16</v>
      </c>
      <c r="C946" s="3">
        <v>82</v>
      </c>
      <c r="D946" s="3">
        <v>32</v>
      </c>
      <c r="E946" s="3">
        <f>((1/(INDEX(E0!J$4:J$87,C946,1)-INDEX(E0!J$4:J$87,D946,1))))*100000000</f>
        <v>0</v>
      </c>
      <c r="F946" s="4" t="str">
        <f>HYPERLINK("http://141.218.60.56/~jnz1568/getInfo.php?workbook=18_16.xlsx&amp;sheet=A0&amp;row=946&amp;col=6&amp;number=42302000&amp;sourceID=48","42302000")</f>
        <v>42302000</v>
      </c>
      <c r="G946" s="4" t="str">
        <f>HYPERLINK("http://141.218.60.56/~jnz1568/getInfo.php?workbook=18_16.xlsx&amp;sheet=A0&amp;row=946&amp;col=7&amp;number=&amp;sourceID=49","")</f>
        <v/>
      </c>
      <c r="H946" s="4" t="str">
        <f>HYPERLINK("http://141.218.60.56/~jnz1568/getInfo.php?workbook=18_16.xlsx&amp;sheet=A0&amp;row=946&amp;col=8&amp;number=&amp;sourceID=49","")</f>
        <v/>
      </c>
    </row>
    <row r="947" spans="1:8">
      <c r="A947" s="3">
        <v>18</v>
      </c>
      <c r="B947" s="3">
        <v>16</v>
      </c>
      <c r="C947" s="3">
        <v>82</v>
      </c>
      <c r="D947" s="3">
        <v>33</v>
      </c>
      <c r="E947" s="3">
        <f>((1/(INDEX(E0!J$4:J$87,C947,1)-INDEX(E0!J$4:J$87,D947,1))))*100000000</f>
        <v>0</v>
      </c>
      <c r="F947" s="4" t="str">
        <f>HYPERLINK("http://141.218.60.56/~jnz1568/getInfo.php?workbook=18_16.xlsx&amp;sheet=A0&amp;row=947&amp;col=6&amp;number=111960000&amp;sourceID=48","111960000")</f>
        <v>111960000</v>
      </c>
      <c r="G947" s="4" t="str">
        <f>HYPERLINK("http://141.218.60.56/~jnz1568/getInfo.php?workbook=18_16.xlsx&amp;sheet=A0&amp;row=947&amp;col=7&amp;number=&amp;sourceID=49","")</f>
        <v/>
      </c>
      <c r="H947" s="4" t="str">
        <f>HYPERLINK("http://141.218.60.56/~jnz1568/getInfo.php?workbook=18_16.xlsx&amp;sheet=A0&amp;row=947&amp;col=8&amp;number=&amp;sourceID=49","")</f>
        <v/>
      </c>
    </row>
    <row r="948" spans="1:8">
      <c r="A948" s="3">
        <v>18</v>
      </c>
      <c r="B948" s="3">
        <v>16</v>
      </c>
      <c r="C948" s="3">
        <v>82</v>
      </c>
      <c r="D948" s="3">
        <v>34</v>
      </c>
      <c r="E948" s="3">
        <f>((1/(INDEX(E0!J$4:J$87,C948,1)-INDEX(E0!J$4:J$87,D948,1))))*100000000</f>
        <v>0</v>
      </c>
      <c r="F948" s="4" t="str">
        <f>HYPERLINK("http://141.218.60.56/~jnz1568/getInfo.php?workbook=18_16.xlsx&amp;sheet=A0&amp;row=948&amp;col=6&amp;number=23610000&amp;sourceID=48","23610000")</f>
        <v>23610000</v>
      </c>
      <c r="G948" s="4" t="str">
        <f>HYPERLINK("http://141.218.60.56/~jnz1568/getInfo.php?workbook=18_16.xlsx&amp;sheet=A0&amp;row=948&amp;col=7&amp;number=&amp;sourceID=49","")</f>
        <v/>
      </c>
      <c r="H948" s="4" t="str">
        <f>HYPERLINK("http://141.218.60.56/~jnz1568/getInfo.php?workbook=18_16.xlsx&amp;sheet=A0&amp;row=948&amp;col=8&amp;number=&amp;sourceID=49","")</f>
        <v/>
      </c>
    </row>
    <row r="949" spans="1:8">
      <c r="A949" s="3">
        <v>18</v>
      </c>
      <c r="B949" s="3">
        <v>16</v>
      </c>
      <c r="C949" s="3">
        <v>82</v>
      </c>
      <c r="D949" s="3">
        <v>35</v>
      </c>
      <c r="E949" s="3">
        <f>((1/(INDEX(E0!J$4:J$87,C949,1)-INDEX(E0!J$4:J$87,D949,1))))*100000000</f>
        <v>0</v>
      </c>
      <c r="F949" s="4" t="str">
        <f>HYPERLINK("http://141.218.60.56/~jnz1568/getInfo.php?workbook=18_16.xlsx&amp;sheet=A0&amp;row=949&amp;col=6&amp;number=16368000&amp;sourceID=48","16368000")</f>
        <v>16368000</v>
      </c>
      <c r="G949" s="4" t="str">
        <f>HYPERLINK("http://141.218.60.56/~jnz1568/getInfo.php?workbook=18_16.xlsx&amp;sheet=A0&amp;row=949&amp;col=7&amp;number=&amp;sourceID=49","")</f>
        <v/>
      </c>
      <c r="H949" s="4" t="str">
        <f>HYPERLINK("http://141.218.60.56/~jnz1568/getInfo.php?workbook=18_16.xlsx&amp;sheet=A0&amp;row=949&amp;col=8&amp;number=&amp;sourceID=49","")</f>
        <v/>
      </c>
    </row>
    <row r="950" spans="1:8">
      <c r="A950" s="3">
        <v>18</v>
      </c>
      <c r="B950" s="3">
        <v>16</v>
      </c>
      <c r="C950" s="3">
        <v>82</v>
      </c>
      <c r="D950" s="3">
        <v>37</v>
      </c>
      <c r="E950" s="3">
        <f>((1/(INDEX(E0!J$4:J$87,C950,1)-INDEX(E0!J$4:J$87,D950,1))))*100000000</f>
        <v>0</v>
      </c>
      <c r="F950" s="4" t="str">
        <f>HYPERLINK("http://141.218.60.56/~jnz1568/getInfo.php?workbook=18_16.xlsx&amp;sheet=A0&amp;row=950&amp;col=6&amp;number=43547000&amp;sourceID=48","43547000")</f>
        <v>43547000</v>
      </c>
      <c r="G950" s="4" t="str">
        <f>HYPERLINK("http://141.218.60.56/~jnz1568/getInfo.php?workbook=18_16.xlsx&amp;sheet=A0&amp;row=950&amp;col=7&amp;number=&amp;sourceID=49","")</f>
        <v/>
      </c>
      <c r="H950" s="4" t="str">
        <f>HYPERLINK("http://141.218.60.56/~jnz1568/getInfo.php?workbook=18_16.xlsx&amp;sheet=A0&amp;row=950&amp;col=8&amp;number=&amp;sourceID=49","")</f>
        <v/>
      </c>
    </row>
    <row r="951" spans="1:8">
      <c r="A951" s="3">
        <v>18</v>
      </c>
      <c r="B951" s="3">
        <v>16</v>
      </c>
      <c r="C951" s="3">
        <v>82</v>
      </c>
      <c r="D951" s="3">
        <v>38</v>
      </c>
      <c r="E951" s="3">
        <f>((1/(INDEX(E0!J$4:J$87,C951,1)-INDEX(E0!J$4:J$87,D951,1))))*100000000</f>
        <v>0</v>
      </c>
      <c r="F951" s="4" t="str">
        <f>HYPERLINK("http://141.218.60.56/~jnz1568/getInfo.php?workbook=18_16.xlsx&amp;sheet=A0&amp;row=951&amp;col=6&amp;number=2662000&amp;sourceID=48","2662000")</f>
        <v>2662000</v>
      </c>
      <c r="G951" s="4" t="str">
        <f>HYPERLINK("http://141.218.60.56/~jnz1568/getInfo.php?workbook=18_16.xlsx&amp;sheet=A0&amp;row=951&amp;col=7&amp;number=&amp;sourceID=49","")</f>
        <v/>
      </c>
      <c r="H951" s="4" t="str">
        <f>HYPERLINK("http://141.218.60.56/~jnz1568/getInfo.php?workbook=18_16.xlsx&amp;sheet=A0&amp;row=951&amp;col=8&amp;number=&amp;sourceID=49","")</f>
        <v/>
      </c>
    </row>
    <row r="952" spans="1:8">
      <c r="A952" s="3">
        <v>18</v>
      </c>
      <c r="B952" s="3">
        <v>16</v>
      </c>
      <c r="C952" s="3">
        <v>82</v>
      </c>
      <c r="D952" s="3">
        <v>39</v>
      </c>
      <c r="E952" s="3">
        <f>((1/(INDEX(E0!J$4:J$87,C952,1)-INDEX(E0!J$4:J$87,D952,1))))*100000000</f>
        <v>0</v>
      </c>
      <c r="F952" s="4" t="str">
        <f>HYPERLINK("http://141.218.60.56/~jnz1568/getInfo.php?workbook=18_16.xlsx&amp;sheet=A0&amp;row=952&amp;col=6&amp;number=9995600&amp;sourceID=48","9995600")</f>
        <v>9995600</v>
      </c>
      <c r="G952" s="4" t="str">
        <f>HYPERLINK("http://141.218.60.56/~jnz1568/getInfo.php?workbook=18_16.xlsx&amp;sheet=A0&amp;row=952&amp;col=7&amp;number=&amp;sourceID=49","")</f>
        <v/>
      </c>
      <c r="H952" s="4" t="str">
        <f>HYPERLINK("http://141.218.60.56/~jnz1568/getInfo.php?workbook=18_16.xlsx&amp;sheet=A0&amp;row=952&amp;col=8&amp;number=&amp;sourceID=49","")</f>
        <v/>
      </c>
    </row>
    <row r="953" spans="1:8">
      <c r="A953" s="3">
        <v>18</v>
      </c>
      <c r="B953" s="3">
        <v>16</v>
      </c>
      <c r="C953" s="3">
        <v>82</v>
      </c>
      <c r="D953" s="3">
        <v>41</v>
      </c>
      <c r="E953" s="3">
        <f>((1/(INDEX(E0!J$4:J$87,C953,1)-INDEX(E0!J$4:J$87,D953,1))))*100000000</f>
        <v>0</v>
      </c>
      <c r="F953" s="4" t="str">
        <f>HYPERLINK("http://141.218.60.56/~jnz1568/getInfo.php?workbook=18_16.xlsx&amp;sheet=A0&amp;row=953&amp;col=6&amp;number=650960&amp;sourceID=48","650960")</f>
        <v>650960</v>
      </c>
      <c r="G953" s="4" t="str">
        <f>HYPERLINK("http://141.218.60.56/~jnz1568/getInfo.php?workbook=18_16.xlsx&amp;sheet=A0&amp;row=953&amp;col=7&amp;number=&amp;sourceID=49","")</f>
        <v/>
      </c>
      <c r="H953" s="4" t="str">
        <f>HYPERLINK("http://141.218.60.56/~jnz1568/getInfo.php?workbook=18_16.xlsx&amp;sheet=A0&amp;row=953&amp;col=8&amp;number=&amp;sourceID=49","")</f>
        <v/>
      </c>
    </row>
    <row r="954" spans="1:8">
      <c r="A954" s="3">
        <v>18</v>
      </c>
      <c r="B954" s="3">
        <v>16</v>
      </c>
      <c r="C954" s="3">
        <v>82</v>
      </c>
      <c r="D954" s="3">
        <v>45</v>
      </c>
      <c r="E954" s="3">
        <f>((1/(INDEX(E0!J$4:J$87,C954,1)-INDEX(E0!J$4:J$87,D954,1))))*100000000</f>
        <v>0</v>
      </c>
      <c r="F954" s="4" t="str">
        <f>HYPERLINK("http://141.218.60.56/~jnz1568/getInfo.php?workbook=18_16.xlsx&amp;sheet=A0&amp;row=954&amp;col=6&amp;number=3137000&amp;sourceID=48","3137000")</f>
        <v>3137000</v>
      </c>
      <c r="G954" s="4" t="str">
        <f>HYPERLINK("http://141.218.60.56/~jnz1568/getInfo.php?workbook=18_16.xlsx&amp;sheet=A0&amp;row=954&amp;col=7&amp;number=&amp;sourceID=49","")</f>
        <v/>
      </c>
      <c r="H954" s="4" t="str">
        <f>HYPERLINK("http://141.218.60.56/~jnz1568/getInfo.php?workbook=18_16.xlsx&amp;sheet=A0&amp;row=954&amp;col=8&amp;number=&amp;sourceID=49","")</f>
        <v/>
      </c>
    </row>
    <row r="955" spans="1:8">
      <c r="A955" s="3">
        <v>18</v>
      </c>
      <c r="B955" s="3">
        <v>16</v>
      </c>
      <c r="C955" s="3">
        <v>82</v>
      </c>
      <c r="D955" s="3">
        <v>47</v>
      </c>
      <c r="E955" s="3">
        <f>((1/(INDEX(E0!J$4:J$87,C955,1)-INDEX(E0!J$4:J$87,D955,1))))*100000000</f>
        <v>0</v>
      </c>
      <c r="F955" s="4" t="str">
        <f>HYPERLINK("http://141.218.60.56/~jnz1568/getInfo.php?workbook=18_16.xlsx&amp;sheet=A0&amp;row=955&amp;col=6&amp;number=88039000&amp;sourceID=48","88039000")</f>
        <v>88039000</v>
      </c>
      <c r="G955" s="4" t="str">
        <f>HYPERLINK("http://141.218.60.56/~jnz1568/getInfo.php?workbook=18_16.xlsx&amp;sheet=A0&amp;row=955&amp;col=7&amp;number=&amp;sourceID=49","")</f>
        <v/>
      </c>
      <c r="H955" s="4" t="str">
        <f>HYPERLINK("http://141.218.60.56/~jnz1568/getInfo.php?workbook=18_16.xlsx&amp;sheet=A0&amp;row=955&amp;col=8&amp;number=&amp;sourceID=49","")</f>
        <v/>
      </c>
    </row>
    <row r="956" spans="1:8">
      <c r="A956" s="3">
        <v>18</v>
      </c>
      <c r="B956" s="3">
        <v>16</v>
      </c>
      <c r="C956" s="3">
        <v>82</v>
      </c>
      <c r="D956" s="3">
        <v>48</v>
      </c>
      <c r="E956" s="3">
        <f>((1/(INDEX(E0!J$4:J$87,C956,1)-INDEX(E0!J$4:J$87,D956,1))))*100000000</f>
        <v>0</v>
      </c>
      <c r="F956" s="4" t="str">
        <f>HYPERLINK("http://141.218.60.56/~jnz1568/getInfo.php?workbook=18_16.xlsx&amp;sheet=A0&amp;row=956&amp;col=6&amp;number=70972000&amp;sourceID=48","70972000")</f>
        <v>70972000</v>
      </c>
      <c r="G956" s="4" t="str">
        <f>HYPERLINK("http://141.218.60.56/~jnz1568/getInfo.php?workbook=18_16.xlsx&amp;sheet=A0&amp;row=956&amp;col=7&amp;number=&amp;sourceID=49","")</f>
        <v/>
      </c>
      <c r="H956" s="4" t="str">
        <f>HYPERLINK("http://141.218.60.56/~jnz1568/getInfo.php?workbook=18_16.xlsx&amp;sheet=A0&amp;row=956&amp;col=8&amp;number=&amp;sourceID=49","")</f>
        <v/>
      </c>
    </row>
    <row r="957" spans="1:8">
      <c r="A957" s="3">
        <v>18</v>
      </c>
      <c r="B957" s="3">
        <v>16</v>
      </c>
      <c r="C957" s="3">
        <v>82</v>
      </c>
      <c r="D957" s="3">
        <v>49</v>
      </c>
      <c r="E957" s="3">
        <f>((1/(INDEX(E0!J$4:J$87,C957,1)-INDEX(E0!J$4:J$87,D957,1))))*100000000</f>
        <v>0</v>
      </c>
      <c r="F957" s="4" t="str">
        <f>HYPERLINK("http://141.218.60.56/~jnz1568/getInfo.php?workbook=18_16.xlsx&amp;sheet=A0&amp;row=957&amp;col=6&amp;number=75269000&amp;sourceID=48","75269000")</f>
        <v>75269000</v>
      </c>
      <c r="G957" s="4" t="str">
        <f>HYPERLINK("http://141.218.60.56/~jnz1568/getInfo.php?workbook=18_16.xlsx&amp;sheet=A0&amp;row=957&amp;col=7&amp;number=&amp;sourceID=49","")</f>
        <v/>
      </c>
      <c r="H957" s="4" t="str">
        <f>HYPERLINK("http://141.218.60.56/~jnz1568/getInfo.php?workbook=18_16.xlsx&amp;sheet=A0&amp;row=957&amp;col=8&amp;number=&amp;sourceID=49","")</f>
        <v/>
      </c>
    </row>
    <row r="958" spans="1:8">
      <c r="A958" s="3">
        <v>18</v>
      </c>
      <c r="B958" s="3">
        <v>16</v>
      </c>
      <c r="C958" s="3">
        <v>82</v>
      </c>
      <c r="D958" s="3">
        <v>54</v>
      </c>
      <c r="E958" s="3">
        <f>((1/(INDEX(E0!J$4:J$87,C958,1)-INDEX(E0!J$4:J$87,D958,1))))*100000000</f>
        <v>0</v>
      </c>
      <c r="F958" s="4" t="str">
        <f>HYPERLINK("http://141.218.60.56/~jnz1568/getInfo.php?workbook=18_16.xlsx&amp;sheet=A0&amp;row=958&amp;col=6&amp;number=25154000&amp;sourceID=48","25154000")</f>
        <v>25154000</v>
      </c>
      <c r="G958" s="4" t="str">
        <f>HYPERLINK("http://141.218.60.56/~jnz1568/getInfo.php?workbook=18_16.xlsx&amp;sheet=A0&amp;row=958&amp;col=7&amp;number=&amp;sourceID=49","")</f>
        <v/>
      </c>
      <c r="H958" s="4" t="str">
        <f>HYPERLINK("http://141.218.60.56/~jnz1568/getInfo.php?workbook=18_16.xlsx&amp;sheet=A0&amp;row=958&amp;col=8&amp;number=&amp;sourceID=49","")</f>
        <v/>
      </c>
    </row>
    <row r="959" spans="1:8">
      <c r="A959" s="3">
        <v>18</v>
      </c>
      <c r="B959" s="3">
        <v>16</v>
      </c>
      <c r="C959" s="3">
        <v>82</v>
      </c>
      <c r="D959" s="3">
        <v>55</v>
      </c>
      <c r="E959" s="3">
        <f>((1/(INDEX(E0!J$4:J$87,C959,1)-INDEX(E0!J$4:J$87,D959,1))))*100000000</f>
        <v>0</v>
      </c>
      <c r="F959" s="4" t="str">
        <f>HYPERLINK("http://141.218.60.56/~jnz1568/getInfo.php?workbook=18_16.xlsx&amp;sheet=A0&amp;row=959&amp;col=6&amp;number=4908600&amp;sourceID=48","4908600")</f>
        <v>4908600</v>
      </c>
      <c r="G959" s="4" t="str">
        <f>HYPERLINK("http://141.218.60.56/~jnz1568/getInfo.php?workbook=18_16.xlsx&amp;sheet=A0&amp;row=959&amp;col=7&amp;number=&amp;sourceID=49","")</f>
        <v/>
      </c>
      <c r="H959" s="4" t="str">
        <f>HYPERLINK("http://141.218.60.56/~jnz1568/getInfo.php?workbook=18_16.xlsx&amp;sheet=A0&amp;row=959&amp;col=8&amp;number=&amp;sourceID=49","")</f>
        <v/>
      </c>
    </row>
    <row r="960" spans="1:8">
      <c r="A960" s="3">
        <v>18</v>
      </c>
      <c r="B960" s="3">
        <v>16</v>
      </c>
      <c r="C960" s="3">
        <v>82</v>
      </c>
      <c r="D960" s="3">
        <v>56</v>
      </c>
      <c r="E960" s="3">
        <f>((1/(INDEX(E0!J$4:J$87,C960,1)-INDEX(E0!J$4:J$87,D960,1))))*100000000</f>
        <v>0</v>
      </c>
      <c r="F960" s="4" t="str">
        <f>HYPERLINK("http://141.218.60.56/~jnz1568/getInfo.php?workbook=18_16.xlsx&amp;sheet=A0&amp;row=960&amp;col=6&amp;number=7639400&amp;sourceID=48","7639400")</f>
        <v>7639400</v>
      </c>
      <c r="G960" s="4" t="str">
        <f>HYPERLINK("http://141.218.60.56/~jnz1568/getInfo.php?workbook=18_16.xlsx&amp;sheet=A0&amp;row=960&amp;col=7&amp;number=&amp;sourceID=49","")</f>
        <v/>
      </c>
      <c r="H960" s="4" t="str">
        <f>HYPERLINK("http://141.218.60.56/~jnz1568/getInfo.php?workbook=18_16.xlsx&amp;sheet=A0&amp;row=960&amp;col=8&amp;number=&amp;sourceID=49","")</f>
        <v/>
      </c>
    </row>
    <row r="961" spans="1:8">
      <c r="A961" s="3">
        <v>18</v>
      </c>
      <c r="B961" s="3">
        <v>16</v>
      </c>
      <c r="C961" s="3">
        <v>82</v>
      </c>
      <c r="D961" s="3">
        <v>57</v>
      </c>
      <c r="E961" s="3">
        <f>((1/(INDEX(E0!J$4:J$87,C961,1)-INDEX(E0!J$4:J$87,D961,1))))*100000000</f>
        <v>0</v>
      </c>
      <c r="F961" s="4" t="str">
        <f>HYPERLINK("http://141.218.60.56/~jnz1568/getInfo.php?workbook=18_16.xlsx&amp;sheet=A0&amp;row=961&amp;col=6&amp;number=7379900&amp;sourceID=48","7379900")</f>
        <v>7379900</v>
      </c>
      <c r="G961" s="4" t="str">
        <f>HYPERLINK("http://141.218.60.56/~jnz1568/getInfo.php?workbook=18_16.xlsx&amp;sheet=A0&amp;row=961&amp;col=7&amp;number=&amp;sourceID=49","")</f>
        <v/>
      </c>
      <c r="H961" s="4" t="str">
        <f>HYPERLINK("http://141.218.60.56/~jnz1568/getInfo.php?workbook=18_16.xlsx&amp;sheet=A0&amp;row=961&amp;col=8&amp;number=&amp;sourceID=49","")</f>
        <v/>
      </c>
    </row>
    <row r="962" spans="1:8">
      <c r="A962" s="3">
        <v>18</v>
      </c>
      <c r="B962" s="3">
        <v>16</v>
      </c>
      <c r="C962" s="3">
        <v>82</v>
      </c>
      <c r="D962" s="3">
        <v>58</v>
      </c>
      <c r="E962" s="3">
        <f>((1/(INDEX(E0!J$4:J$87,C962,1)-INDEX(E0!J$4:J$87,D962,1))))*100000000</f>
        <v>0</v>
      </c>
      <c r="F962" s="4" t="str">
        <f>HYPERLINK("http://141.218.60.56/~jnz1568/getInfo.php?workbook=18_16.xlsx&amp;sheet=A0&amp;row=962&amp;col=6&amp;number=11202000&amp;sourceID=48","11202000")</f>
        <v>11202000</v>
      </c>
      <c r="G962" s="4" t="str">
        <f>HYPERLINK("http://141.218.60.56/~jnz1568/getInfo.php?workbook=18_16.xlsx&amp;sheet=A0&amp;row=962&amp;col=7&amp;number=&amp;sourceID=49","")</f>
        <v/>
      </c>
      <c r="H962" s="4" t="str">
        <f>HYPERLINK("http://141.218.60.56/~jnz1568/getInfo.php?workbook=18_16.xlsx&amp;sheet=A0&amp;row=962&amp;col=8&amp;number=&amp;sourceID=49","")</f>
        <v/>
      </c>
    </row>
    <row r="963" spans="1:8">
      <c r="A963" s="3">
        <v>18</v>
      </c>
      <c r="B963" s="3">
        <v>16</v>
      </c>
      <c r="C963" s="3">
        <v>82</v>
      </c>
      <c r="D963" s="3">
        <v>59</v>
      </c>
      <c r="E963" s="3">
        <f>((1/(INDEX(E0!J$4:J$87,C963,1)-INDEX(E0!J$4:J$87,D963,1))))*100000000</f>
        <v>0</v>
      </c>
      <c r="F963" s="4" t="str">
        <f>HYPERLINK("http://141.218.60.56/~jnz1568/getInfo.php?workbook=18_16.xlsx&amp;sheet=A0&amp;row=963&amp;col=6&amp;number=5791300&amp;sourceID=48","5791300")</f>
        <v>5791300</v>
      </c>
      <c r="G963" s="4" t="str">
        <f>HYPERLINK("http://141.218.60.56/~jnz1568/getInfo.php?workbook=18_16.xlsx&amp;sheet=A0&amp;row=963&amp;col=7&amp;number=&amp;sourceID=49","")</f>
        <v/>
      </c>
      <c r="H963" s="4" t="str">
        <f>HYPERLINK("http://141.218.60.56/~jnz1568/getInfo.php?workbook=18_16.xlsx&amp;sheet=A0&amp;row=963&amp;col=8&amp;number=&amp;sourceID=49","")</f>
        <v/>
      </c>
    </row>
    <row r="964" spans="1:8">
      <c r="A964" s="3">
        <v>18</v>
      </c>
      <c r="B964" s="3">
        <v>16</v>
      </c>
      <c r="C964" s="3">
        <v>82</v>
      </c>
      <c r="D964" s="3">
        <v>60</v>
      </c>
      <c r="E964" s="3">
        <f>((1/(INDEX(E0!J$4:J$87,C964,1)-INDEX(E0!J$4:J$87,D964,1))))*100000000</f>
        <v>0</v>
      </c>
      <c r="F964" s="4" t="str">
        <f>HYPERLINK("http://141.218.60.56/~jnz1568/getInfo.php?workbook=18_16.xlsx&amp;sheet=A0&amp;row=964&amp;col=6&amp;number=924940&amp;sourceID=48","924940")</f>
        <v>924940</v>
      </c>
      <c r="G964" s="4" t="str">
        <f>HYPERLINK("http://141.218.60.56/~jnz1568/getInfo.php?workbook=18_16.xlsx&amp;sheet=A0&amp;row=964&amp;col=7&amp;number=&amp;sourceID=49","")</f>
        <v/>
      </c>
      <c r="H964" s="4" t="str">
        <f>HYPERLINK("http://141.218.60.56/~jnz1568/getInfo.php?workbook=18_16.xlsx&amp;sheet=A0&amp;row=964&amp;col=8&amp;number=&amp;sourceID=49","")</f>
        <v/>
      </c>
    </row>
    <row r="965" spans="1:8">
      <c r="A965" s="3">
        <v>18</v>
      </c>
      <c r="B965" s="3">
        <v>16</v>
      </c>
      <c r="C965" s="3">
        <v>82</v>
      </c>
      <c r="D965" s="3">
        <v>61</v>
      </c>
      <c r="E965" s="3">
        <f>((1/(INDEX(E0!J$4:J$87,C965,1)-INDEX(E0!J$4:J$87,D965,1))))*100000000</f>
        <v>0</v>
      </c>
      <c r="F965" s="4" t="str">
        <f>HYPERLINK("http://141.218.60.56/~jnz1568/getInfo.php?workbook=18_16.xlsx&amp;sheet=A0&amp;row=965&amp;col=6&amp;number=1074400&amp;sourceID=48","1074400")</f>
        <v>1074400</v>
      </c>
      <c r="G965" s="4" t="str">
        <f>HYPERLINK("http://141.218.60.56/~jnz1568/getInfo.php?workbook=18_16.xlsx&amp;sheet=A0&amp;row=965&amp;col=7&amp;number=&amp;sourceID=49","")</f>
        <v/>
      </c>
      <c r="H965" s="4" t="str">
        <f>HYPERLINK("http://141.218.60.56/~jnz1568/getInfo.php?workbook=18_16.xlsx&amp;sheet=A0&amp;row=965&amp;col=8&amp;number=&amp;sourceID=49","")</f>
        <v/>
      </c>
    </row>
    <row r="966" spans="1:8">
      <c r="A966" s="3">
        <v>18</v>
      </c>
      <c r="B966" s="3">
        <v>16</v>
      </c>
      <c r="C966" s="3">
        <v>82</v>
      </c>
      <c r="D966" s="3">
        <v>75</v>
      </c>
      <c r="E966" s="3">
        <f>((1/(INDEX(E0!J$4:J$87,C966,1)-INDEX(E0!J$4:J$87,D966,1))))*100000000</f>
        <v>0</v>
      </c>
      <c r="F966" s="4" t="str">
        <f>HYPERLINK("http://141.218.60.56/~jnz1568/getInfo.php?workbook=18_16.xlsx&amp;sheet=A0&amp;row=966&amp;col=6&amp;number=962.55&amp;sourceID=48","962.55")</f>
        <v>962.55</v>
      </c>
      <c r="G966" s="4" t="str">
        <f>HYPERLINK("http://141.218.60.56/~jnz1568/getInfo.php?workbook=18_16.xlsx&amp;sheet=A0&amp;row=966&amp;col=7&amp;number=&amp;sourceID=49","")</f>
        <v/>
      </c>
      <c r="H966" s="4" t="str">
        <f>HYPERLINK("http://141.218.60.56/~jnz1568/getInfo.php?workbook=18_16.xlsx&amp;sheet=A0&amp;row=966&amp;col=8&amp;number=&amp;sourceID=49","")</f>
        <v/>
      </c>
    </row>
    <row r="967" spans="1:8">
      <c r="A967" s="3">
        <v>18</v>
      </c>
      <c r="B967" s="3">
        <v>16</v>
      </c>
      <c r="C967" s="3">
        <v>83</v>
      </c>
      <c r="D967" s="3">
        <v>6</v>
      </c>
      <c r="E967" s="3">
        <f>((1/(INDEX(E0!J$4:J$87,C967,1)-INDEX(E0!J$4:J$87,D967,1))))*100000000</f>
        <v>0</v>
      </c>
      <c r="F967" s="4" t="str">
        <f>HYPERLINK("http://141.218.60.56/~jnz1568/getInfo.php?workbook=18_16.xlsx&amp;sheet=A0&amp;row=967&amp;col=6&amp;number=5387900&amp;sourceID=48","5387900")</f>
        <v>5387900</v>
      </c>
      <c r="G967" s="4" t="str">
        <f>HYPERLINK("http://141.218.60.56/~jnz1568/getInfo.php?workbook=18_16.xlsx&amp;sheet=A0&amp;row=967&amp;col=7&amp;number=&amp;sourceID=49","")</f>
        <v/>
      </c>
      <c r="H967" s="4" t="str">
        <f>HYPERLINK("http://141.218.60.56/~jnz1568/getInfo.php?workbook=18_16.xlsx&amp;sheet=A0&amp;row=967&amp;col=8&amp;number=&amp;sourceID=49","")</f>
        <v/>
      </c>
    </row>
    <row r="968" spans="1:8">
      <c r="A968" s="3">
        <v>18</v>
      </c>
      <c r="B968" s="3">
        <v>16</v>
      </c>
      <c r="C968" s="3">
        <v>83</v>
      </c>
      <c r="D968" s="3">
        <v>7</v>
      </c>
      <c r="E968" s="3">
        <f>((1/(INDEX(E0!J$4:J$87,C968,1)-INDEX(E0!J$4:J$87,D968,1))))*100000000</f>
        <v>0</v>
      </c>
      <c r="F968" s="4" t="str">
        <f>HYPERLINK("http://141.218.60.56/~jnz1568/getInfo.php?workbook=18_16.xlsx&amp;sheet=A0&amp;row=968&amp;col=6&amp;number=3386000&amp;sourceID=48","3386000")</f>
        <v>3386000</v>
      </c>
      <c r="G968" s="4" t="str">
        <f>HYPERLINK("http://141.218.60.56/~jnz1568/getInfo.php?workbook=18_16.xlsx&amp;sheet=A0&amp;row=968&amp;col=7&amp;number=&amp;sourceID=49","")</f>
        <v/>
      </c>
      <c r="H968" s="4" t="str">
        <f>HYPERLINK("http://141.218.60.56/~jnz1568/getInfo.php?workbook=18_16.xlsx&amp;sheet=A0&amp;row=968&amp;col=8&amp;number=&amp;sourceID=49","")</f>
        <v/>
      </c>
    </row>
    <row r="969" spans="1:8">
      <c r="A969" s="3">
        <v>18</v>
      </c>
      <c r="B969" s="3">
        <v>16</v>
      </c>
      <c r="C969" s="3">
        <v>83</v>
      </c>
      <c r="D969" s="3">
        <v>9</v>
      </c>
      <c r="E969" s="3">
        <f>((1/(INDEX(E0!J$4:J$87,C969,1)-INDEX(E0!J$4:J$87,D969,1))))*100000000</f>
        <v>0</v>
      </c>
      <c r="F969" s="4" t="str">
        <f>HYPERLINK("http://141.218.60.56/~jnz1568/getInfo.php?workbook=18_16.xlsx&amp;sheet=A0&amp;row=969&amp;col=6&amp;number=828790&amp;sourceID=48","828790")</f>
        <v>828790</v>
      </c>
      <c r="G969" s="4" t="str">
        <f>HYPERLINK("http://141.218.60.56/~jnz1568/getInfo.php?workbook=18_16.xlsx&amp;sheet=A0&amp;row=969&amp;col=7&amp;number=&amp;sourceID=49","")</f>
        <v/>
      </c>
      <c r="H969" s="4" t="str">
        <f>HYPERLINK("http://141.218.60.56/~jnz1568/getInfo.php?workbook=18_16.xlsx&amp;sheet=A0&amp;row=969&amp;col=8&amp;number=&amp;sourceID=49","")</f>
        <v/>
      </c>
    </row>
    <row r="970" spans="1:8">
      <c r="A970" s="3">
        <v>18</v>
      </c>
      <c r="B970" s="3">
        <v>16</v>
      </c>
      <c r="C970" s="3">
        <v>83</v>
      </c>
      <c r="D970" s="3">
        <v>11</v>
      </c>
      <c r="E970" s="3">
        <f>((1/(INDEX(E0!J$4:J$87,C970,1)-INDEX(E0!J$4:J$87,D970,1))))*100000000</f>
        <v>0</v>
      </c>
      <c r="F970" s="4" t="str">
        <f>HYPERLINK("http://141.218.60.56/~jnz1568/getInfo.php?workbook=18_16.xlsx&amp;sheet=A0&amp;row=970&amp;col=6&amp;number=6937.3&amp;sourceID=48","6937.3")</f>
        <v>6937.3</v>
      </c>
      <c r="G970" s="4" t="str">
        <f>HYPERLINK("http://141.218.60.56/~jnz1568/getInfo.php?workbook=18_16.xlsx&amp;sheet=A0&amp;row=970&amp;col=7&amp;number=&amp;sourceID=49","")</f>
        <v/>
      </c>
      <c r="H970" s="4" t="str">
        <f>HYPERLINK("http://141.218.60.56/~jnz1568/getInfo.php?workbook=18_16.xlsx&amp;sheet=A0&amp;row=970&amp;col=8&amp;number=&amp;sourceID=49","")</f>
        <v/>
      </c>
    </row>
    <row r="971" spans="1:8">
      <c r="A971" s="3">
        <v>18</v>
      </c>
      <c r="B971" s="3">
        <v>16</v>
      </c>
      <c r="C971" s="3">
        <v>83</v>
      </c>
      <c r="D971" s="3">
        <v>12</v>
      </c>
      <c r="E971" s="3">
        <f>((1/(INDEX(E0!J$4:J$87,C971,1)-INDEX(E0!J$4:J$87,D971,1))))*100000000</f>
        <v>0</v>
      </c>
      <c r="F971" s="4" t="str">
        <f>HYPERLINK("http://141.218.60.56/~jnz1568/getInfo.php?workbook=18_16.xlsx&amp;sheet=A0&amp;row=971&amp;col=6&amp;number=30788&amp;sourceID=48","30788")</f>
        <v>30788</v>
      </c>
      <c r="G971" s="4" t="str">
        <f>HYPERLINK("http://141.218.60.56/~jnz1568/getInfo.php?workbook=18_16.xlsx&amp;sheet=A0&amp;row=971&amp;col=7&amp;number=&amp;sourceID=49","")</f>
        <v/>
      </c>
      <c r="H971" s="4" t="str">
        <f>HYPERLINK("http://141.218.60.56/~jnz1568/getInfo.php?workbook=18_16.xlsx&amp;sheet=A0&amp;row=971&amp;col=8&amp;number=&amp;sourceID=49","")</f>
        <v/>
      </c>
    </row>
    <row r="972" spans="1:8">
      <c r="A972" s="3">
        <v>18</v>
      </c>
      <c r="B972" s="3">
        <v>16</v>
      </c>
      <c r="C972" s="3">
        <v>83</v>
      </c>
      <c r="D972" s="3">
        <v>13</v>
      </c>
      <c r="E972" s="3">
        <f>((1/(INDEX(E0!J$4:J$87,C972,1)-INDEX(E0!J$4:J$87,D972,1))))*100000000</f>
        <v>0</v>
      </c>
      <c r="F972" s="4" t="str">
        <f>HYPERLINK("http://141.218.60.56/~jnz1568/getInfo.php?workbook=18_16.xlsx&amp;sheet=A0&amp;row=972&amp;col=6&amp;number=59236&amp;sourceID=48","59236")</f>
        <v>59236</v>
      </c>
      <c r="G972" s="4" t="str">
        <f>HYPERLINK("http://141.218.60.56/~jnz1568/getInfo.php?workbook=18_16.xlsx&amp;sheet=A0&amp;row=972&amp;col=7&amp;number=&amp;sourceID=49","")</f>
        <v/>
      </c>
      <c r="H972" s="4" t="str">
        <f>HYPERLINK("http://141.218.60.56/~jnz1568/getInfo.php?workbook=18_16.xlsx&amp;sheet=A0&amp;row=972&amp;col=8&amp;number=&amp;sourceID=49","")</f>
        <v/>
      </c>
    </row>
    <row r="973" spans="1:8">
      <c r="A973" s="3">
        <v>18</v>
      </c>
      <c r="B973" s="3">
        <v>16</v>
      </c>
      <c r="C973" s="3">
        <v>83</v>
      </c>
      <c r="D973" s="3">
        <v>15</v>
      </c>
      <c r="E973" s="3">
        <f>((1/(INDEX(E0!J$4:J$87,C973,1)-INDEX(E0!J$4:J$87,D973,1))))*100000000</f>
        <v>0</v>
      </c>
      <c r="F973" s="4" t="str">
        <f>HYPERLINK("http://141.218.60.56/~jnz1568/getInfo.php?workbook=18_16.xlsx&amp;sheet=A0&amp;row=973&amp;col=6&amp;number=1579200&amp;sourceID=48","1579200")</f>
        <v>1579200</v>
      </c>
      <c r="G973" s="4" t="str">
        <f>HYPERLINK("http://141.218.60.56/~jnz1568/getInfo.php?workbook=18_16.xlsx&amp;sheet=A0&amp;row=973&amp;col=7&amp;number=&amp;sourceID=49","")</f>
        <v/>
      </c>
      <c r="H973" s="4" t="str">
        <f>HYPERLINK("http://141.218.60.56/~jnz1568/getInfo.php?workbook=18_16.xlsx&amp;sheet=A0&amp;row=973&amp;col=8&amp;number=&amp;sourceID=49","")</f>
        <v/>
      </c>
    </row>
    <row r="974" spans="1:8">
      <c r="A974" s="3">
        <v>18</v>
      </c>
      <c r="B974" s="3">
        <v>16</v>
      </c>
      <c r="C974" s="3">
        <v>83</v>
      </c>
      <c r="D974" s="3">
        <v>16</v>
      </c>
      <c r="E974" s="3">
        <f>((1/(INDEX(E0!J$4:J$87,C974,1)-INDEX(E0!J$4:J$87,D974,1))))*100000000</f>
        <v>0</v>
      </c>
      <c r="F974" s="4" t="str">
        <f>HYPERLINK("http://141.218.60.56/~jnz1568/getInfo.php?workbook=18_16.xlsx&amp;sheet=A0&amp;row=974&amp;col=6&amp;number=1378500&amp;sourceID=48","1378500")</f>
        <v>1378500</v>
      </c>
      <c r="G974" s="4" t="str">
        <f>HYPERLINK("http://141.218.60.56/~jnz1568/getInfo.php?workbook=18_16.xlsx&amp;sheet=A0&amp;row=974&amp;col=7&amp;number=&amp;sourceID=49","")</f>
        <v/>
      </c>
      <c r="H974" s="4" t="str">
        <f>HYPERLINK("http://141.218.60.56/~jnz1568/getInfo.php?workbook=18_16.xlsx&amp;sheet=A0&amp;row=974&amp;col=8&amp;number=&amp;sourceID=49","")</f>
        <v/>
      </c>
    </row>
    <row r="975" spans="1:8">
      <c r="A975" s="3">
        <v>18</v>
      </c>
      <c r="B975" s="3">
        <v>16</v>
      </c>
      <c r="C975" s="3">
        <v>83</v>
      </c>
      <c r="D975" s="3">
        <v>17</v>
      </c>
      <c r="E975" s="3">
        <f>((1/(INDEX(E0!J$4:J$87,C975,1)-INDEX(E0!J$4:J$87,D975,1))))*100000000</f>
        <v>0</v>
      </c>
      <c r="F975" s="4" t="str">
        <f>HYPERLINK("http://141.218.60.56/~jnz1568/getInfo.php?workbook=18_16.xlsx&amp;sheet=A0&amp;row=975&amp;col=6&amp;number=173860&amp;sourceID=48","173860")</f>
        <v>173860</v>
      </c>
      <c r="G975" s="4" t="str">
        <f>HYPERLINK("http://141.218.60.56/~jnz1568/getInfo.php?workbook=18_16.xlsx&amp;sheet=A0&amp;row=975&amp;col=7&amp;number=&amp;sourceID=49","")</f>
        <v/>
      </c>
      <c r="H975" s="4" t="str">
        <f>HYPERLINK("http://141.218.60.56/~jnz1568/getInfo.php?workbook=18_16.xlsx&amp;sheet=A0&amp;row=975&amp;col=8&amp;number=&amp;sourceID=49","")</f>
        <v/>
      </c>
    </row>
    <row r="976" spans="1:8">
      <c r="A976" s="3">
        <v>18</v>
      </c>
      <c r="B976" s="3">
        <v>16</v>
      </c>
      <c r="C976" s="3">
        <v>83</v>
      </c>
      <c r="D976" s="3">
        <v>19</v>
      </c>
      <c r="E976" s="3">
        <f>((1/(INDEX(E0!J$4:J$87,C976,1)-INDEX(E0!J$4:J$87,D976,1))))*100000000</f>
        <v>0</v>
      </c>
      <c r="F976" s="4" t="str">
        <f>HYPERLINK("http://141.218.60.56/~jnz1568/getInfo.php?workbook=18_16.xlsx&amp;sheet=A0&amp;row=976&amp;col=6&amp;number=10630&amp;sourceID=48","10630")</f>
        <v>10630</v>
      </c>
      <c r="G976" s="4" t="str">
        <f>HYPERLINK("http://141.218.60.56/~jnz1568/getInfo.php?workbook=18_16.xlsx&amp;sheet=A0&amp;row=976&amp;col=7&amp;number=&amp;sourceID=49","")</f>
        <v/>
      </c>
      <c r="H976" s="4" t="str">
        <f>HYPERLINK("http://141.218.60.56/~jnz1568/getInfo.php?workbook=18_16.xlsx&amp;sheet=A0&amp;row=976&amp;col=8&amp;number=&amp;sourceID=49","")</f>
        <v/>
      </c>
    </row>
    <row r="977" spans="1:8">
      <c r="A977" s="3">
        <v>18</v>
      </c>
      <c r="B977" s="3">
        <v>16</v>
      </c>
      <c r="C977" s="3">
        <v>83</v>
      </c>
      <c r="D977" s="3">
        <v>20</v>
      </c>
      <c r="E977" s="3">
        <f>((1/(INDEX(E0!J$4:J$87,C977,1)-INDEX(E0!J$4:J$87,D977,1))))*100000000</f>
        <v>0</v>
      </c>
      <c r="F977" s="4" t="str">
        <f>HYPERLINK("http://141.218.60.56/~jnz1568/getInfo.php?workbook=18_16.xlsx&amp;sheet=A0&amp;row=977&amp;col=6&amp;number=51558&amp;sourceID=48","51558")</f>
        <v>51558</v>
      </c>
      <c r="G977" s="4" t="str">
        <f>HYPERLINK("http://141.218.60.56/~jnz1568/getInfo.php?workbook=18_16.xlsx&amp;sheet=A0&amp;row=977&amp;col=7&amp;number=&amp;sourceID=49","")</f>
        <v/>
      </c>
      <c r="H977" s="4" t="str">
        <f>HYPERLINK("http://141.218.60.56/~jnz1568/getInfo.php?workbook=18_16.xlsx&amp;sheet=A0&amp;row=977&amp;col=8&amp;number=&amp;sourceID=49","")</f>
        <v/>
      </c>
    </row>
    <row r="978" spans="1:8">
      <c r="A978" s="3">
        <v>18</v>
      </c>
      <c r="B978" s="3">
        <v>16</v>
      </c>
      <c r="C978" s="3">
        <v>83</v>
      </c>
      <c r="D978" s="3">
        <v>22</v>
      </c>
      <c r="E978" s="3">
        <f>((1/(INDEX(E0!J$4:J$87,C978,1)-INDEX(E0!J$4:J$87,D978,1))))*100000000</f>
        <v>0</v>
      </c>
      <c r="F978" s="4" t="str">
        <f>HYPERLINK("http://141.218.60.56/~jnz1568/getInfo.php?workbook=18_16.xlsx&amp;sheet=A0&amp;row=978&amp;col=6&amp;number=8255.8&amp;sourceID=48","8255.8")</f>
        <v>8255.8</v>
      </c>
      <c r="G978" s="4" t="str">
        <f>HYPERLINK("http://141.218.60.56/~jnz1568/getInfo.php?workbook=18_16.xlsx&amp;sheet=A0&amp;row=978&amp;col=7&amp;number=&amp;sourceID=49","")</f>
        <v/>
      </c>
      <c r="H978" s="4" t="str">
        <f>HYPERLINK("http://141.218.60.56/~jnz1568/getInfo.php?workbook=18_16.xlsx&amp;sheet=A0&amp;row=978&amp;col=8&amp;number=&amp;sourceID=49","")</f>
        <v/>
      </c>
    </row>
    <row r="979" spans="1:8">
      <c r="A979" s="3">
        <v>18</v>
      </c>
      <c r="B979" s="3">
        <v>16</v>
      </c>
      <c r="C979" s="3">
        <v>83</v>
      </c>
      <c r="D979" s="3">
        <v>25</v>
      </c>
      <c r="E979" s="3">
        <f>((1/(INDEX(E0!J$4:J$87,C979,1)-INDEX(E0!J$4:J$87,D979,1))))*100000000</f>
        <v>0</v>
      </c>
      <c r="F979" s="4" t="str">
        <f>HYPERLINK("http://141.218.60.56/~jnz1568/getInfo.php?workbook=18_16.xlsx&amp;sheet=A0&amp;row=979&amp;col=6&amp;number=9969.6&amp;sourceID=48","9969.6")</f>
        <v>9969.6</v>
      </c>
      <c r="G979" s="4" t="str">
        <f>HYPERLINK("http://141.218.60.56/~jnz1568/getInfo.php?workbook=18_16.xlsx&amp;sheet=A0&amp;row=979&amp;col=7&amp;number=&amp;sourceID=49","")</f>
        <v/>
      </c>
      <c r="H979" s="4" t="str">
        <f>HYPERLINK("http://141.218.60.56/~jnz1568/getInfo.php?workbook=18_16.xlsx&amp;sheet=A0&amp;row=979&amp;col=8&amp;number=&amp;sourceID=49","")</f>
        <v/>
      </c>
    </row>
    <row r="980" spans="1:8">
      <c r="A980" s="3">
        <v>18</v>
      </c>
      <c r="B980" s="3">
        <v>16</v>
      </c>
      <c r="C980" s="3">
        <v>83</v>
      </c>
      <c r="D980" s="3">
        <v>27</v>
      </c>
      <c r="E980" s="3">
        <f>((1/(INDEX(E0!J$4:J$87,C980,1)-INDEX(E0!J$4:J$87,D980,1))))*100000000</f>
        <v>0</v>
      </c>
      <c r="F980" s="4" t="str">
        <f>HYPERLINK("http://141.218.60.56/~jnz1568/getInfo.php?workbook=18_16.xlsx&amp;sheet=A0&amp;row=980&amp;col=6&amp;number=1230500&amp;sourceID=48","1230500")</f>
        <v>1230500</v>
      </c>
      <c r="G980" s="4" t="str">
        <f>HYPERLINK("http://141.218.60.56/~jnz1568/getInfo.php?workbook=18_16.xlsx&amp;sheet=A0&amp;row=980&amp;col=7&amp;number=&amp;sourceID=49","")</f>
        <v/>
      </c>
      <c r="H980" s="4" t="str">
        <f>HYPERLINK("http://141.218.60.56/~jnz1568/getInfo.php?workbook=18_16.xlsx&amp;sheet=A0&amp;row=980&amp;col=8&amp;number=&amp;sourceID=49","")</f>
        <v/>
      </c>
    </row>
    <row r="981" spans="1:8">
      <c r="A981" s="3">
        <v>18</v>
      </c>
      <c r="B981" s="3">
        <v>16</v>
      </c>
      <c r="C981" s="3">
        <v>83</v>
      </c>
      <c r="D981" s="3">
        <v>28</v>
      </c>
      <c r="E981" s="3">
        <f>((1/(INDEX(E0!J$4:J$87,C981,1)-INDEX(E0!J$4:J$87,D981,1))))*100000000</f>
        <v>0</v>
      </c>
      <c r="F981" s="4" t="str">
        <f>HYPERLINK("http://141.218.60.56/~jnz1568/getInfo.php?workbook=18_16.xlsx&amp;sheet=A0&amp;row=981&amp;col=6&amp;number=6345100&amp;sourceID=48","6345100")</f>
        <v>6345100</v>
      </c>
      <c r="G981" s="4" t="str">
        <f>HYPERLINK("http://141.218.60.56/~jnz1568/getInfo.php?workbook=18_16.xlsx&amp;sheet=A0&amp;row=981&amp;col=7&amp;number=&amp;sourceID=49","")</f>
        <v/>
      </c>
      <c r="H981" s="4" t="str">
        <f>HYPERLINK("http://141.218.60.56/~jnz1568/getInfo.php?workbook=18_16.xlsx&amp;sheet=A0&amp;row=981&amp;col=8&amp;number=&amp;sourceID=49","")</f>
        <v/>
      </c>
    </row>
    <row r="982" spans="1:8">
      <c r="A982" s="3">
        <v>18</v>
      </c>
      <c r="B982" s="3">
        <v>16</v>
      </c>
      <c r="C982" s="3">
        <v>83</v>
      </c>
      <c r="D982" s="3">
        <v>30</v>
      </c>
      <c r="E982" s="3">
        <f>((1/(INDEX(E0!J$4:J$87,C982,1)-INDEX(E0!J$4:J$87,D982,1))))*100000000</f>
        <v>0</v>
      </c>
      <c r="F982" s="4" t="str">
        <f>HYPERLINK("http://141.218.60.56/~jnz1568/getInfo.php?workbook=18_16.xlsx&amp;sheet=A0&amp;row=982&amp;col=6&amp;number=42527&amp;sourceID=48","42527")</f>
        <v>42527</v>
      </c>
      <c r="G982" s="4" t="str">
        <f>HYPERLINK("http://141.218.60.56/~jnz1568/getInfo.php?workbook=18_16.xlsx&amp;sheet=A0&amp;row=982&amp;col=7&amp;number=&amp;sourceID=49","")</f>
        <v/>
      </c>
      <c r="H982" s="4" t="str">
        <f>HYPERLINK("http://141.218.60.56/~jnz1568/getInfo.php?workbook=18_16.xlsx&amp;sheet=A0&amp;row=982&amp;col=8&amp;number=&amp;sourceID=49","")</f>
        <v/>
      </c>
    </row>
    <row r="983" spans="1:8">
      <c r="A983" s="3">
        <v>18</v>
      </c>
      <c r="B983" s="3">
        <v>16</v>
      </c>
      <c r="C983" s="3">
        <v>83</v>
      </c>
      <c r="D983" s="3">
        <v>31</v>
      </c>
      <c r="E983" s="3">
        <f>((1/(INDEX(E0!J$4:J$87,C983,1)-INDEX(E0!J$4:J$87,D983,1))))*100000000</f>
        <v>0</v>
      </c>
      <c r="F983" s="4" t="str">
        <f>HYPERLINK("http://141.218.60.56/~jnz1568/getInfo.php?workbook=18_16.xlsx&amp;sheet=A0&amp;row=983&amp;col=6&amp;number=47449&amp;sourceID=48","47449")</f>
        <v>47449</v>
      </c>
      <c r="G983" s="4" t="str">
        <f>HYPERLINK("http://141.218.60.56/~jnz1568/getInfo.php?workbook=18_16.xlsx&amp;sheet=A0&amp;row=983&amp;col=7&amp;number=&amp;sourceID=49","")</f>
        <v/>
      </c>
      <c r="H983" s="4" t="str">
        <f>HYPERLINK("http://141.218.60.56/~jnz1568/getInfo.php?workbook=18_16.xlsx&amp;sheet=A0&amp;row=983&amp;col=8&amp;number=&amp;sourceID=49","")</f>
        <v/>
      </c>
    </row>
    <row r="984" spans="1:8">
      <c r="A984" s="3">
        <v>18</v>
      </c>
      <c r="B984" s="3">
        <v>16</v>
      </c>
      <c r="C984" s="3">
        <v>83</v>
      </c>
      <c r="D984" s="3">
        <v>32</v>
      </c>
      <c r="E984" s="3">
        <f>((1/(INDEX(E0!J$4:J$87,C984,1)-INDEX(E0!J$4:J$87,D984,1))))*100000000</f>
        <v>0</v>
      </c>
      <c r="F984" s="4" t="str">
        <f>HYPERLINK("http://141.218.60.56/~jnz1568/getInfo.php?workbook=18_16.xlsx&amp;sheet=A0&amp;row=984&amp;col=6&amp;number=2076400&amp;sourceID=48","2076400")</f>
        <v>2076400</v>
      </c>
      <c r="G984" s="4" t="str">
        <f>HYPERLINK("http://141.218.60.56/~jnz1568/getInfo.php?workbook=18_16.xlsx&amp;sheet=A0&amp;row=984&amp;col=7&amp;number=&amp;sourceID=49","")</f>
        <v/>
      </c>
      <c r="H984" s="4" t="str">
        <f>HYPERLINK("http://141.218.60.56/~jnz1568/getInfo.php?workbook=18_16.xlsx&amp;sheet=A0&amp;row=984&amp;col=8&amp;number=&amp;sourceID=49","")</f>
        <v/>
      </c>
    </row>
    <row r="985" spans="1:8">
      <c r="A985" s="3">
        <v>18</v>
      </c>
      <c r="B985" s="3">
        <v>16</v>
      </c>
      <c r="C985" s="3">
        <v>83</v>
      </c>
      <c r="D985" s="3">
        <v>33</v>
      </c>
      <c r="E985" s="3">
        <f>((1/(INDEX(E0!J$4:J$87,C985,1)-INDEX(E0!J$4:J$87,D985,1))))*100000000</f>
        <v>0</v>
      </c>
      <c r="F985" s="4" t="str">
        <f>HYPERLINK("http://141.218.60.56/~jnz1568/getInfo.php?workbook=18_16.xlsx&amp;sheet=A0&amp;row=985&amp;col=6&amp;number=27297000&amp;sourceID=48","27297000")</f>
        <v>27297000</v>
      </c>
      <c r="G985" s="4" t="str">
        <f>HYPERLINK("http://141.218.60.56/~jnz1568/getInfo.php?workbook=18_16.xlsx&amp;sheet=A0&amp;row=985&amp;col=7&amp;number=&amp;sourceID=49","")</f>
        <v/>
      </c>
      <c r="H985" s="4" t="str">
        <f>HYPERLINK("http://141.218.60.56/~jnz1568/getInfo.php?workbook=18_16.xlsx&amp;sheet=A0&amp;row=985&amp;col=8&amp;number=&amp;sourceID=49","")</f>
        <v/>
      </c>
    </row>
    <row r="986" spans="1:8">
      <c r="A986" s="3">
        <v>18</v>
      </c>
      <c r="B986" s="3">
        <v>16</v>
      </c>
      <c r="C986" s="3">
        <v>83</v>
      </c>
      <c r="D986" s="3">
        <v>35</v>
      </c>
      <c r="E986" s="3">
        <f>((1/(INDEX(E0!J$4:J$87,C986,1)-INDEX(E0!J$4:J$87,D986,1))))*100000000</f>
        <v>0</v>
      </c>
      <c r="F986" s="4" t="str">
        <f>HYPERLINK("http://141.218.60.56/~jnz1568/getInfo.php?workbook=18_16.xlsx&amp;sheet=A0&amp;row=986&amp;col=6&amp;number=21642000&amp;sourceID=48","21642000")</f>
        <v>21642000</v>
      </c>
      <c r="G986" s="4" t="str">
        <f>HYPERLINK("http://141.218.60.56/~jnz1568/getInfo.php?workbook=18_16.xlsx&amp;sheet=A0&amp;row=986&amp;col=7&amp;number=&amp;sourceID=49","")</f>
        <v/>
      </c>
      <c r="H986" s="4" t="str">
        <f>HYPERLINK("http://141.218.60.56/~jnz1568/getInfo.php?workbook=18_16.xlsx&amp;sheet=A0&amp;row=986&amp;col=8&amp;number=&amp;sourceID=49","")</f>
        <v/>
      </c>
    </row>
    <row r="987" spans="1:8">
      <c r="A987" s="3">
        <v>18</v>
      </c>
      <c r="B987" s="3">
        <v>16</v>
      </c>
      <c r="C987" s="3">
        <v>83</v>
      </c>
      <c r="D987" s="3">
        <v>36</v>
      </c>
      <c r="E987" s="3">
        <f>((1/(INDEX(E0!J$4:J$87,C987,1)-INDEX(E0!J$4:J$87,D987,1))))*100000000</f>
        <v>0</v>
      </c>
      <c r="F987" s="4" t="str">
        <f>HYPERLINK("http://141.218.60.56/~jnz1568/getInfo.php?workbook=18_16.xlsx&amp;sheet=A0&amp;row=987&amp;col=6&amp;number=141040000&amp;sourceID=48","141040000")</f>
        <v>141040000</v>
      </c>
      <c r="G987" s="4" t="str">
        <f>HYPERLINK("http://141.218.60.56/~jnz1568/getInfo.php?workbook=18_16.xlsx&amp;sheet=A0&amp;row=987&amp;col=7&amp;number=&amp;sourceID=49","")</f>
        <v/>
      </c>
      <c r="H987" s="4" t="str">
        <f>HYPERLINK("http://141.218.60.56/~jnz1568/getInfo.php?workbook=18_16.xlsx&amp;sheet=A0&amp;row=987&amp;col=8&amp;number=&amp;sourceID=49","")</f>
        <v/>
      </c>
    </row>
    <row r="988" spans="1:8">
      <c r="A988" s="3">
        <v>18</v>
      </c>
      <c r="B988" s="3">
        <v>16</v>
      </c>
      <c r="C988" s="3">
        <v>83</v>
      </c>
      <c r="D988" s="3">
        <v>37</v>
      </c>
      <c r="E988" s="3">
        <f>((1/(INDEX(E0!J$4:J$87,C988,1)-INDEX(E0!J$4:J$87,D988,1))))*100000000</f>
        <v>0</v>
      </c>
      <c r="F988" s="4" t="str">
        <f>HYPERLINK("http://141.218.60.56/~jnz1568/getInfo.php?workbook=18_16.xlsx&amp;sheet=A0&amp;row=988&amp;col=6&amp;number=63862000&amp;sourceID=48","63862000")</f>
        <v>63862000</v>
      </c>
      <c r="G988" s="4" t="str">
        <f>HYPERLINK("http://141.218.60.56/~jnz1568/getInfo.php?workbook=18_16.xlsx&amp;sheet=A0&amp;row=988&amp;col=7&amp;number=&amp;sourceID=49","")</f>
        <v/>
      </c>
      <c r="H988" s="4" t="str">
        <f>HYPERLINK("http://141.218.60.56/~jnz1568/getInfo.php?workbook=18_16.xlsx&amp;sheet=A0&amp;row=988&amp;col=8&amp;number=&amp;sourceID=49","")</f>
        <v/>
      </c>
    </row>
    <row r="989" spans="1:8">
      <c r="A989" s="3">
        <v>18</v>
      </c>
      <c r="B989" s="3">
        <v>16</v>
      </c>
      <c r="C989" s="3">
        <v>83</v>
      </c>
      <c r="D989" s="3">
        <v>38</v>
      </c>
      <c r="E989" s="3">
        <f>((1/(INDEX(E0!J$4:J$87,C989,1)-INDEX(E0!J$4:J$87,D989,1))))*100000000</f>
        <v>0</v>
      </c>
      <c r="F989" s="4" t="str">
        <f>HYPERLINK("http://141.218.60.56/~jnz1568/getInfo.php?workbook=18_16.xlsx&amp;sheet=A0&amp;row=989&amp;col=6&amp;number=105180&amp;sourceID=48","105180")</f>
        <v>105180</v>
      </c>
      <c r="G989" s="4" t="str">
        <f>HYPERLINK("http://141.218.60.56/~jnz1568/getInfo.php?workbook=18_16.xlsx&amp;sheet=A0&amp;row=989&amp;col=7&amp;number=&amp;sourceID=49","")</f>
        <v/>
      </c>
      <c r="H989" s="4" t="str">
        <f>HYPERLINK("http://141.218.60.56/~jnz1568/getInfo.php?workbook=18_16.xlsx&amp;sheet=A0&amp;row=989&amp;col=8&amp;number=&amp;sourceID=49","")</f>
        <v/>
      </c>
    </row>
    <row r="990" spans="1:8">
      <c r="A990" s="3">
        <v>18</v>
      </c>
      <c r="B990" s="3">
        <v>16</v>
      </c>
      <c r="C990" s="3">
        <v>83</v>
      </c>
      <c r="D990" s="3">
        <v>39</v>
      </c>
      <c r="E990" s="3">
        <f>((1/(INDEX(E0!J$4:J$87,C990,1)-INDEX(E0!J$4:J$87,D990,1))))*100000000</f>
        <v>0</v>
      </c>
      <c r="F990" s="4" t="str">
        <f>HYPERLINK("http://141.218.60.56/~jnz1568/getInfo.php?workbook=18_16.xlsx&amp;sheet=A0&amp;row=990&amp;col=6&amp;number=1640100&amp;sourceID=48","1640100")</f>
        <v>1640100</v>
      </c>
      <c r="G990" s="4" t="str">
        <f>HYPERLINK("http://141.218.60.56/~jnz1568/getInfo.php?workbook=18_16.xlsx&amp;sheet=A0&amp;row=990&amp;col=7&amp;number=&amp;sourceID=49","")</f>
        <v/>
      </c>
      <c r="H990" s="4" t="str">
        <f>HYPERLINK("http://141.218.60.56/~jnz1568/getInfo.php?workbook=18_16.xlsx&amp;sheet=A0&amp;row=990&amp;col=8&amp;number=&amp;sourceID=49","")</f>
        <v/>
      </c>
    </row>
    <row r="991" spans="1:8">
      <c r="A991" s="3">
        <v>18</v>
      </c>
      <c r="B991" s="3">
        <v>16</v>
      </c>
      <c r="C991" s="3">
        <v>83</v>
      </c>
      <c r="D991" s="3">
        <v>40</v>
      </c>
      <c r="E991" s="3">
        <f>((1/(INDEX(E0!J$4:J$87,C991,1)-INDEX(E0!J$4:J$87,D991,1))))*100000000</f>
        <v>0</v>
      </c>
      <c r="F991" s="4" t="str">
        <f>HYPERLINK("http://141.218.60.56/~jnz1568/getInfo.php?workbook=18_16.xlsx&amp;sheet=A0&amp;row=991&amp;col=6&amp;number=13481000&amp;sourceID=48","13481000")</f>
        <v>13481000</v>
      </c>
      <c r="G991" s="4" t="str">
        <f>HYPERLINK("http://141.218.60.56/~jnz1568/getInfo.php?workbook=18_16.xlsx&amp;sheet=A0&amp;row=991&amp;col=7&amp;number=&amp;sourceID=49","")</f>
        <v/>
      </c>
      <c r="H991" s="4" t="str">
        <f>HYPERLINK("http://141.218.60.56/~jnz1568/getInfo.php?workbook=18_16.xlsx&amp;sheet=A0&amp;row=991&amp;col=8&amp;number=&amp;sourceID=49","")</f>
        <v/>
      </c>
    </row>
    <row r="992" spans="1:8">
      <c r="A992" s="3">
        <v>18</v>
      </c>
      <c r="B992" s="3">
        <v>16</v>
      </c>
      <c r="C992" s="3">
        <v>83</v>
      </c>
      <c r="D992" s="3">
        <v>41</v>
      </c>
      <c r="E992" s="3">
        <f>((1/(INDEX(E0!J$4:J$87,C992,1)-INDEX(E0!J$4:J$87,D992,1))))*100000000</f>
        <v>0</v>
      </c>
      <c r="F992" s="4" t="str">
        <f>HYPERLINK("http://141.218.60.56/~jnz1568/getInfo.php?workbook=18_16.xlsx&amp;sheet=A0&amp;row=992&amp;col=6&amp;number=908.25&amp;sourceID=48","908.25")</f>
        <v>908.25</v>
      </c>
      <c r="G992" s="4" t="str">
        <f>HYPERLINK("http://141.218.60.56/~jnz1568/getInfo.php?workbook=18_16.xlsx&amp;sheet=A0&amp;row=992&amp;col=7&amp;number=&amp;sourceID=49","")</f>
        <v/>
      </c>
      <c r="H992" s="4" t="str">
        <f>HYPERLINK("http://141.218.60.56/~jnz1568/getInfo.php?workbook=18_16.xlsx&amp;sheet=A0&amp;row=992&amp;col=8&amp;number=&amp;sourceID=49","")</f>
        <v/>
      </c>
    </row>
    <row r="993" spans="1:8">
      <c r="A993" s="3">
        <v>18</v>
      </c>
      <c r="B993" s="3">
        <v>16</v>
      </c>
      <c r="C993" s="3">
        <v>83</v>
      </c>
      <c r="D993" s="3">
        <v>42</v>
      </c>
      <c r="E993" s="3">
        <f>((1/(INDEX(E0!J$4:J$87,C993,1)-INDEX(E0!J$4:J$87,D993,1))))*100000000</f>
        <v>0</v>
      </c>
      <c r="F993" s="4" t="str">
        <f>HYPERLINK("http://141.218.60.56/~jnz1568/getInfo.php?workbook=18_16.xlsx&amp;sheet=A0&amp;row=993&amp;col=6&amp;number=4741300&amp;sourceID=48","4741300")</f>
        <v>4741300</v>
      </c>
      <c r="G993" s="4" t="str">
        <f>HYPERLINK("http://141.218.60.56/~jnz1568/getInfo.php?workbook=18_16.xlsx&amp;sheet=A0&amp;row=993&amp;col=7&amp;number=&amp;sourceID=49","")</f>
        <v/>
      </c>
      <c r="H993" s="4" t="str">
        <f>HYPERLINK("http://141.218.60.56/~jnz1568/getInfo.php?workbook=18_16.xlsx&amp;sheet=A0&amp;row=993&amp;col=8&amp;number=&amp;sourceID=49","")</f>
        <v/>
      </c>
    </row>
    <row r="994" spans="1:8">
      <c r="A994" s="3">
        <v>18</v>
      </c>
      <c r="B994" s="3">
        <v>16</v>
      </c>
      <c r="C994" s="3">
        <v>83</v>
      </c>
      <c r="D994" s="3">
        <v>45</v>
      </c>
      <c r="E994" s="3">
        <f>((1/(INDEX(E0!J$4:J$87,C994,1)-INDEX(E0!J$4:J$87,D994,1))))*100000000</f>
        <v>0</v>
      </c>
      <c r="F994" s="4" t="str">
        <f>HYPERLINK("http://141.218.60.56/~jnz1568/getInfo.php?workbook=18_16.xlsx&amp;sheet=A0&amp;row=994&amp;col=6&amp;number=1993900&amp;sourceID=48","1993900")</f>
        <v>1993900</v>
      </c>
      <c r="G994" s="4" t="str">
        <f>HYPERLINK("http://141.218.60.56/~jnz1568/getInfo.php?workbook=18_16.xlsx&amp;sheet=A0&amp;row=994&amp;col=7&amp;number=&amp;sourceID=49","")</f>
        <v/>
      </c>
      <c r="H994" s="4" t="str">
        <f>HYPERLINK("http://141.218.60.56/~jnz1568/getInfo.php?workbook=18_16.xlsx&amp;sheet=A0&amp;row=994&amp;col=8&amp;number=&amp;sourceID=49","")</f>
        <v/>
      </c>
    </row>
    <row r="995" spans="1:8">
      <c r="A995" s="3">
        <v>18</v>
      </c>
      <c r="B995" s="3">
        <v>16</v>
      </c>
      <c r="C995" s="3">
        <v>83</v>
      </c>
      <c r="D995" s="3">
        <v>47</v>
      </c>
      <c r="E995" s="3">
        <f>((1/(INDEX(E0!J$4:J$87,C995,1)-INDEX(E0!J$4:J$87,D995,1))))*100000000</f>
        <v>0</v>
      </c>
      <c r="F995" s="4" t="str">
        <f>HYPERLINK("http://141.218.60.56/~jnz1568/getInfo.php?workbook=18_16.xlsx&amp;sheet=A0&amp;row=995&amp;col=6&amp;number=181590000&amp;sourceID=48","181590000")</f>
        <v>181590000</v>
      </c>
      <c r="G995" s="4" t="str">
        <f>HYPERLINK("http://141.218.60.56/~jnz1568/getInfo.php?workbook=18_16.xlsx&amp;sheet=A0&amp;row=995&amp;col=7&amp;number=&amp;sourceID=49","")</f>
        <v/>
      </c>
      <c r="H995" s="4" t="str">
        <f>HYPERLINK("http://141.218.60.56/~jnz1568/getInfo.php?workbook=18_16.xlsx&amp;sheet=A0&amp;row=995&amp;col=8&amp;number=&amp;sourceID=49","")</f>
        <v/>
      </c>
    </row>
    <row r="996" spans="1:8">
      <c r="A996" s="3">
        <v>18</v>
      </c>
      <c r="B996" s="3">
        <v>16</v>
      </c>
      <c r="C996" s="3">
        <v>83</v>
      </c>
      <c r="D996" s="3">
        <v>48</v>
      </c>
      <c r="E996" s="3">
        <f>((1/(INDEX(E0!J$4:J$87,C996,1)-INDEX(E0!J$4:J$87,D996,1))))*100000000</f>
        <v>0</v>
      </c>
      <c r="F996" s="4" t="str">
        <f>HYPERLINK("http://141.218.60.56/~jnz1568/getInfo.php?workbook=18_16.xlsx&amp;sheet=A0&amp;row=996&amp;col=6&amp;number=52844000&amp;sourceID=48","52844000")</f>
        <v>52844000</v>
      </c>
      <c r="G996" s="4" t="str">
        <f>HYPERLINK("http://141.218.60.56/~jnz1568/getInfo.php?workbook=18_16.xlsx&amp;sheet=A0&amp;row=996&amp;col=7&amp;number=&amp;sourceID=49","")</f>
        <v/>
      </c>
      <c r="H996" s="4" t="str">
        <f>HYPERLINK("http://141.218.60.56/~jnz1568/getInfo.php?workbook=18_16.xlsx&amp;sheet=A0&amp;row=996&amp;col=8&amp;number=&amp;sourceID=49","")</f>
        <v/>
      </c>
    </row>
    <row r="997" spans="1:8">
      <c r="A997" s="3">
        <v>18</v>
      </c>
      <c r="B997" s="3">
        <v>16</v>
      </c>
      <c r="C997" s="3">
        <v>83</v>
      </c>
      <c r="D997" s="3">
        <v>53</v>
      </c>
      <c r="E997" s="3">
        <f>((1/(INDEX(E0!J$4:J$87,C997,1)-INDEX(E0!J$4:J$87,D997,1))))*100000000</f>
        <v>0</v>
      </c>
      <c r="F997" s="4" t="str">
        <f>HYPERLINK("http://141.218.60.56/~jnz1568/getInfo.php?workbook=18_16.xlsx&amp;sheet=A0&amp;row=997&amp;col=6&amp;number=24738000&amp;sourceID=48","24738000")</f>
        <v>24738000</v>
      </c>
      <c r="G997" s="4" t="str">
        <f>HYPERLINK("http://141.218.60.56/~jnz1568/getInfo.php?workbook=18_16.xlsx&amp;sheet=A0&amp;row=997&amp;col=7&amp;number=&amp;sourceID=49","")</f>
        <v/>
      </c>
      <c r="H997" s="4" t="str">
        <f>HYPERLINK("http://141.218.60.56/~jnz1568/getInfo.php?workbook=18_16.xlsx&amp;sheet=A0&amp;row=997&amp;col=8&amp;number=&amp;sourceID=49","")</f>
        <v/>
      </c>
    </row>
    <row r="998" spans="1:8">
      <c r="A998" s="3">
        <v>18</v>
      </c>
      <c r="B998" s="3">
        <v>16</v>
      </c>
      <c r="C998" s="3">
        <v>83</v>
      </c>
      <c r="D998" s="3">
        <v>54</v>
      </c>
      <c r="E998" s="3">
        <f>((1/(INDEX(E0!J$4:J$87,C998,1)-INDEX(E0!J$4:J$87,D998,1))))*100000000</f>
        <v>0</v>
      </c>
      <c r="F998" s="4" t="str">
        <f>HYPERLINK("http://141.218.60.56/~jnz1568/getInfo.php?workbook=18_16.xlsx&amp;sheet=A0&amp;row=998&amp;col=6&amp;number=3073400&amp;sourceID=48","3073400")</f>
        <v>3073400</v>
      </c>
      <c r="G998" s="4" t="str">
        <f>HYPERLINK("http://141.218.60.56/~jnz1568/getInfo.php?workbook=18_16.xlsx&amp;sheet=A0&amp;row=998&amp;col=7&amp;number=&amp;sourceID=49","")</f>
        <v/>
      </c>
      <c r="H998" s="4" t="str">
        <f>HYPERLINK("http://141.218.60.56/~jnz1568/getInfo.php?workbook=18_16.xlsx&amp;sheet=A0&amp;row=998&amp;col=8&amp;number=&amp;sourceID=49","")</f>
        <v/>
      </c>
    </row>
    <row r="999" spans="1:8">
      <c r="A999" s="3">
        <v>18</v>
      </c>
      <c r="B999" s="3">
        <v>16</v>
      </c>
      <c r="C999" s="3">
        <v>83</v>
      </c>
      <c r="D999" s="3">
        <v>55</v>
      </c>
      <c r="E999" s="3">
        <f>((1/(INDEX(E0!J$4:J$87,C999,1)-INDEX(E0!J$4:J$87,D999,1))))*100000000</f>
        <v>0</v>
      </c>
      <c r="F999" s="4" t="str">
        <f>HYPERLINK("http://141.218.60.56/~jnz1568/getInfo.php?workbook=18_16.xlsx&amp;sheet=A0&amp;row=999&amp;col=6&amp;number=1569000&amp;sourceID=48","1569000")</f>
        <v>1569000</v>
      </c>
      <c r="G999" s="4" t="str">
        <f>HYPERLINK("http://141.218.60.56/~jnz1568/getInfo.php?workbook=18_16.xlsx&amp;sheet=A0&amp;row=999&amp;col=7&amp;number=&amp;sourceID=49","")</f>
        <v/>
      </c>
      <c r="H999" s="4" t="str">
        <f>HYPERLINK("http://141.218.60.56/~jnz1568/getInfo.php?workbook=18_16.xlsx&amp;sheet=A0&amp;row=999&amp;col=8&amp;number=&amp;sourceID=49","")</f>
        <v/>
      </c>
    </row>
    <row r="1000" spans="1:8">
      <c r="A1000" s="3">
        <v>18</v>
      </c>
      <c r="B1000" s="3">
        <v>16</v>
      </c>
      <c r="C1000" s="3">
        <v>83</v>
      </c>
      <c r="D1000" s="3">
        <v>56</v>
      </c>
      <c r="E1000" s="3">
        <f>((1/(INDEX(E0!J$4:J$87,C1000,1)-INDEX(E0!J$4:J$87,D1000,1))))*100000000</f>
        <v>0</v>
      </c>
      <c r="F1000" s="4" t="str">
        <f>HYPERLINK("http://141.218.60.56/~jnz1568/getInfo.php?workbook=18_16.xlsx&amp;sheet=A0&amp;row=1000&amp;col=6&amp;number=243300&amp;sourceID=48","243300")</f>
        <v>243300</v>
      </c>
      <c r="G1000" s="4" t="str">
        <f>HYPERLINK("http://141.218.60.56/~jnz1568/getInfo.php?workbook=18_16.xlsx&amp;sheet=A0&amp;row=1000&amp;col=7&amp;number=&amp;sourceID=49","")</f>
        <v/>
      </c>
      <c r="H1000" s="4" t="str">
        <f>HYPERLINK("http://141.218.60.56/~jnz1568/getInfo.php?workbook=18_16.xlsx&amp;sheet=A0&amp;row=1000&amp;col=8&amp;number=&amp;sourceID=49","")</f>
        <v/>
      </c>
    </row>
    <row r="1001" spans="1:8">
      <c r="A1001" s="3">
        <v>18</v>
      </c>
      <c r="B1001" s="3">
        <v>16</v>
      </c>
      <c r="C1001" s="3">
        <v>83</v>
      </c>
      <c r="D1001" s="3">
        <v>57</v>
      </c>
      <c r="E1001" s="3">
        <f>((1/(INDEX(E0!J$4:J$87,C1001,1)-INDEX(E0!J$4:J$87,D1001,1))))*100000000</f>
        <v>0</v>
      </c>
      <c r="F1001" s="4" t="str">
        <f>HYPERLINK("http://141.218.60.56/~jnz1568/getInfo.php?workbook=18_16.xlsx&amp;sheet=A0&amp;row=1001&amp;col=6&amp;number=27808000&amp;sourceID=48","27808000")</f>
        <v>27808000</v>
      </c>
      <c r="G1001" s="4" t="str">
        <f>HYPERLINK("http://141.218.60.56/~jnz1568/getInfo.php?workbook=18_16.xlsx&amp;sheet=A0&amp;row=1001&amp;col=7&amp;number=&amp;sourceID=49","")</f>
        <v/>
      </c>
      <c r="H1001" s="4" t="str">
        <f>HYPERLINK("http://141.218.60.56/~jnz1568/getInfo.php?workbook=18_16.xlsx&amp;sheet=A0&amp;row=1001&amp;col=8&amp;number=&amp;sourceID=49","")</f>
        <v/>
      </c>
    </row>
    <row r="1002" spans="1:8">
      <c r="A1002" s="3">
        <v>18</v>
      </c>
      <c r="B1002" s="3">
        <v>16</v>
      </c>
      <c r="C1002" s="3">
        <v>83</v>
      </c>
      <c r="D1002" s="3">
        <v>58</v>
      </c>
      <c r="E1002" s="3">
        <f>((1/(INDEX(E0!J$4:J$87,C1002,1)-INDEX(E0!J$4:J$87,D1002,1))))*100000000</f>
        <v>0</v>
      </c>
      <c r="F1002" s="4" t="str">
        <f>HYPERLINK("http://141.218.60.56/~jnz1568/getInfo.php?workbook=18_16.xlsx&amp;sheet=A0&amp;row=1002&amp;col=6&amp;number=5684700&amp;sourceID=48","5684700")</f>
        <v>5684700</v>
      </c>
      <c r="G1002" s="4" t="str">
        <f>HYPERLINK("http://141.218.60.56/~jnz1568/getInfo.php?workbook=18_16.xlsx&amp;sheet=A0&amp;row=1002&amp;col=7&amp;number=&amp;sourceID=49","")</f>
        <v/>
      </c>
      <c r="H1002" s="4" t="str">
        <f>HYPERLINK("http://141.218.60.56/~jnz1568/getInfo.php?workbook=18_16.xlsx&amp;sheet=A0&amp;row=1002&amp;col=8&amp;number=&amp;sourceID=49","")</f>
        <v/>
      </c>
    </row>
    <row r="1003" spans="1:8">
      <c r="A1003" s="3">
        <v>18</v>
      </c>
      <c r="B1003" s="3">
        <v>16</v>
      </c>
      <c r="C1003" s="3">
        <v>83</v>
      </c>
      <c r="D1003" s="3">
        <v>60</v>
      </c>
      <c r="E1003" s="3">
        <f>((1/(INDEX(E0!J$4:J$87,C1003,1)-INDEX(E0!J$4:J$87,D1003,1))))*100000000</f>
        <v>0</v>
      </c>
      <c r="F1003" s="4" t="str">
        <f>HYPERLINK("http://141.218.60.56/~jnz1568/getInfo.php?workbook=18_16.xlsx&amp;sheet=A0&amp;row=1003&amp;col=6&amp;number=10922&amp;sourceID=48","10922")</f>
        <v>10922</v>
      </c>
      <c r="G1003" s="4" t="str">
        <f>HYPERLINK("http://141.218.60.56/~jnz1568/getInfo.php?workbook=18_16.xlsx&amp;sheet=A0&amp;row=1003&amp;col=7&amp;number=&amp;sourceID=49","")</f>
        <v/>
      </c>
      <c r="H1003" s="4" t="str">
        <f>HYPERLINK("http://141.218.60.56/~jnz1568/getInfo.php?workbook=18_16.xlsx&amp;sheet=A0&amp;row=1003&amp;col=8&amp;number=&amp;sourceID=49","")</f>
        <v/>
      </c>
    </row>
    <row r="1004" spans="1:8">
      <c r="A1004" s="3">
        <v>18</v>
      </c>
      <c r="B1004" s="3">
        <v>16</v>
      </c>
      <c r="C1004" s="3">
        <v>83</v>
      </c>
      <c r="D1004" s="3">
        <v>61</v>
      </c>
      <c r="E1004" s="3">
        <f>((1/(INDEX(E0!J$4:J$87,C1004,1)-INDEX(E0!J$4:J$87,D1004,1))))*100000000</f>
        <v>0</v>
      </c>
      <c r="F1004" s="4" t="str">
        <f>HYPERLINK("http://141.218.60.56/~jnz1568/getInfo.php?workbook=18_16.xlsx&amp;sheet=A0&amp;row=1004&amp;col=6&amp;number=229850&amp;sourceID=48","229850")</f>
        <v>229850</v>
      </c>
      <c r="G1004" s="4" t="str">
        <f>HYPERLINK("http://141.218.60.56/~jnz1568/getInfo.php?workbook=18_16.xlsx&amp;sheet=A0&amp;row=1004&amp;col=7&amp;number=&amp;sourceID=49","")</f>
        <v/>
      </c>
      <c r="H1004" s="4" t="str">
        <f>HYPERLINK("http://141.218.60.56/~jnz1568/getInfo.php?workbook=18_16.xlsx&amp;sheet=A0&amp;row=1004&amp;col=8&amp;number=&amp;sourceID=49","")</f>
        <v/>
      </c>
    </row>
    <row r="1005" spans="1:8">
      <c r="A1005" s="3">
        <v>18</v>
      </c>
      <c r="B1005" s="3">
        <v>16</v>
      </c>
      <c r="C1005" s="3">
        <v>83</v>
      </c>
      <c r="D1005" s="3">
        <v>63</v>
      </c>
      <c r="E1005" s="3">
        <f>((1/(INDEX(E0!J$4:J$87,C1005,1)-INDEX(E0!J$4:J$87,D1005,1))))*100000000</f>
        <v>0</v>
      </c>
      <c r="F1005" s="4" t="str">
        <f>HYPERLINK("http://141.218.60.56/~jnz1568/getInfo.php?workbook=18_16.xlsx&amp;sheet=A0&amp;row=1005&amp;col=6&amp;number=176.44&amp;sourceID=48","176.44")</f>
        <v>176.44</v>
      </c>
      <c r="G1005" s="4" t="str">
        <f>HYPERLINK("http://141.218.60.56/~jnz1568/getInfo.php?workbook=18_16.xlsx&amp;sheet=A0&amp;row=1005&amp;col=7&amp;number=&amp;sourceID=49","")</f>
        <v/>
      </c>
      <c r="H1005" s="4" t="str">
        <f>HYPERLINK("http://141.218.60.56/~jnz1568/getInfo.php?workbook=18_16.xlsx&amp;sheet=A0&amp;row=1005&amp;col=8&amp;number=&amp;sourceID=49","")</f>
        <v/>
      </c>
    </row>
    <row r="1006" spans="1:8">
      <c r="A1006" s="3">
        <v>18</v>
      </c>
      <c r="B1006" s="3">
        <v>16</v>
      </c>
      <c r="C1006" s="3">
        <v>83</v>
      </c>
      <c r="D1006" s="3">
        <v>75</v>
      </c>
      <c r="E1006" s="3">
        <f>((1/(INDEX(E0!J$4:J$87,C1006,1)-INDEX(E0!J$4:J$87,D1006,1))))*100000000</f>
        <v>0</v>
      </c>
      <c r="F1006" s="4" t="str">
        <f>HYPERLINK("http://141.218.60.56/~jnz1568/getInfo.php?workbook=18_16.xlsx&amp;sheet=A0&amp;row=1006&amp;col=6&amp;number=17.407&amp;sourceID=48","17.407")</f>
        <v>17.407</v>
      </c>
      <c r="G1006" s="4" t="str">
        <f>HYPERLINK("http://141.218.60.56/~jnz1568/getInfo.php?workbook=18_16.xlsx&amp;sheet=A0&amp;row=1006&amp;col=7&amp;number=&amp;sourceID=49","")</f>
        <v/>
      </c>
      <c r="H1006" s="4" t="str">
        <f>HYPERLINK("http://141.218.60.56/~jnz1568/getInfo.php?workbook=18_16.xlsx&amp;sheet=A0&amp;row=1006&amp;col=8&amp;number=&amp;sourceID=49","")</f>
        <v/>
      </c>
    </row>
    <row r="1007" spans="1:8">
      <c r="A1007" s="3">
        <v>18</v>
      </c>
      <c r="B1007" s="3">
        <v>16</v>
      </c>
      <c r="C1007" s="3">
        <v>84</v>
      </c>
      <c r="D1007" s="3">
        <v>6</v>
      </c>
      <c r="E1007" s="3">
        <f>((1/(INDEX(E0!J$4:J$87,C1007,1)-INDEX(E0!J$4:J$87,D1007,1))))*100000000</f>
        <v>0</v>
      </c>
      <c r="F1007" s="4" t="str">
        <f>HYPERLINK("http://141.218.60.56/~jnz1568/getInfo.php?workbook=18_16.xlsx&amp;sheet=A0&amp;row=1007&amp;col=6&amp;number=384460&amp;sourceID=48","384460")</f>
        <v>384460</v>
      </c>
      <c r="G1007" s="4" t="str">
        <f>HYPERLINK("http://141.218.60.56/~jnz1568/getInfo.php?workbook=18_16.xlsx&amp;sheet=A0&amp;row=1007&amp;col=7&amp;number=&amp;sourceID=49","")</f>
        <v/>
      </c>
      <c r="H1007" s="4" t="str">
        <f>HYPERLINK("http://141.218.60.56/~jnz1568/getInfo.php?workbook=18_16.xlsx&amp;sheet=A0&amp;row=1007&amp;col=8&amp;number=&amp;sourceID=49","")</f>
        <v/>
      </c>
    </row>
    <row r="1008" spans="1:8">
      <c r="A1008" s="3">
        <v>18</v>
      </c>
      <c r="B1008" s="3">
        <v>16</v>
      </c>
      <c r="C1008" s="3">
        <v>84</v>
      </c>
      <c r="D1008" s="3">
        <v>7</v>
      </c>
      <c r="E1008" s="3">
        <f>((1/(INDEX(E0!J$4:J$87,C1008,1)-INDEX(E0!J$4:J$87,D1008,1))))*100000000</f>
        <v>0</v>
      </c>
      <c r="F1008" s="4" t="str">
        <f>HYPERLINK("http://141.218.60.56/~jnz1568/getInfo.php?workbook=18_16.xlsx&amp;sheet=A0&amp;row=1008&amp;col=6&amp;number=49818&amp;sourceID=48","49818")</f>
        <v>49818</v>
      </c>
      <c r="G1008" s="4" t="str">
        <f>HYPERLINK("http://141.218.60.56/~jnz1568/getInfo.php?workbook=18_16.xlsx&amp;sheet=A0&amp;row=1008&amp;col=7&amp;number=&amp;sourceID=49","")</f>
        <v/>
      </c>
      <c r="H1008" s="4" t="str">
        <f>HYPERLINK("http://141.218.60.56/~jnz1568/getInfo.php?workbook=18_16.xlsx&amp;sheet=A0&amp;row=1008&amp;col=8&amp;number=&amp;sourceID=49","")</f>
        <v/>
      </c>
    </row>
    <row r="1009" spans="1:8">
      <c r="A1009" s="3">
        <v>18</v>
      </c>
      <c r="B1009" s="3">
        <v>16</v>
      </c>
      <c r="C1009" s="3">
        <v>84</v>
      </c>
      <c r="D1009" s="3">
        <v>9</v>
      </c>
      <c r="E1009" s="3">
        <f>((1/(INDEX(E0!J$4:J$87,C1009,1)-INDEX(E0!J$4:J$87,D1009,1))))*100000000</f>
        <v>0</v>
      </c>
      <c r="F1009" s="4" t="str">
        <f>HYPERLINK("http://141.218.60.56/~jnz1568/getInfo.php?workbook=18_16.xlsx&amp;sheet=A0&amp;row=1009&amp;col=6&amp;number=49660&amp;sourceID=48","49660")</f>
        <v>49660</v>
      </c>
      <c r="G1009" s="4" t="str">
        <f>HYPERLINK("http://141.218.60.56/~jnz1568/getInfo.php?workbook=18_16.xlsx&amp;sheet=A0&amp;row=1009&amp;col=7&amp;number=&amp;sourceID=49","")</f>
        <v/>
      </c>
      <c r="H1009" s="4" t="str">
        <f>HYPERLINK("http://141.218.60.56/~jnz1568/getInfo.php?workbook=18_16.xlsx&amp;sheet=A0&amp;row=1009&amp;col=8&amp;number=&amp;sourceID=49","")</f>
        <v/>
      </c>
    </row>
    <row r="1010" spans="1:8">
      <c r="A1010" s="3">
        <v>18</v>
      </c>
      <c r="B1010" s="3">
        <v>16</v>
      </c>
      <c r="C1010" s="3">
        <v>84</v>
      </c>
      <c r="D1010" s="3">
        <v>11</v>
      </c>
      <c r="E1010" s="3">
        <f>((1/(INDEX(E0!J$4:J$87,C1010,1)-INDEX(E0!J$4:J$87,D1010,1))))*100000000</f>
        <v>0</v>
      </c>
      <c r="F1010" s="4" t="str">
        <f>HYPERLINK("http://141.218.60.56/~jnz1568/getInfo.php?workbook=18_16.xlsx&amp;sheet=A0&amp;row=1010&amp;col=6&amp;number=81.826&amp;sourceID=48","81.826")</f>
        <v>81.826</v>
      </c>
      <c r="G1010" s="4" t="str">
        <f>HYPERLINK("http://141.218.60.56/~jnz1568/getInfo.php?workbook=18_16.xlsx&amp;sheet=A0&amp;row=1010&amp;col=7&amp;number=&amp;sourceID=49","")</f>
        <v/>
      </c>
      <c r="H1010" s="4" t="str">
        <f>HYPERLINK("http://141.218.60.56/~jnz1568/getInfo.php?workbook=18_16.xlsx&amp;sheet=A0&amp;row=1010&amp;col=8&amp;number=&amp;sourceID=49","")</f>
        <v/>
      </c>
    </row>
    <row r="1011" spans="1:8">
      <c r="A1011" s="3">
        <v>18</v>
      </c>
      <c r="B1011" s="3">
        <v>16</v>
      </c>
      <c r="C1011" s="3">
        <v>84</v>
      </c>
      <c r="D1011" s="3">
        <v>12</v>
      </c>
      <c r="E1011" s="3">
        <f>((1/(INDEX(E0!J$4:J$87,C1011,1)-INDEX(E0!J$4:J$87,D1011,1))))*100000000</f>
        <v>0</v>
      </c>
      <c r="F1011" s="4" t="str">
        <f>HYPERLINK("http://141.218.60.56/~jnz1568/getInfo.php?workbook=18_16.xlsx&amp;sheet=A0&amp;row=1011&amp;col=6&amp;number=371.67&amp;sourceID=48","371.67")</f>
        <v>371.67</v>
      </c>
      <c r="G1011" s="4" t="str">
        <f>HYPERLINK("http://141.218.60.56/~jnz1568/getInfo.php?workbook=18_16.xlsx&amp;sheet=A0&amp;row=1011&amp;col=7&amp;number=&amp;sourceID=49","")</f>
        <v/>
      </c>
      <c r="H1011" s="4" t="str">
        <f>HYPERLINK("http://141.218.60.56/~jnz1568/getInfo.php?workbook=18_16.xlsx&amp;sheet=A0&amp;row=1011&amp;col=8&amp;number=&amp;sourceID=49","")</f>
        <v/>
      </c>
    </row>
    <row r="1012" spans="1:8">
      <c r="A1012" s="3">
        <v>18</v>
      </c>
      <c r="B1012" s="3">
        <v>16</v>
      </c>
      <c r="C1012" s="3">
        <v>84</v>
      </c>
      <c r="D1012" s="3">
        <v>13</v>
      </c>
      <c r="E1012" s="3">
        <f>((1/(INDEX(E0!J$4:J$87,C1012,1)-INDEX(E0!J$4:J$87,D1012,1))))*100000000</f>
        <v>0</v>
      </c>
      <c r="F1012" s="4" t="str">
        <f>HYPERLINK("http://141.218.60.56/~jnz1568/getInfo.php?workbook=18_16.xlsx&amp;sheet=A0&amp;row=1012&amp;col=6&amp;number=291.6&amp;sourceID=48","291.6")</f>
        <v>291.6</v>
      </c>
      <c r="G1012" s="4" t="str">
        <f>HYPERLINK("http://141.218.60.56/~jnz1568/getInfo.php?workbook=18_16.xlsx&amp;sheet=A0&amp;row=1012&amp;col=7&amp;number=&amp;sourceID=49","")</f>
        <v/>
      </c>
      <c r="H1012" s="4" t="str">
        <f>HYPERLINK("http://141.218.60.56/~jnz1568/getInfo.php?workbook=18_16.xlsx&amp;sheet=A0&amp;row=1012&amp;col=8&amp;number=&amp;sourceID=49","")</f>
        <v/>
      </c>
    </row>
    <row r="1013" spans="1:8">
      <c r="A1013" s="3">
        <v>18</v>
      </c>
      <c r="B1013" s="3">
        <v>16</v>
      </c>
      <c r="C1013" s="3">
        <v>84</v>
      </c>
      <c r="D1013" s="3">
        <v>15</v>
      </c>
      <c r="E1013" s="3">
        <f>((1/(INDEX(E0!J$4:J$87,C1013,1)-INDEX(E0!J$4:J$87,D1013,1))))*100000000</f>
        <v>0</v>
      </c>
      <c r="F1013" s="4" t="str">
        <f>HYPERLINK("http://141.218.60.56/~jnz1568/getInfo.php?workbook=18_16.xlsx&amp;sheet=A0&amp;row=1013&amp;col=6&amp;number=25695&amp;sourceID=48","25695")</f>
        <v>25695</v>
      </c>
      <c r="G1013" s="4" t="str">
        <f>HYPERLINK("http://141.218.60.56/~jnz1568/getInfo.php?workbook=18_16.xlsx&amp;sheet=A0&amp;row=1013&amp;col=7&amp;number=&amp;sourceID=49","")</f>
        <v/>
      </c>
      <c r="H1013" s="4" t="str">
        <f>HYPERLINK("http://141.218.60.56/~jnz1568/getInfo.php?workbook=18_16.xlsx&amp;sheet=A0&amp;row=1013&amp;col=8&amp;number=&amp;sourceID=49","")</f>
        <v/>
      </c>
    </row>
    <row r="1014" spans="1:8">
      <c r="A1014" s="3">
        <v>18</v>
      </c>
      <c r="B1014" s="3">
        <v>16</v>
      </c>
      <c r="C1014" s="3">
        <v>84</v>
      </c>
      <c r="D1014" s="3">
        <v>16</v>
      </c>
      <c r="E1014" s="3">
        <f>((1/(INDEX(E0!J$4:J$87,C1014,1)-INDEX(E0!J$4:J$87,D1014,1))))*100000000</f>
        <v>0</v>
      </c>
      <c r="F1014" s="4" t="str">
        <f>HYPERLINK("http://141.218.60.56/~jnz1568/getInfo.php?workbook=18_16.xlsx&amp;sheet=A0&amp;row=1014&amp;col=6&amp;number=18.339&amp;sourceID=48","18.339")</f>
        <v>18.339</v>
      </c>
      <c r="G1014" s="4" t="str">
        <f>HYPERLINK("http://141.218.60.56/~jnz1568/getInfo.php?workbook=18_16.xlsx&amp;sheet=A0&amp;row=1014&amp;col=7&amp;number=&amp;sourceID=49","")</f>
        <v/>
      </c>
      <c r="H1014" s="4" t="str">
        <f>HYPERLINK("http://141.218.60.56/~jnz1568/getInfo.php?workbook=18_16.xlsx&amp;sheet=A0&amp;row=1014&amp;col=8&amp;number=&amp;sourceID=49","")</f>
        <v/>
      </c>
    </row>
    <row r="1015" spans="1:8">
      <c r="A1015" s="3">
        <v>18</v>
      </c>
      <c r="B1015" s="3">
        <v>16</v>
      </c>
      <c r="C1015" s="3">
        <v>84</v>
      </c>
      <c r="D1015" s="3">
        <v>17</v>
      </c>
      <c r="E1015" s="3">
        <f>((1/(INDEX(E0!J$4:J$87,C1015,1)-INDEX(E0!J$4:J$87,D1015,1))))*100000000</f>
        <v>0</v>
      </c>
      <c r="F1015" s="4" t="str">
        <f>HYPERLINK("http://141.218.60.56/~jnz1568/getInfo.php?workbook=18_16.xlsx&amp;sheet=A0&amp;row=1015&amp;col=6&amp;number=5697.9&amp;sourceID=48","5697.9")</f>
        <v>5697.9</v>
      </c>
      <c r="G1015" s="4" t="str">
        <f>HYPERLINK("http://141.218.60.56/~jnz1568/getInfo.php?workbook=18_16.xlsx&amp;sheet=A0&amp;row=1015&amp;col=7&amp;number=&amp;sourceID=49","")</f>
        <v/>
      </c>
      <c r="H1015" s="4" t="str">
        <f>HYPERLINK("http://141.218.60.56/~jnz1568/getInfo.php?workbook=18_16.xlsx&amp;sheet=A0&amp;row=1015&amp;col=8&amp;number=&amp;sourceID=49","")</f>
        <v/>
      </c>
    </row>
    <row r="1016" spans="1:8">
      <c r="A1016" s="3">
        <v>18</v>
      </c>
      <c r="B1016" s="3">
        <v>16</v>
      </c>
      <c r="C1016" s="3">
        <v>84</v>
      </c>
      <c r="D1016" s="3">
        <v>19</v>
      </c>
      <c r="E1016" s="3">
        <f>((1/(INDEX(E0!J$4:J$87,C1016,1)-INDEX(E0!J$4:J$87,D1016,1))))*100000000</f>
        <v>0</v>
      </c>
      <c r="F1016" s="4" t="str">
        <f>HYPERLINK("http://141.218.60.56/~jnz1568/getInfo.php?workbook=18_16.xlsx&amp;sheet=A0&amp;row=1016&amp;col=6&amp;number=26481&amp;sourceID=48","26481")</f>
        <v>26481</v>
      </c>
      <c r="G1016" s="4" t="str">
        <f>HYPERLINK("http://141.218.60.56/~jnz1568/getInfo.php?workbook=18_16.xlsx&amp;sheet=A0&amp;row=1016&amp;col=7&amp;number=&amp;sourceID=49","")</f>
        <v/>
      </c>
      <c r="H1016" s="4" t="str">
        <f>HYPERLINK("http://141.218.60.56/~jnz1568/getInfo.php?workbook=18_16.xlsx&amp;sheet=A0&amp;row=1016&amp;col=8&amp;number=&amp;sourceID=49","")</f>
        <v/>
      </c>
    </row>
    <row r="1017" spans="1:8">
      <c r="A1017" s="3">
        <v>18</v>
      </c>
      <c r="B1017" s="3">
        <v>16</v>
      </c>
      <c r="C1017" s="3">
        <v>84</v>
      </c>
      <c r="D1017" s="3">
        <v>20</v>
      </c>
      <c r="E1017" s="3">
        <f>((1/(INDEX(E0!J$4:J$87,C1017,1)-INDEX(E0!J$4:J$87,D1017,1))))*100000000</f>
        <v>0</v>
      </c>
      <c r="F1017" s="4" t="str">
        <f>HYPERLINK("http://141.218.60.56/~jnz1568/getInfo.php?workbook=18_16.xlsx&amp;sheet=A0&amp;row=1017&amp;col=6&amp;number=109630&amp;sourceID=48","109630")</f>
        <v>109630</v>
      </c>
      <c r="G1017" s="4" t="str">
        <f>HYPERLINK("http://141.218.60.56/~jnz1568/getInfo.php?workbook=18_16.xlsx&amp;sheet=A0&amp;row=1017&amp;col=7&amp;number=&amp;sourceID=49","")</f>
        <v/>
      </c>
      <c r="H1017" s="4" t="str">
        <f>HYPERLINK("http://141.218.60.56/~jnz1568/getInfo.php?workbook=18_16.xlsx&amp;sheet=A0&amp;row=1017&amp;col=8&amp;number=&amp;sourceID=49","")</f>
        <v/>
      </c>
    </row>
    <row r="1018" spans="1:8">
      <c r="A1018" s="3">
        <v>18</v>
      </c>
      <c r="B1018" s="3">
        <v>16</v>
      </c>
      <c r="C1018" s="3">
        <v>84</v>
      </c>
      <c r="D1018" s="3">
        <v>22</v>
      </c>
      <c r="E1018" s="3">
        <f>((1/(INDEX(E0!J$4:J$87,C1018,1)-INDEX(E0!J$4:J$87,D1018,1))))*100000000</f>
        <v>0</v>
      </c>
      <c r="F1018" s="4" t="str">
        <f>HYPERLINK("http://141.218.60.56/~jnz1568/getInfo.php?workbook=18_16.xlsx&amp;sheet=A0&amp;row=1018&amp;col=6&amp;number=495250&amp;sourceID=48","495250")</f>
        <v>495250</v>
      </c>
      <c r="G1018" s="4" t="str">
        <f>HYPERLINK("http://141.218.60.56/~jnz1568/getInfo.php?workbook=18_16.xlsx&amp;sheet=A0&amp;row=1018&amp;col=7&amp;number=&amp;sourceID=49","")</f>
        <v/>
      </c>
      <c r="H1018" s="4" t="str">
        <f>HYPERLINK("http://141.218.60.56/~jnz1568/getInfo.php?workbook=18_16.xlsx&amp;sheet=A0&amp;row=1018&amp;col=8&amp;number=&amp;sourceID=49","")</f>
        <v/>
      </c>
    </row>
    <row r="1019" spans="1:8">
      <c r="A1019" s="3">
        <v>18</v>
      </c>
      <c r="B1019" s="3">
        <v>16</v>
      </c>
      <c r="C1019" s="3">
        <v>84</v>
      </c>
      <c r="D1019" s="3">
        <v>25</v>
      </c>
      <c r="E1019" s="3">
        <f>((1/(INDEX(E0!J$4:J$87,C1019,1)-INDEX(E0!J$4:J$87,D1019,1))))*100000000</f>
        <v>0</v>
      </c>
      <c r="F1019" s="4" t="str">
        <f>HYPERLINK("http://141.218.60.56/~jnz1568/getInfo.php?workbook=18_16.xlsx&amp;sheet=A0&amp;row=1019&amp;col=6&amp;number=29.503&amp;sourceID=48","29.503")</f>
        <v>29.503</v>
      </c>
      <c r="G1019" s="4" t="str">
        <f>HYPERLINK("http://141.218.60.56/~jnz1568/getInfo.php?workbook=18_16.xlsx&amp;sheet=A0&amp;row=1019&amp;col=7&amp;number=&amp;sourceID=49","")</f>
        <v/>
      </c>
      <c r="H1019" s="4" t="str">
        <f>HYPERLINK("http://141.218.60.56/~jnz1568/getInfo.php?workbook=18_16.xlsx&amp;sheet=A0&amp;row=1019&amp;col=8&amp;number=&amp;sourceID=49","")</f>
        <v/>
      </c>
    </row>
    <row r="1020" spans="1:8">
      <c r="A1020" s="3">
        <v>18</v>
      </c>
      <c r="B1020" s="3">
        <v>16</v>
      </c>
      <c r="C1020" s="3">
        <v>84</v>
      </c>
      <c r="D1020" s="3">
        <v>27</v>
      </c>
      <c r="E1020" s="3">
        <f>((1/(INDEX(E0!J$4:J$87,C1020,1)-INDEX(E0!J$4:J$87,D1020,1))))*100000000</f>
        <v>0</v>
      </c>
      <c r="F1020" s="4" t="str">
        <f>HYPERLINK("http://141.218.60.56/~jnz1568/getInfo.php?workbook=18_16.xlsx&amp;sheet=A0&amp;row=1020&amp;col=6&amp;number=45334000&amp;sourceID=48","45334000")</f>
        <v>45334000</v>
      </c>
      <c r="G1020" s="4" t="str">
        <f>HYPERLINK("http://141.218.60.56/~jnz1568/getInfo.php?workbook=18_16.xlsx&amp;sheet=A0&amp;row=1020&amp;col=7&amp;number=&amp;sourceID=49","")</f>
        <v/>
      </c>
      <c r="H1020" s="4" t="str">
        <f>HYPERLINK("http://141.218.60.56/~jnz1568/getInfo.php?workbook=18_16.xlsx&amp;sheet=A0&amp;row=1020&amp;col=8&amp;number=&amp;sourceID=49","")</f>
        <v/>
      </c>
    </row>
    <row r="1021" spans="1:8">
      <c r="A1021" s="3">
        <v>18</v>
      </c>
      <c r="B1021" s="3">
        <v>16</v>
      </c>
      <c r="C1021" s="3">
        <v>84</v>
      </c>
      <c r="D1021" s="3">
        <v>28</v>
      </c>
      <c r="E1021" s="3">
        <f>((1/(INDEX(E0!J$4:J$87,C1021,1)-INDEX(E0!J$4:J$87,D1021,1))))*100000000</f>
        <v>0</v>
      </c>
      <c r="F1021" s="4" t="str">
        <f>HYPERLINK("http://141.218.60.56/~jnz1568/getInfo.php?workbook=18_16.xlsx&amp;sheet=A0&amp;row=1021&amp;col=6&amp;number=105880&amp;sourceID=48","105880")</f>
        <v>105880</v>
      </c>
      <c r="G1021" s="4" t="str">
        <f>HYPERLINK("http://141.218.60.56/~jnz1568/getInfo.php?workbook=18_16.xlsx&amp;sheet=A0&amp;row=1021&amp;col=7&amp;number=&amp;sourceID=49","")</f>
        <v/>
      </c>
      <c r="H1021" s="4" t="str">
        <f>HYPERLINK("http://141.218.60.56/~jnz1568/getInfo.php?workbook=18_16.xlsx&amp;sheet=A0&amp;row=1021&amp;col=8&amp;number=&amp;sourceID=49","")</f>
        <v/>
      </c>
    </row>
    <row r="1022" spans="1:8">
      <c r="A1022" s="3">
        <v>18</v>
      </c>
      <c r="B1022" s="3">
        <v>16</v>
      </c>
      <c r="C1022" s="3">
        <v>84</v>
      </c>
      <c r="D1022" s="3">
        <v>30</v>
      </c>
      <c r="E1022" s="3">
        <f>((1/(INDEX(E0!J$4:J$87,C1022,1)-INDEX(E0!J$4:J$87,D1022,1))))*100000000</f>
        <v>0</v>
      </c>
      <c r="F1022" s="4" t="str">
        <f>HYPERLINK("http://141.218.60.56/~jnz1568/getInfo.php?workbook=18_16.xlsx&amp;sheet=A0&amp;row=1022&amp;col=6&amp;number=135.9&amp;sourceID=48","135.9")</f>
        <v>135.9</v>
      </c>
      <c r="G1022" s="4" t="str">
        <f>HYPERLINK("http://141.218.60.56/~jnz1568/getInfo.php?workbook=18_16.xlsx&amp;sheet=A0&amp;row=1022&amp;col=7&amp;number=&amp;sourceID=49","")</f>
        <v/>
      </c>
      <c r="H1022" s="4" t="str">
        <f>HYPERLINK("http://141.218.60.56/~jnz1568/getInfo.php?workbook=18_16.xlsx&amp;sheet=A0&amp;row=1022&amp;col=8&amp;number=&amp;sourceID=49","")</f>
        <v/>
      </c>
    </row>
    <row r="1023" spans="1:8">
      <c r="A1023" s="3">
        <v>18</v>
      </c>
      <c r="B1023" s="3">
        <v>16</v>
      </c>
      <c r="C1023" s="3">
        <v>84</v>
      </c>
      <c r="D1023" s="3">
        <v>31</v>
      </c>
      <c r="E1023" s="3">
        <f>((1/(INDEX(E0!J$4:J$87,C1023,1)-INDEX(E0!J$4:J$87,D1023,1))))*100000000</f>
        <v>0</v>
      </c>
      <c r="F1023" s="4" t="str">
        <f>HYPERLINK("http://141.218.60.56/~jnz1568/getInfo.php?workbook=18_16.xlsx&amp;sheet=A0&amp;row=1023&amp;col=6&amp;number=33503&amp;sourceID=48","33503")</f>
        <v>33503</v>
      </c>
      <c r="G1023" s="4" t="str">
        <f>HYPERLINK("http://141.218.60.56/~jnz1568/getInfo.php?workbook=18_16.xlsx&amp;sheet=A0&amp;row=1023&amp;col=7&amp;number=&amp;sourceID=49","")</f>
        <v/>
      </c>
      <c r="H1023" s="4" t="str">
        <f>HYPERLINK("http://141.218.60.56/~jnz1568/getInfo.php?workbook=18_16.xlsx&amp;sheet=A0&amp;row=1023&amp;col=8&amp;number=&amp;sourceID=49","")</f>
        <v/>
      </c>
    </row>
    <row r="1024" spans="1:8">
      <c r="A1024" s="3">
        <v>18</v>
      </c>
      <c r="B1024" s="3">
        <v>16</v>
      </c>
      <c r="C1024" s="3">
        <v>84</v>
      </c>
      <c r="D1024" s="3">
        <v>32</v>
      </c>
      <c r="E1024" s="3">
        <f>((1/(INDEX(E0!J$4:J$87,C1024,1)-INDEX(E0!J$4:J$87,D1024,1))))*100000000</f>
        <v>0</v>
      </c>
      <c r="F1024" s="4" t="str">
        <f>HYPERLINK("http://141.218.60.56/~jnz1568/getInfo.php?workbook=18_16.xlsx&amp;sheet=A0&amp;row=1024&amp;col=6&amp;number=2946.7&amp;sourceID=48","2946.7")</f>
        <v>2946.7</v>
      </c>
      <c r="G1024" s="4" t="str">
        <f>HYPERLINK("http://141.218.60.56/~jnz1568/getInfo.php?workbook=18_16.xlsx&amp;sheet=A0&amp;row=1024&amp;col=7&amp;number=&amp;sourceID=49","")</f>
        <v/>
      </c>
      <c r="H1024" s="4" t="str">
        <f>HYPERLINK("http://141.218.60.56/~jnz1568/getInfo.php?workbook=18_16.xlsx&amp;sheet=A0&amp;row=1024&amp;col=8&amp;number=&amp;sourceID=49","")</f>
        <v/>
      </c>
    </row>
    <row r="1025" spans="1:8">
      <c r="A1025" s="3">
        <v>18</v>
      </c>
      <c r="B1025" s="3">
        <v>16</v>
      </c>
      <c r="C1025" s="3">
        <v>84</v>
      </c>
      <c r="D1025" s="3">
        <v>33</v>
      </c>
      <c r="E1025" s="3">
        <f>((1/(INDEX(E0!J$4:J$87,C1025,1)-INDEX(E0!J$4:J$87,D1025,1))))*100000000</f>
        <v>0</v>
      </c>
      <c r="F1025" s="4" t="str">
        <f>HYPERLINK("http://141.218.60.56/~jnz1568/getInfo.php?workbook=18_16.xlsx&amp;sheet=A0&amp;row=1025&amp;col=6&amp;number=105110&amp;sourceID=48","105110")</f>
        <v>105110</v>
      </c>
      <c r="G1025" s="4" t="str">
        <f>HYPERLINK("http://141.218.60.56/~jnz1568/getInfo.php?workbook=18_16.xlsx&amp;sheet=A0&amp;row=1025&amp;col=7&amp;number=&amp;sourceID=49","")</f>
        <v/>
      </c>
      <c r="H1025" s="4" t="str">
        <f>HYPERLINK("http://141.218.60.56/~jnz1568/getInfo.php?workbook=18_16.xlsx&amp;sheet=A0&amp;row=1025&amp;col=8&amp;number=&amp;sourceID=49","")</f>
        <v/>
      </c>
    </row>
    <row r="1026" spans="1:8">
      <c r="A1026" s="3">
        <v>18</v>
      </c>
      <c r="B1026" s="3">
        <v>16</v>
      </c>
      <c r="C1026" s="3">
        <v>84</v>
      </c>
      <c r="D1026" s="3">
        <v>35</v>
      </c>
      <c r="E1026" s="3">
        <f>((1/(INDEX(E0!J$4:J$87,C1026,1)-INDEX(E0!J$4:J$87,D1026,1))))*100000000</f>
        <v>0</v>
      </c>
      <c r="F1026" s="4" t="str">
        <f>HYPERLINK("http://141.218.60.56/~jnz1568/getInfo.php?workbook=18_16.xlsx&amp;sheet=A0&amp;row=1026&amp;col=6&amp;number=82838&amp;sourceID=48","82838")</f>
        <v>82838</v>
      </c>
      <c r="G1026" s="4" t="str">
        <f>HYPERLINK("http://141.218.60.56/~jnz1568/getInfo.php?workbook=18_16.xlsx&amp;sheet=A0&amp;row=1026&amp;col=7&amp;number=&amp;sourceID=49","")</f>
        <v/>
      </c>
      <c r="H1026" s="4" t="str">
        <f>HYPERLINK("http://141.218.60.56/~jnz1568/getInfo.php?workbook=18_16.xlsx&amp;sheet=A0&amp;row=1026&amp;col=8&amp;number=&amp;sourceID=49","")</f>
        <v/>
      </c>
    </row>
    <row r="1027" spans="1:8">
      <c r="A1027" s="3">
        <v>18</v>
      </c>
      <c r="B1027" s="3">
        <v>16</v>
      </c>
      <c r="C1027" s="3">
        <v>84</v>
      </c>
      <c r="D1027" s="3">
        <v>36</v>
      </c>
      <c r="E1027" s="3">
        <f>((1/(INDEX(E0!J$4:J$87,C1027,1)-INDEX(E0!J$4:J$87,D1027,1))))*100000000</f>
        <v>0</v>
      </c>
      <c r="F1027" s="4" t="str">
        <f>HYPERLINK("http://141.218.60.56/~jnz1568/getInfo.php?workbook=18_16.xlsx&amp;sheet=A0&amp;row=1027&amp;col=6&amp;number=1492300&amp;sourceID=48","1492300")</f>
        <v>1492300</v>
      </c>
      <c r="G1027" s="4" t="str">
        <f>HYPERLINK("http://141.218.60.56/~jnz1568/getInfo.php?workbook=18_16.xlsx&amp;sheet=A0&amp;row=1027&amp;col=7&amp;number=&amp;sourceID=49","")</f>
        <v/>
      </c>
      <c r="H1027" s="4" t="str">
        <f>HYPERLINK("http://141.218.60.56/~jnz1568/getInfo.php?workbook=18_16.xlsx&amp;sheet=A0&amp;row=1027&amp;col=8&amp;number=&amp;sourceID=49","")</f>
        <v/>
      </c>
    </row>
    <row r="1028" spans="1:8">
      <c r="A1028" s="3">
        <v>18</v>
      </c>
      <c r="B1028" s="3">
        <v>16</v>
      </c>
      <c r="C1028" s="3">
        <v>84</v>
      </c>
      <c r="D1028" s="3">
        <v>37</v>
      </c>
      <c r="E1028" s="3">
        <f>((1/(INDEX(E0!J$4:J$87,C1028,1)-INDEX(E0!J$4:J$87,D1028,1))))*100000000</f>
        <v>0</v>
      </c>
      <c r="F1028" s="4" t="str">
        <f>HYPERLINK("http://141.218.60.56/~jnz1568/getInfo.php?workbook=18_16.xlsx&amp;sheet=A0&amp;row=1028&amp;col=6&amp;number=163440&amp;sourceID=48","163440")</f>
        <v>163440</v>
      </c>
      <c r="G1028" s="4" t="str">
        <f>HYPERLINK("http://141.218.60.56/~jnz1568/getInfo.php?workbook=18_16.xlsx&amp;sheet=A0&amp;row=1028&amp;col=7&amp;number=&amp;sourceID=49","")</f>
        <v/>
      </c>
      <c r="H1028" s="4" t="str">
        <f>HYPERLINK("http://141.218.60.56/~jnz1568/getInfo.php?workbook=18_16.xlsx&amp;sheet=A0&amp;row=1028&amp;col=8&amp;number=&amp;sourceID=49","")</f>
        <v/>
      </c>
    </row>
    <row r="1029" spans="1:8">
      <c r="A1029" s="3">
        <v>18</v>
      </c>
      <c r="B1029" s="3">
        <v>16</v>
      </c>
      <c r="C1029" s="3">
        <v>84</v>
      </c>
      <c r="D1029" s="3">
        <v>38</v>
      </c>
      <c r="E1029" s="3">
        <f>((1/(INDEX(E0!J$4:J$87,C1029,1)-INDEX(E0!J$4:J$87,D1029,1))))*100000000</f>
        <v>0</v>
      </c>
      <c r="F1029" s="4" t="str">
        <f>HYPERLINK("http://141.218.60.56/~jnz1568/getInfo.php?workbook=18_16.xlsx&amp;sheet=A0&amp;row=1029&amp;col=6&amp;number=28712&amp;sourceID=48","28712")</f>
        <v>28712</v>
      </c>
      <c r="G1029" s="4" t="str">
        <f>HYPERLINK("http://141.218.60.56/~jnz1568/getInfo.php?workbook=18_16.xlsx&amp;sheet=A0&amp;row=1029&amp;col=7&amp;number=&amp;sourceID=49","")</f>
        <v/>
      </c>
      <c r="H1029" s="4" t="str">
        <f>HYPERLINK("http://141.218.60.56/~jnz1568/getInfo.php?workbook=18_16.xlsx&amp;sheet=A0&amp;row=1029&amp;col=8&amp;number=&amp;sourceID=49","")</f>
        <v/>
      </c>
    </row>
    <row r="1030" spans="1:8">
      <c r="A1030" s="3">
        <v>18</v>
      </c>
      <c r="B1030" s="3">
        <v>16</v>
      </c>
      <c r="C1030" s="3">
        <v>84</v>
      </c>
      <c r="D1030" s="3">
        <v>39</v>
      </c>
      <c r="E1030" s="3">
        <f>((1/(INDEX(E0!J$4:J$87,C1030,1)-INDEX(E0!J$4:J$87,D1030,1))))*100000000</f>
        <v>0</v>
      </c>
      <c r="F1030" s="4" t="str">
        <f>HYPERLINK("http://141.218.60.56/~jnz1568/getInfo.php?workbook=18_16.xlsx&amp;sheet=A0&amp;row=1030&amp;col=6&amp;number=9158.5&amp;sourceID=48","9158.5")</f>
        <v>9158.5</v>
      </c>
      <c r="G1030" s="4" t="str">
        <f>HYPERLINK("http://141.218.60.56/~jnz1568/getInfo.php?workbook=18_16.xlsx&amp;sheet=A0&amp;row=1030&amp;col=7&amp;number=&amp;sourceID=49","")</f>
        <v/>
      </c>
      <c r="H1030" s="4" t="str">
        <f>HYPERLINK("http://141.218.60.56/~jnz1568/getInfo.php?workbook=18_16.xlsx&amp;sheet=A0&amp;row=1030&amp;col=8&amp;number=&amp;sourceID=49","")</f>
        <v/>
      </c>
    </row>
    <row r="1031" spans="1:8">
      <c r="A1031" s="3">
        <v>18</v>
      </c>
      <c r="B1031" s="3">
        <v>16</v>
      </c>
      <c r="C1031" s="3">
        <v>84</v>
      </c>
      <c r="D1031" s="3">
        <v>40</v>
      </c>
      <c r="E1031" s="3">
        <f>((1/(INDEX(E0!J$4:J$87,C1031,1)-INDEX(E0!J$4:J$87,D1031,1))))*100000000</f>
        <v>0</v>
      </c>
      <c r="F1031" s="4" t="str">
        <f>HYPERLINK("http://141.218.60.56/~jnz1568/getInfo.php?workbook=18_16.xlsx&amp;sheet=A0&amp;row=1031&amp;col=6&amp;number=6626.7&amp;sourceID=48","6626.7")</f>
        <v>6626.7</v>
      </c>
      <c r="G1031" s="4" t="str">
        <f>HYPERLINK("http://141.218.60.56/~jnz1568/getInfo.php?workbook=18_16.xlsx&amp;sheet=A0&amp;row=1031&amp;col=7&amp;number=&amp;sourceID=49","")</f>
        <v/>
      </c>
      <c r="H1031" s="4" t="str">
        <f>HYPERLINK("http://141.218.60.56/~jnz1568/getInfo.php?workbook=18_16.xlsx&amp;sheet=A0&amp;row=1031&amp;col=8&amp;number=&amp;sourceID=49","")</f>
        <v/>
      </c>
    </row>
    <row r="1032" spans="1:8">
      <c r="A1032" s="3">
        <v>18</v>
      </c>
      <c r="B1032" s="3">
        <v>16</v>
      </c>
      <c r="C1032" s="3">
        <v>84</v>
      </c>
      <c r="D1032" s="3">
        <v>41</v>
      </c>
      <c r="E1032" s="3">
        <f>((1/(INDEX(E0!J$4:J$87,C1032,1)-INDEX(E0!J$4:J$87,D1032,1))))*100000000</f>
        <v>0</v>
      </c>
      <c r="F1032" s="4" t="str">
        <f>HYPERLINK("http://141.218.60.56/~jnz1568/getInfo.php?workbook=18_16.xlsx&amp;sheet=A0&amp;row=1032&amp;col=6&amp;number=45323000&amp;sourceID=48","45323000")</f>
        <v>45323000</v>
      </c>
      <c r="G1032" s="4" t="str">
        <f>HYPERLINK("http://141.218.60.56/~jnz1568/getInfo.php?workbook=18_16.xlsx&amp;sheet=A0&amp;row=1032&amp;col=7&amp;number=&amp;sourceID=49","")</f>
        <v/>
      </c>
      <c r="H1032" s="4" t="str">
        <f>HYPERLINK("http://141.218.60.56/~jnz1568/getInfo.php?workbook=18_16.xlsx&amp;sheet=A0&amp;row=1032&amp;col=8&amp;number=&amp;sourceID=49","")</f>
        <v/>
      </c>
    </row>
    <row r="1033" spans="1:8">
      <c r="A1033" s="3">
        <v>18</v>
      </c>
      <c r="B1033" s="3">
        <v>16</v>
      </c>
      <c r="C1033" s="3">
        <v>84</v>
      </c>
      <c r="D1033" s="3">
        <v>42</v>
      </c>
      <c r="E1033" s="3">
        <f>((1/(INDEX(E0!J$4:J$87,C1033,1)-INDEX(E0!J$4:J$87,D1033,1))))*100000000</f>
        <v>0</v>
      </c>
      <c r="F1033" s="4" t="str">
        <f>HYPERLINK("http://141.218.60.56/~jnz1568/getInfo.php?workbook=18_16.xlsx&amp;sheet=A0&amp;row=1033&amp;col=6&amp;number=74884000&amp;sourceID=48","74884000")</f>
        <v>74884000</v>
      </c>
      <c r="G1033" s="4" t="str">
        <f>HYPERLINK("http://141.218.60.56/~jnz1568/getInfo.php?workbook=18_16.xlsx&amp;sheet=A0&amp;row=1033&amp;col=7&amp;number=&amp;sourceID=49","")</f>
        <v/>
      </c>
      <c r="H1033" s="4" t="str">
        <f>HYPERLINK("http://141.218.60.56/~jnz1568/getInfo.php?workbook=18_16.xlsx&amp;sheet=A0&amp;row=1033&amp;col=8&amp;number=&amp;sourceID=49","")</f>
        <v/>
      </c>
    </row>
    <row r="1034" spans="1:8">
      <c r="A1034" s="3">
        <v>18</v>
      </c>
      <c r="B1034" s="3">
        <v>16</v>
      </c>
      <c r="C1034" s="3">
        <v>84</v>
      </c>
      <c r="D1034" s="3">
        <v>45</v>
      </c>
      <c r="E1034" s="3">
        <f>((1/(INDEX(E0!J$4:J$87,C1034,1)-INDEX(E0!J$4:J$87,D1034,1))))*100000000</f>
        <v>0</v>
      </c>
      <c r="F1034" s="4" t="str">
        <f>HYPERLINK("http://141.218.60.56/~jnz1568/getInfo.php?workbook=18_16.xlsx&amp;sheet=A0&amp;row=1034&amp;col=6&amp;number=16483&amp;sourceID=48","16483")</f>
        <v>16483</v>
      </c>
      <c r="G1034" s="4" t="str">
        <f>HYPERLINK("http://141.218.60.56/~jnz1568/getInfo.php?workbook=18_16.xlsx&amp;sheet=A0&amp;row=1034&amp;col=7&amp;number=&amp;sourceID=49","")</f>
        <v/>
      </c>
      <c r="H1034" s="4" t="str">
        <f>HYPERLINK("http://141.218.60.56/~jnz1568/getInfo.php?workbook=18_16.xlsx&amp;sheet=A0&amp;row=1034&amp;col=8&amp;number=&amp;sourceID=49","")</f>
        <v/>
      </c>
    </row>
    <row r="1035" spans="1:8">
      <c r="A1035" s="3">
        <v>18</v>
      </c>
      <c r="B1035" s="3">
        <v>16</v>
      </c>
      <c r="C1035" s="3">
        <v>84</v>
      </c>
      <c r="D1035" s="3">
        <v>47</v>
      </c>
      <c r="E1035" s="3">
        <f>((1/(INDEX(E0!J$4:J$87,C1035,1)-INDEX(E0!J$4:J$87,D1035,1))))*100000000</f>
        <v>0</v>
      </c>
      <c r="F1035" s="4" t="str">
        <f>HYPERLINK("http://141.218.60.56/~jnz1568/getInfo.php?workbook=18_16.xlsx&amp;sheet=A0&amp;row=1035&amp;col=6&amp;number=2967200&amp;sourceID=48","2967200")</f>
        <v>2967200</v>
      </c>
      <c r="G1035" s="4" t="str">
        <f>HYPERLINK("http://141.218.60.56/~jnz1568/getInfo.php?workbook=18_16.xlsx&amp;sheet=A0&amp;row=1035&amp;col=7&amp;number=&amp;sourceID=49","")</f>
        <v/>
      </c>
      <c r="H1035" s="4" t="str">
        <f>HYPERLINK("http://141.218.60.56/~jnz1568/getInfo.php?workbook=18_16.xlsx&amp;sheet=A0&amp;row=1035&amp;col=8&amp;number=&amp;sourceID=49","")</f>
        <v/>
      </c>
    </row>
    <row r="1036" spans="1:8">
      <c r="A1036" s="3">
        <v>18</v>
      </c>
      <c r="B1036" s="3">
        <v>16</v>
      </c>
      <c r="C1036" s="3">
        <v>84</v>
      </c>
      <c r="D1036" s="3">
        <v>48</v>
      </c>
      <c r="E1036" s="3">
        <f>((1/(INDEX(E0!J$4:J$87,C1036,1)-INDEX(E0!J$4:J$87,D1036,1))))*100000000</f>
        <v>0</v>
      </c>
      <c r="F1036" s="4" t="str">
        <f>HYPERLINK("http://141.218.60.56/~jnz1568/getInfo.php?workbook=18_16.xlsx&amp;sheet=A0&amp;row=1036&amp;col=6&amp;number=572370&amp;sourceID=48","572370")</f>
        <v>572370</v>
      </c>
      <c r="G1036" s="4" t="str">
        <f>HYPERLINK("http://141.218.60.56/~jnz1568/getInfo.php?workbook=18_16.xlsx&amp;sheet=A0&amp;row=1036&amp;col=7&amp;number=&amp;sourceID=49","")</f>
        <v/>
      </c>
      <c r="H1036" s="4" t="str">
        <f>HYPERLINK("http://141.218.60.56/~jnz1568/getInfo.php?workbook=18_16.xlsx&amp;sheet=A0&amp;row=1036&amp;col=8&amp;number=&amp;sourceID=49","")</f>
        <v/>
      </c>
    </row>
    <row r="1037" spans="1:8">
      <c r="A1037" s="3">
        <v>18</v>
      </c>
      <c r="B1037" s="3">
        <v>16</v>
      </c>
      <c r="C1037" s="3">
        <v>84</v>
      </c>
      <c r="D1037" s="3">
        <v>53</v>
      </c>
      <c r="E1037" s="3">
        <f>((1/(INDEX(E0!J$4:J$87,C1037,1)-INDEX(E0!J$4:J$87,D1037,1))))*100000000</f>
        <v>0</v>
      </c>
      <c r="F1037" s="4" t="str">
        <f>HYPERLINK("http://141.218.60.56/~jnz1568/getInfo.php?workbook=18_16.xlsx&amp;sheet=A0&amp;row=1037&amp;col=6&amp;number=269160&amp;sourceID=48","269160")</f>
        <v>269160</v>
      </c>
      <c r="G1037" s="4" t="str">
        <f>HYPERLINK("http://141.218.60.56/~jnz1568/getInfo.php?workbook=18_16.xlsx&amp;sheet=A0&amp;row=1037&amp;col=7&amp;number=&amp;sourceID=49","")</f>
        <v/>
      </c>
      <c r="H1037" s="4" t="str">
        <f>HYPERLINK("http://141.218.60.56/~jnz1568/getInfo.php?workbook=18_16.xlsx&amp;sheet=A0&amp;row=1037&amp;col=8&amp;number=&amp;sourceID=49","")</f>
        <v/>
      </c>
    </row>
    <row r="1038" spans="1:8">
      <c r="A1038" s="3">
        <v>18</v>
      </c>
      <c r="B1038" s="3">
        <v>16</v>
      </c>
      <c r="C1038" s="3">
        <v>84</v>
      </c>
      <c r="D1038" s="3">
        <v>54</v>
      </c>
      <c r="E1038" s="3">
        <f>((1/(INDEX(E0!J$4:J$87,C1038,1)-INDEX(E0!J$4:J$87,D1038,1))))*100000000</f>
        <v>0</v>
      </c>
      <c r="F1038" s="4" t="str">
        <f>HYPERLINK("http://141.218.60.56/~jnz1568/getInfo.php?workbook=18_16.xlsx&amp;sheet=A0&amp;row=1038&amp;col=6&amp;number=7359.1&amp;sourceID=48","7359.1")</f>
        <v>7359.1</v>
      </c>
      <c r="G1038" s="4" t="str">
        <f>HYPERLINK("http://141.218.60.56/~jnz1568/getInfo.php?workbook=18_16.xlsx&amp;sheet=A0&amp;row=1038&amp;col=7&amp;number=&amp;sourceID=49","")</f>
        <v/>
      </c>
      <c r="H1038" s="4" t="str">
        <f>HYPERLINK("http://141.218.60.56/~jnz1568/getInfo.php?workbook=18_16.xlsx&amp;sheet=A0&amp;row=1038&amp;col=8&amp;number=&amp;sourceID=49","")</f>
        <v/>
      </c>
    </row>
    <row r="1039" spans="1:8">
      <c r="A1039" s="3">
        <v>18</v>
      </c>
      <c r="B1039" s="3">
        <v>16</v>
      </c>
      <c r="C1039" s="3">
        <v>84</v>
      </c>
      <c r="D1039" s="3">
        <v>55</v>
      </c>
      <c r="E1039" s="3">
        <f>((1/(INDEX(E0!J$4:J$87,C1039,1)-INDEX(E0!J$4:J$87,D1039,1))))*100000000</f>
        <v>0</v>
      </c>
      <c r="F1039" s="4" t="str">
        <f>HYPERLINK("http://141.218.60.56/~jnz1568/getInfo.php?workbook=18_16.xlsx&amp;sheet=A0&amp;row=1039&amp;col=6&amp;number=213570000&amp;sourceID=48","213570000")</f>
        <v>213570000</v>
      </c>
      <c r="G1039" s="4" t="str">
        <f>HYPERLINK("http://141.218.60.56/~jnz1568/getInfo.php?workbook=18_16.xlsx&amp;sheet=A0&amp;row=1039&amp;col=7&amp;number=&amp;sourceID=49","")</f>
        <v/>
      </c>
      <c r="H1039" s="4" t="str">
        <f>HYPERLINK("http://141.218.60.56/~jnz1568/getInfo.php?workbook=18_16.xlsx&amp;sheet=A0&amp;row=1039&amp;col=8&amp;number=&amp;sourceID=49","")</f>
        <v/>
      </c>
    </row>
    <row r="1040" spans="1:8">
      <c r="A1040" s="3">
        <v>18</v>
      </c>
      <c r="B1040" s="3">
        <v>16</v>
      </c>
      <c r="C1040" s="3">
        <v>84</v>
      </c>
      <c r="D1040" s="3">
        <v>56</v>
      </c>
      <c r="E1040" s="3">
        <f>((1/(INDEX(E0!J$4:J$87,C1040,1)-INDEX(E0!J$4:J$87,D1040,1))))*100000000</f>
        <v>0</v>
      </c>
      <c r="F1040" s="4" t="str">
        <f>HYPERLINK("http://141.218.60.56/~jnz1568/getInfo.php?workbook=18_16.xlsx&amp;sheet=A0&amp;row=1040&amp;col=6&amp;number=67285&amp;sourceID=48","67285")</f>
        <v>67285</v>
      </c>
      <c r="G1040" s="4" t="str">
        <f>HYPERLINK("http://141.218.60.56/~jnz1568/getInfo.php?workbook=18_16.xlsx&amp;sheet=A0&amp;row=1040&amp;col=7&amp;number=&amp;sourceID=49","")</f>
        <v/>
      </c>
      <c r="H1040" s="4" t="str">
        <f>HYPERLINK("http://141.218.60.56/~jnz1568/getInfo.php?workbook=18_16.xlsx&amp;sheet=A0&amp;row=1040&amp;col=8&amp;number=&amp;sourceID=49","")</f>
        <v/>
      </c>
    </row>
    <row r="1041" spans="1:8">
      <c r="A1041" s="3">
        <v>18</v>
      </c>
      <c r="B1041" s="3">
        <v>16</v>
      </c>
      <c r="C1041" s="3">
        <v>84</v>
      </c>
      <c r="D1041" s="3">
        <v>57</v>
      </c>
      <c r="E1041" s="3">
        <f>((1/(INDEX(E0!J$4:J$87,C1041,1)-INDEX(E0!J$4:J$87,D1041,1))))*100000000</f>
        <v>0</v>
      </c>
      <c r="F1041" s="4" t="str">
        <f>HYPERLINK("http://141.218.60.56/~jnz1568/getInfo.php?workbook=18_16.xlsx&amp;sheet=A0&amp;row=1041&amp;col=6&amp;number=291760&amp;sourceID=48","291760")</f>
        <v>291760</v>
      </c>
      <c r="G1041" s="4" t="str">
        <f>HYPERLINK("http://141.218.60.56/~jnz1568/getInfo.php?workbook=18_16.xlsx&amp;sheet=A0&amp;row=1041&amp;col=7&amp;number=&amp;sourceID=49","")</f>
        <v/>
      </c>
      <c r="H1041" s="4" t="str">
        <f>HYPERLINK("http://141.218.60.56/~jnz1568/getInfo.php?workbook=18_16.xlsx&amp;sheet=A0&amp;row=1041&amp;col=8&amp;number=&amp;sourceID=49","")</f>
        <v/>
      </c>
    </row>
    <row r="1042" spans="1:8">
      <c r="A1042" s="3">
        <v>18</v>
      </c>
      <c r="B1042" s="3">
        <v>16</v>
      </c>
      <c r="C1042" s="3">
        <v>84</v>
      </c>
      <c r="D1042" s="3">
        <v>58</v>
      </c>
      <c r="E1042" s="3">
        <f>((1/(INDEX(E0!J$4:J$87,C1042,1)-INDEX(E0!J$4:J$87,D1042,1))))*100000000</f>
        <v>0</v>
      </c>
      <c r="F1042" s="4" t="str">
        <f>HYPERLINK("http://141.218.60.56/~jnz1568/getInfo.php?workbook=18_16.xlsx&amp;sheet=A0&amp;row=1042&amp;col=6&amp;number=74856&amp;sourceID=48","74856")</f>
        <v>74856</v>
      </c>
      <c r="G1042" s="4" t="str">
        <f>HYPERLINK("http://141.218.60.56/~jnz1568/getInfo.php?workbook=18_16.xlsx&amp;sheet=A0&amp;row=1042&amp;col=7&amp;number=&amp;sourceID=49","")</f>
        <v/>
      </c>
      <c r="H1042" s="4" t="str">
        <f>HYPERLINK("http://141.218.60.56/~jnz1568/getInfo.php?workbook=18_16.xlsx&amp;sheet=A0&amp;row=1042&amp;col=8&amp;number=&amp;sourceID=49","")</f>
        <v/>
      </c>
    </row>
    <row r="1043" spans="1:8">
      <c r="A1043" s="3">
        <v>18</v>
      </c>
      <c r="B1043" s="3">
        <v>16</v>
      </c>
      <c r="C1043" s="3">
        <v>84</v>
      </c>
      <c r="D1043" s="3">
        <v>60</v>
      </c>
      <c r="E1043" s="3">
        <f>((1/(INDEX(E0!J$4:J$87,C1043,1)-INDEX(E0!J$4:J$87,D1043,1))))*100000000</f>
        <v>0</v>
      </c>
      <c r="F1043" s="4" t="str">
        <f>HYPERLINK("http://141.218.60.56/~jnz1568/getInfo.php?workbook=18_16.xlsx&amp;sheet=A0&amp;row=1043&amp;col=6&amp;number=3035800&amp;sourceID=48","3035800")</f>
        <v>3035800</v>
      </c>
      <c r="G1043" s="4" t="str">
        <f>HYPERLINK("http://141.218.60.56/~jnz1568/getInfo.php?workbook=18_16.xlsx&amp;sheet=A0&amp;row=1043&amp;col=7&amp;number=&amp;sourceID=49","")</f>
        <v/>
      </c>
      <c r="H1043" s="4" t="str">
        <f>HYPERLINK("http://141.218.60.56/~jnz1568/getInfo.php?workbook=18_16.xlsx&amp;sheet=A0&amp;row=1043&amp;col=8&amp;number=&amp;sourceID=49","")</f>
        <v/>
      </c>
    </row>
    <row r="1044" spans="1:8">
      <c r="A1044" s="3">
        <v>18</v>
      </c>
      <c r="B1044" s="3">
        <v>16</v>
      </c>
      <c r="C1044" s="3">
        <v>84</v>
      </c>
      <c r="D1044" s="3">
        <v>61</v>
      </c>
      <c r="E1044" s="3">
        <f>((1/(INDEX(E0!J$4:J$87,C1044,1)-INDEX(E0!J$4:J$87,D1044,1))))*100000000</f>
        <v>0</v>
      </c>
      <c r="F1044" s="4" t="str">
        <f>HYPERLINK("http://141.218.60.56/~jnz1568/getInfo.php?workbook=18_16.xlsx&amp;sheet=A0&amp;row=1044&amp;col=6&amp;number=10917000&amp;sourceID=48","10917000")</f>
        <v>10917000</v>
      </c>
      <c r="G1044" s="4" t="str">
        <f>HYPERLINK("http://141.218.60.56/~jnz1568/getInfo.php?workbook=18_16.xlsx&amp;sheet=A0&amp;row=1044&amp;col=7&amp;number=&amp;sourceID=49","")</f>
        <v/>
      </c>
      <c r="H1044" s="4" t="str">
        <f>HYPERLINK("http://141.218.60.56/~jnz1568/getInfo.php?workbook=18_16.xlsx&amp;sheet=A0&amp;row=1044&amp;col=8&amp;number=&amp;sourceID=49","")</f>
        <v/>
      </c>
    </row>
    <row r="1045" spans="1:8">
      <c r="A1045" s="3">
        <v>18</v>
      </c>
      <c r="B1045" s="3">
        <v>16</v>
      </c>
      <c r="C1045" s="3">
        <v>84</v>
      </c>
      <c r="D1045" s="3">
        <v>63</v>
      </c>
      <c r="E1045" s="3">
        <f>((1/(INDEX(E0!J$4:J$87,C1045,1)-INDEX(E0!J$4:J$87,D1045,1))))*100000000</f>
        <v>0</v>
      </c>
      <c r="F1045" s="4" t="str">
        <f>HYPERLINK("http://141.218.60.56/~jnz1568/getInfo.php?workbook=18_16.xlsx&amp;sheet=A0&amp;row=1045&amp;col=6&amp;number=9590500&amp;sourceID=48","9590500")</f>
        <v>9590500</v>
      </c>
      <c r="G1045" s="4" t="str">
        <f>HYPERLINK("http://141.218.60.56/~jnz1568/getInfo.php?workbook=18_16.xlsx&amp;sheet=A0&amp;row=1045&amp;col=7&amp;number=&amp;sourceID=49","")</f>
        <v/>
      </c>
      <c r="H1045" s="4" t="str">
        <f>HYPERLINK("http://141.218.60.56/~jnz1568/getInfo.php?workbook=18_16.xlsx&amp;sheet=A0&amp;row=1045&amp;col=8&amp;number=&amp;sourceID=49","")</f>
        <v/>
      </c>
    </row>
    <row r="1046" spans="1:8">
      <c r="A1046" s="3">
        <v>18</v>
      </c>
      <c r="B1046" s="3">
        <v>16</v>
      </c>
      <c r="C1046" s="3">
        <v>84</v>
      </c>
      <c r="D1046" s="3">
        <v>75</v>
      </c>
      <c r="E1046" s="3">
        <f>((1/(INDEX(E0!J$4:J$87,C1046,1)-INDEX(E0!J$4:J$87,D1046,1))))*100000000</f>
        <v>0</v>
      </c>
      <c r="F1046" s="4" t="str">
        <f>HYPERLINK("http://141.218.60.56/~jnz1568/getInfo.php?workbook=18_16.xlsx&amp;sheet=A0&amp;row=1046&amp;col=6&amp;number=3635.2&amp;sourceID=48","3635.2")</f>
        <v>3635.2</v>
      </c>
      <c r="G1046" s="4" t="str">
        <f>HYPERLINK("http://141.218.60.56/~jnz1568/getInfo.php?workbook=18_16.xlsx&amp;sheet=A0&amp;row=1046&amp;col=7&amp;number=&amp;sourceID=49","")</f>
        <v/>
      </c>
      <c r="H1046" s="4" t="str">
        <f>HYPERLINK("http://141.218.60.56/~jnz1568/getInfo.php?workbook=18_16.xlsx&amp;sheet=A0&amp;row=1046&amp;col=8&amp;number=&amp;sourceID=49","")</f>
        <v/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8.7109375" customWidth="1"/>
    <col min="8" max="8" width="9.7109375" customWidth="1"/>
    <col min="9" max="9" width="7.7109375" customWidth="1"/>
    <col min="10" max="10" width="9.7109375" customWidth="1"/>
    <col min="11" max="11" width="8.7109375" customWidth="1"/>
  </cols>
  <sheetData>
    <row r="1" spans="1:11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/>
      <c r="B2" s="2"/>
      <c r="C2" s="2"/>
      <c r="D2" s="2"/>
      <c r="E2" s="2"/>
      <c r="F2" s="2" t="s">
        <v>53</v>
      </c>
      <c r="G2" s="2" t="s">
        <v>53</v>
      </c>
      <c r="H2" s="2" t="s">
        <v>54</v>
      </c>
      <c r="I2" s="2" t="s">
        <v>54</v>
      </c>
      <c r="J2" s="2" t="s">
        <v>55</v>
      </c>
      <c r="K2" s="2" t="s">
        <v>55</v>
      </c>
    </row>
    <row r="3" spans="1:11">
      <c r="A3" s="2" t="s">
        <v>3</v>
      </c>
      <c r="B3" s="2" t="s">
        <v>4</v>
      </c>
      <c r="C3" s="2" t="s">
        <v>47</v>
      </c>
      <c r="D3" s="2" t="s">
        <v>5</v>
      </c>
      <c r="E3" s="2" t="s">
        <v>56</v>
      </c>
      <c r="F3" s="2" t="s">
        <v>57</v>
      </c>
      <c r="G3" s="2" t="s">
        <v>58</v>
      </c>
      <c r="H3" s="2" t="s">
        <v>57</v>
      </c>
      <c r="I3" s="2" t="s">
        <v>58</v>
      </c>
      <c r="J3" s="2" t="s">
        <v>57</v>
      </c>
      <c r="K3" s="2" t="s">
        <v>58</v>
      </c>
    </row>
    <row r="4" spans="1:11">
      <c r="A4" s="3">
        <v>18</v>
      </c>
      <c r="B4" s="3">
        <v>16</v>
      </c>
      <c r="C4" s="3">
        <v>2</v>
      </c>
      <c r="D4" s="3">
        <v>1</v>
      </c>
      <c r="E4" s="3">
        <v>1</v>
      </c>
      <c r="F4" s="4" t="str">
        <f>HYPERLINK("http://141.218.60.56/~jnz1568/getInfo.php?workbook=18_16.xlsx&amp;sheet=U0&amp;row=4&amp;col=6&amp;number=3.699&amp;sourceID=37","3.699")</f>
        <v>3.699</v>
      </c>
      <c r="G4" s="4" t="str">
        <f>HYPERLINK("http://141.218.60.56/~jnz1568/getInfo.php?workbook=18_16.xlsx&amp;sheet=U0&amp;row=4&amp;col=7&amp;number=3.831&amp;sourceID=37","3.831")</f>
        <v>3.831</v>
      </c>
      <c r="H4" s="4" t="str">
        <f>HYPERLINK("http://141.218.60.56/~jnz1568/getInfo.php?workbook=18_16.xlsx&amp;sheet=U0&amp;row=4&amp;col=8&amp;number=3.255&amp;sourceID=61","3.255")</f>
        <v>3.255</v>
      </c>
      <c r="I4" s="4" t="str">
        <f>HYPERLINK("http://141.218.60.56/~jnz1568/getInfo.php?workbook=18_16.xlsx&amp;sheet=U0&amp;row=4&amp;col=9&amp;number=3.86&amp;sourceID=61","3.86")</f>
        <v>3.86</v>
      </c>
      <c r="J4" s="4" t="str">
        <f>HYPERLINK("http://141.218.60.56/~jnz1568/getInfo.php?workbook=18_16.xlsx&amp;sheet=U0&amp;row=4&amp;col=10&amp;number=3&amp;sourceID=51","3")</f>
        <v>3</v>
      </c>
      <c r="K4" s="4" t="str">
        <f>HYPERLINK("http://141.218.60.56/~jnz1568/getInfo.php?workbook=18_16.xlsx&amp;sheet=U0&amp;row=4&amp;col=11&amp;number=3.714&amp;sourceID=51","3.714")</f>
        <v>3.714</v>
      </c>
    </row>
    <row r="5" spans="1:11">
      <c r="A5" s="3"/>
      <c r="B5" s="3"/>
      <c r="C5" s="3"/>
      <c r="D5" s="3"/>
      <c r="E5" s="3">
        <v>2</v>
      </c>
      <c r="F5" s="4" t="str">
        <f>HYPERLINK("http://141.218.60.56/~jnz1568/getInfo.php?workbook=18_16.xlsx&amp;sheet=U0&amp;row=5&amp;col=6&amp;number=3.778&amp;sourceID=37","3.778")</f>
        <v>3.778</v>
      </c>
      <c r="G5" s="4" t="str">
        <f>HYPERLINK("http://141.218.60.56/~jnz1568/getInfo.php?workbook=18_16.xlsx&amp;sheet=U0&amp;row=5&amp;col=7&amp;number=3.739&amp;sourceID=37","3.739")</f>
        <v>3.739</v>
      </c>
      <c r="H5" s="4" t="str">
        <f>HYPERLINK("http://141.218.60.56/~jnz1568/getInfo.php?workbook=18_16.xlsx&amp;sheet=U0&amp;row=5&amp;col=8&amp;number=3.653&amp;sourceID=61","3.653")</f>
        <v>3.653</v>
      </c>
      <c r="I5" s="4" t="str">
        <f>HYPERLINK("http://141.218.60.56/~jnz1568/getInfo.php?workbook=18_16.xlsx&amp;sheet=U0&amp;row=5&amp;col=9&amp;number=3.82&amp;sourceID=61","3.82")</f>
        <v>3.82</v>
      </c>
      <c r="J5" s="4" t="str">
        <f>HYPERLINK("http://141.218.60.56/~jnz1568/getInfo.php?workbook=18_16.xlsx&amp;sheet=U0&amp;row=5&amp;col=10&amp;number=3.2&amp;sourceID=51","3.2")</f>
        <v>3.2</v>
      </c>
      <c r="K5" s="4" t="str">
        <f>HYPERLINK("http://141.218.60.56/~jnz1568/getInfo.php?workbook=18_16.xlsx&amp;sheet=U0&amp;row=5&amp;col=11&amp;number=3.502&amp;sourceID=51","3.502")</f>
        <v>3.502</v>
      </c>
    </row>
    <row r="6" spans="1:11">
      <c r="A6" s="3"/>
      <c r="B6" s="3"/>
      <c r="C6" s="3"/>
      <c r="D6" s="3"/>
      <c r="E6" s="3">
        <v>3</v>
      </c>
      <c r="F6" s="4" t="str">
        <f>HYPERLINK("http://141.218.60.56/~jnz1568/getInfo.php?workbook=18_16.xlsx&amp;sheet=U0&amp;row=6&amp;col=6&amp;number=3.845&amp;sourceID=37","3.845")</f>
        <v>3.845</v>
      </c>
      <c r="G6" s="4" t="str">
        <f>HYPERLINK("http://141.218.60.56/~jnz1568/getInfo.php?workbook=18_16.xlsx&amp;sheet=U0&amp;row=6&amp;col=7&amp;number=3.662&amp;sourceID=37","3.662")</f>
        <v>3.662</v>
      </c>
      <c r="H6" s="4" t="str">
        <f>HYPERLINK("http://141.218.60.56/~jnz1568/getInfo.php?workbook=18_16.xlsx&amp;sheet=U0&amp;row=6&amp;col=8&amp;number=3.954&amp;sourceID=61","3.954")</f>
        <v>3.954</v>
      </c>
      <c r="I6" s="4" t="str">
        <f>HYPERLINK("http://141.218.60.56/~jnz1568/getInfo.php?workbook=18_16.xlsx&amp;sheet=U0&amp;row=6&amp;col=9&amp;number=4.03&amp;sourceID=61","4.03")</f>
        <v>4.03</v>
      </c>
      <c r="J6" s="4" t="str">
        <f>HYPERLINK("http://141.218.60.56/~jnz1568/getInfo.php?workbook=18_16.xlsx&amp;sheet=U0&amp;row=6&amp;col=10&amp;number=3.4&amp;sourceID=51","3.4")</f>
        <v>3.4</v>
      </c>
      <c r="K6" s="4" t="str">
        <f>HYPERLINK("http://141.218.60.56/~jnz1568/getInfo.php?workbook=18_16.xlsx&amp;sheet=U0&amp;row=6&amp;col=11&amp;number=3.34&amp;sourceID=51","3.34")</f>
        <v>3.34</v>
      </c>
    </row>
    <row r="7" spans="1:11">
      <c r="A7" s="3"/>
      <c r="B7" s="3"/>
      <c r="C7" s="3"/>
      <c r="D7" s="3"/>
      <c r="E7" s="3">
        <v>4</v>
      </c>
      <c r="F7" s="4" t="str">
        <f>HYPERLINK("http://141.218.60.56/~jnz1568/getInfo.php?workbook=18_16.xlsx&amp;sheet=U0&amp;row=7&amp;col=6&amp;number=3.903&amp;sourceID=37","3.903")</f>
        <v>3.903</v>
      </c>
      <c r="G7" s="4" t="str">
        <f>HYPERLINK("http://141.218.60.56/~jnz1568/getInfo.php?workbook=18_16.xlsx&amp;sheet=U0&amp;row=7&amp;col=7&amp;number=3.594&amp;sourceID=37","3.594")</f>
        <v>3.594</v>
      </c>
      <c r="H7" s="4" t="str">
        <f>HYPERLINK("http://141.218.60.56/~jnz1568/getInfo.php?workbook=18_16.xlsx&amp;sheet=U0&amp;row=7&amp;col=8&amp;number=4.255&amp;sourceID=61","4.255")</f>
        <v>4.255</v>
      </c>
      <c r="I7" s="4" t="str">
        <f>HYPERLINK("http://141.218.60.56/~jnz1568/getInfo.php?workbook=18_16.xlsx&amp;sheet=U0&amp;row=7&amp;col=9&amp;number=4.21&amp;sourceID=61","4.21")</f>
        <v>4.21</v>
      </c>
      <c r="J7" s="4" t="str">
        <f>HYPERLINK("http://141.218.60.56/~jnz1568/getInfo.php?workbook=18_16.xlsx&amp;sheet=U0&amp;row=7&amp;col=10&amp;number=3.6&amp;sourceID=51","3.6")</f>
        <v>3.6</v>
      </c>
      <c r="K7" s="4" t="str">
        <f>HYPERLINK("http://141.218.60.56/~jnz1568/getInfo.php?workbook=18_16.xlsx&amp;sheet=U0&amp;row=7&amp;col=11&amp;number=3.225&amp;sourceID=51","3.225")</f>
        <v>3.225</v>
      </c>
    </row>
    <row r="8" spans="1:11">
      <c r="A8" s="3"/>
      <c r="B8" s="3"/>
      <c r="C8" s="3"/>
      <c r="D8" s="3"/>
      <c r="E8" s="3">
        <v>5</v>
      </c>
      <c r="F8" s="4" t="str">
        <f>HYPERLINK("http://141.218.60.56/~jnz1568/getInfo.php?workbook=18_16.xlsx&amp;sheet=U0&amp;row=8&amp;col=6&amp;number=3.954&amp;sourceID=37","3.954")</f>
        <v>3.954</v>
      </c>
      <c r="G8" s="4" t="str">
        <f>HYPERLINK("http://141.218.60.56/~jnz1568/getInfo.php?workbook=18_16.xlsx&amp;sheet=U0&amp;row=8&amp;col=7&amp;number=3.533&amp;sourceID=37","3.533")</f>
        <v>3.533</v>
      </c>
      <c r="H8" s="4" t="str">
        <f>HYPERLINK("http://141.218.60.56/~jnz1568/getInfo.php?workbook=18_16.xlsx&amp;sheet=U0&amp;row=8&amp;col=8&amp;number=4.653&amp;sourceID=61","4.653")</f>
        <v>4.653</v>
      </c>
      <c r="I8" s="4" t="str">
        <f>HYPERLINK("http://141.218.60.56/~jnz1568/getInfo.php?workbook=18_16.xlsx&amp;sheet=U0&amp;row=8&amp;col=9&amp;number=4.26&amp;sourceID=61","4.26")</f>
        <v>4.26</v>
      </c>
      <c r="J8" s="4" t="str">
        <f>HYPERLINK("http://141.218.60.56/~jnz1568/getInfo.php?workbook=18_16.xlsx&amp;sheet=U0&amp;row=8&amp;col=10&amp;number=3.8&amp;sourceID=51","3.8")</f>
        <v>3.8</v>
      </c>
      <c r="K8" s="4" t="str">
        <f>HYPERLINK("http://141.218.60.56/~jnz1568/getInfo.php?workbook=18_16.xlsx&amp;sheet=U0&amp;row=8&amp;col=11&amp;number=3.136&amp;sourceID=51","3.136")</f>
        <v>3.136</v>
      </c>
    </row>
    <row r="9" spans="1:11">
      <c r="A9" s="3"/>
      <c r="B9" s="3"/>
      <c r="C9" s="3"/>
      <c r="D9" s="3"/>
      <c r="E9" s="3">
        <v>6</v>
      </c>
      <c r="F9" s="4" t="str">
        <f>HYPERLINK("http://141.218.60.56/~jnz1568/getInfo.php?workbook=18_16.xlsx&amp;sheet=U0&amp;row=9&amp;col=6&amp;number=4&amp;sourceID=37","4")</f>
        <v>4</v>
      </c>
      <c r="G9" s="4" t="str">
        <f>HYPERLINK("http://141.218.60.56/~jnz1568/getInfo.php?workbook=18_16.xlsx&amp;sheet=U0&amp;row=9&amp;col=7&amp;number=3.478&amp;sourceID=37","3.478")</f>
        <v>3.478</v>
      </c>
      <c r="H9" s="4" t="str">
        <f>HYPERLINK("http://141.218.60.56/~jnz1568/getInfo.php?workbook=18_16.xlsx&amp;sheet=U0&amp;row=9&amp;col=8&amp;number=4.954&amp;sourceID=61","4.954")</f>
        <v>4.954</v>
      </c>
      <c r="I9" s="4" t="str">
        <f>HYPERLINK("http://141.218.60.56/~jnz1568/getInfo.php?workbook=18_16.xlsx&amp;sheet=U0&amp;row=9&amp;col=9&amp;number=4.31&amp;sourceID=61","4.31")</f>
        <v>4.31</v>
      </c>
      <c r="J9" s="4" t="str">
        <f>HYPERLINK("http://141.218.60.56/~jnz1568/getInfo.php?workbook=18_16.xlsx&amp;sheet=U0&amp;row=9&amp;col=10&amp;number=4&amp;sourceID=51","4")</f>
        <v>4</v>
      </c>
      <c r="K9" s="4" t="str">
        <f>HYPERLINK("http://141.218.60.56/~jnz1568/getInfo.php?workbook=18_16.xlsx&amp;sheet=U0&amp;row=9&amp;col=11&amp;number=3.087&amp;sourceID=51","3.087")</f>
        <v>3.087</v>
      </c>
    </row>
    <row r="10" spans="1:11">
      <c r="A10" s="3"/>
      <c r="B10" s="3"/>
      <c r="C10" s="3"/>
      <c r="D10" s="3"/>
      <c r="E10" s="3">
        <v>7</v>
      </c>
      <c r="F10" s="4" t="str">
        <f>HYPERLINK("http://141.218.60.56/~jnz1568/getInfo.php?workbook=18_16.xlsx&amp;sheet=U0&amp;row=10&amp;col=6&amp;number=4.041&amp;sourceID=37","4.041")</f>
        <v>4.041</v>
      </c>
      <c r="G10" s="4" t="str">
        <f>HYPERLINK("http://141.218.60.56/~jnz1568/getInfo.php?workbook=18_16.xlsx&amp;sheet=U0&amp;row=10&amp;col=7&amp;number=3.427&amp;sourceID=37","3.427")</f>
        <v>3.427</v>
      </c>
      <c r="H10" s="4" t="str">
        <f>HYPERLINK("http://141.218.60.56/~jnz1568/getInfo.php?workbook=18_16.xlsx&amp;sheet=U0&amp;row=10&amp;col=8&amp;number=5.255&amp;sourceID=61","5.255")</f>
        <v>5.255</v>
      </c>
      <c r="I10" s="4" t="str">
        <f>HYPERLINK("http://141.218.60.56/~jnz1568/getInfo.php?workbook=18_16.xlsx&amp;sheet=U0&amp;row=10&amp;col=9&amp;number=3.82&amp;sourceID=61","3.82")</f>
        <v>3.82</v>
      </c>
      <c r="J10" s="4" t="str">
        <f>HYPERLINK("http://141.218.60.56/~jnz1568/getInfo.php?workbook=18_16.xlsx&amp;sheet=U0&amp;row=10&amp;col=10&amp;number=4.2&amp;sourceID=51","4.2")</f>
        <v>4.2</v>
      </c>
      <c r="K10" s="4" t="str">
        <f>HYPERLINK("http://141.218.60.56/~jnz1568/getInfo.php?workbook=18_16.xlsx&amp;sheet=U0&amp;row=10&amp;col=11&amp;number=3.117&amp;sourceID=51","3.117")</f>
        <v>3.117</v>
      </c>
    </row>
    <row r="11" spans="1:11">
      <c r="A11" s="3"/>
      <c r="B11" s="3"/>
      <c r="C11" s="3"/>
      <c r="D11" s="3"/>
      <c r="E11" s="3">
        <v>8</v>
      </c>
      <c r="F11" s="4" t="str">
        <f>HYPERLINK("http://141.218.60.56/~jnz1568/getInfo.php?workbook=18_16.xlsx&amp;sheet=U0&amp;row=11&amp;col=6&amp;number=4.079&amp;sourceID=37","4.079")</f>
        <v>4.079</v>
      </c>
      <c r="G11" s="4" t="str">
        <f>HYPERLINK("http://141.218.60.56/~jnz1568/getInfo.php?workbook=18_16.xlsx&amp;sheet=U0&amp;row=11&amp;col=7&amp;number=3.38&amp;sourceID=37","3.38")</f>
        <v>3.38</v>
      </c>
      <c r="H11" s="4" t="str">
        <f>HYPERLINK("http://141.218.60.56/~jnz1568/getInfo.php?workbook=18_16.xlsx&amp;sheet=U0&amp;row=11&amp;col=8&amp;number=5.653&amp;sourceID=61","5.653")</f>
        <v>5.653</v>
      </c>
      <c r="I11" s="4" t="str">
        <f>HYPERLINK("http://141.218.60.56/~jnz1568/getInfo.php?workbook=18_16.xlsx&amp;sheet=U0&amp;row=11&amp;col=9&amp;number=2.66&amp;sourceID=61","2.66")</f>
        <v>2.66</v>
      </c>
      <c r="J11" s="4" t="str">
        <f>HYPERLINK("http://141.218.60.56/~jnz1568/getInfo.php?workbook=18_16.xlsx&amp;sheet=U0&amp;row=11&amp;col=10&amp;number=4.4&amp;sourceID=51","4.4")</f>
        <v>4.4</v>
      </c>
      <c r="K11" s="4" t="str">
        <f>HYPERLINK("http://141.218.60.56/~jnz1568/getInfo.php?workbook=18_16.xlsx&amp;sheet=U0&amp;row=11&amp;col=11&amp;number=3.208&amp;sourceID=51","3.208")</f>
        <v>3.208</v>
      </c>
    </row>
    <row r="12" spans="1:11">
      <c r="A12" s="3"/>
      <c r="B12" s="3"/>
      <c r="C12" s="3"/>
      <c r="D12" s="3"/>
      <c r="E12" s="3">
        <v>9</v>
      </c>
      <c r="F12" s="4" t="str">
        <f>HYPERLINK("http://141.218.60.56/~jnz1568/getInfo.php?workbook=18_16.xlsx&amp;sheet=U0&amp;row=12&amp;col=6&amp;number=4.114&amp;sourceID=37","4.114")</f>
        <v>4.114</v>
      </c>
      <c r="G12" s="4" t="str">
        <f>HYPERLINK("http://141.218.60.56/~jnz1568/getInfo.php?workbook=18_16.xlsx&amp;sheet=U0&amp;row=12&amp;col=7&amp;number=3.336&amp;sourceID=37","3.336")</f>
        <v>3.336</v>
      </c>
      <c r="H12" s="4" t="str">
        <f>HYPERLINK("http://141.218.60.56/~jnz1568/getInfo.php?workbook=18_16.xlsx&amp;sheet=U0&amp;row=12&amp;col=8&amp;number=5.954&amp;sourceID=61","5.954")</f>
        <v>5.954</v>
      </c>
      <c r="I12" s="4" t="str">
        <f>HYPERLINK("http://141.218.60.56/~jnz1568/getInfo.php?workbook=18_16.xlsx&amp;sheet=U0&amp;row=12&amp;col=9&amp;number=1.93&amp;sourceID=61","1.93")</f>
        <v>1.93</v>
      </c>
      <c r="J12" s="4" t="str">
        <f>HYPERLINK("http://141.218.60.56/~jnz1568/getInfo.php?workbook=18_16.xlsx&amp;sheet=U0&amp;row=12&amp;col=10&amp;number=4.6&amp;sourceID=51","4.6")</f>
        <v>4.6</v>
      </c>
      <c r="K12" s="4" t="str">
        <f>HYPERLINK("http://141.218.60.56/~jnz1568/getInfo.php?workbook=18_16.xlsx&amp;sheet=U0&amp;row=12&amp;col=11&amp;number=3.315&amp;sourceID=51","3.315")</f>
        <v>3.315</v>
      </c>
    </row>
    <row r="13" spans="1:11">
      <c r="A13" s="3"/>
      <c r="B13" s="3"/>
      <c r="C13" s="3"/>
      <c r="D13" s="3"/>
      <c r="E13" s="3">
        <v>10</v>
      </c>
      <c r="F13" s="4" t="str">
        <f>HYPERLINK("http://141.218.60.56/~jnz1568/getInfo.php?workbook=18_16.xlsx&amp;sheet=U0&amp;row=13&amp;col=6&amp;number=4.146&amp;sourceID=37","4.146")</f>
        <v>4.146</v>
      </c>
      <c r="G13" s="4" t="str">
        <f>HYPERLINK("http://141.218.60.56/~jnz1568/getInfo.php?workbook=18_16.xlsx&amp;sheet=U0&amp;row=13&amp;col=7&amp;number=3.295&amp;sourceID=37","3.295")</f>
        <v>3.295</v>
      </c>
      <c r="H13" s="4" t="str">
        <f>HYPERLINK("http://141.218.60.56/~jnz1568/getInfo.php?workbook=18_16.xlsx&amp;sheet=U0&amp;row=13&amp;col=8&amp;number=6.255&amp;sourceID=61","6.255")</f>
        <v>6.255</v>
      </c>
      <c r="I13" s="4" t="str">
        <f>HYPERLINK("http://141.218.60.56/~jnz1568/getInfo.php?workbook=18_16.xlsx&amp;sheet=U0&amp;row=13&amp;col=9&amp;number=1.48&amp;sourceID=61","1.48")</f>
        <v>1.48</v>
      </c>
      <c r="J13" s="4" t="str">
        <f>HYPERLINK("http://141.218.60.56/~jnz1568/getInfo.php?workbook=18_16.xlsx&amp;sheet=U0&amp;row=13&amp;col=10&amp;number=4.8&amp;sourceID=51","4.8")</f>
        <v>4.8</v>
      </c>
      <c r="K13" s="4" t="str">
        <f>HYPERLINK("http://141.218.60.56/~jnz1568/getInfo.php?workbook=18_16.xlsx&amp;sheet=U0&amp;row=13&amp;col=11&amp;number=3.343&amp;sourceID=51","3.343")</f>
        <v>3.343</v>
      </c>
    </row>
    <row r="14" spans="1:11">
      <c r="A14" s="3"/>
      <c r="B14" s="3"/>
      <c r="C14" s="3"/>
      <c r="D14" s="3"/>
      <c r="E14" s="3">
        <v>11</v>
      </c>
      <c r="F14" s="4" t="str">
        <f>HYPERLINK("http://141.218.60.56/~jnz1568/getInfo.php?workbook=18_16.xlsx&amp;sheet=U0&amp;row=14&amp;col=6&amp;number=4.176&amp;sourceID=37","4.176")</f>
        <v>4.176</v>
      </c>
      <c r="G14" s="4" t="str">
        <f>HYPERLINK("http://141.218.60.56/~jnz1568/getInfo.php?workbook=18_16.xlsx&amp;sheet=U0&amp;row=14&amp;col=7&amp;number=3.257&amp;sourceID=37","3.257")</f>
        <v>3.257</v>
      </c>
      <c r="H14" s="4" t="str">
        <f>HYPERLINK("http://141.218.60.56/~jnz1568/getInfo.php?workbook=18_16.xlsx&amp;sheet=U0&amp;row=14&amp;col=8&amp;number=6.653&amp;sourceID=61","6.653")</f>
        <v>6.653</v>
      </c>
      <c r="I14" s="4" t="str">
        <f>HYPERLINK("http://141.218.60.56/~jnz1568/getInfo.php?workbook=18_16.xlsx&amp;sheet=U0&amp;row=14&amp;col=9&amp;number=1.18&amp;sourceID=61","1.18")</f>
        <v>1.18</v>
      </c>
      <c r="J14" s="4" t="str">
        <f>HYPERLINK("http://141.218.60.56/~jnz1568/getInfo.php?workbook=18_16.xlsx&amp;sheet=U0&amp;row=14&amp;col=10&amp;number=5&amp;sourceID=51","5")</f>
        <v>5</v>
      </c>
      <c r="K14" s="4" t="str">
        <f>HYPERLINK("http://141.218.60.56/~jnz1568/getInfo.php?workbook=18_16.xlsx&amp;sheet=U0&amp;row=14&amp;col=11&amp;number=3.165&amp;sourceID=51","3.165")</f>
        <v>3.165</v>
      </c>
    </row>
    <row r="15" spans="1:11">
      <c r="A15" s="3"/>
      <c r="B15" s="3"/>
      <c r="C15" s="3"/>
      <c r="D15" s="3"/>
      <c r="E15" s="3">
        <v>12</v>
      </c>
      <c r="F15" s="4" t="str">
        <f>HYPERLINK("http://141.218.60.56/~jnz1568/getInfo.php?workbook=18_16.xlsx&amp;sheet=U0&amp;row=15&amp;col=6&amp;number=4.204&amp;sourceID=37","4.204")</f>
        <v>4.204</v>
      </c>
      <c r="G15" s="4" t="str">
        <f>HYPERLINK("http://141.218.60.56/~jnz1568/getInfo.php?workbook=18_16.xlsx&amp;sheet=U0&amp;row=15&amp;col=7&amp;number=3.221&amp;sourceID=37","3.221")</f>
        <v>3.221</v>
      </c>
      <c r="H15" s="4" t="str">
        <f>HYPERLINK("http://141.218.60.56/~jnz1568/getInfo.php?workbook=18_16.xlsx&amp;sheet=U0&amp;row=15&amp;col=8&amp;number=6.954&amp;sourceID=61","6.954")</f>
        <v>6.954</v>
      </c>
      <c r="I15" s="4" t="str">
        <f>HYPERLINK("http://141.218.60.56/~jnz1568/getInfo.php?workbook=18_16.xlsx&amp;sheet=U0&amp;row=15&amp;col=9&amp;number=1.08&amp;sourceID=61","1.08")</f>
        <v>1.08</v>
      </c>
      <c r="J15" s="4" t="str">
        <f>HYPERLINK("http://141.218.60.56/~jnz1568/getInfo.php?workbook=18_16.xlsx&amp;sheet=U0&amp;row=15&amp;col=10&amp;number=&amp;sourceID=51","")</f>
        <v/>
      </c>
      <c r="K15" s="4" t="str">
        <f>HYPERLINK("http://141.218.60.56/~jnz1568/getInfo.php?workbook=18_16.xlsx&amp;sheet=U0&amp;row=15&amp;col=11&amp;number=&amp;sourceID=51","")</f>
        <v/>
      </c>
    </row>
    <row r="16" spans="1:11">
      <c r="A16" s="3"/>
      <c r="B16" s="3"/>
      <c r="C16" s="3"/>
      <c r="D16" s="3"/>
      <c r="E16" s="3">
        <v>13</v>
      </c>
      <c r="F16" s="4" t="str">
        <f>HYPERLINK("http://141.218.60.56/~jnz1568/getInfo.php?workbook=18_16.xlsx&amp;sheet=U0&amp;row=16&amp;col=6&amp;number=4.23&amp;sourceID=37","4.23")</f>
        <v>4.23</v>
      </c>
      <c r="G16" s="4" t="str">
        <f>HYPERLINK("http://141.218.60.56/~jnz1568/getInfo.php?workbook=18_16.xlsx&amp;sheet=U0&amp;row=16&amp;col=7&amp;number=3.188&amp;sourceID=37","3.188")</f>
        <v>3.188</v>
      </c>
      <c r="H16" s="4" t="str">
        <f>HYPERLINK("http://141.218.60.56/~jnz1568/getInfo.php?workbook=18_16.xlsx&amp;sheet=U0&amp;row=16&amp;col=8&amp;number=7.255&amp;sourceID=61","7.255")</f>
        <v>7.255</v>
      </c>
      <c r="I16" s="4" t="str">
        <f>HYPERLINK("http://141.218.60.56/~jnz1568/getInfo.php?workbook=18_16.xlsx&amp;sheet=U0&amp;row=16&amp;col=9&amp;number=1.03&amp;sourceID=61","1.03")</f>
        <v>1.03</v>
      </c>
      <c r="J16" s="4" t="str">
        <f>HYPERLINK("http://141.218.60.56/~jnz1568/getInfo.php?workbook=18_16.xlsx&amp;sheet=U0&amp;row=16&amp;col=10&amp;number=&amp;sourceID=51","")</f>
        <v/>
      </c>
      <c r="K16" s="4" t="str">
        <f>HYPERLINK("http://141.218.60.56/~jnz1568/getInfo.php?workbook=18_16.xlsx&amp;sheet=U0&amp;row=16&amp;col=11&amp;number=&amp;sourceID=51","")</f>
        <v/>
      </c>
    </row>
    <row r="17" spans="1:11">
      <c r="A17" s="3"/>
      <c r="B17" s="3"/>
      <c r="C17" s="3"/>
      <c r="D17" s="3"/>
      <c r="E17" s="3">
        <v>14</v>
      </c>
      <c r="F17" s="4" t="str">
        <f>HYPERLINK("http://141.218.60.56/~jnz1568/getInfo.php?workbook=18_16.xlsx&amp;sheet=U0&amp;row=17&amp;col=6&amp;number=4.255&amp;sourceID=37","4.255")</f>
        <v>4.255</v>
      </c>
      <c r="G17" s="4" t="str">
        <f>HYPERLINK("http://141.218.60.56/~jnz1568/getInfo.php?workbook=18_16.xlsx&amp;sheet=U0&amp;row=17&amp;col=7&amp;number=3.156&amp;sourceID=37","3.156")</f>
        <v>3.156</v>
      </c>
      <c r="H17" s="4" t="str">
        <f>HYPERLINK("http://141.218.60.56/~jnz1568/getInfo.php?workbook=18_16.xlsx&amp;sheet=U0&amp;row=17&amp;col=8&amp;number=&amp;sourceID=61","")</f>
        <v/>
      </c>
      <c r="I17" s="4" t="str">
        <f>HYPERLINK("http://141.218.60.56/~jnz1568/getInfo.php?workbook=18_16.xlsx&amp;sheet=U0&amp;row=17&amp;col=9&amp;number=&amp;sourceID=61","")</f>
        <v/>
      </c>
      <c r="J17" s="4" t="str">
        <f>HYPERLINK("http://141.218.60.56/~jnz1568/getInfo.php?workbook=18_16.xlsx&amp;sheet=U0&amp;row=17&amp;col=10&amp;number=&amp;sourceID=51","")</f>
        <v/>
      </c>
      <c r="K17" s="4" t="str">
        <f>HYPERLINK("http://141.218.60.56/~jnz1568/getInfo.php?workbook=18_16.xlsx&amp;sheet=U0&amp;row=17&amp;col=11&amp;number=&amp;sourceID=51","")</f>
        <v/>
      </c>
    </row>
    <row r="18" spans="1:11">
      <c r="A18" s="3"/>
      <c r="B18" s="3"/>
      <c r="C18" s="3"/>
      <c r="D18" s="3"/>
      <c r="E18" s="3">
        <v>15</v>
      </c>
      <c r="F18" s="4" t="str">
        <f>HYPERLINK("http://141.218.60.56/~jnz1568/getInfo.php?workbook=18_16.xlsx&amp;sheet=U0&amp;row=18&amp;col=6&amp;number=4.279&amp;sourceID=37","4.279")</f>
        <v>4.279</v>
      </c>
      <c r="G18" s="4" t="str">
        <f>HYPERLINK("http://141.218.60.56/~jnz1568/getInfo.php?workbook=18_16.xlsx&amp;sheet=U0&amp;row=18&amp;col=7&amp;number=3.127&amp;sourceID=37","3.127")</f>
        <v>3.127</v>
      </c>
      <c r="H18" s="4" t="str">
        <f>HYPERLINK("http://141.218.60.56/~jnz1568/getInfo.php?workbook=18_16.xlsx&amp;sheet=U0&amp;row=18&amp;col=8&amp;number=&amp;sourceID=61","")</f>
        <v/>
      </c>
      <c r="I18" s="4" t="str">
        <f>HYPERLINK("http://141.218.60.56/~jnz1568/getInfo.php?workbook=18_16.xlsx&amp;sheet=U0&amp;row=18&amp;col=9&amp;number=&amp;sourceID=61","")</f>
        <v/>
      </c>
      <c r="J18" s="4" t="str">
        <f>HYPERLINK("http://141.218.60.56/~jnz1568/getInfo.php?workbook=18_16.xlsx&amp;sheet=U0&amp;row=18&amp;col=10&amp;number=&amp;sourceID=51","")</f>
        <v/>
      </c>
      <c r="K18" s="4" t="str">
        <f>HYPERLINK("http://141.218.60.56/~jnz1568/getInfo.php?workbook=18_16.xlsx&amp;sheet=U0&amp;row=18&amp;col=11&amp;number=&amp;sourceID=51","")</f>
        <v/>
      </c>
    </row>
    <row r="19" spans="1:11">
      <c r="A19" s="3"/>
      <c r="B19" s="3"/>
      <c r="C19" s="3"/>
      <c r="D19" s="3"/>
      <c r="E19" s="3">
        <v>16</v>
      </c>
      <c r="F19" s="4" t="str">
        <f>HYPERLINK("http://141.218.60.56/~jnz1568/getInfo.php?workbook=18_16.xlsx&amp;sheet=U0&amp;row=19&amp;col=6&amp;number=4.301&amp;sourceID=37","4.301")</f>
        <v>4.301</v>
      </c>
      <c r="G19" s="4" t="str">
        <f>HYPERLINK("http://141.218.60.56/~jnz1568/getInfo.php?workbook=18_16.xlsx&amp;sheet=U0&amp;row=19&amp;col=7&amp;number=3.099&amp;sourceID=37","3.099")</f>
        <v>3.099</v>
      </c>
      <c r="H19" s="4" t="str">
        <f>HYPERLINK("http://141.218.60.56/~jnz1568/getInfo.php?workbook=18_16.xlsx&amp;sheet=U0&amp;row=19&amp;col=8&amp;number=&amp;sourceID=61","")</f>
        <v/>
      </c>
      <c r="I19" s="4" t="str">
        <f>HYPERLINK("http://141.218.60.56/~jnz1568/getInfo.php?workbook=18_16.xlsx&amp;sheet=U0&amp;row=19&amp;col=9&amp;number=&amp;sourceID=61","")</f>
        <v/>
      </c>
      <c r="J19" s="4" t="str">
        <f>HYPERLINK("http://141.218.60.56/~jnz1568/getInfo.php?workbook=18_16.xlsx&amp;sheet=U0&amp;row=19&amp;col=10&amp;number=&amp;sourceID=51","")</f>
        <v/>
      </c>
      <c r="K19" s="4" t="str">
        <f>HYPERLINK("http://141.218.60.56/~jnz1568/getInfo.php?workbook=18_16.xlsx&amp;sheet=U0&amp;row=19&amp;col=11&amp;number=&amp;sourceID=51","")</f>
        <v/>
      </c>
    </row>
    <row r="20" spans="1:11">
      <c r="A20" s="3">
        <v>18</v>
      </c>
      <c r="B20" s="3">
        <v>16</v>
      </c>
      <c r="C20" s="3">
        <v>3</v>
      </c>
      <c r="D20" s="3">
        <v>1</v>
      </c>
      <c r="E20" s="3">
        <v>1</v>
      </c>
      <c r="F20" s="4" t="str">
        <f>HYPERLINK("http://141.218.60.56/~jnz1568/getInfo.php?workbook=18_16.xlsx&amp;sheet=U0&amp;row=20&amp;col=6&amp;number=3.699&amp;sourceID=37","3.699")</f>
        <v>3.699</v>
      </c>
      <c r="G20" s="4" t="str">
        <f>HYPERLINK("http://141.218.60.56/~jnz1568/getInfo.php?workbook=18_16.xlsx&amp;sheet=U0&amp;row=20&amp;col=7&amp;number=0.7663&amp;sourceID=37","0.7663")</f>
        <v>0.7663</v>
      </c>
      <c r="H20" s="4" t="str">
        <f>HYPERLINK("http://141.218.60.56/~jnz1568/getInfo.php?workbook=18_16.xlsx&amp;sheet=U0&amp;row=20&amp;col=8&amp;number=3.255&amp;sourceID=61","3.255")</f>
        <v>3.255</v>
      </c>
      <c r="I20" s="4" t="str">
        <f>HYPERLINK("http://141.218.60.56/~jnz1568/getInfo.php?workbook=18_16.xlsx&amp;sheet=U0&amp;row=20&amp;col=9&amp;number=0.808&amp;sourceID=61","0.808")</f>
        <v>0.808</v>
      </c>
      <c r="J20" s="4" t="str">
        <f>HYPERLINK("http://141.218.60.56/~jnz1568/getInfo.php?workbook=18_16.xlsx&amp;sheet=U0&amp;row=20&amp;col=10&amp;number=3&amp;sourceID=51","3")</f>
        <v>3</v>
      </c>
      <c r="K20" s="4" t="str">
        <f>HYPERLINK("http://141.218.60.56/~jnz1568/getInfo.php?workbook=18_16.xlsx&amp;sheet=U0&amp;row=20&amp;col=11&amp;number=0.7228&amp;sourceID=51","0.7228")</f>
        <v>0.7228</v>
      </c>
    </row>
    <row r="21" spans="1:11">
      <c r="A21" s="3"/>
      <c r="B21" s="3"/>
      <c r="C21" s="3"/>
      <c r="D21" s="3"/>
      <c r="E21" s="3">
        <v>2</v>
      </c>
      <c r="F21" s="4" t="str">
        <f>HYPERLINK("http://141.218.60.56/~jnz1568/getInfo.php?workbook=18_16.xlsx&amp;sheet=U0&amp;row=21&amp;col=6&amp;number=3.778&amp;sourceID=37","3.778")</f>
        <v>3.778</v>
      </c>
      <c r="G21" s="4" t="str">
        <f>HYPERLINK("http://141.218.60.56/~jnz1568/getInfo.php?workbook=18_16.xlsx&amp;sheet=U0&amp;row=21&amp;col=7&amp;number=0.7514&amp;sourceID=37","0.7514")</f>
        <v>0.7514</v>
      </c>
      <c r="H21" s="4" t="str">
        <f>HYPERLINK("http://141.218.60.56/~jnz1568/getInfo.php?workbook=18_16.xlsx&amp;sheet=U0&amp;row=21&amp;col=8&amp;number=3.653&amp;sourceID=61","3.653")</f>
        <v>3.653</v>
      </c>
      <c r="I21" s="4" t="str">
        <f>HYPERLINK("http://141.218.60.56/~jnz1568/getInfo.php?workbook=18_16.xlsx&amp;sheet=U0&amp;row=21&amp;col=9&amp;number=0.866&amp;sourceID=61","0.866")</f>
        <v>0.866</v>
      </c>
      <c r="J21" s="4" t="str">
        <f>HYPERLINK("http://141.218.60.56/~jnz1568/getInfo.php?workbook=18_16.xlsx&amp;sheet=U0&amp;row=21&amp;col=10&amp;number=3.2&amp;sourceID=51","3.2")</f>
        <v>3.2</v>
      </c>
      <c r="K21" s="4" t="str">
        <f>HYPERLINK("http://141.218.60.56/~jnz1568/getInfo.php?workbook=18_16.xlsx&amp;sheet=U0&amp;row=21&amp;col=11&amp;number=0.6951&amp;sourceID=51","0.6951")</f>
        <v>0.6951</v>
      </c>
    </row>
    <row r="22" spans="1:11">
      <c r="A22" s="3"/>
      <c r="B22" s="3"/>
      <c r="C22" s="3"/>
      <c r="D22" s="3"/>
      <c r="E22" s="3">
        <v>3</v>
      </c>
      <c r="F22" s="4" t="str">
        <f>HYPERLINK("http://141.218.60.56/~jnz1568/getInfo.php?workbook=18_16.xlsx&amp;sheet=U0&amp;row=22&amp;col=6&amp;number=3.845&amp;sourceID=37","3.845")</f>
        <v>3.845</v>
      </c>
      <c r="G22" s="4" t="str">
        <f>HYPERLINK("http://141.218.60.56/~jnz1568/getInfo.php?workbook=18_16.xlsx&amp;sheet=U0&amp;row=22&amp;col=7&amp;number=0.7388&amp;sourceID=37","0.7388")</f>
        <v>0.7388</v>
      </c>
      <c r="H22" s="4" t="str">
        <f>HYPERLINK("http://141.218.60.56/~jnz1568/getInfo.php?workbook=18_16.xlsx&amp;sheet=U0&amp;row=22&amp;col=8&amp;number=3.954&amp;sourceID=61","3.954")</f>
        <v>3.954</v>
      </c>
      <c r="I22" s="4" t="str">
        <f>HYPERLINK("http://141.218.60.56/~jnz1568/getInfo.php?workbook=18_16.xlsx&amp;sheet=U0&amp;row=22&amp;col=9&amp;number=0.99&amp;sourceID=61","0.99")</f>
        <v>0.99</v>
      </c>
      <c r="J22" s="4" t="str">
        <f>HYPERLINK("http://141.218.60.56/~jnz1568/getInfo.php?workbook=18_16.xlsx&amp;sheet=U0&amp;row=22&amp;col=10&amp;number=3.4&amp;sourceID=51","3.4")</f>
        <v>3.4</v>
      </c>
      <c r="K22" s="4" t="str">
        <f>HYPERLINK("http://141.218.60.56/~jnz1568/getInfo.php?workbook=18_16.xlsx&amp;sheet=U0&amp;row=22&amp;col=11&amp;number=0.6762&amp;sourceID=51","0.6762")</f>
        <v>0.6762</v>
      </c>
    </row>
    <row r="23" spans="1:11">
      <c r="A23" s="3"/>
      <c r="B23" s="3"/>
      <c r="C23" s="3"/>
      <c r="D23" s="3"/>
      <c r="E23" s="3">
        <v>4</v>
      </c>
      <c r="F23" s="4" t="str">
        <f>HYPERLINK("http://141.218.60.56/~jnz1568/getInfo.php?workbook=18_16.xlsx&amp;sheet=U0&amp;row=23&amp;col=6&amp;number=3.903&amp;sourceID=37","3.903")</f>
        <v>3.903</v>
      </c>
      <c r="G23" s="4" t="str">
        <f>HYPERLINK("http://141.218.60.56/~jnz1568/getInfo.php?workbook=18_16.xlsx&amp;sheet=U0&amp;row=23&amp;col=7&amp;number=0.7276&amp;sourceID=37","0.7276")</f>
        <v>0.7276</v>
      </c>
      <c r="H23" s="4" t="str">
        <f>HYPERLINK("http://141.218.60.56/~jnz1568/getInfo.php?workbook=18_16.xlsx&amp;sheet=U0&amp;row=23&amp;col=8&amp;number=4.255&amp;sourceID=61","4.255")</f>
        <v>4.255</v>
      </c>
      <c r="I23" s="4" t="str">
        <f>HYPERLINK("http://141.218.60.56/~jnz1568/getInfo.php?workbook=18_16.xlsx&amp;sheet=U0&amp;row=23&amp;col=9&amp;number=1.1&amp;sourceID=61","1.1")</f>
        <v>1.1</v>
      </c>
      <c r="J23" s="4" t="str">
        <f>HYPERLINK("http://141.218.60.56/~jnz1568/getInfo.php?workbook=18_16.xlsx&amp;sheet=U0&amp;row=23&amp;col=10&amp;number=3.6&amp;sourceID=51","3.6")</f>
        <v>3.6</v>
      </c>
      <c r="K23" s="4" t="str">
        <f>HYPERLINK("http://141.218.60.56/~jnz1568/getInfo.php?workbook=18_16.xlsx&amp;sheet=U0&amp;row=23&amp;col=11&amp;number=0.6647&amp;sourceID=51","0.6647")</f>
        <v>0.6647</v>
      </c>
    </row>
    <row r="24" spans="1:11">
      <c r="A24" s="3"/>
      <c r="B24" s="3"/>
      <c r="C24" s="3"/>
      <c r="D24" s="3"/>
      <c r="E24" s="3">
        <v>5</v>
      </c>
      <c r="F24" s="4" t="str">
        <f>HYPERLINK("http://141.218.60.56/~jnz1568/getInfo.php?workbook=18_16.xlsx&amp;sheet=U0&amp;row=24&amp;col=6&amp;number=3.954&amp;sourceID=37","3.954")</f>
        <v>3.954</v>
      </c>
      <c r="G24" s="4" t="str">
        <f>HYPERLINK("http://141.218.60.56/~jnz1568/getInfo.php?workbook=18_16.xlsx&amp;sheet=U0&amp;row=24&amp;col=7&amp;number=0.7175&amp;sourceID=37","0.7175")</f>
        <v>0.7175</v>
      </c>
      <c r="H24" s="4" t="str">
        <f>HYPERLINK("http://141.218.60.56/~jnz1568/getInfo.php?workbook=18_16.xlsx&amp;sheet=U0&amp;row=24&amp;col=8&amp;number=4.653&amp;sourceID=61","4.653")</f>
        <v>4.653</v>
      </c>
      <c r="I24" s="4" t="str">
        <f>HYPERLINK("http://141.218.60.56/~jnz1568/getInfo.php?workbook=18_16.xlsx&amp;sheet=U0&amp;row=24&amp;col=9&amp;number=1.16&amp;sourceID=61","1.16")</f>
        <v>1.16</v>
      </c>
      <c r="J24" s="4" t="str">
        <f>HYPERLINK("http://141.218.60.56/~jnz1568/getInfo.php?workbook=18_16.xlsx&amp;sheet=U0&amp;row=24&amp;col=10&amp;number=3.8&amp;sourceID=51","3.8")</f>
        <v>3.8</v>
      </c>
      <c r="K24" s="4" t="str">
        <f>HYPERLINK("http://141.218.60.56/~jnz1568/getInfo.php?workbook=18_16.xlsx&amp;sheet=U0&amp;row=24&amp;col=11&amp;number=0.6595&amp;sourceID=51","0.6595")</f>
        <v>0.6595</v>
      </c>
    </row>
    <row r="25" spans="1:11">
      <c r="A25" s="3"/>
      <c r="B25" s="3"/>
      <c r="C25" s="3"/>
      <c r="D25" s="3"/>
      <c r="E25" s="3">
        <v>6</v>
      </c>
      <c r="F25" s="4" t="str">
        <f>HYPERLINK("http://141.218.60.56/~jnz1568/getInfo.php?workbook=18_16.xlsx&amp;sheet=U0&amp;row=25&amp;col=6&amp;number=4&amp;sourceID=37","4")</f>
        <v>4</v>
      </c>
      <c r="G25" s="4" t="str">
        <f>HYPERLINK("http://141.218.60.56/~jnz1568/getInfo.php?workbook=18_16.xlsx&amp;sheet=U0&amp;row=25&amp;col=7&amp;number=0.7082&amp;sourceID=37","0.7082")</f>
        <v>0.7082</v>
      </c>
      <c r="H25" s="4" t="str">
        <f>HYPERLINK("http://141.218.60.56/~jnz1568/getInfo.php?workbook=18_16.xlsx&amp;sheet=U0&amp;row=25&amp;col=8&amp;number=4.954&amp;sourceID=61","4.954")</f>
        <v>4.954</v>
      </c>
      <c r="I25" s="4" t="str">
        <f>HYPERLINK("http://141.218.60.56/~jnz1568/getInfo.php?workbook=18_16.xlsx&amp;sheet=U0&amp;row=25&amp;col=9&amp;number=1.2&amp;sourceID=61","1.2")</f>
        <v>1.2</v>
      </c>
      <c r="J25" s="4" t="str">
        <f>HYPERLINK("http://141.218.60.56/~jnz1568/getInfo.php?workbook=18_16.xlsx&amp;sheet=U0&amp;row=25&amp;col=10&amp;number=4&amp;sourceID=51","4")</f>
        <v>4</v>
      </c>
      <c r="K25" s="4" t="str">
        <f>HYPERLINK("http://141.218.60.56/~jnz1568/getInfo.php?workbook=18_16.xlsx&amp;sheet=U0&amp;row=25&amp;col=11&amp;number=0.6713&amp;sourceID=51","0.6713")</f>
        <v>0.6713</v>
      </c>
    </row>
    <row r="26" spans="1:11">
      <c r="A26" s="3"/>
      <c r="B26" s="3"/>
      <c r="C26" s="3"/>
      <c r="D26" s="3"/>
      <c r="E26" s="3">
        <v>7</v>
      </c>
      <c r="F26" s="4" t="str">
        <f>HYPERLINK("http://141.218.60.56/~jnz1568/getInfo.php?workbook=18_16.xlsx&amp;sheet=U0&amp;row=26&amp;col=6&amp;number=4.041&amp;sourceID=37","4.041")</f>
        <v>4.041</v>
      </c>
      <c r="G26" s="4" t="str">
        <f>HYPERLINK("http://141.218.60.56/~jnz1568/getInfo.php?workbook=18_16.xlsx&amp;sheet=U0&amp;row=26&amp;col=7&amp;number=0.6996&amp;sourceID=37","0.6996")</f>
        <v>0.6996</v>
      </c>
      <c r="H26" s="4" t="str">
        <f>HYPERLINK("http://141.218.60.56/~jnz1568/getInfo.php?workbook=18_16.xlsx&amp;sheet=U0&amp;row=26&amp;col=8&amp;number=5.255&amp;sourceID=61","5.255")</f>
        <v>5.255</v>
      </c>
      <c r="I26" s="4" t="str">
        <f>HYPERLINK("http://141.218.60.56/~jnz1568/getInfo.php?workbook=18_16.xlsx&amp;sheet=U0&amp;row=26&amp;col=9&amp;number=1.08&amp;sourceID=61","1.08")</f>
        <v>1.08</v>
      </c>
      <c r="J26" s="4" t="str">
        <f>HYPERLINK("http://141.218.60.56/~jnz1568/getInfo.php?workbook=18_16.xlsx&amp;sheet=U0&amp;row=26&amp;col=10&amp;number=4.2&amp;sourceID=51","4.2")</f>
        <v>4.2</v>
      </c>
      <c r="K26" s="4" t="str">
        <f>HYPERLINK("http://141.218.60.56/~jnz1568/getInfo.php?workbook=18_16.xlsx&amp;sheet=U0&amp;row=26&amp;col=11&amp;number=0.715&amp;sourceID=51","0.715")</f>
        <v>0.715</v>
      </c>
    </row>
    <row r="27" spans="1:11">
      <c r="A27" s="3"/>
      <c r="B27" s="3"/>
      <c r="C27" s="3"/>
      <c r="D27" s="3"/>
      <c r="E27" s="3">
        <v>8</v>
      </c>
      <c r="F27" s="4" t="str">
        <f>HYPERLINK("http://141.218.60.56/~jnz1568/getInfo.php?workbook=18_16.xlsx&amp;sheet=U0&amp;row=27&amp;col=6&amp;number=4.079&amp;sourceID=37","4.079")</f>
        <v>4.079</v>
      </c>
      <c r="G27" s="4" t="str">
        <f>HYPERLINK("http://141.218.60.56/~jnz1568/getInfo.php?workbook=18_16.xlsx&amp;sheet=U0&amp;row=27&amp;col=7&amp;number=0.6917&amp;sourceID=37","0.6917")</f>
        <v>0.6917</v>
      </c>
      <c r="H27" s="4" t="str">
        <f>HYPERLINK("http://141.218.60.56/~jnz1568/getInfo.php?workbook=18_16.xlsx&amp;sheet=U0&amp;row=27&amp;col=8&amp;number=5.653&amp;sourceID=61","5.653")</f>
        <v>5.653</v>
      </c>
      <c r="I27" s="4" t="str">
        <f>HYPERLINK("http://141.218.60.56/~jnz1568/getInfo.php?workbook=18_16.xlsx&amp;sheet=U0&amp;row=27&amp;col=9&amp;number=0.791&amp;sourceID=61","0.791")</f>
        <v>0.791</v>
      </c>
      <c r="J27" s="4" t="str">
        <f>HYPERLINK("http://141.218.60.56/~jnz1568/getInfo.php?workbook=18_16.xlsx&amp;sheet=U0&amp;row=27&amp;col=10&amp;number=4.4&amp;sourceID=51","4.4")</f>
        <v>4.4</v>
      </c>
      <c r="K27" s="4" t="str">
        <f>HYPERLINK("http://141.218.60.56/~jnz1568/getInfo.php?workbook=18_16.xlsx&amp;sheet=U0&amp;row=27&amp;col=11&amp;number=0.7812&amp;sourceID=51","0.7812")</f>
        <v>0.7812</v>
      </c>
    </row>
    <row r="28" spans="1:11">
      <c r="A28" s="3"/>
      <c r="B28" s="3"/>
      <c r="C28" s="3"/>
      <c r="D28" s="3"/>
      <c r="E28" s="3">
        <v>9</v>
      </c>
      <c r="F28" s="4" t="str">
        <f>HYPERLINK("http://141.218.60.56/~jnz1568/getInfo.php?workbook=18_16.xlsx&amp;sheet=U0&amp;row=28&amp;col=6&amp;number=4.114&amp;sourceID=37","4.114")</f>
        <v>4.114</v>
      </c>
      <c r="G28" s="4" t="str">
        <f>HYPERLINK("http://141.218.60.56/~jnz1568/getInfo.php?workbook=18_16.xlsx&amp;sheet=U0&amp;row=28&amp;col=7&amp;number=0.6843&amp;sourceID=37","0.6843")</f>
        <v>0.6843</v>
      </c>
      <c r="H28" s="4" t="str">
        <f>HYPERLINK("http://141.218.60.56/~jnz1568/getInfo.php?workbook=18_16.xlsx&amp;sheet=U0&amp;row=28&amp;col=8&amp;number=5.954&amp;sourceID=61","5.954")</f>
        <v>5.954</v>
      </c>
      <c r="I28" s="4" t="str">
        <f>HYPERLINK("http://141.218.60.56/~jnz1568/getInfo.php?workbook=18_16.xlsx&amp;sheet=U0&amp;row=28&amp;col=9&amp;number=0.617&amp;sourceID=61","0.617")</f>
        <v>0.617</v>
      </c>
      <c r="J28" s="4" t="str">
        <f>HYPERLINK("http://141.218.60.56/~jnz1568/getInfo.php?workbook=18_16.xlsx&amp;sheet=U0&amp;row=28&amp;col=10&amp;number=4.6&amp;sourceID=51","4.6")</f>
        <v>4.6</v>
      </c>
      <c r="K28" s="4" t="str">
        <f>HYPERLINK("http://141.218.60.56/~jnz1568/getInfo.php?workbook=18_16.xlsx&amp;sheet=U0&amp;row=28&amp;col=11&amp;number=0.8535&amp;sourceID=51","0.8535")</f>
        <v>0.8535</v>
      </c>
    </row>
    <row r="29" spans="1:11">
      <c r="A29" s="3"/>
      <c r="B29" s="3"/>
      <c r="C29" s="3"/>
      <c r="D29" s="3"/>
      <c r="E29" s="3">
        <v>10</v>
      </c>
      <c r="F29" s="4" t="str">
        <f>HYPERLINK("http://141.218.60.56/~jnz1568/getInfo.php?workbook=18_16.xlsx&amp;sheet=U0&amp;row=29&amp;col=6&amp;number=4.146&amp;sourceID=37","4.146")</f>
        <v>4.146</v>
      </c>
      <c r="G29" s="4" t="str">
        <f>HYPERLINK("http://141.218.60.56/~jnz1568/getInfo.php?workbook=18_16.xlsx&amp;sheet=U0&amp;row=29&amp;col=7&amp;number=0.6774&amp;sourceID=37","0.6774")</f>
        <v>0.6774</v>
      </c>
      <c r="H29" s="4" t="str">
        <f>HYPERLINK("http://141.218.60.56/~jnz1568/getInfo.php?workbook=18_16.xlsx&amp;sheet=U0&amp;row=29&amp;col=8&amp;number=6.255&amp;sourceID=61","6.255")</f>
        <v>6.255</v>
      </c>
      <c r="I29" s="4" t="str">
        <f>HYPERLINK("http://141.218.60.56/~jnz1568/getInfo.php?workbook=18_16.xlsx&amp;sheet=U0&amp;row=29&amp;col=9&amp;number=0.515&amp;sourceID=61","0.515")</f>
        <v>0.515</v>
      </c>
      <c r="J29" s="4" t="str">
        <f>HYPERLINK("http://141.218.60.56/~jnz1568/getInfo.php?workbook=18_16.xlsx&amp;sheet=U0&amp;row=29&amp;col=10&amp;number=4.8&amp;sourceID=51","4.8")</f>
        <v>4.8</v>
      </c>
      <c r="K29" s="4" t="str">
        <f>HYPERLINK("http://141.218.60.56/~jnz1568/getInfo.php?workbook=18_16.xlsx&amp;sheet=U0&amp;row=29&amp;col=11&amp;number=0.9064&amp;sourceID=51","0.9064")</f>
        <v>0.9064</v>
      </c>
    </row>
    <row r="30" spans="1:11">
      <c r="A30" s="3"/>
      <c r="B30" s="3"/>
      <c r="C30" s="3"/>
      <c r="D30" s="3"/>
      <c r="E30" s="3">
        <v>11</v>
      </c>
      <c r="F30" s="4" t="str">
        <f>HYPERLINK("http://141.218.60.56/~jnz1568/getInfo.php?workbook=18_16.xlsx&amp;sheet=U0&amp;row=30&amp;col=6&amp;number=4.176&amp;sourceID=37","4.176")</f>
        <v>4.176</v>
      </c>
      <c r="G30" s="4" t="str">
        <f>HYPERLINK("http://141.218.60.56/~jnz1568/getInfo.php?workbook=18_16.xlsx&amp;sheet=U0&amp;row=30&amp;col=7&amp;number=0.6709&amp;sourceID=37","0.6709")</f>
        <v>0.6709</v>
      </c>
      <c r="H30" s="4" t="str">
        <f>HYPERLINK("http://141.218.60.56/~jnz1568/getInfo.php?workbook=18_16.xlsx&amp;sheet=U0&amp;row=30&amp;col=8&amp;number=6.653&amp;sourceID=61","6.653")</f>
        <v>6.653</v>
      </c>
      <c r="I30" s="4" t="str">
        <f>HYPERLINK("http://141.218.60.56/~jnz1568/getInfo.php?workbook=18_16.xlsx&amp;sheet=U0&amp;row=30&amp;col=9&amp;number=0.458&amp;sourceID=61","0.458")</f>
        <v>0.458</v>
      </c>
      <c r="J30" s="4" t="str">
        <f>HYPERLINK("http://141.218.60.56/~jnz1568/getInfo.php?workbook=18_16.xlsx&amp;sheet=U0&amp;row=30&amp;col=10&amp;number=5&amp;sourceID=51","5")</f>
        <v>5</v>
      </c>
      <c r="K30" s="4" t="str">
        <f>HYPERLINK("http://141.218.60.56/~jnz1568/getInfo.php?workbook=18_16.xlsx&amp;sheet=U0&amp;row=30&amp;col=11&amp;number=0.8976&amp;sourceID=51","0.8976")</f>
        <v>0.8976</v>
      </c>
    </row>
    <row r="31" spans="1:11">
      <c r="A31" s="3"/>
      <c r="B31" s="3"/>
      <c r="C31" s="3"/>
      <c r="D31" s="3"/>
      <c r="E31" s="3">
        <v>12</v>
      </c>
      <c r="F31" s="4" t="str">
        <f>HYPERLINK("http://141.218.60.56/~jnz1568/getInfo.php?workbook=18_16.xlsx&amp;sheet=U0&amp;row=31&amp;col=6&amp;number=4.204&amp;sourceID=37","4.204")</f>
        <v>4.204</v>
      </c>
      <c r="G31" s="4" t="str">
        <f>HYPERLINK("http://141.218.60.56/~jnz1568/getInfo.php?workbook=18_16.xlsx&amp;sheet=U0&amp;row=31&amp;col=7&amp;number=0.665&amp;sourceID=37","0.665")</f>
        <v>0.665</v>
      </c>
      <c r="H31" s="4" t="str">
        <f>HYPERLINK("http://141.218.60.56/~jnz1568/getInfo.php?workbook=18_16.xlsx&amp;sheet=U0&amp;row=31&amp;col=8&amp;number=6.954&amp;sourceID=61","6.954")</f>
        <v>6.954</v>
      </c>
      <c r="I31" s="4" t="str">
        <f>HYPERLINK("http://141.218.60.56/~jnz1568/getInfo.php?workbook=18_16.xlsx&amp;sheet=U0&amp;row=31&amp;col=9&amp;number=0.445&amp;sourceID=61","0.445")</f>
        <v>0.445</v>
      </c>
      <c r="J31" s="4" t="str">
        <f>HYPERLINK("http://141.218.60.56/~jnz1568/getInfo.php?workbook=18_16.xlsx&amp;sheet=U0&amp;row=31&amp;col=10&amp;number=&amp;sourceID=51","")</f>
        <v/>
      </c>
      <c r="K31" s="4" t="str">
        <f>HYPERLINK("http://141.218.60.56/~jnz1568/getInfo.php?workbook=18_16.xlsx&amp;sheet=U0&amp;row=31&amp;col=11&amp;number=&amp;sourceID=51","")</f>
        <v/>
      </c>
    </row>
    <row r="32" spans="1:11">
      <c r="A32" s="3"/>
      <c r="B32" s="3"/>
      <c r="C32" s="3"/>
      <c r="D32" s="3"/>
      <c r="E32" s="3">
        <v>13</v>
      </c>
      <c r="F32" s="4" t="str">
        <f>HYPERLINK("http://141.218.60.56/~jnz1568/getInfo.php?workbook=18_16.xlsx&amp;sheet=U0&amp;row=32&amp;col=6&amp;number=4.23&amp;sourceID=37","4.23")</f>
        <v>4.23</v>
      </c>
      <c r="G32" s="4" t="str">
        <f>HYPERLINK("http://141.218.60.56/~jnz1568/getInfo.php?workbook=18_16.xlsx&amp;sheet=U0&amp;row=32&amp;col=7&amp;number=0.6595&amp;sourceID=37","0.6595")</f>
        <v>0.6595</v>
      </c>
      <c r="H32" s="4" t="str">
        <f>HYPERLINK("http://141.218.60.56/~jnz1568/getInfo.php?workbook=18_16.xlsx&amp;sheet=U0&amp;row=32&amp;col=8&amp;number=7.255&amp;sourceID=61","7.255")</f>
        <v>7.255</v>
      </c>
      <c r="I32" s="4" t="str">
        <f>HYPERLINK("http://141.218.60.56/~jnz1568/getInfo.php?workbook=18_16.xlsx&amp;sheet=U0&amp;row=32&amp;col=9&amp;number=0.442&amp;sourceID=61","0.442")</f>
        <v>0.442</v>
      </c>
      <c r="J32" s="4" t="str">
        <f>HYPERLINK("http://141.218.60.56/~jnz1568/getInfo.php?workbook=18_16.xlsx&amp;sheet=U0&amp;row=32&amp;col=10&amp;number=&amp;sourceID=51","")</f>
        <v/>
      </c>
      <c r="K32" s="4" t="str">
        <f>HYPERLINK("http://141.218.60.56/~jnz1568/getInfo.php?workbook=18_16.xlsx&amp;sheet=U0&amp;row=32&amp;col=11&amp;number=&amp;sourceID=51","")</f>
        <v/>
      </c>
    </row>
    <row r="33" spans="1:11">
      <c r="A33" s="3"/>
      <c r="B33" s="3"/>
      <c r="C33" s="3"/>
      <c r="D33" s="3"/>
      <c r="E33" s="3">
        <v>14</v>
      </c>
      <c r="F33" s="4" t="str">
        <f>HYPERLINK("http://141.218.60.56/~jnz1568/getInfo.php?workbook=18_16.xlsx&amp;sheet=U0&amp;row=33&amp;col=6&amp;number=4.255&amp;sourceID=37","4.255")</f>
        <v>4.255</v>
      </c>
      <c r="G33" s="4" t="str">
        <f>HYPERLINK("http://141.218.60.56/~jnz1568/getInfo.php?workbook=18_16.xlsx&amp;sheet=U0&amp;row=33&amp;col=7&amp;number=0.6544&amp;sourceID=37","0.6544")</f>
        <v>0.6544</v>
      </c>
      <c r="H33" s="4" t="str">
        <f>HYPERLINK("http://141.218.60.56/~jnz1568/getInfo.php?workbook=18_16.xlsx&amp;sheet=U0&amp;row=33&amp;col=8&amp;number=&amp;sourceID=61","")</f>
        <v/>
      </c>
      <c r="I33" s="4" t="str">
        <f>HYPERLINK("http://141.218.60.56/~jnz1568/getInfo.php?workbook=18_16.xlsx&amp;sheet=U0&amp;row=33&amp;col=9&amp;number=&amp;sourceID=61","")</f>
        <v/>
      </c>
      <c r="J33" s="4" t="str">
        <f>HYPERLINK("http://141.218.60.56/~jnz1568/getInfo.php?workbook=18_16.xlsx&amp;sheet=U0&amp;row=33&amp;col=10&amp;number=&amp;sourceID=51","")</f>
        <v/>
      </c>
      <c r="K33" s="4" t="str">
        <f>HYPERLINK("http://141.218.60.56/~jnz1568/getInfo.php?workbook=18_16.xlsx&amp;sheet=U0&amp;row=33&amp;col=11&amp;number=&amp;sourceID=51","")</f>
        <v/>
      </c>
    </row>
    <row r="34" spans="1:11">
      <c r="A34" s="3"/>
      <c r="B34" s="3"/>
      <c r="C34" s="3"/>
      <c r="D34" s="3"/>
      <c r="E34" s="3">
        <v>15</v>
      </c>
      <c r="F34" s="4" t="str">
        <f>HYPERLINK("http://141.218.60.56/~jnz1568/getInfo.php?workbook=18_16.xlsx&amp;sheet=U0&amp;row=34&amp;col=6&amp;number=4.279&amp;sourceID=37","4.279")</f>
        <v>4.279</v>
      </c>
      <c r="G34" s="4" t="str">
        <f>HYPERLINK("http://141.218.60.56/~jnz1568/getInfo.php?workbook=18_16.xlsx&amp;sheet=U0&amp;row=34&amp;col=7&amp;number=0.6498&amp;sourceID=37","0.6498")</f>
        <v>0.6498</v>
      </c>
      <c r="H34" s="4" t="str">
        <f>HYPERLINK("http://141.218.60.56/~jnz1568/getInfo.php?workbook=18_16.xlsx&amp;sheet=U0&amp;row=34&amp;col=8&amp;number=&amp;sourceID=61","")</f>
        <v/>
      </c>
      <c r="I34" s="4" t="str">
        <f>HYPERLINK("http://141.218.60.56/~jnz1568/getInfo.php?workbook=18_16.xlsx&amp;sheet=U0&amp;row=34&amp;col=9&amp;number=&amp;sourceID=61","")</f>
        <v/>
      </c>
      <c r="J34" s="4" t="str">
        <f>HYPERLINK("http://141.218.60.56/~jnz1568/getInfo.php?workbook=18_16.xlsx&amp;sheet=U0&amp;row=34&amp;col=10&amp;number=&amp;sourceID=51","")</f>
        <v/>
      </c>
      <c r="K34" s="4" t="str">
        <f>HYPERLINK("http://141.218.60.56/~jnz1568/getInfo.php?workbook=18_16.xlsx&amp;sheet=U0&amp;row=34&amp;col=11&amp;number=&amp;sourceID=51","")</f>
        <v/>
      </c>
    </row>
    <row r="35" spans="1:11">
      <c r="A35" s="3"/>
      <c r="B35" s="3"/>
      <c r="C35" s="3"/>
      <c r="D35" s="3"/>
      <c r="E35" s="3">
        <v>16</v>
      </c>
      <c r="F35" s="4" t="str">
        <f>HYPERLINK("http://141.218.60.56/~jnz1568/getInfo.php?workbook=18_16.xlsx&amp;sheet=U0&amp;row=35&amp;col=6&amp;number=4.301&amp;sourceID=37","4.301")</f>
        <v>4.301</v>
      </c>
      <c r="G35" s="4" t="str">
        <f>HYPERLINK("http://141.218.60.56/~jnz1568/getInfo.php?workbook=18_16.xlsx&amp;sheet=U0&amp;row=35&amp;col=7&amp;number=0.6455&amp;sourceID=37","0.6455")</f>
        <v>0.6455</v>
      </c>
      <c r="H35" s="4" t="str">
        <f>HYPERLINK("http://141.218.60.56/~jnz1568/getInfo.php?workbook=18_16.xlsx&amp;sheet=U0&amp;row=35&amp;col=8&amp;number=&amp;sourceID=61","")</f>
        <v/>
      </c>
      <c r="I35" s="4" t="str">
        <f>HYPERLINK("http://141.218.60.56/~jnz1568/getInfo.php?workbook=18_16.xlsx&amp;sheet=U0&amp;row=35&amp;col=9&amp;number=&amp;sourceID=61","")</f>
        <v/>
      </c>
      <c r="J35" s="4" t="str">
        <f>HYPERLINK("http://141.218.60.56/~jnz1568/getInfo.php?workbook=18_16.xlsx&amp;sheet=U0&amp;row=35&amp;col=10&amp;number=&amp;sourceID=51","")</f>
        <v/>
      </c>
      <c r="K35" s="4" t="str">
        <f>HYPERLINK("http://141.218.60.56/~jnz1568/getInfo.php?workbook=18_16.xlsx&amp;sheet=U0&amp;row=35&amp;col=11&amp;number=&amp;sourceID=51","")</f>
        <v/>
      </c>
    </row>
    <row r="36" spans="1:11">
      <c r="A36" s="3">
        <v>18</v>
      </c>
      <c r="B36" s="3">
        <v>16</v>
      </c>
      <c r="C36" s="3">
        <v>3</v>
      </c>
      <c r="D36" s="3">
        <v>2</v>
      </c>
      <c r="E36" s="3">
        <v>1</v>
      </c>
      <c r="F36" s="4" t="str">
        <f>HYPERLINK("http://141.218.60.56/~jnz1568/getInfo.php?workbook=18_16.xlsx&amp;sheet=U0&amp;row=36&amp;col=6&amp;number=3.699&amp;sourceID=37","3.699")</f>
        <v>3.699</v>
      </c>
      <c r="G36" s="4" t="str">
        <f>HYPERLINK("http://141.218.60.56/~jnz1568/getInfo.php?workbook=18_16.xlsx&amp;sheet=U0&amp;row=36&amp;col=7&amp;number=1.686&amp;sourceID=37","1.686")</f>
        <v>1.686</v>
      </c>
      <c r="H36" s="4" t="str">
        <f>HYPERLINK("http://141.218.60.56/~jnz1568/getInfo.php?workbook=18_16.xlsx&amp;sheet=U0&amp;row=36&amp;col=8&amp;number=3.255&amp;sourceID=61","3.255")</f>
        <v>3.255</v>
      </c>
      <c r="I36" s="4" t="str">
        <f>HYPERLINK("http://141.218.60.56/~jnz1568/getInfo.php?workbook=18_16.xlsx&amp;sheet=U0&amp;row=36&amp;col=9&amp;number=1.41&amp;sourceID=61","1.41")</f>
        <v>1.41</v>
      </c>
      <c r="J36" s="4" t="str">
        <f>HYPERLINK("http://141.218.60.56/~jnz1568/getInfo.php?workbook=18_16.xlsx&amp;sheet=U0&amp;row=36&amp;col=10&amp;number=3&amp;sourceID=51","3")</f>
        <v>3</v>
      </c>
      <c r="K36" s="4" t="str">
        <f>HYPERLINK("http://141.218.60.56/~jnz1568/getInfo.php?workbook=18_16.xlsx&amp;sheet=U0&amp;row=36&amp;col=11&amp;number=1.67&amp;sourceID=51","1.67")</f>
        <v>1.67</v>
      </c>
    </row>
    <row r="37" spans="1:11">
      <c r="A37" s="3"/>
      <c r="B37" s="3"/>
      <c r="C37" s="3"/>
      <c r="D37" s="3"/>
      <c r="E37" s="3">
        <v>2</v>
      </c>
      <c r="F37" s="4" t="str">
        <f>HYPERLINK("http://141.218.60.56/~jnz1568/getInfo.php?workbook=18_16.xlsx&amp;sheet=U0&amp;row=37&amp;col=6&amp;number=3.778&amp;sourceID=37","3.778")</f>
        <v>3.778</v>
      </c>
      <c r="G37" s="4" t="str">
        <f>HYPERLINK("http://141.218.60.56/~jnz1568/getInfo.php?workbook=18_16.xlsx&amp;sheet=U0&amp;row=37&amp;col=7&amp;number=1.64&amp;sourceID=37","1.64")</f>
        <v>1.64</v>
      </c>
      <c r="H37" s="4" t="str">
        <f>HYPERLINK("http://141.218.60.56/~jnz1568/getInfo.php?workbook=18_16.xlsx&amp;sheet=U0&amp;row=37&amp;col=8&amp;number=3.653&amp;sourceID=61","3.653")</f>
        <v>3.653</v>
      </c>
      <c r="I37" s="4" t="str">
        <f>HYPERLINK("http://141.218.60.56/~jnz1568/getInfo.php?workbook=18_16.xlsx&amp;sheet=U0&amp;row=37&amp;col=9&amp;number=1.42&amp;sourceID=61","1.42")</f>
        <v>1.42</v>
      </c>
      <c r="J37" s="4" t="str">
        <f>HYPERLINK("http://141.218.60.56/~jnz1568/getInfo.php?workbook=18_16.xlsx&amp;sheet=U0&amp;row=37&amp;col=10&amp;number=3.2&amp;sourceID=51","3.2")</f>
        <v>3.2</v>
      </c>
      <c r="K37" s="4" t="str">
        <f>HYPERLINK("http://141.218.60.56/~jnz1568/getInfo.php?workbook=18_16.xlsx&amp;sheet=U0&amp;row=37&amp;col=11&amp;number=1.55&amp;sourceID=51","1.55")</f>
        <v>1.55</v>
      </c>
    </row>
    <row r="38" spans="1:11">
      <c r="A38" s="3"/>
      <c r="B38" s="3"/>
      <c r="C38" s="3"/>
      <c r="D38" s="3"/>
      <c r="E38" s="3">
        <v>3</v>
      </c>
      <c r="F38" s="4" t="str">
        <f>HYPERLINK("http://141.218.60.56/~jnz1568/getInfo.php?workbook=18_16.xlsx&amp;sheet=U0&amp;row=38&amp;col=6&amp;number=3.845&amp;sourceID=37","3.845")</f>
        <v>3.845</v>
      </c>
      <c r="G38" s="4" t="str">
        <f>HYPERLINK("http://141.218.60.56/~jnz1568/getInfo.php?workbook=18_16.xlsx&amp;sheet=U0&amp;row=38&amp;col=7&amp;number=1.6&amp;sourceID=37","1.6")</f>
        <v>1.6</v>
      </c>
      <c r="H38" s="4" t="str">
        <f>HYPERLINK("http://141.218.60.56/~jnz1568/getInfo.php?workbook=18_16.xlsx&amp;sheet=U0&amp;row=38&amp;col=8&amp;number=3.954&amp;sourceID=61","3.954")</f>
        <v>3.954</v>
      </c>
      <c r="I38" s="4" t="str">
        <f>HYPERLINK("http://141.218.60.56/~jnz1568/getInfo.php?workbook=18_16.xlsx&amp;sheet=U0&amp;row=38&amp;col=9&amp;number=1.42&amp;sourceID=61","1.42")</f>
        <v>1.42</v>
      </c>
      <c r="J38" s="4" t="str">
        <f>HYPERLINK("http://141.218.60.56/~jnz1568/getInfo.php?workbook=18_16.xlsx&amp;sheet=U0&amp;row=38&amp;col=10&amp;number=3.4&amp;sourceID=51","3.4")</f>
        <v>3.4</v>
      </c>
      <c r="K38" s="4" t="str">
        <f>HYPERLINK("http://141.218.60.56/~jnz1568/getInfo.php?workbook=18_16.xlsx&amp;sheet=U0&amp;row=38&amp;col=11&amp;number=1.454&amp;sourceID=51","1.454")</f>
        <v>1.454</v>
      </c>
    </row>
    <row r="39" spans="1:11">
      <c r="A39" s="3"/>
      <c r="B39" s="3"/>
      <c r="C39" s="3"/>
      <c r="D39" s="3"/>
      <c r="E39" s="3">
        <v>4</v>
      </c>
      <c r="F39" s="4" t="str">
        <f>HYPERLINK("http://141.218.60.56/~jnz1568/getInfo.php?workbook=18_16.xlsx&amp;sheet=U0&amp;row=39&amp;col=6&amp;number=3.903&amp;sourceID=37","3.903")</f>
        <v>3.903</v>
      </c>
      <c r="G39" s="4" t="str">
        <f>HYPERLINK("http://141.218.60.56/~jnz1568/getInfo.php?workbook=18_16.xlsx&amp;sheet=U0&amp;row=39&amp;col=7&amp;number=1.566&amp;sourceID=37","1.566")</f>
        <v>1.566</v>
      </c>
      <c r="H39" s="4" t="str">
        <f>HYPERLINK("http://141.218.60.56/~jnz1568/getInfo.php?workbook=18_16.xlsx&amp;sheet=U0&amp;row=39&amp;col=8&amp;number=4.255&amp;sourceID=61","4.255")</f>
        <v>4.255</v>
      </c>
      <c r="I39" s="4" t="str">
        <f>HYPERLINK("http://141.218.60.56/~jnz1568/getInfo.php?workbook=18_16.xlsx&amp;sheet=U0&amp;row=39&amp;col=9&amp;number=1.38&amp;sourceID=61","1.38")</f>
        <v>1.38</v>
      </c>
      <c r="J39" s="4" t="str">
        <f>HYPERLINK("http://141.218.60.56/~jnz1568/getInfo.php?workbook=18_16.xlsx&amp;sheet=U0&amp;row=39&amp;col=10&amp;number=3.6&amp;sourceID=51","3.6")</f>
        <v>3.6</v>
      </c>
      <c r="K39" s="4" t="str">
        <f>HYPERLINK("http://141.218.60.56/~jnz1568/getInfo.php?workbook=18_16.xlsx&amp;sheet=U0&amp;row=39&amp;col=11&amp;number=1.384&amp;sourceID=51","1.384")</f>
        <v>1.384</v>
      </c>
    </row>
    <row r="40" spans="1:11">
      <c r="A40" s="3"/>
      <c r="B40" s="3"/>
      <c r="C40" s="3"/>
      <c r="D40" s="3"/>
      <c r="E40" s="3">
        <v>5</v>
      </c>
      <c r="F40" s="4" t="str">
        <f>HYPERLINK("http://141.218.60.56/~jnz1568/getInfo.php?workbook=18_16.xlsx&amp;sheet=U0&amp;row=40&amp;col=6&amp;number=3.954&amp;sourceID=37","3.954")</f>
        <v>3.954</v>
      </c>
      <c r="G40" s="4" t="str">
        <f>HYPERLINK("http://141.218.60.56/~jnz1568/getInfo.php?workbook=18_16.xlsx&amp;sheet=U0&amp;row=40&amp;col=7&amp;number=1.536&amp;sourceID=37","1.536")</f>
        <v>1.536</v>
      </c>
      <c r="H40" s="4" t="str">
        <f>HYPERLINK("http://141.218.60.56/~jnz1568/getInfo.php?workbook=18_16.xlsx&amp;sheet=U0&amp;row=40&amp;col=8&amp;number=4.653&amp;sourceID=61","4.653")</f>
        <v>4.653</v>
      </c>
      <c r="I40" s="4" t="str">
        <f>HYPERLINK("http://141.218.60.56/~jnz1568/getInfo.php?workbook=18_16.xlsx&amp;sheet=U0&amp;row=40&amp;col=9&amp;number=1.32&amp;sourceID=61","1.32")</f>
        <v>1.32</v>
      </c>
      <c r="J40" s="4" t="str">
        <f>HYPERLINK("http://141.218.60.56/~jnz1568/getInfo.php?workbook=18_16.xlsx&amp;sheet=U0&amp;row=40&amp;col=10&amp;number=3.8&amp;sourceID=51","3.8")</f>
        <v>3.8</v>
      </c>
      <c r="K40" s="4" t="str">
        <f>HYPERLINK("http://141.218.60.56/~jnz1568/getInfo.php?workbook=18_16.xlsx&amp;sheet=U0&amp;row=40&amp;col=11&amp;number=1.322&amp;sourceID=51","1.322")</f>
        <v>1.322</v>
      </c>
    </row>
    <row r="41" spans="1:11">
      <c r="A41" s="3"/>
      <c r="B41" s="3"/>
      <c r="C41" s="3"/>
      <c r="D41" s="3"/>
      <c r="E41" s="3">
        <v>6</v>
      </c>
      <c r="F41" s="4" t="str">
        <f>HYPERLINK("http://141.218.60.56/~jnz1568/getInfo.php?workbook=18_16.xlsx&amp;sheet=U0&amp;row=41&amp;col=6&amp;number=4&amp;sourceID=37","4")</f>
        <v>4</v>
      </c>
      <c r="G41" s="4" t="str">
        <f>HYPERLINK("http://141.218.60.56/~jnz1568/getInfo.php?workbook=18_16.xlsx&amp;sheet=U0&amp;row=41&amp;col=7&amp;number=1.508&amp;sourceID=37","1.508")</f>
        <v>1.508</v>
      </c>
      <c r="H41" s="4" t="str">
        <f>HYPERLINK("http://141.218.60.56/~jnz1568/getInfo.php?workbook=18_16.xlsx&amp;sheet=U0&amp;row=41&amp;col=8&amp;number=4.954&amp;sourceID=61","4.954")</f>
        <v>4.954</v>
      </c>
      <c r="I41" s="4" t="str">
        <f>HYPERLINK("http://141.218.60.56/~jnz1568/getInfo.php?workbook=18_16.xlsx&amp;sheet=U0&amp;row=41&amp;col=9&amp;number=1.29&amp;sourceID=61","1.29")</f>
        <v>1.29</v>
      </c>
      <c r="J41" s="4" t="str">
        <f>HYPERLINK("http://141.218.60.56/~jnz1568/getInfo.php?workbook=18_16.xlsx&amp;sheet=U0&amp;row=41&amp;col=10&amp;number=4&amp;sourceID=51","4")</f>
        <v>4</v>
      </c>
      <c r="K41" s="4" t="str">
        <f>HYPERLINK("http://141.218.60.56/~jnz1568/getInfo.php?workbook=18_16.xlsx&amp;sheet=U0&amp;row=41&amp;col=11&amp;number=1.261&amp;sourceID=51","1.261")</f>
        <v>1.261</v>
      </c>
    </row>
    <row r="42" spans="1:11">
      <c r="A42" s="3"/>
      <c r="B42" s="3"/>
      <c r="C42" s="3"/>
      <c r="D42" s="3"/>
      <c r="E42" s="3">
        <v>7</v>
      </c>
      <c r="F42" s="4" t="str">
        <f>HYPERLINK("http://141.218.60.56/~jnz1568/getInfo.php?workbook=18_16.xlsx&amp;sheet=U0&amp;row=42&amp;col=6&amp;number=4.041&amp;sourceID=37","4.041")</f>
        <v>4.041</v>
      </c>
      <c r="G42" s="4" t="str">
        <f>HYPERLINK("http://141.218.60.56/~jnz1568/getInfo.php?workbook=18_16.xlsx&amp;sheet=U0&amp;row=42&amp;col=7&amp;number=1.483&amp;sourceID=37","1.483")</f>
        <v>1.483</v>
      </c>
      <c r="H42" s="4" t="str">
        <f>HYPERLINK("http://141.218.60.56/~jnz1568/getInfo.php?workbook=18_16.xlsx&amp;sheet=U0&amp;row=42&amp;col=8&amp;number=5.255&amp;sourceID=61","5.255")</f>
        <v>5.255</v>
      </c>
      <c r="I42" s="4" t="str">
        <f>HYPERLINK("http://141.218.60.56/~jnz1568/getInfo.php?workbook=18_16.xlsx&amp;sheet=U0&amp;row=42&amp;col=9&amp;number=1.1&amp;sourceID=61","1.1")</f>
        <v>1.1</v>
      </c>
      <c r="J42" s="4" t="str">
        <f>HYPERLINK("http://141.218.60.56/~jnz1568/getInfo.php?workbook=18_16.xlsx&amp;sheet=U0&amp;row=42&amp;col=10&amp;number=4.2&amp;sourceID=51","4.2")</f>
        <v>4.2</v>
      </c>
      <c r="K42" s="4" t="str">
        <f>HYPERLINK("http://141.218.60.56/~jnz1568/getInfo.php?workbook=18_16.xlsx&amp;sheet=U0&amp;row=42&amp;col=11&amp;number=1.207&amp;sourceID=51","1.207")</f>
        <v>1.207</v>
      </c>
    </row>
    <row r="43" spans="1:11">
      <c r="A43" s="3"/>
      <c r="B43" s="3"/>
      <c r="C43" s="3"/>
      <c r="D43" s="3"/>
      <c r="E43" s="3">
        <v>8</v>
      </c>
      <c r="F43" s="4" t="str">
        <f>HYPERLINK("http://141.218.60.56/~jnz1568/getInfo.php?workbook=18_16.xlsx&amp;sheet=U0&amp;row=43&amp;col=6&amp;number=4.079&amp;sourceID=37","4.079")</f>
        <v>4.079</v>
      </c>
      <c r="G43" s="4" t="str">
        <f>HYPERLINK("http://141.218.60.56/~jnz1568/getInfo.php?workbook=18_16.xlsx&amp;sheet=U0&amp;row=43&amp;col=7&amp;number=1.459&amp;sourceID=37","1.459")</f>
        <v>1.459</v>
      </c>
      <c r="H43" s="4" t="str">
        <f>HYPERLINK("http://141.218.60.56/~jnz1568/getInfo.php?workbook=18_16.xlsx&amp;sheet=U0&amp;row=43&amp;col=8&amp;number=5.653&amp;sourceID=61","5.653")</f>
        <v>5.653</v>
      </c>
      <c r="I43" s="4" t="str">
        <f>HYPERLINK("http://141.218.60.56/~jnz1568/getInfo.php?workbook=18_16.xlsx&amp;sheet=U0&amp;row=43&amp;col=9&amp;number=0.693&amp;sourceID=61","0.693")</f>
        <v>0.693</v>
      </c>
      <c r="J43" s="4" t="str">
        <f>HYPERLINK("http://141.218.60.56/~jnz1568/getInfo.php?workbook=18_16.xlsx&amp;sheet=U0&amp;row=43&amp;col=10&amp;number=4.4&amp;sourceID=51","4.4")</f>
        <v>4.4</v>
      </c>
      <c r="K43" s="4" t="str">
        <f>HYPERLINK("http://141.218.60.56/~jnz1568/getInfo.php?workbook=18_16.xlsx&amp;sheet=U0&amp;row=43&amp;col=11&amp;number=1.162&amp;sourceID=51","1.162")</f>
        <v>1.162</v>
      </c>
    </row>
    <row r="44" spans="1:11">
      <c r="A44" s="3"/>
      <c r="B44" s="3"/>
      <c r="C44" s="3"/>
      <c r="D44" s="3"/>
      <c r="E44" s="3">
        <v>9</v>
      </c>
      <c r="F44" s="4" t="str">
        <f>HYPERLINK("http://141.218.60.56/~jnz1568/getInfo.php?workbook=18_16.xlsx&amp;sheet=U0&amp;row=44&amp;col=6&amp;number=4.114&amp;sourceID=37","4.114")</f>
        <v>4.114</v>
      </c>
      <c r="G44" s="4" t="str">
        <f>HYPERLINK("http://141.218.60.56/~jnz1568/getInfo.php?workbook=18_16.xlsx&amp;sheet=U0&amp;row=44&amp;col=7&amp;number=1.438&amp;sourceID=37","1.438")</f>
        <v>1.438</v>
      </c>
      <c r="H44" s="4" t="str">
        <f>HYPERLINK("http://141.218.60.56/~jnz1568/getInfo.php?workbook=18_16.xlsx&amp;sheet=U0&amp;row=44&amp;col=8&amp;number=5.954&amp;sourceID=61","5.954")</f>
        <v>5.954</v>
      </c>
      <c r="I44" s="4" t="str">
        <f>HYPERLINK("http://141.218.60.56/~jnz1568/getInfo.php?workbook=18_16.xlsx&amp;sheet=U0&amp;row=44&amp;col=9&amp;number=0.433&amp;sourceID=61","0.433")</f>
        <v>0.433</v>
      </c>
      <c r="J44" s="4" t="str">
        <f>HYPERLINK("http://141.218.60.56/~jnz1568/getInfo.php?workbook=18_16.xlsx&amp;sheet=U0&amp;row=44&amp;col=10&amp;number=4.6&amp;sourceID=51","4.6")</f>
        <v>4.6</v>
      </c>
      <c r="K44" s="4" t="str">
        <f>HYPERLINK("http://141.218.60.56/~jnz1568/getInfo.php?workbook=18_16.xlsx&amp;sheet=U0&amp;row=44&amp;col=11&amp;number=1.128&amp;sourceID=51","1.128")</f>
        <v>1.128</v>
      </c>
    </row>
    <row r="45" spans="1:11">
      <c r="A45" s="3"/>
      <c r="B45" s="3"/>
      <c r="C45" s="3"/>
      <c r="D45" s="3"/>
      <c r="E45" s="3">
        <v>10</v>
      </c>
      <c r="F45" s="4" t="str">
        <f>HYPERLINK("http://141.218.60.56/~jnz1568/getInfo.php?workbook=18_16.xlsx&amp;sheet=U0&amp;row=45&amp;col=6&amp;number=4.146&amp;sourceID=37","4.146")</f>
        <v>4.146</v>
      </c>
      <c r="G45" s="4" t="str">
        <f>HYPERLINK("http://141.218.60.56/~jnz1568/getInfo.php?workbook=18_16.xlsx&amp;sheet=U0&amp;row=45&amp;col=7&amp;number=1.417&amp;sourceID=37","1.417")</f>
        <v>1.417</v>
      </c>
      <c r="H45" s="4" t="str">
        <f>HYPERLINK("http://141.218.60.56/~jnz1568/getInfo.php?workbook=18_16.xlsx&amp;sheet=U0&amp;row=45&amp;col=8&amp;number=6.255&amp;sourceID=61","6.255")</f>
        <v>6.255</v>
      </c>
      <c r="I45" s="4" t="str">
        <f>HYPERLINK("http://141.218.60.56/~jnz1568/getInfo.php?workbook=18_16.xlsx&amp;sheet=U0&amp;row=45&amp;col=9&amp;number=0.254&amp;sourceID=61","0.254")</f>
        <v>0.254</v>
      </c>
      <c r="J45" s="4" t="str">
        <f>HYPERLINK("http://141.218.60.56/~jnz1568/getInfo.php?workbook=18_16.xlsx&amp;sheet=U0&amp;row=45&amp;col=10&amp;number=4.8&amp;sourceID=51","4.8")</f>
        <v>4.8</v>
      </c>
      <c r="K45" s="4" t="str">
        <f>HYPERLINK("http://141.218.60.56/~jnz1568/getInfo.php?workbook=18_16.xlsx&amp;sheet=U0&amp;row=45&amp;col=11&amp;number=1.089&amp;sourceID=51","1.089")</f>
        <v>1.089</v>
      </c>
    </row>
    <row r="46" spans="1:11">
      <c r="A46" s="3"/>
      <c r="B46" s="3"/>
      <c r="C46" s="3"/>
      <c r="D46" s="3"/>
      <c r="E46" s="3">
        <v>11</v>
      </c>
      <c r="F46" s="4" t="str">
        <f>HYPERLINK("http://141.218.60.56/~jnz1568/getInfo.php?workbook=18_16.xlsx&amp;sheet=U0&amp;row=46&amp;col=6&amp;number=4.176&amp;sourceID=37","4.176")</f>
        <v>4.176</v>
      </c>
      <c r="G46" s="4" t="str">
        <f>HYPERLINK("http://141.218.60.56/~jnz1568/getInfo.php?workbook=18_16.xlsx&amp;sheet=U0&amp;row=46&amp;col=7&amp;number=1.399&amp;sourceID=37","1.399")</f>
        <v>1.399</v>
      </c>
      <c r="H46" s="4" t="str">
        <f>HYPERLINK("http://141.218.60.56/~jnz1568/getInfo.php?workbook=18_16.xlsx&amp;sheet=U0&amp;row=46&amp;col=8&amp;number=6.653&amp;sourceID=61","6.653")</f>
        <v>6.653</v>
      </c>
      <c r="I46" s="4" t="str">
        <f>HYPERLINK("http://141.218.60.56/~jnz1568/getInfo.php?workbook=18_16.xlsx&amp;sheet=U0&amp;row=46&amp;col=9&amp;number=0.118&amp;sourceID=61","0.118")</f>
        <v>0.118</v>
      </c>
      <c r="J46" s="4" t="str">
        <f>HYPERLINK("http://141.218.60.56/~jnz1568/getInfo.php?workbook=18_16.xlsx&amp;sheet=U0&amp;row=46&amp;col=10&amp;number=5&amp;sourceID=51","5")</f>
        <v>5</v>
      </c>
      <c r="K46" s="4" t="str">
        <f>HYPERLINK("http://141.218.60.56/~jnz1568/getInfo.php?workbook=18_16.xlsx&amp;sheet=U0&amp;row=46&amp;col=11&amp;number=1.006&amp;sourceID=51","1.006")</f>
        <v>1.006</v>
      </c>
    </row>
    <row r="47" spans="1:11">
      <c r="A47" s="3"/>
      <c r="B47" s="3"/>
      <c r="C47" s="3"/>
      <c r="D47" s="3"/>
      <c r="E47" s="3">
        <v>12</v>
      </c>
      <c r="F47" s="4" t="str">
        <f>HYPERLINK("http://141.218.60.56/~jnz1568/getInfo.php?workbook=18_16.xlsx&amp;sheet=U0&amp;row=47&amp;col=6&amp;number=4.204&amp;sourceID=37","4.204")</f>
        <v>4.204</v>
      </c>
      <c r="G47" s="4" t="str">
        <f>HYPERLINK("http://141.218.60.56/~jnz1568/getInfo.php?workbook=18_16.xlsx&amp;sheet=U0&amp;row=47&amp;col=7&amp;number=1.381&amp;sourceID=37","1.381")</f>
        <v>1.381</v>
      </c>
      <c r="H47" s="4" t="str">
        <f>HYPERLINK("http://141.218.60.56/~jnz1568/getInfo.php?workbook=18_16.xlsx&amp;sheet=U0&amp;row=47&amp;col=8&amp;number=6.954&amp;sourceID=61","6.954")</f>
        <v>6.954</v>
      </c>
      <c r="I47" s="4" t="str">
        <f>HYPERLINK("http://141.218.60.56/~jnz1568/getInfo.php?workbook=18_16.xlsx&amp;sheet=U0&amp;row=47&amp;col=9&amp;number=0.064&amp;sourceID=61","0.064")</f>
        <v>0.064</v>
      </c>
      <c r="J47" s="4" t="str">
        <f>HYPERLINK("http://141.218.60.56/~jnz1568/getInfo.php?workbook=18_16.xlsx&amp;sheet=U0&amp;row=47&amp;col=10&amp;number=&amp;sourceID=51","")</f>
        <v/>
      </c>
      <c r="K47" s="4" t="str">
        <f>HYPERLINK("http://141.218.60.56/~jnz1568/getInfo.php?workbook=18_16.xlsx&amp;sheet=U0&amp;row=47&amp;col=11&amp;number=&amp;sourceID=51","")</f>
        <v/>
      </c>
    </row>
    <row r="48" spans="1:11">
      <c r="A48" s="3"/>
      <c r="B48" s="3"/>
      <c r="C48" s="3"/>
      <c r="D48" s="3"/>
      <c r="E48" s="3">
        <v>13</v>
      </c>
      <c r="F48" s="4" t="str">
        <f>HYPERLINK("http://141.218.60.56/~jnz1568/getInfo.php?workbook=18_16.xlsx&amp;sheet=U0&amp;row=48&amp;col=6&amp;number=4.23&amp;sourceID=37","4.23")</f>
        <v>4.23</v>
      </c>
      <c r="G48" s="4" t="str">
        <f>HYPERLINK("http://141.218.60.56/~jnz1568/getInfo.php?workbook=18_16.xlsx&amp;sheet=U0&amp;row=48&amp;col=7&amp;number=1.364&amp;sourceID=37","1.364")</f>
        <v>1.364</v>
      </c>
      <c r="H48" s="4" t="str">
        <f>HYPERLINK("http://141.218.60.56/~jnz1568/getInfo.php?workbook=18_16.xlsx&amp;sheet=U0&amp;row=48&amp;col=8&amp;number=7.255&amp;sourceID=61","7.255")</f>
        <v>7.255</v>
      </c>
      <c r="I48" s="4" t="str">
        <f>HYPERLINK("http://141.218.60.56/~jnz1568/getInfo.php?workbook=18_16.xlsx&amp;sheet=U0&amp;row=48&amp;col=9&amp;number=0.034&amp;sourceID=61","0.034")</f>
        <v>0.034</v>
      </c>
      <c r="J48" s="4" t="str">
        <f>HYPERLINK("http://141.218.60.56/~jnz1568/getInfo.php?workbook=18_16.xlsx&amp;sheet=U0&amp;row=48&amp;col=10&amp;number=&amp;sourceID=51","")</f>
        <v/>
      </c>
      <c r="K48" s="4" t="str">
        <f>HYPERLINK("http://141.218.60.56/~jnz1568/getInfo.php?workbook=18_16.xlsx&amp;sheet=U0&amp;row=48&amp;col=11&amp;number=&amp;sourceID=51","")</f>
        <v/>
      </c>
    </row>
    <row r="49" spans="1:11">
      <c r="A49" s="3"/>
      <c r="B49" s="3"/>
      <c r="C49" s="3"/>
      <c r="D49" s="3"/>
      <c r="E49" s="3">
        <v>14</v>
      </c>
      <c r="F49" s="4" t="str">
        <f>HYPERLINK("http://141.218.60.56/~jnz1568/getInfo.php?workbook=18_16.xlsx&amp;sheet=U0&amp;row=49&amp;col=6&amp;number=4.255&amp;sourceID=37","4.255")</f>
        <v>4.255</v>
      </c>
      <c r="G49" s="4" t="str">
        <f>HYPERLINK("http://141.218.60.56/~jnz1568/getInfo.php?workbook=18_16.xlsx&amp;sheet=U0&amp;row=49&amp;col=7&amp;number=1.348&amp;sourceID=37","1.348")</f>
        <v>1.348</v>
      </c>
      <c r="H49" s="4" t="str">
        <f>HYPERLINK("http://141.218.60.56/~jnz1568/getInfo.php?workbook=18_16.xlsx&amp;sheet=U0&amp;row=49&amp;col=8&amp;number=&amp;sourceID=61","")</f>
        <v/>
      </c>
      <c r="I49" s="4" t="str">
        <f>HYPERLINK("http://141.218.60.56/~jnz1568/getInfo.php?workbook=18_16.xlsx&amp;sheet=U0&amp;row=49&amp;col=9&amp;number=&amp;sourceID=61","")</f>
        <v/>
      </c>
      <c r="J49" s="4" t="str">
        <f>HYPERLINK("http://141.218.60.56/~jnz1568/getInfo.php?workbook=18_16.xlsx&amp;sheet=U0&amp;row=49&amp;col=10&amp;number=&amp;sourceID=51","")</f>
        <v/>
      </c>
      <c r="K49" s="4" t="str">
        <f>HYPERLINK("http://141.218.60.56/~jnz1568/getInfo.php?workbook=18_16.xlsx&amp;sheet=U0&amp;row=49&amp;col=11&amp;number=&amp;sourceID=51","")</f>
        <v/>
      </c>
    </row>
    <row r="50" spans="1:11">
      <c r="A50" s="3"/>
      <c r="B50" s="3"/>
      <c r="C50" s="3"/>
      <c r="D50" s="3"/>
      <c r="E50" s="3">
        <v>15</v>
      </c>
      <c r="F50" s="4" t="str">
        <f>HYPERLINK("http://141.218.60.56/~jnz1568/getInfo.php?workbook=18_16.xlsx&amp;sheet=U0&amp;row=50&amp;col=6&amp;number=4.279&amp;sourceID=37","4.279")</f>
        <v>4.279</v>
      </c>
      <c r="G50" s="4" t="str">
        <f>HYPERLINK("http://141.218.60.56/~jnz1568/getInfo.php?workbook=18_16.xlsx&amp;sheet=U0&amp;row=50&amp;col=7&amp;number=1.333&amp;sourceID=37","1.333")</f>
        <v>1.333</v>
      </c>
      <c r="H50" s="4" t="str">
        <f>HYPERLINK("http://141.218.60.56/~jnz1568/getInfo.php?workbook=18_16.xlsx&amp;sheet=U0&amp;row=50&amp;col=8&amp;number=&amp;sourceID=61","")</f>
        <v/>
      </c>
      <c r="I50" s="4" t="str">
        <f>HYPERLINK("http://141.218.60.56/~jnz1568/getInfo.php?workbook=18_16.xlsx&amp;sheet=U0&amp;row=50&amp;col=9&amp;number=&amp;sourceID=61","")</f>
        <v/>
      </c>
      <c r="J50" s="4" t="str">
        <f>HYPERLINK("http://141.218.60.56/~jnz1568/getInfo.php?workbook=18_16.xlsx&amp;sheet=U0&amp;row=50&amp;col=10&amp;number=&amp;sourceID=51","")</f>
        <v/>
      </c>
      <c r="K50" s="4" t="str">
        <f>HYPERLINK("http://141.218.60.56/~jnz1568/getInfo.php?workbook=18_16.xlsx&amp;sheet=U0&amp;row=50&amp;col=11&amp;number=&amp;sourceID=51","")</f>
        <v/>
      </c>
    </row>
    <row r="51" spans="1:11">
      <c r="A51" s="3"/>
      <c r="B51" s="3"/>
      <c r="C51" s="3"/>
      <c r="D51" s="3"/>
      <c r="E51" s="3">
        <v>16</v>
      </c>
      <c r="F51" s="4" t="str">
        <f>HYPERLINK("http://141.218.60.56/~jnz1568/getInfo.php?workbook=18_16.xlsx&amp;sheet=U0&amp;row=51&amp;col=6&amp;number=4.301&amp;sourceID=37","4.301")</f>
        <v>4.301</v>
      </c>
      <c r="G51" s="4" t="str">
        <f>HYPERLINK("http://141.218.60.56/~jnz1568/getInfo.php?workbook=18_16.xlsx&amp;sheet=U0&amp;row=51&amp;col=7&amp;number=1.318&amp;sourceID=37","1.318")</f>
        <v>1.318</v>
      </c>
      <c r="H51" s="4" t="str">
        <f>HYPERLINK("http://141.218.60.56/~jnz1568/getInfo.php?workbook=18_16.xlsx&amp;sheet=U0&amp;row=51&amp;col=8&amp;number=&amp;sourceID=61","")</f>
        <v/>
      </c>
      <c r="I51" s="4" t="str">
        <f>HYPERLINK("http://141.218.60.56/~jnz1568/getInfo.php?workbook=18_16.xlsx&amp;sheet=U0&amp;row=51&amp;col=9&amp;number=&amp;sourceID=61","")</f>
        <v/>
      </c>
      <c r="J51" s="4" t="str">
        <f>HYPERLINK("http://141.218.60.56/~jnz1568/getInfo.php?workbook=18_16.xlsx&amp;sheet=U0&amp;row=51&amp;col=10&amp;number=&amp;sourceID=51","")</f>
        <v/>
      </c>
      <c r="K51" s="4" t="str">
        <f>HYPERLINK("http://141.218.60.56/~jnz1568/getInfo.php?workbook=18_16.xlsx&amp;sheet=U0&amp;row=51&amp;col=11&amp;number=&amp;sourceID=51","")</f>
        <v/>
      </c>
    </row>
    <row r="52" spans="1:11">
      <c r="A52" s="3">
        <v>18</v>
      </c>
      <c r="B52" s="3">
        <v>16</v>
      </c>
      <c r="C52" s="3">
        <v>4</v>
      </c>
      <c r="D52" s="3">
        <v>1</v>
      </c>
      <c r="E52" s="3">
        <v>1</v>
      </c>
      <c r="F52" s="4" t="str">
        <f>HYPERLINK("http://141.218.60.56/~jnz1568/getInfo.php?workbook=18_16.xlsx&amp;sheet=U0&amp;row=52&amp;col=6&amp;number=3.699&amp;sourceID=37","3.699")</f>
        <v>3.699</v>
      </c>
      <c r="G52" s="4" t="str">
        <f>HYPERLINK("http://141.218.60.56/~jnz1568/getInfo.php?workbook=18_16.xlsx&amp;sheet=U0&amp;row=52&amp;col=7&amp;number=3.307&amp;sourceID=37","3.307")</f>
        <v>3.307</v>
      </c>
      <c r="H52" s="4" t="str">
        <f>HYPERLINK("http://141.218.60.56/~jnz1568/getInfo.php?workbook=18_16.xlsx&amp;sheet=U0&amp;row=52&amp;col=8&amp;number=3.255&amp;sourceID=61","3.255")</f>
        <v>3.255</v>
      </c>
      <c r="I52" s="4" t="str">
        <f>HYPERLINK("http://141.218.60.56/~jnz1568/getInfo.php?workbook=18_16.xlsx&amp;sheet=U0&amp;row=52&amp;col=9&amp;number=3.01&amp;sourceID=61","3.01")</f>
        <v>3.01</v>
      </c>
      <c r="J52" s="4" t="str">
        <f>HYPERLINK("http://141.218.60.56/~jnz1568/getInfo.php?workbook=18_16.xlsx&amp;sheet=U0&amp;row=52&amp;col=10&amp;number=3&amp;sourceID=51","3")</f>
        <v>3</v>
      </c>
      <c r="K52" s="4" t="str">
        <f>HYPERLINK("http://141.218.60.56/~jnz1568/getInfo.php?workbook=18_16.xlsx&amp;sheet=U0&amp;row=52&amp;col=11&amp;number=2.614&amp;sourceID=51","2.614")</f>
        <v>2.614</v>
      </c>
    </row>
    <row r="53" spans="1:11">
      <c r="A53" s="3"/>
      <c r="B53" s="3"/>
      <c r="C53" s="3"/>
      <c r="D53" s="3"/>
      <c r="E53" s="3">
        <v>2</v>
      </c>
      <c r="F53" s="4" t="str">
        <f>HYPERLINK("http://141.218.60.56/~jnz1568/getInfo.php?workbook=18_16.xlsx&amp;sheet=U0&amp;row=53&amp;col=6&amp;number=3.778&amp;sourceID=37","3.778")</f>
        <v>3.778</v>
      </c>
      <c r="G53" s="4" t="str">
        <f>HYPERLINK("http://141.218.60.56/~jnz1568/getInfo.php?workbook=18_16.xlsx&amp;sheet=U0&amp;row=53&amp;col=7&amp;number=3.295&amp;sourceID=37","3.295")</f>
        <v>3.295</v>
      </c>
      <c r="H53" s="4" t="str">
        <f>HYPERLINK("http://141.218.60.56/~jnz1568/getInfo.php?workbook=18_16.xlsx&amp;sheet=U0&amp;row=53&amp;col=8&amp;number=3.653&amp;sourceID=61","3.653")</f>
        <v>3.653</v>
      </c>
      <c r="I53" s="4" t="str">
        <f>HYPERLINK("http://141.218.60.56/~jnz1568/getInfo.php?workbook=18_16.xlsx&amp;sheet=U0&amp;row=53&amp;col=9&amp;number=2.97&amp;sourceID=61","2.97")</f>
        <v>2.97</v>
      </c>
      <c r="J53" s="4" t="str">
        <f>HYPERLINK("http://141.218.60.56/~jnz1568/getInfo.php?workbook=18_16.xlsx&amp;sheet=U0&amp;row=53&amp;col=10&amp;number=3.2&amp;sourceID=51","3.2")</f>
        <v>3.2</v>
      </c>
      <c r="K53" s="4" t="str">
        <f>HYPERLINK("http://141.218.60.56/~jnz1568/getInfo.php?workbook=18_16.xlsx&amp;sheet=U0&amp;row=53&amp;col=11&amp;number=2.673&amp;sourceID=51","2.673")</f>
        <v>2.673</v>
      </c>
    </row>
    <row r="54" spans="1:11">
      <c r="A54" s="3"/>
      <c r="B54" s="3"/>
      <c r="C54" s="3"/>
      <c r="D54" s="3"/>
      <c r="E54" s="3">
        <v>3</v>
      </c>
      <c r="F54" s="4" t="str">
        <f>HYPERLINK("http://141.218.60.56/~jnz1568/getInfo.php?workbook=18_16.xlsx&amp;sheet=U0&amp;row=54&amp;col=6&amp;number=3.845&amp;sourceID=37","3.845")</f>
        <v>3.845</v>
      </c>
      <c r="G54" s="4" t="str">
        <f>HYPERLINK("http://141.218.60.56/~jnz1568/getInfo.php?workbook=18_16.xlsx&amp;sheet=U0&amp;row=54&amp;col=7&amp;number=3.281&amp;sourceID=37","3.281")</f>
        <v>3.281</v>
      </c>
      <c r="H54" s="4" t="str">
        <f>HYPERLINK("http://141.218.60.56/~jnz1568/getInfo.php?workbook=18_16.xlsx&amp;sheet=U0&amp;row=54&amp;col=8&amp;number=3.954&amp;sourceID=61","3.954")</f>
        <v>3.954</v>
      </c>
      <c r="I54" s="4" t="str">
        <f>HYPERLINK("http://141.218.60.56/~jnz1568/getInfo.php?workbook=18_16.xlsx&amp;sheet=U0&amp;row=54&amp;col=9&amp;number=2.94&amp;sourceID=61","2.94")</f>
        <v>2.94</v>
      </c>
      <c r="J54" s="4" t="str">
        <f>HYPERLINK("http://141.218.60.56/~jnz1568/getInfo.php?workbook=18_16.xlsx&amp;sheet=U0&amp;row=54&amp;col=10&amp;number=3.4&amp;sourceID=51","3.4")</f>
        <v>3.4</v>
      </c>
      <c r="K54" s="4" t="str">
        <f>HYPERLINK("http://141.218.60.56/~jnz1568/getInfo.php?workbook=18_16.xlsx&amp;sheet=U0&amp;row=54&amp;col=11&amp;number=2.709&amp;sourceID=51","2.709")</f>
        <v>2.709</v>
      </c>
    </row>
    <row r="55" spans="1:11">
      <c r="A55" s="3"/>
      <c r="B55" s="3"/>
      <c r="C55" s="3"/>
      <c r="D55" s="3"/>
      <c r="E55" s="3">
        <v>4</v>
      </c>
      <c r="F55" s="4" t="str">
        <f>HYPERLINK("http://141.218.60.56/~jnz1568/getInfo.php?workbook=18_16.xlsx&amp;sheet=U0&amp;row=55&amp;col=6&amp;number=3.903&amp;sourceID=37","3.903")</f>
        <v>3.903</v>
      </c>
      <c r="G55" s="4" t="str">
        <f>HYPERLINK("http://141.218.60.56/~jnz1568/getInfo.php?workbook=18_16.xlsx&amp;sheet=U0&amp;row=55&amp;col=7&amp;number=3.266&amp;sourceID=37","3.266")</f>
        <v>3.266</v>
      </c>
      <c r="H55" s="4" t="str">
        <f>HYPERLINK("http://141.218.60.56/~jnz1568/getInfo.php?workbook=18_16.xlsx&amp;sheet=U0&amp;row=55&amp;col=8&amp;number=4.255&amp;sourceID=61","4.255")</f>
        <v>4.255</v>
      </c>
      <c r="I55" s="4" t="str">
        <f>HYPERLINK("http://141.218.60.56/~jnz1568/getInfo.php?workbook=18_16.xlsx&amp;sheet=U0&amp;row=55&amp;col=9&amp;number=2.93&amp;sourceID=61","2.93")</f>
        <v>2.93</v>
      </c>
      <c r="J55" s="4" t="str">
        <f>HYPERLINK("http://141.218.60.56/~jnz1568/getInfo.php?workbook=18_16.xlsx&amp;sheet=U0&amp;row=55&amp;col=10&amp;number=3.6&amp;sourceID=51","3.6")</f>
        <v>3.6</v>
      </c>
      <c r="K55" s="4" t="str">
        <f>HYPERLINK("http://141.218.60.56/~jnz1568/getInfo.php?workbook=18_16.xlsx&amp;sheet=U0&amp;row=55&amp;col=11&amp;number=2.717&amp;sourceID=51","2.717")</f>
        <v>2.717</v>
      </c>
    </row>
    <row r="56" spans="1:11">
      <c r="A56" s="3"/>
      <c r="B56" s="3"/>
      <c r="C56" s="3"/>
      <c r="D56" s="3"/>
      <c r="E56" s="3">
        <v>5</v>
      </c>
      <c r="F56" s="4" t="str">
        <f>HYPERLINK("http://141.218.60.56/~jnz1568/getInfo.php?workbook=18_16.xlsx&amp;sheet=U0&amp;row=56&amp;col=6&amp;number=3.954&amp;sourceID=37","3.954")</f>
        <v>3.954</v>
      </c>
      <c r="G56" s="4" t="str">
        <f>HYPERLINK("http://141.218.60.56/~jnz1568/getInfo.php?workbook=18_16.xlsx&amp;sheet=U0&amp;row=56&amp;col=7&amp;number=3.249&amp;sourceID=37","3.249")</f>
        <v>3.249</v>
      </c>
      <c r="H56" s="4" t="str">
        <f>HYPERLINK("http://141.218.60.56/~jnz1568/getInfo.php?workbook=18_16.xlsx&amp;sheet=U0&amp;row=56&amp;col=8&amp;number=4.653&amp;sourceID=61","4.653")</f>
        <v>4.653</v>
      </c>
      <c r="I56" s="4" t="str">
        <f>HYPERLINK("http://141.218.60.56/~jnz1568/getInfo.php?workbook=18_16.xlsx&amp;sheet=U0&amp;row=56&amp;col=9&amp;number=3.09&amp;sourceID=61","3.09")</f>
        <v>3.09</v>
      </c>
      <c r="J56" s="4" t="str">
        <f>HYPERLINK("http://141.218.60.56/~jnz1568/getInfo.php?workbook=18_16.xlsx&amp;sheet=U0&amp;row=56&amp;col=10&amp;number=3.8&amp;sourceID=51","3.8")</f>
        <v>3.8</v>
      </c>
      <c r="K56" s="4" t="str">
        <f>HYPERLINK("http://141.218.60.56/~jnz1568/getInfo.php?workbook=18_16.xlsx&amp;sheet=U0&amp;row=56&amp;col=11&amp;number=2.697&amp;sourceID=51","2.697")</f>
        <v>2.697</v>
      </c>
    </row>
    <row r="57" spans="1:11">
      <c r="A57" s="3"/>
      <c r="B57" s="3"/>
      <c r="C57" s="3"/>
      <c r="D57" s="3"/>
      <c r="E57" s="3">
        <v>6</v>
      </c>
      <c r="F57" s="4" t="str">
        <f>HYPERLINK("http://141.218.60.56/~jnz1568/getInfo.php?workbook=18_16.xlsx&amp;sheet=U0&amp;row=57&amp;col=6&amp;number=4&amp;sourceID=37","4")</f>
        <v>4</v>
      </c>
      <c r="G57" s="4" t="str">
        <f>HYPERLINK("http://141.218.60.56/~jnz1568/getInfo.php?workbook=18_16.xlsx&amp;sheet=U0&amp;row=57&amp;col=7&amp;number=3.231&amp;sourceID=37","3.231")</f>
        <v>3.231</v>
      </c>
      <c r="H57" s="4" t="str">
        <f>HYPERLINK("http://141.218.60.56/~jnz1568/getInfo.php?workbook=18_16.xlsx&amp;sheet=U0&amp;row=57&amp;col=8&amp;number=4.954&amp;sourceID=61","4.954")</f>
        <v>4.954</v>
      </c>
      <c r="I57" s="4" t="str">
        <f>HYPERLINK("http://141.218.60.56/~jnz1568/getInfo.php?workbook=18_16.xlsx&amp;sheet=U0&amp;row=57&amp;col=9&amp;number=3.08&amp;sourceID=61","3.08")</f>
        <v>3.08</v>
      </c>
      <c r="J57" s="4" t="str">
        <f>HYPERLINK("http://141.218.60.56/~jnz1568/getInfo.php?workbook=18_16.xlsx&amp;sheet=U0&amp;row=57&amp;col=10&amp;number=4&amp;sourceID=51","4")</f>
        <v>4</v>
      </c>
      <c r="K57" s="4" t="str">
        <f>HYPERLINK("http://141.218.60.56/~jnz1568/getInfo.php?workbook=18_16.xlsx&amp;sheet=U0&amp;row=57&amp;col=11&amp;number=2.659&amp;sourceID=51","2.659")</f>
        <v>2.659</v>
      </c>
    </row>
    <row r="58" spans="1:11">
      <c r="A58" s="3"/>
      <c r="B58" s="3"/>
      <c r="C58" s="3"/>
      <c r="D58" s="3"/>
      <c r="E58" s="3">
        <v>7</v>
      </c>
      <c r="F58" s="4" t="str">
        <f>HYPERLINK("http://141.218.60.56/~jnz1568/getInfo.php?workbook=18_16.xlsx&amp;sheet=U0&amp;row=58&amp;col=6&amp;number=4.041&amp;sourceID=37","4.041")</f>
        <v>4.041</v>
      </c>
      <c r="G58" s="4" t="str">
        <f>HYPERLINK("http://141.218.60.56/~jnz1568/getInfo.php?workbook=18_16.xlsx&amp;sheet=U0&amp;row=58&amp;col=7&amp;number=3.213&amp;sourceID=37","3.213")</f>
        <v>3.213</v>
      </c>
      <c r="H58" s="4" t="str">
        <f>HYPERLINK("http://141.218.60.56/~jnz1568/getInfo.php?workbook=18_16.xlsx&amp;sheet=U0&amp;row=58&amp;col=8&amp;number=5.255&amp;sourceID=61","5.255")</f>
        <v>5.255</v>
      </c>
      <c r="I58" s="4" t="str">
        <f>HYPERLINK("http://141.218.60.56/~jnz1568/getInfo.php?workbook=18_16.xlsx&amp;sheet=U0&amp;row=58&amp;col=9&amp;number=2.57&amp;sourceID=61","2.57")</f>
        <v>2.57</v>
      </c>
      <c r="J58" s="4" t="str">
        <f>HYPERLINK("http://141.218.60.56/~jnz1568/getInfo.php?workbook=18_16.xlsx&amp;sheet=U0&amp;row=58&amp;col=10&amp;number=4.2&amp;sourceID=51","4.2")</f>
        <v>4.2</v>
      </c>
      <c r="K58" s="4" t="str">
        <f>HYPERLINK("http://141.218.60.56/~jnz1568/getInfo.php?workbook=18_16.xlsx&amp;sheet=U0&amp;row=58&amp;col=11&amp;number=2.619&amp;sourceID=51","2.619")</f>
        <v>2.619</v>
      </c>
    </row>
    <row r="59" spans="1:11">
      <c r="A59" s="3"/>
      <c r="B59" s="3"/>
      <c r="C59" s="3"/>
      <c r="D59" s="3"/>
      <c r="E59" s="3">
        <v>8</v>
      </c>
      <c r="F59" s="4" t="str">
        <f>HYPERLINK("http://141.218.60.56/~jnz1568/getInfo.php?workbook=18_16.xlsx&amp;sheet=U0&amp;row=59&amp;col=6&amp;number=4.079&amp;sourceID=37","4.079")</f>
        <v>4.079</v>
      </c>
      <c r="G59" s="4" t="str">
        <f>HYPERLINK("http://141.218.60.56/~jnz1568/getInfo.php?workbook=18_16.xlsx&amp;sheet=U0&amp;row=59&amp;col=7&amp;number=3.194&amp;sourceID=37","3.194")</f>
        <v>3.194</v>
      </c>
      <c r="H59" s="4" t="str">
        <f>HYPERLINK("http://141.218.60.56/~jnz1568/getInfo.php?workbook=18_16.xlsx&amp;sheet=U0&amp;row=59&amp;col=8&amp;number=5.653&amp;sourceID=61","5.653")</f>
        <v>5.653</v>
      </c>
      <c r="I59" s="4" t="str">
        <f>HYPERLINK("http://141.218.60.56/~jnz1568/getInfo.php?workbook=18_16.xlsx&amp;sheet=U0&amp;row=59&amp;col=9&amp;number=1.57&amp;sourceID=61","1.57")</f>
        <v>1.57</v>
      </c>
      <c r="J59" s="4" t="str">
        <f>HYPERLINK("http://141.218.60.56/~jnz1568/getInfo.php?workbook=18_16.xlsx&amp;sheet=U0&amp;row=59&amp;col=10&amp;number=4.4&amp;sourceID=51","4.4")</f>
        <v>4.4</v>
      </c>
      <c r="K59" s="4" t="str">
        <f>HYPERLINK("http://141.218.60.56/~jnz1568/getInfo.php?workbook=18_16.xlsx&amp;sheet=U0&amp;row=59&amp;col=11&amp;number=2.595&amp;sourceID=51","2.595")</f>
        <v>2.595</v>
      </c>
    </row>
    <row r="60" spans="1:11">
      <c r="A60" s="3"/>
      <c r="B60" s="3"/>
      <c r="C60" s="3"/>
      <c r="D60" s="3"/>
      <c r="E60" s="3">
        <v>9</v>
      </c>
      <c r="F60" s="4" t="str">
        <f>HYPERLINK("http://141.218.60.56/~jnz1568/getInfo.php?workbook=18_16.xlsx&amp;sheet=U0&amp;row=60&amp;col=6&amp;number=4.114&amp;sourceID=37","4.114")</f>
        <v>4.114</v>
      </c>
      <c r="G60" s="4" t="str">
        <f>HYPERLINK("http://141.218.60.56/~jnz1568/getInfo.php?workbook=18_16.xlsx&amp;sheet=U0&amp;row=60&amp;col=7&amp;number=3.175&amp;sourceID=37","3.175")</f>
        <v>3.175</v>
      </c>
      <c r="H60" s="4" t="str">
        <f>HYPERLINK("http://141.218.60.56/~jnz1568/getInfo.php?workbook=18_16.xlsx&amp;sheet=U0&amp;row=60&amp;col=8&amp;number=5.954&amp;sourceID=61","5.954")</f>
        <v>5.954</v>
      </c>
      <c r="I60" s="4" t="str">
        <f>HYPERLINK("http://141.218.60.56/~jnz1568/getInfo.php?workbook=18_16.xlsx&amp;sheet=U0&amp;row=60&amp;col=9&amp;number=0.958&amp;sourceID=61","0.958")</f>
        <v>0.958</v>
      </c>
      <c r="J60" s="4" t="str">
        <f>HYPERLINK("http://141.218.60.56/~jnz1568/getInfo.php?workbook=18_16.xlsx&amp;sheet=U0&amp;row=60&amp;col=10&amp;number=4.6&amp;sourceID=51","4.6")</f>
        <v>4.6</v>
      </c>
      <c r="K60" s="4" t="str">
        <f>HYPERLINK("http://141.218.60.56/~jnz1568/getInfo.php?workbook=18_16.xlsx&amp;sheet=U0&amp;row=60&amp;col=11&amp;number=2.582&amp;sourceID=51","2.582")</f>
        <v>2.582</v>
      </c>
    </row>
    <row r="61" spans="1:11">
      <c r="A61" s="3"/>
      <c r="B61" s="3"/>
      <c r="C61" s="3"/>
      <c r="D61" s="3"/>
      <c r="E61" s="3">
        <v>10</v>
      </c>
      <c r="F61" s="4" t="str">
        <f>HYPERLINK("http://141.218.60.56/~jnz1568/getInfo.php?workbook=18_16.xlsx&amp;sheet=U0&amp;row=61&amp;col=6&amp;number=4.146&amp;sourceID=37","4.146")</f>
        <v>4.146</v>
      </c>
      <c r="G61" s="4" t="str">
        <f>HYPERLINK("http://141.218.60.56/~jnz1568/getInfo.php?workbook=18_16.xlsx&amp;sheet=U0&amp;row=61&amp;col=7&amp;number=3.155&amp;sourceID=37","3.155")</f>
        <v>3.155</v>
      </c>
      <c r="H61" s="4" t="str">
        <f>HYPERLINK("http://141.218.60.56/~jnz1568/getInfo.php?workbook=18_16.xlsx&amp;sheet=U0&amp;row=61&amp;col=8&amp;number=6.255&amp;sourceID=61","6.255")</f>
        <v>6.255</v>
      </c>
      <c r="I61" s="4" t="str">
        <f>HYPERLINK("http://141.218.60.56/~jnz1568/getInfo.php?workbook=18_16.xlsx&amp;sheet=U0&amp;row=61&amp;col=9&amp;number=0.556&amp;sourceID=61","0.556")</f>
        <v>0.556</v>
      </c>
      <c r="J61" s="4" t="str">
        <f>HYPERLINK("http://141.218.60.56/~jnz1568/getInfo.php?workbook=18_16.xlsx&amp;sheet=U0&amp;row=61&amp;col=10&amp;number=4.8&amp;sourceID=51","4.8")</f>
        <v>4.8</v>
      </c>
      <c r="K61" s="4" t="str">
        <f>HYPERLINK("http://141.218.60.56/~jnz1568/getInfo.php?workbook=18_16.xlsx&amp;sheet=U0&amp;row=61&amp;col=11&amp;number=2.508&amp;sourceID=51","2.508")</f>
        <v>2.508</v>
      </c>
    </row>
    <row r="62" spans="1:11">
      <c r="A62" s="3"/>
      <c r="B62" s="3"/>
      <c r="C62" s="3"/>
      <c r="D62" s="3"/>
      <c r="E62" s="3">
        <v>11</v>
      </c>
      <c r="F62" s="4" t="str">
        <f>HYPERLINK("http://141.218.60.56/~jnz1568/getInfo.php?workbook=18_16.xlsx&amp;sheet=U0&amp;row=62&amp;col=6&amp;number=4.176&amp;sourceID=37","4.176")</f>
        <v>4.176</v>
      </c>
      <c r="G62" s="4" t="str">
        <f>HYPERLINK("http://141.218.60.56/~jnz1568/getInfo.php?workbook=18_16.xlsx&amp;sheet=U0&amp;row=62&amp;col=7&amp;number=3.135&amp;sourceID=37","3.135")</f>
        <v>3.135</v>
      </c>
      <c r="H62" s="4" t="str">
        <f>HYPERLINK("http://141.218.60.56/~jnz1568/getInfo.php?workbook=18_16.xlsx&amp;sheet=U0&amp;row=62&amp;col=8&amp;number=6.653&amp;sourceID=61","6.653")</f>
        <v>6.653</v>
      </c>
      <c r="I62" s="4" t="str">
        <f>HYPERLINK("http://141.218.60.56/~jnz1568/getInfo.php?workbook=18_16.xlsx&amp;sheet=U0&amp;row=62&amp;col=9&amp;number=0.261&amp;sourceID=61","0.261")</f>
        <v>0.261</v>
      </c>
      <c r="J62" s="4" t="str">
        <f>HYPERLINK("http://141.218.60.56/~jnz1568/getInfo.php?workbook=18_16.xlsx&amp;sheet=U0&amp;row=62&amp;col=10&amp;number=5&amp;sourceID=51","5")</f>
        <v>5</v>
      </c>
      <c r="K62" s="4" t="str">
        <f>HYPERLINK("http://141.218.60.56/~jnz1568/getInfo.php?workbook=18_16.xlsx&amp;sheet=U0&amp;row=62&amp;col=11&amp;number=2.295&amp;sourceID=51","2.295")</f>
        <v>2.295</v>
      </c>
    </row>
    <row r="63" spans="1:11">
      <c r="A63" s="3"/>
      <c r="B63" s="3"/>
      <c r="C63" s="3"/>
      <c r="D63" s="3"/>
      <c r="E63" s="3">
        <v>12</v>
      </c>
      <c r="F63" s="4" t="str">
        <f>HYPERLINK("http://141.218.60.56/~jnz1568/getInfo.php?workbook=18_16.xlsx&amp;sheet=U0&amp;row=63&amp;col=6&amp;number=4.204&amp;sourceID=37","4.204")</f>
        <v>4.204</v>
      </c>
      <c r="G63" s="4" t="str">
        <f>HYPERLINK("http://141.218.60.56/~jnz1568/getInfo.php?workbook=18_16.xlsx&amp;sheet=U0&amp;row=63&amp;col=7&amp;number=3.116&amp;sourceID=37","3.116")</f>
        <v>3.116</v>
      </c>
      <c r="H63" s="4" t="str">
        <f>HYPERLINK("http://141.218.60.56/~jnz1568/getInfo.php?workbook=18_16.xlsx&amp;sheet=U0&amp;row=63&amp;col=8&amp;number=6.954&amp;sourceID=61","6.954")</f>
        <v>6.954</v>
      </c>
      <c r="I63" s="4" t="str">
        <f>HYPERLINK("http://141.218.60.56/~jnz1568/getInfo.php?workbook=18_16.xlsx&amp;sheet=U0&amp;row=63&amp;col=9&amp;number=0.148&amp;sourceID=61","0.148")</f>
        <v>0.148</v>
      </c>
      <c r="J63" s="4" t="str">
        <f>HYPERLINK("http://141.218.60.56/~jnz1568/getInfo.php?workbook=18_16.xlsx&amp;sheet=U0&amp;row=63&amp;col=10&amp;number=&amp;sourceID=51","")</f>
        <v/>
      </c>
      <c r="K63" s="4" t="str">
        <f>HYPERLINK("http://141.218.60.56/~jnz1568/getInfo.php?workbook=18_16.xlsx&amp;sheet=U0&amp;row=63&amp;col=11&amp;number=&amp;sourceID=51","")</f>
        <v/>
      </c>
    </row>
    <row r="64" spans="1:11">
      <c r="A64" s="3"/>
      <c r="B64" s="3"/>
      <c r="C64" s="3"/>
      <c r="D64" s="3"/>
      <c r="E64" s="3">
        <v>13</v>
      </c>
      <c r="F64" s="4" t="str">
        <f>HYPERLINK("http://141.218.60.56/~jnz1568/getInfo.php?workbook=18_16.xlsx&amp;sheet=U0&amp;row=64&amp;col=6&amp;number=4.23&amp;sourceID=37","4.23")</f>
        <v>4.23</v>
      </c>
      <c r="G64" s="4" t="str">
        <f>HYPERLINK("http://141.218.60.56/~jnz1568/getInfo.php?workbook=18_16.xlsx&amp;sheet=U0&amp;row=64&amp;col=7&amp;number=3.096&amp;sourceID=37","3.096")</f>
        <v>3.096</v>
      </c>
      <c r="H64" s="4" t="str">
        <f>HYPERLINK("http://141.218.60.56/~jnz1568/getInfo.php?workbook=18_16.xlsx&amp;sheet=U0&amp;row=64&amp;col=8&amp;number=7.255&amp;sourceID=61","7.255")</f>
        <v>7.255</v>
      </c>
      <c r="I64" s="4" t="str">
        <f>HYPERLINK("http://141.218.60.56/~jnz1568/getInfo.php?workbook=18_16.xlsx&amp;sheet=U0&amp;row=64&amp;col=9&amp;number=0.085&amp;sourceID=61","0.085")</f>
        <v>0.085</v>
      </c>
      <c r="J64" s="4" t="str">
        <f>HYPERLINK("http://141.218.60.56/~jnz1568/getInfo.php?workbook=18_16.xlsx&amp;sheet=U0&amp;row=64&amp;col=10&amp;number=&amp;sourceID=51","")</f>
        <v/>
      </c>
      <c r="K64" s="4" t="str">
        <f>HYPERLINK("http://141.218.60.56/~jnz1568/getInfo.php?workbook=18_16.xlsx&amp;sheet=U0&amp;row=64&amp;col=11&amp;number=&amp;sourceID=51","")</f>
        <v/>
      </c>
    </row>
    <row r="65" spans="1:11">
      <c r="A65" s="3"/>
      <c r="B65" s="3"/>
      <c r="C65" s="3"/>
      <c r="D65" s="3"/>
      <c r="E65" s="3">
        <v>14</v>
      </c>
      <c r="F65" s="4" t="str">
        <f>HYPERLINK("http://141.218.60.56/~jnz1568/getInfo.php?workbook=18_16.xlsx&amp;sheet=U0&amp;row=65&amp;col=6&amp;number=4.255&amp;sourceID=37","4.255")</f>
        <v>4.255</v>
      </c>
      <c r="G65" s="4" t="str">
        <f>HYPERLINK("http://141.218.60.56/~jnz1568/getInfo.php?workbook=18_16.xlsx&amp;sheet=U0&amp;row=65&amp;col=7&amp;number=3.076&amp;sourceID=37","3.076")</f>
        <v>3.076</v>
      </c>
      <c r="H65" s="4" t="str">
        <f>HYPERLINK("http://141.218.60.56/~jnz1568/getInfo.php?workbook=18_16.xlsx&amp;sheet=U0&amp;row=65&amp;col=8&amp;number=&amp;sourceID=61","")</f>
        <v/>
      </c>
      <c r="I65" s="4" t="str">
        <f>HYPERLINK("http://141.218.60.56/~jnz1568/getInfo.php?workbook=18_16.xlsx&amp;sheet=U0&amp;row=65&amp;col=9&amp;number=&amp;sourceID=61","")</f>
        <v/>
      </c>
      <c r="J65" s="4" t="str">
        <f>HYPERLINK("http://141.218.60.56/~jnz1568/getInfo.php?workbook=18_16.xlsx&amp;sheet=U0&amp;row=65&amp;col=10&amp;number=&amp;sourceID=51","")</f>
        <v/>
      </c>
      <c r="K65" s="4" t="str">
        <f>HYPERLINK("http://141.218.60.56/~jnz1568/getInfo.php?workbook=18_16.xlsx&amp;sheet=U0&amp;row=65&amp;col=11&amp;number=&amp;sourceID=51","")</f>
        <v/>
      </c>
    </row>
    <row r="66" spans="1:11">
      <c r="A66" s="3"/>
      <c r="B66" s="3"/>
      <c r="C66" s="3"/>
      <c r="D66" s="3"/>
      <c r="E66" s="3">
        <v>15</v>
      </c>
      <c r="F66" s="4" t="str">
        <f>HYPERLINK("http://141.218.60.56/~jnz1568/getInfo.php?workbook=18_16.xlsx&amp;sheet=U0&amp;row=66&amp;col=6&amp;number=4.279&amp;sourceID=37","4.279")</f>
        <v>4.279</v>
      </c>
      <c r="G66" s="4" t="str">
        <f>HYPERLINK("http://141.218.60.56/~jnz1568/getInfo.php?workbook=18_16.xlsx&amp;sheet=U0&amp;row=66&amp;col=7&amp;number=3.057&amp;sourceID=37","3.057")</f>
        <v>3.057</v>
      </c>
      <c r="H66" s="4" t="str">
        <f>HYPERLINK("http://141.218.60.56/~jnz1568/getInfo.php?workbook=18_16.xlsx&amp;sheet=U0&amp;row=66&amp;col=8&amp;number=&amp;sourceID=61","")</f>
        <v/>
      </c>
      <c r="I66" s="4" t="str">
        <f>HYPERLINK("http://141.218.60.56/~jnz1568/getInfo.php?workbook=18_16.xlsx&amp;sheet=U0&amp;row=66&amp;col=9&amp;number=&amp;sourceID=61","")</f>
        <v/>
      </c>
      <c r="J66" s="4" t="str">
        <f>HYPERLINK("http://141.218.60.56/~jnz1568/getInfo.php?workbook=18_16.xlsx&amp;sheet=U0&amp;row=66&amp;col=10&amp;number=&amp;sourceID=51","")</f>
        <v/>
      </c>
      <c r="K66" s="4" t="str">
        <f>HYPERLINK("http://141.218.60.56/~jnz1568/getInfo.php?workbook=18_16.xlsx&amp;sheet=U0&amp;row=66&amp;col=11&amp;number=&amp;sourceID=51","")</f>
        <v/>
      </c>
    </row>
    <row r="67" spans="1:11">
      <c r="A67" s="3"/>
      <c r="B67" s="3"/>
      <c r="C67" s="3"/>
      <c r="D67" s="3"/>
      <c r="E67" s="3">
        <v>16</v>
      </c>
      <c r="F67" s="4" t="str">
        <f>HYPERLINK("http://141.218.60.56/~jnz1568/getInfo.php?workbook=18_16.xlsx&amp;sheet=U0&amp;row=67&amp;col=6&amp;number=4.301&amp;sourceID=37","4.301")</f>
        <v>4.301</v>
      </c>
      <c r="G67" s="4" t="str">
        <f>HYPERLINK("http://141.218.60.56/~jnz1568/getInfo.php?workbook=18_16.xlsx&amp;sheet=U0&amp;row=67&amp;col=7&amp;number=3.038&amp;sourceID=37","3.038")</f>
        <v>3.038</v>
      </c>
      <c r="H67" s="4" t="str">
        <f>HYPERLINK("http://141.218.60.56/~jnz1568/getInfo.php?workbook=18_16.xlsx&amp;sheet=U0&amp;row=67&amp;col=8&amp;number=&amp;sourceID=61","")</f>
        <v/>
      </c>
      <c r="I67" s="4" t="str">
        <f>HYPERLINK("http://141.218.60.56/~jnz1568/getInfo.php?workbook=18_16.xlsx&amp;sheet=U0&amp;row=67&amp;col=9&amp;number=&amp;sourceID=61","")</f>
        <v/>
      </c>
      <c r="J67" s="4" t="str">
        <f>HYPERLINK("http://141.218.60.56/~jnz1568/getInfo.php?workbook=18_16.xlsx&amp;sheet=U0&amp;row=67&amp;col=10&amp;number=&amp;sourceID=51","")</f>
        <v/>
      </c>
      <c r="K67" s="4" t="str">
        <f>HYPERLINK("http://141.218.60.56/~jnz1568/getInfo.php?workbook=18_16.xlsx&amp;sheet=U0&amp;row=67&amp;col=11&amp;number=&amp;sourceID=51","")</f>
        <v/>
      </c>
    </row>
    <row r="68" spans="1:11">
      <c r="A68" s="3">
        <v>18</v>
      </c>
      <c r="B68" s="3">
        <v>16</v>
      </c>
      <c r="C68" s="3">
        <v>4</v>
      </c>
      <c r="D68" s="3">
        <v>2</v>
      </c>
      <c r="E68" s="3">
        <v>1</v>
      </c>
      <c r="F68" s="4" t="str">
        <f>HYPERLINK("http://141.218.60.56/~jnz1568/getInfo.php?workbook=18_16.xlsx&amp;sheet=U0&amp;row=68&amp;col=6&amp;number=3.699&amp;sourceID=37","3.699")</f>
        <v>3.699</v>
      </c>
      <c r="G68" s="4" t="str">
        <f>HYPERLINK("http://141.218.60.56/~jnz1568/getInfo.php?workbook=18_16.xlsx&amp;sheet=U0&amp;row=68&amp;col=7&amp;number=1.984&amp;sourceID=37","1.984")</f>
        <v>1.984</v>
      </c>
      <c r="H68" s="4" t="str">
        <f>HYPERLINK("http://141.218.60.56/~jnz1568/getInfo.php?workbook=18_16.xlsx&amp;sheet=U0&amp;row=68&amp;col=8&amp;number=3.255&amp;sourceID=61","3.255")</f>
        <v>3.255</v>
      </c>
      <c r="I68" s="4" t="str">
        <f>HYPERLINK("http://141.218.60.56/~jnz1568/getInfo.php?workbook=18_16.xlsx&amp;sheet=U0&amp;row=68&amp;col=9&amp;number=1.85&amp;sourceID=61","1.85")</f>
        <v>1.85</v>
      </c>
      <c r="J68" s="4" t="str">
        <f>HYPERLINK("http://141.218.60.56/~jnz1568/getInfo.php?workbook=18_16.xlsx&amp;sheet=U0&amp;row=68&amp;col=10&amp;number=3&amp;sourceID=51","3")</f>
        <v>3</v>
      </c>
      <c r="K68" s="4" t="str">
        <f>HYPERLINK("http://141.218.60.56/~jnz1568/getInfo.php?workbook=18_16.xlsx&amp;sheet=U0&amp;row=68&amp;col=11&amp;number=1.568&amp;sourceID=51","1.568")</f>
        <v>1.568</v>
      </c>
    </row>
    <row r="69" spans="1:11">
      <c r="A69" s="3"/>
      <c r="B69" s="3"/>
      <c r="C69" s="3"/>
      <c r="D69" s="3"/>
      <c r="E69" s="3">
        <v>2</v>
      </c>
      <c r="F69" s="4" t="str">
        <f>HYPERLINK("http://141.218.60.56/~jnz1568/getInfo.php?workbook=18_16.xlsx&amp;sheet=U0&amp;row=69&amp;col=6&amp;number=3.778&amp;sourceID=37","3.778")</f>
        <v>3.778</v>
      </c>
      <c r="G69" s="4" t="str">
        <f>HYPERLINK("http://141.218.60.56/~jnz1568/getInfo.php?workbook=18_16.xlsx&amp;sheet=U0&amp;row=69&amp;col=7&amp;number=1.977&amp;sourceID=37","1.977")</f>
        <v>1.977</v>
      </c>
      <c r="H69" s="4" t="str">
        <f>HYPERLINK("http://141.218.60.56/~jnz1568/getInfo.php?workbook=18_16.xlsx&amp;sheet=U0&amp;row=69&amp;col=8&amp;number=3.653&amp;sourceID=61","3.653")</f>
        <v>3.653</v>
      </c>
      <c r="I69" s="4" t="str">
        <f>HYPERLINK("http://141.218.60.56/~jnz1568/getInfo.php?workbook=18_16.xlsx&amp;sheet=U0&amp;row=69&amp;col=9&amp;number=1.82&amp;sourceID=61","1.82")</f>
        <v>1.82</v>
      </c>
      <c r="J69" s="4" t="str">
        <f>HYPERLINK("http://141.218.60.56/~jnz1568/getInfo.php?workbook=18_16.xlsx&amp;sheet=U0&amp;row=69&amp;col=10&amp;number=3.2&amp;sourceID=51","3.2")</f>
        <v>3.2</v>
      </c>
      <c r="K69" s="4" t="str">
        <f>HYPERLINK("http://141.218.60.56/~jnz1568/getInfo.php?workbook=18_16.xlsx&amp;sheet=U0&amp;row=69&amp;col=11&amp;number=1.604&amp;sourceID=51","1.604")</f>
        <v>1.604</v>
      </c>
    </row>
    <row r="70" spans="1:11">
      <c r="A70" s="3"/>
      <c r="B70" s="3"/>
      <c r="C70" s="3"/>
      <c r="D70" s="3"/>
      <c r="E70" s="3">
        <v>3</v>
      </c>
      <c r="F70" s="4" t="str">
        <f>HYPERLINK("http://141.218.60.56/~jnz1568/getInfo.php?workbook=18_16.xlsx&amp;sheet=U0&amp;row=70&amp;col=6&amp;number=3.845&amp;sourceID=37","3.845")</f>
        <v>3.845</v>
      </c>
      <c r="G70" s="4" t="str">
        <f>HYPERLINK("http://141.218.60.56/~jnz1568/getInfo.php?workbook=18_16.xlsx&amp;sheet=U0&amp;row=70&amp;col=7&amp;number=1.969&amp;sourceID=37","1.969")</f>
        <v>1.969</v>
      </c>
      <c r="H70" s="4" t="str">
        <f>HYPERLINK("http://141.218.60.56/~jnz1568/getInfo.php?workbook=18_16.xlsx&amp;sheet=U0&amp;row=70&amp;col=8&amp;number=3.954&amp;sourceID=61","3.954")</f>
        <v>3.954</v>
      </c>
      <c r="I70" s="4" t="str">
        <f>HYPERLINK("http://141.218.60.56/~jnz1568/getInfo.php?workbook=18_16.xlsx&amp;sheet=U0&amp;row=70&amp;col=9&amp;number=1.8&amp;sourceID=61","1.8")</f>
        <v>1.8</v>
      </c>
      <c r="J70" s="4" t="str">
        <f>HYPERLINK("http://141.218.60.56/~jnz1568/getInfo.php?workbook=18_16.xlsx&amp;sheet=U0&amp;row=70&amp;col=10&amp;number=3.4&amp;sourceID=51","3.4")</f>
        <v>3.4</v>
      </c>
      <c r="K70" s="4" t="str">
        <f>HYPERLINK("http://141.218.60.56/~jnz1568/getInfo.php?workbook=18_16.xlsx&amp;sheet=U0&amp;row=70&amp;col=11&amp;number=1.626&amp;sourceID=51","1.626")</f>
        <v>1.626</v>
      </c>
    </row>
    <row r="71" spans="1:11">
      <c r="A71" s="3"/>
      <c r="B71" s="3"/>
      <c r="C71" s="3"/>
      <c r="D71" s="3"/>
      <c r="E71" s="3">
        <v>4</v>
      </c>
      <c r="F71" s="4" t="str">
        <f>HYPERLINK("http://141.218.60.56/~jnz1568/getInfo.php?workbook=18_16.xlsx&amp;sheet=U0&amp;row=71&amp;col=6&amp;number=3.903&amp;sourceID=37","3.903")</f>
        <v>3.903</v>
      </c>
      <c r="G71" s="4" t="str">
        <f>HYPERLINK("http://141.218.60.56/~jnz1568/getInfo.php?workbook=18_16.xlsx&amp;sheet=U0&amp;row=71&amp;col=7&amp;number=1.959&amp;sourceID=37","1.959")</f>
        <v>1.959</v>
      </c>
      <c r="H71" s="4" t="str">
        <f>HYPERLINK("http://141.218.60.56/~jnz1568/getInfo.php?workbook=18_16.xlsx&amp;sheet=U0&amp;row=71&amp;col=8&amp;number=4.255&amp;sourceID=61","4.255")</f>
        <v>4.255</v>
      </c>
      <c r="I71" s="4" t="str">
        <f>HYPERLINK("http://141.218.60.56/~jnz1568/getInfo.php?workbook=18_16.xlsx&amp;sheet=U0&amp;row=71&amp;col=9&amp;number=1.78&amp;sourceID=61","1.78")</f>
        <v>1.78</v>
      </c>
      <c r="J71" s="4" t="str">
        <f>HYPERLINK("http://141.218.60.56/~jnz1568/getInfo.php?workbook=18_16.xlsx&amp;sheet=U0&amp;row=71&amp;col=10&amp;number=3.6&amp;sourceID=51","3.6")</f>
        <v>3.6</v>
      </c>
      <c r="K71" s="4" t="str">
        <f>HYPERLINK("http://141.218.60.56/~jnz1568/getInfo.php?workbook=18_16.xlsx&amp;sheet=U0&amp;row=71&amp;col=11&amp;number=1.63&amp;sourceID=51","1.63")</f>
        <v>1.63</v>
      </c>
    </row>
    <row r="72" spans="1:11">
      <c r="A72" s="3"/>
      <c r="B72" s="3"/>
      <c r="C72" s="3"/>
      <c r="D72" s="3"/>
      <c r="E72" s="3">
        <v>5</v>
      </c>
      <c r="F72" s="4" t="str">
        <f>HYPERLINK("http://141.218.60.56/~jnz1568/getInfo.php?workbook=18_16.xlsx&amp;sheet=U0&amp;row=72&amp;col=6&amp;number=3.954&amp;sourceID=37","3.954")</f>
        <v>3.954</v>
      </c>
      <c r="G72" s="4" t="str">
        <f>HYPERLINK("http://141.218.60.56/~jnz1568/getInfo.php?workbook=18_16.xlsx&amp;sheet=U0&amp;row=72&amp;col=7&amp;number=1.949&amp;sourceID=37","1.949")</f>
        <v>1.949</v>
      </c>
      <c r="H72" s="4" t="str">
        <f>HYPERLINK("http://141.218.60.56/~jnz1568/getInfo.php?workbook=18_16.xlsx&amp;sheet=U0&amp;row=72&amp;col=8&amp;number=4.653&amp;sourceID=61","4.653")</f>
        <v>4.653</v>
      </c>
      <c r="I72" s="4" t="str">
        <f>HYPERLINK("http://141.218.60.56/~jnz1568/getInfo.php?workbook=18_16.xlsx&amp;sheet=U0&amp;row=72&amp;col=9&amp;number=1.87&amp;sourceID=61","1.87")</f>
        <v>1.87</v>
      </c>
      <c r="J72" s="4" t="str">
        <f>HYPERLINK("http://141.218.60.56/~jnz1568/getInfo.php?workbook=18_16.xlsx&amp;sheet=U0&amp;row=72&amp;col=10&amp;number=3.8&amp;sourceID=51","3.8")</f>
        <v>3.8</v>
      </c>
      <c r="K72" s="4" t="str">
        <f>HYPERLINK("http://141.218.60.56/~jnz1568/getInfo.php?workbook=18_16.xlsx&amp;sheet=U0&amp;row=72&amp;col=11&amp;number=1.618&amp;sourceID=51","1.618")</f>
        <v>1.618</v>
      </c>
    </row>
    <row r="73" spans="1:11">
      <c r="A73" s="3"/>
      <c r="B73" s="3"/>
      <c r="C73" s="3"/>
      <c r="D73" s="3"/>
      <c r="E73" s="3">
        <v>6</v>
      </c>
      <c r="F73" s="4" t="str">
        <f>HYPERLINK("http://141.218.60.56/~jnz1568/getInfo.php?workbook=18_16.xlsx&amp;sheet=U0&amp;row=73&amp;col=6&amp;number=4&amp;sourceID=37","4")</f>
        <v>4</v>
      </c>
      <c r="G73" s="4" t="str">
        <f>HYPERLINK("http://141.218.60.56/~jnz1568/getInfo.php?workbook=18_16.xlsx&amp;sheet=U0&amp;row=73&amp;col=7&amp;number=1.939&amp;sourceID=37","1.939")</f>
        <v>1.939</v>
      </c>
      <c r="H73" s="4" t="str">
        <f>HYPERLINK("http://141.218.60.56/~jnz1568/getInfo.php?workbook=18_16.xlsx&amp;sheet=U0&amp;row=73&amp;col=8&amp;number=4.954&amp;sourceID=61","4.954")</f>
        <v>4.954</v>
      </c>
      <c r="I73" s="4" t="str">
        <f>HYPERLINK("http://141.218.60.56/~jnz1568/getInfo.php?workbook=18_16.xlsx&amp;sheet=U0&amp;row=73&amp;col=9&amp;number=1.86&amp;sourceID=61","1.86")</f>
        <v>1.86</v>
      </c>
      <c r="J73" s="4" t="str">
        <f>HYPERLINK("http://141.218.60.56/~jnz1568/getInfo.php?workbook=18_16.xlsx&amp;sheet=U0&amp;row=73&amp;col=10&amp;number=4&amp;sourceID=51","4")</f>
        <v>4</v>
      </c>
      <c r="K73" s="4" t="str">
        <f>HYPERLINK("http://141.218.60.56/~jnz1568/getInfo.php?workbook=18_16.xlsx&amp;sheet=U0&amp;row=73&amp;col=11&amp;number=1.596&amp;sourceID=51","1.596")</f>
        <v>1.596</v>
      </c>
    </row>
    <row r="74" spans="1:11">
      <c r="A74" s="3"/>
      <c r="B74" s="3"/>
      <c r="C74" s="3"/>
      <c r="D74" s="3"/>
      <c r="E74" s="3">
        <v>7</v>
      </c>
      <c r="F74" s="4" t="str">
        <f>HYPERLINK("http://141.218.60.56/~jnz1568/getInfo.php?workbook=18_16.xlsx&amp;sheet=U0&amp;row=74&amp;col=6&amp;number=4.041&amp;sourceID=37","4.041")</f>
        <v>4.041</v>
      </c>
      <c r="G74" s="4" t="str">
        <f>HYPERLINK("http://141.218.60.56/~jnz1568/getInfo.php?workbook=18_16.xlsx&amp;sheet=U0&amp;row=74&amp;col=7&amp;number=1.928&amp;sourceID=37","1.928")</f>
        <v>1.928</v>
      </c>
      <c r="H74" s="4" t="str">
        <f>HYPERLINK("http://141.218.60.56/~jnz1568/getInfo.php?workbook=18_16.xlsx&amp;sheet=U0&amp;row=74&amp;col=8&amp;number=5.255&amp;sourceID=61","5.255")</f>
        <v>5.255</v>
      </c>
      <c r="I74" s="4" t="str">
        <f>HYPERLINK("http://141.218.60.56/~jnz1568/getInfo.php?workbook=18_16.xlsx&amp;sheet=U0&amp;row=74&amp;col=9&amp;number=1.55&amp;sourceID=61","1.55")</f>
        <v>1.55</v>
      </c>
      <c r="J74" s="4" t="str">
        <f>HYPERLINK("http://141.218.60.56/~jnz1568/getInfo.php?workbook=18_16.xlsx&amp;sheet=U0&amp;row=74&amp;col=10&amp;number=4.2&amp;sourceID=51","4.2")</f>
        <v>4.2</v>
      </c>
      <c r="K74" s="4" t="str">
        <f>HYPERLINK("http://141.218.60.56/~jnz1568/getInfo.php?workbook=18_16.xlsx&amp;sheet=U0&amp;row=74&amp;col=11&amp;number=1.571&amp;sourceID=51","1.571")</f>
        <v>1.571</v>
      </c>
    </row>
    <row r="75" spans="1:11">
      <c r="A75" s="3"/>
      <c r="B75" s="3"/>
      <c r="C75" s="3"/>
      <c r="D75" s="3"/>
      <c r="E75" s="3">
        <v>8</v>
      </c>
      <c r="F75" s="4" t="str">
        <f>HYPERLINK("http://141.218.60.56/~jnz1568/getInfo.php?workbook=18_16.xlsx&amp;sheet=U0&amp;row=75&amp;col=6&amp;number=4.079&amp;sourceID=37","4.079")</f>
        <v>4.079</v>
      </c>
      <c r="G75" s="4" t="str">
        <f>HYPERLINK("http://141.218.60.56/~jnz1568/getInfo.php?workbook=18_16.xlsx&amp;sheet=U0&amp;row=75&amp;col=7&amp;number=1.916&amp;sourceID=37","1.916")</f>
        <v>1.916</v>
      </c>
      <c r="H75" s="4" t="str">
        <f>HYPERLINK("http://141.218.60.56/~jnz1568/getInfo.php?workbook=18_16.xlsx&amp;sheet=U0&amp;row=75&amp;col=8&amp;number=5.653&amp;sourceID=61","5.653")</f>
        <v>5.653</v>
      </c>
      <c r="I75" s="4" t="str">
        <f>HYPERLINK("http://141.218.60.56/~jnz1568/getInfo.php?workbook=18_16.xlsx&amp;sheet=U0&amp;row=75&amp;col=9&amp;number=0.945&amp;sourceID=61","0.945")</f>
        <v>0.945</v>
      </c>
      <c r="J75" s="4" t="str">
        <f>HYPERLINK("http://141.218.60.56/~jnz1568/getInfo.php?workbook=18_16.xlsx&amp;sheet=U0&amp;row=75&amp;col=10&amp;number=4.4&amp;sourceID=51","4.4")</f>
        <v>4.4</v>
      </c>
      <c r="K75" s="4" t="str">
        <f>HYPERLINK("http://141.218.60.56/~jnz1568/getInfo.php?workbook=18_16.xlsx&amp;sheet=U0&amp;row=75&amp;col=11&amp;number=1.557&amp;sourceID=51","1.557")</f>
        <v>1.557</v>
      </c>
    </row>
    <row r="76" spans="1:11">
      <c r="A76" s="3"/>
      <c r="B76" s="3"/>
      <c r="C76" s="3"/>
      <c r="D76" s="3"/>
      <c r="E76" s="3">
        <v>9</v>
      </c>
      <c r="F76" s="4" t="str">
        <f>HYPERLINK("http://141.218.60.56/~jnz1568/getInfo.php?workbook=18_16.xlsx&amp;sheet=U0&amp;row=76&amp;col=6&amp;number=4.114&amp;sourceID=37","4.114")</f>
        <v>4.114</v>
      </c>
      <c r="G76" s="4" t="str">
        <f>HYPERLINK("http://141.218.60.56/~jnz1568/getInfo.php?workbook=18_16.xlsx&amp;sheet=U0&amp;row=76&amp;col=7&amp;number=1.905&amp;sourceID=37","1.905")</f>
        <v>1.905</v>
      </c>
      <c r="H76" s="4" t="str">
        <f>HYPERLINK("http://141.218.60.56/~jnz1568/getInfo.php?workbook=18_16.xlsx&amp;sheet=U0&amp;row=76&amp;col=8&amp;number=5.954&amp;sourceID=61","5.954")</f>
        <v>5.954</v>
      </c>
      <c r="I76" s="4" t="str">
        <f>HYPERLINK("http://141.218.60.56/~jnz1568/getInfo.php?workbook=18_16.xlsx&amp;sheet=U0&amp;row=76&amp;col=9&amp;number=0.578&amp;sourceID=61","0.578")</f>
        <v>0.578</v>
      </c>
      <c r="J76" s="4" t="str">
        <f>HYPERLINK("http://141.218.60.56/~jnz1568/getInfo.php?workbook=18_16.xlsx&amp;sheet=U0&amp;row=76&amp;col=10&amp;number=4.6&amp;sourceID=51","4.6")</f>
        <v>4.6</v>
      </c>
      <c r="K76" s="4" t="str">
        <f>HYPERLINK("http://141.218.60.56/~jnz1568/getInfo.php?workbook=18_16.xlsx&amp;sheet=U0&amp;row=76&amp;col=11&amp;number=1.553&amp;sourceID=51","1.553")</f>
        <v>1.553</v>
      </c>
    </row>
    <row r="77" spans="1:11">
      <c r="A77" s="3"/>
      <c r="B77" s="3"/>
      <c r="C77" s="3"/>
      <c r="D77" s="3"/>
      <c r="E77" s="3">
        <v>10</v>
      </c>
      <c r="F77" s="4" t="str">
        <f>HYPERLINK("http://141.218.60.56/~jnz1568/getInfo.php?workbook=18_16.xlsx&amp;sheet=U0&amp;row=77&amp;col=6&amp;number=4.146&amp;sourceID=37","4.146")</f>
        <v>4.146</v>
      </c>
      <c r="G77" s="4" t="str">
        <f>HYPERLINK("http://141.218.60.56/~jnz1568/getInfo.php?workbook=18_16.xlsx&amp;sheet=U0&amp;row=77&amp;col=7&amp;number=1.893&amp;sourceID=37","1.893")</f>
        <v>1.893</v>
      </c>
      <c r="H77" s="4" t="str">
        <f>HYPERLINK("http://141.218.60.56/~jnz1568/getInfo.php?workbook=18_16.xlsx&amp;sheet=U0&amp;row=77&amp;col=8&amp;number=6.255&amp;sourceID=61","6.255")</f>
        <v>6.255</v>
      </c>
      <c r="I77" s="4" t="str">
        <f>HYPERLINK("http://141.218.60.56/~jnz1568/getInfo.php?workbook=18_16.xlsx&amp;sheet=U0&amp;row=77&amp;col=9&amp;number=0.334&amp;sourceID=61","0.334")</f>
        <v>0.334</v>
      </c>
      <c r="J77" s="4" t="str">
        <f>HYPERLINK("http://141.218.60.56/~jnz1568/getInfo.php?workbook=18_16.xlsx&amp;sheet=U0&amp;row=77&amp;col=10&amp;number=4.8&amp;sourceID=51","4.8")</f>
        <v>4.8</v>
      </c>
      <c r="K77" s="4" t="str">
        <f>HYPERLINK("http://141.218.60.56/~jnz1568/getInfo.php?workbook=18_16.xlsx&amp;sheet=U0&amp;row=77&amp;col=11&amp;number=1.514&amp;sourceID=51","1.514")</f>
        <v>1.514</v>
      </c>
    </row>
    <row r="78" spans="1:11">
      <c r="A78" s="3"/>
      <c r="B78" s="3"/>
      <c r="C78" s="3"/>
      <c r="D78" s="3"/>
      <c r="E78" s="3">
        <v>11</v>
      </c>
      <c r="F78" s="4" t="str">
        <f>HYPERLINK("http://141.218.60.56/~jnz1568/getInfo.php?workbook=18_16.xlsx&amp;sheet=U0&amp;row=78&amp;col=6&amp;number=4.176&amp;sourceID=37","4.176")</f>
        <v>4.176</v>
      </c>
      <c r="G78" s="4" t="str">
        <f>HYPERLINK("http://141.218.60.56/~jnz1568/getInfo.php?workbook=18_16.xlsx&amp;sheet=U0&amp;row=78&amp;col=7&amp;number=1.881&amp;sourceID=37","1.881")</f>
        <v>1.881</v>
      </c>
      <c r="H78" s="4" t="str">
        <f>HYPERLINK("http://141.218.60.56/~jnz1568/getInfo.php?workbook=18_16.xlsx&amp;sheet=U0&amp;row=78&amp;col=8&amp;number=6.653&amp;sourceID=61","6.653")</f>
        <v>6.653</v>
      </c>
      <c r="I78" s="4" t="str">
        <f>HYPERLINK("http://141.218.60.56/~jnz1568/getInfo.php?workbook=18_16.xlsx&amp;sheet=U0&amp;row=78&amp;col=9&amp;number=0.155&amp;sourceID=61","0.155")</f>
        <v>0.155</v>
      </c>
      <c r="J78" s="4" t="str">
        <f>HYPERLINK("http://141.218.60.56/~jnz1568/getInfo.php?workbook=18_16.xlsx&amp;sheet=U0&amp;row=78&amp;col=10&amp;number=5&amp;sourceID=51","5")</f>
        <v>5</v>
      </c>
      <c r="K78" s="4" t="str">
        <f>HYPERLINK("http://141.218.60.56/~jnz1568/getInfo.php?workbook=18_16.xlsx&amp;sheet=U0&amp;row=78&amp;col=11&amp;number=1.389&amp;sourceID=51","1.389")</f>
        <v>1.389</v>
      </c>
    </row>
    <row r="79" spans="1:11">
      <c r="A79" s="3"/>
      <c r="B79" s="3"/>
      <c r="C79" s="3"/>
      <c r="D79" s="3"/>
      <c r="E79" s="3">
        <v>12</v>
      </c>
      <c r="F79" s="4" t="str">
        <f>HYPERLINK("http://141.218.60.56/~jnz1568/getInfo.php?workbook=18_16.xlsx&amp;sheet=U0&amp;row=79&amp;col=6&amp;number=4.204&amp;sourceID=37","4.204")</f>
        <v>4.204</v>
      </c>
      <c r="G79" s="4" t="str">
        <f>HYPERLINK("http://141.218.60.56/~jnz1568/getInfo.php?workbook=18_16.xlsx&amp;sheet=U0&amp;row=79&amp;col=7&amp;number=1.869&amp;sourceID=37","1.869")</f>
        <v>1.869</v>
      </c>
      <c r="H79" s="4" t="str">
        <f>HYPERLINK("http://141.218.60.56/~jnz1568/getInfo.php?workbook=18_16.xlsx&amp;sheet=U0&amp;row=79&amp;col=8&amp;number=6.954&amp;sourceID=61","6.954")</f>
        <v>6.954</v>
      </c>
      <c r="I79" s="4" t="str">
        <f>HYPERLINK("http://141.218.60.56/~jnz1568/getInfo.php?workbook=18_16.xlsx&amp;sheet=U0&amp;row=79&amp;col=9&amp;number=0.085&amp;sourceID=61","0.085")</f>
        <v>0.085</v>
      </c>
      <c r="J79" s="4" t="str">
        <f>HYPERLINK("http://141.218.60.56/~jnz1568/getInfo.php?workbook=18_16.xlsx&amp;sheet=U0&amp;row=79&amp;col=10&amp;number=&amp;sourceID=51","")</f>
        <v/>
      </c>
      <c r="K79" s="4" t="str">
        <f>HYPERLINK("http://141.218.60.56/~jnz1568/getInfo.php?workbook=18_16.xlsx&amp;sheet=U0&amp;row=79&amp;col=11&amp;number=&amp;sourceID=51","")</f>
        <v/>
      </c>
    </row>
    <row r="80" spans="1:11">
      <c r="A80" s="3"/>
      <c r="B80" s="3"/>
      <c r="C80" s="3"/>
      <c r="D80" s="3"/>
      <c r="E80" s="3">
        <v>13</v>
      </c>
      <c r="F80" s="4" t="str">
        <f>HYPERLINK("http://141.218.60.56/~jnz1568/getInfo.php?workbook=18_16.xlsx&amp;sheet=U0&amp;row=80&amp;col=6&amp;number=4.23&amp;sourceID=37","4.23")</f>
        <v>4.23</v>
      </c>
      <c r="G80" s="4" t="str">
        <f>HYPERLINK("http://141.218.60.56/~jnz1568/getInfo.php?workbook=18_16.xlsx&amp;sheet=U0&amp;row=80&amp;col=7&amp;number=1.858&amp;sourceID=37","1.858")</f>
        <v>1.858</v>
      </c>
      <c r="H80" s="4" t="str">
        <f>HYPERLINK("http://141.218.60.56/~jnz1568/getInfo.php?workbook=18_16.xlsx&amp;sheet=U0&amp;row=80&amp;col=8&amp;number=7.255&amp;sourceID=61","7.255")</f>
        <v>7.255</v>
      </c>
      <c r="I80" s="4" t="str">
        <f>HYPERLINK("http://141.218.60.56/~jnz1568/getInfo.php?workbook=18_16.xlsx&amp;sheet=U0&amp;row=80&amp;col=9&amp;number=0.047&amp;sourceID=61","0.047")</f>
        <v>0.047</v>
      </c>
      <c r="J80" s="4" t="str">
        <f>HYPERLINK("http://141.218.60.56/~jnz1568/getInfo.php?workbook=18_16.xlsx&amp;sheet=U0&amp;row=80&amp;col=10&amp;number=&amp;sourceID=51","")</f>
        <v/>
      </c>
      <c r="K80" s="4" t="str">
        <f>HYPERLINK("http://141.218.60.56/~jnz1568/getInfo.php?workbook=18_16.xlsx&amp;sheet=U0&amp;row=80&amp;col=11&amp;number=&amp;sourceID=51","")</f>
        <v/>
      </c>
    </row>
    <row r="81" spans="1:11">
      <c r="A81" s="3"/>
      <c r="B81" s="3"/>
      <c r="C81" s="3"/>
      <c r="D81" s="3"/>
      <c r="E81" s="3">
        <v>14</v>
      </c>
      <c r="F81" s="4" t="str">
        <f>HYPERLINK("http://141.218.60.56/~jnz1568/getInfo.php?workbook=18_16.xlsx&amp;sheet=U0&amp;row=81&amp;col=6&amp;number=4.255&amp;sourceID=37","4.255")</f>
        <v>4.255</v>
      </c>
      <c r="G81" s="4" t="str">
        <f>HYPERLINK("http://141.218.60.56/~jnz1568/getInfo.php?workbook=18_16.xlsx&amp;sheet=U0&amp;row=81&amp;col=7&amp;number=1.846&amp;sourceID=37","1.846")</f>
        <v>1.846</v>
      </c>
      <c r="H81" s="4" t="str">
        <f>HYPERLINK("http://141.218.60.56/~jnz1568/getInfo.php?workbook=18_16.xlsx&amp;sheet=U0&amp;row=81&amp;col=8&amp;number=&amp;sourceID=61","")</f>
        <v/>
      </c>
      <c r="I81" s="4" t="str">
        <f>HYPERLINK("http://141.218.60.56/~jnz1568/getInfo.php?workbook=18_16.xlsx&amp;sheet=U0&amp;row=81&amp;col=9&amp;number=&amp;sourceID=61","")</f>
        <v/>
      </c>
      <c r="J81" s="4" t="str">
        <f>HYPERLINK("http://141.218.60.56/~jnz1568/getInfo.php?workbook=18_16.xlsx&amp;sheet=U0&amp;row=81&amp;col=10&amp;number=&amp;sourceID=51","")</f>
        <v/>
      </c>
      <c r="K81" s="4" t="str">
        <f>HYPERLINK("http://141.218.60.56/~jnz1568/getInfo.php?workbook=18_16.xlsx&amp;sheet=U0&amp;row=81&amp;col=11&amp;number=&amp;sourceID=51","")</f>
        <v/>
      </c>
    </row>
    <row r="82" spans="1:11">
      <c r="A82" s="3"/>
      <c r="B82" s="3"/>
      <c r="C82" s="3"/>
      <c r="D82" s="3"/>
      <c r="E82" s="3">
        <v>15</v>
      </c>
      <c r="F82" s="4" t="str">
        <f>HYPERLINK("http://141.218.60.56/~jnz1568/getInfo.php?workbook=18_16.xlsx&amp;sheet=U0&amp;row=82&amp;col=6&amp;number=4.279&amp;sourceID=37","4.279")</f>
        <v>4.279</v>
      </c>
      <c r="G82" s="4" t="str">
        <f>HYPERLINK("http://141.218.60.56/~jnz1568/getInfo.php?workbook=18_16.xlsx&amp;sheet=U0&amp;row=82&amp;col=7&amp;number=1.834&amp;sourceID=37","1.834")</f>
        <v>1.834</v>
      </c>
      <c r="H82" s="4" t="str">
        <f>HYPERLINK("http://141.218.60.56/~jnz1568/getInfo.php?workbook=18_16.xlsx&amp;sheet=U0&amp;row=82&amp;col=8&amp;number=&amp;sourceID=61","")</f>
        <v/>
      </c>
      <c r="I82" s="4" t="str">
        <f>HYPERLINK("http://141.218.60.56/~jnz1568/getInfo.php?workbook=18_16.xlsx&amp;sheet=U0&amp;row=82&amp;col=9&amp;number=&amp;sourceID=61","")</f>
        <v/>
      </c>
      <c r="J82" s="4" t="str">
        <f>HYPERLINK("http://141.218.60.56/~jnz1568/getInfo.php?workbook=18_16.xlsx&amp;sheet=U0&amp;row=82&amp;col=10&amp;number=&amp;sourceID=51","")</f>
        <v/>
      </c>
      <c r="K82" s="4" t="str">
        <f>HYPERLINK("http://141.218.60.56/~jnz1568/getInfo.php?workbook=18_16.xlsx&amp;sheet=U0&amp;row=82&amp;col=11&amp;number=&amp;sourceID=51","")</f>
        <v/>
      </c>
    </row>
    <row r="83" spans="1:11">
      <c r="A83" s="3"/>
      <c r="B83" s="3"/>
      <c r="C83" s="3"/>
      <c r="D83" s="3"/>
      <c r="E83" s="3">
        <v>16</v>
      </c>
      <c r="F83" s="4" t="str">
        <f>HYPERLINK("http://141.218.60.56/~jnz1568/getInfo.php?workbook=18_16.xlsx&amp;sheet=U0&amp;row=83&amp;col=6&amp;number=4.301&amp;sourceID=37","4.301")</f>
        <v>4.301</v>
      </c>
      <c r="G83" s="4" t="str">
        <f>HYPERLINK("http://141.218.60.56/~jnz1568/getInfo.php?workbook=18_16.xlsx&amp;sheet=U0&amp;row=83&amp;col=7&amp;number=1.823&amp;sourceID=37","1.823")</f>
        <v>1.823</v>
      </c>
      <c r="H83" s="4" t="str">
        <f>HYPERLINK("http://141.218.60.56/~jnz1568/getInfo.php?workbook=18_16.xlsx&amp;sheet=U0&amp;row=83&amp;col=8&amp;number=&amp;sourceID=61","")</f>
        <v/>
      </c>
      <c r="I83" s="4" t="str">
        <f>HYPERLINK("http://141.218.60.56/~jnz1568/getInfo.php?workbook=18_16.xlsx&amp;sheet=U0&amp;row=83&amp;col=9&amp;number=&amp;sourceID=61","")</f>
        <v/>
      </c>
      <c r="J83" s="4" t="str">
        <f>HYPERLINK("http://141.218.60.56/~jnz1568/getInfo.php?workbook=18_16.xlsx&amp;sheet=U0&amp;row=83&amp;col=10&amp;number=&amp;sourceID=51","")</f>
        <v/>
      </c>
      <c r="K83" s="4" t="str">
        <f>HYPERLINK("http://141.218.60.56/~jnz1568/getInfo.php?workbook=18_16.xlsx&amp;sheet=U0&amp;row=83&amp;col=11&amp;number=&amp;sourceID=51","")</f>
        <v/>
      </c>
    </row>
    <row r="84" spans="1:11">
      <c r="A84" s="3">
        <v>18</v>
      </c>
      <c r="B84" s="3">
        <v>16</v>
      </c>
      <c r="C84" s="3">
        <v>4</v>
      </c>
      <c r="D84" s="3">
        <v>3</v>
      </c>
      <c r="E84" s="3">
        <v>1</v>
      </c>
      <c r="F84" s="4" t="str">
        <f>HYPERLINK("http://141.218.60.56/~jnz1568/getInfo.php?workbook=18_16.xlsx&amp;sheet=U0&amp;row=84&amp;col=6&amp;number=3.699&amp;sourceID=37","3.699")</f>
        <v>3.699</v>
      </c>
      <c r="G84" s="4" t="str">
        <f>HYPERLINK("http://141.218.60.56/~jnz1568/getInfo.php?workbook=18_16.xlsx&amp;sheet=U0&amp;row=84&amp;col=7&amp;number=0.6614&amp;sourceID=37","0.6614")</f>
        <v>0.6614</v>
      </c>
      <c r="H84" s="4" t="str">
        <f>HYPERLINK("http://141.218.60.56/~jnz1568/getInfo.php?workbook=18_16.xlsx&amp;sheet=U0&amp;row=84&amp;col=8&amp;number=3.255&amp;sourceID=61","3.255")</f>
        <v>3.255</v>
      </c>
      <c r="I84" s="4" t="str">
        <f>HYPERLINK("http://141.218.60.56/~jnz1568/getInfo.php?workbook=18_16.xlsx&amp;sheet=U0&amp;row=84&amp;col=9&amp;number=0.622&amp;sourceID=61","0.622")</f>
        <v>0.622</v>
      </c>
      <c r="J84" s="4" t="str">
        <f>HYPERLINK("http://141.218.60.56/~jnz1568/getInfo.php?workbook=18_16.xlsx&amp;sheet=U0&amp;row=84&amp;col=10&amp;number=3&amp;sourceID=51","3")</f>
        <v>3</v>
      </c>
      <c r="K84" s="4" t="str">
        <f>HYPERLINK("http://141.218.60.56/~jnz1568/getInfo.php?workbook=18_16.xlsx&amp;sheet=U0&amp;row=84&amp;col=11&amp;number=0.5228&amp;sourceID=51","0.5228")</f>
        <v>0.5228</v>
      </c>
    </row>
    <row r="85" spans="1:11">
      <c r="A85" s="3"/>
      <c r="B85" s="3"/>
      <c r="C85" s="3"/>
      <c r="D85" s="3"/>
      <c r="E85" s="3">
        <v>2</v>
      </c>
      <c r="F85" s="4" t="str">
        <f>HYPERLINK("http://141.218.60.56/~jnz1568/getInfo.php?workbook=18_16.xlsx&amp;sheet=U0&amp;row=85&amp;col=6&amp;number=3.778&amp;sourceID=37","3.778")</f>
        <v>3.778</v>
      </c>
      <c r="G85" s="4" t="str">
        <f>HYPERLINK("http://141.218.60.56/~jnz1568/getInfo.php?workbook=18_16.xlsx&amp;sheet=U0&amp;row=85&amp;col=7&amp;number=0.659&amp;sourceID=37","0.659")</f>
        <v>0.659</v>
      </c>
      <c r="H85" s="4" t="str">
        <f>HYPERLINK("http://141.218.60.56/~jnz1568/getInfo.php?workbook=18_16.xlsx&amp;sheet=U0&amp;row=85&amp;col=8&amp;number=3.653&amp;sourceID=61","3.653")</f>
        <v>3.653</v>
      </c>
      <c r="I85" s="4" t="str">
        <f>HYPERLINK("http://141.218.60.56/~jnz1568/getInfo.php?workbook=18_16.xlsx&amp;sheet=U0&amp;row=85&amp;col=9&amp;number=0.612&amp;sourceID=61","0.612")</f>
        <v>0.612</v>
      </c>
      <c r="J85" s="4" t="str">
        <f>HYPERLINK("http://141.218.60.56/~jnz1568/getInfo.php?workbook=18_16.xlsx&amp;sheet=U0&amp;row=85&amp;col=10&amp;number=3.2&amp;sourceID=51","3.2")</f>
        <v>3.2</v>
      </c>
      <c r="K85" s="4" t="str">
        <f>HYPERLINK("http://141.218.60.56/~jnz1568/getInfo.php?workbook=18_16.xlsx&amp;sheet=U0&amp;row=85&amp;col=11&amp;number=0.5347&amp;sourceID=51","0.5347")</f>
        <v>0.5347</v>
      </c>
    </row>
    <row r="86" spans="1:11">
      <c r="A86" s="3"/>
      <c r="B86" s="3"/>
      <c r="C86" s="3"/>
      <c r="D86" s="3"/>
      <c r="E86" s="3">
        <v>3</v>
      </c>
      <c r="F86" s="4" t="str">
        <f>HYPERLINK("http://141.218.60.56/~jnz1568/getInfo.php?workbook=18_16.xlsx&amp;sheet=U0&amp;row=86&amp;col=6&amp;number=3.845&amp;sourceID=37","3.845")</f>
        <v>3.845</v>
      </c>
      <c r="G86" s="4" t="str">
        <f>HYPERLINK("http://141.218.60.56/~jnz1568/getInfo.php?workbook=18_16.xlsx&amp;sheet=U0&amp;row=86&amp;col=7&amp;number=0.6562&amp;sourceID=37","0.6562")</f>
        <v>0.6562</v>
      </c>
      <c r="H86" s="4" t="str">
        <f>HYPERLINK("http://141.218.60.56/~jnz1568/getInfo.php?workbook=18_16.xlsx&amp;sheet=U0&amp;row=86&amp;col=8&amp;number=3.954&amp;sourceID=61","3.954")</f>
        <v>3.954</v>
      </c>
      <c r="I86" s="4" t="str">
        <f>HYPERLINK("http://141.218.60.56/~jnz1568/getInfo.php?workbook=18_16.xlsx&amp;sheet=U0&amp;row=86&amp;col=9&amp;number=0.602&amp;sourceID=61","0.602")</f>
        <v>0.602</v>
      </c>
      <c r="J86" s="4" t="str">
        <f>HYPERLINK("http://141.218.60.56/~jnz1568/getInfo.php?workbook=18_16.xlsx&amp;sheet=U0&amp;row=86&amp;col=10&amp;number=3.4&amp;sourceID=51","3.4")</f>
        <v>3.4</v>
      </c>
      <c r="K86" s="4" t="str">
        <f>HYPERLINK("http://141.218.60.56/~jnz1568/getInfo.php?workbook=18_16.xlsx&amp;sheet=U0&amp;row=86&amp;col=11&amp;number=0.5419&amp;sourceID=51","0.5419")</f>
        <v>0.5419</v>
      </c>
    </row>
    <row r="87" spans="1:11">
      <c r="A87" s="3"/>
      <c r="B87" s="3"/>
      <c r="C87" s="3"/>
      <c r="D87" s="3"/>
      <c r="E87" s="3">
        <v>4</v>
      </c>
      <c r="F87" s="4" t="str">
        <f>HYPERLINK("http://141.218.60.56/~jnz1568/getInfo.php?workbook=18_16.xlsx&amp;sheet=U0&amp;row=87&amp;col=6&amp;number=3.903&amp;sourceID=37","3.903")</f>
        <v>3.903</v>
      </c>
      <c r="G87" s="4" t="str">
        <f>HYPERLINK("http://141.218.60.56/~jnz1568/getInfo.php?workbook=18_16.xlsx&amp;sheet=U0&amp;row=87&amp;col=7&amp;number=0.6531&amp;sourceID=37","0.6531")</f>
        <v>0.6531</v>
      </c>
      <c r="H87" s="4" t="str">
        <f>HYPERLINK("http://141.218.60.56/~jnz1568/getInfo.php?workbook=18_16.xlsx&amp;sheet=U0&amp;row=87&amp;col=8&amp;number=4.255&amp;sourceID=61","4.255")</f>
        <v>4.255</v>
      </c>
      <c r="I87" s="4" t="str">
        <f>HYPERLINK("http://141.218.60.56/~jnz1568/getInfo.php?workbook=18_16.xlsx&amp;sheet=U0&amp;row=87&amp;col=9&amp;number=0.595&amp;sourceID=61","0.595")</f>
        <v>0.595</v>
      </c>
      <c r="J87" s="4" t="str">
        <f>HYPERLINK("http://141.218.60.56/~jnz1568/getInfo.php?workbook=18_16.xlsx&amp;sheet=U0&amp;row=87&amp;col=10&amp;number=3.6&amp;sourceID=51","3.6")</f>
        <v>3.6</v>
      </c>
      <c r="K87" s="4" t="str">
        <f>HYPERLINK("http://141.218.60.56/~jnz1568/getInfo.php?workbook=18_16.xlsx&amp;sheet=U0&amp;row=87&amp;col=11&amp;number=0.5435&amp;sourceID=51","0.5435")</f>
        <v>0.5435</v>
      </c>
    </row>
    <row r="88" spans="1:11">
      <c r="A88" s="3"/>
      <c r="B88" s="3"/>
      <c r="C88" s="3"/>
      <c r="D88" s="3"/>
      <c r="E88" s="3">
        <v>5</v>
      </c>
      <c r="F88" s="4" t="str">
        <f>HYPERLINK("http://141.218.60.56/~jnz1568/getInfo.php?workbook=18_16.xlsx&amp;sheet=U0&amp;row=88&amp;col=6&amp;number=3.954&amp;sourceID=37","3.954")</f>
        <v>3.954</v>
      </c>
      <c r="G88" s="4" t="str">
        <f>HYPERLINK("http://141.218.60.56/~jnz1568/getInfo.php?workbook=18_16.xlsx&amp;sheet=U0&amp;row=88&amp;col=7&amp;number=0.6498&amp;sourceID=37","0.6498")</f>
        <v>0.6498</v>
      </c>
      <c r="H88" s="4" t="str">
        <f>HYPERLINK("http://141.218.60.56/~jnz1568/getInfo.php?workbook=18_16.xlsx&amp;sheet=U0&amp;row=88&amp;col=8&amp;number=4.653&amp;sourceID=61","4.653")</f>
        <v>4.653</v>
      </c>
      <c r="I88" s="4" t="str">
        <f>HYPERLINK("http://141.218.60.56/~jnz1568/getInfo.php?workbook=18_16.xlsx&amp;sheet=U0&amp;row=88&amp;col=9&amp;number=0.625&amp;sourceID=61","0.625")</f>
        <v>0.625</v>
      </c>
      <c r="J88" s="4" t="str">
        <f>HYPERLINK("http://141.218.60.56/~jnz1568/getInfo.php?workbook=18_16.xlsx&amp;sheet=U0&amp;row=88&amp;col=10&amp;number=3.8&amp;sourceID=51","3.8")</f>
        <v>3.8</v>
      </c>
      <c r="K88" s="4" t="str">
        <f>HYPERLINK("http://141.218.60.56/~jnz1568/getInfo.php?workbook=18_16.xlsx&amp;sheet=U0&amp;row=88&amp;col=11&amp;number=0.5394&amp;sourceID=51","0.5394")</f>
        <v>0.5394</v>
      </c>
    </row>
    <row r="89" spans="1:11">
      <c r="A89" s="3"/>
      <c r="B89" s="3"/>
      <c r="C89" s="3"/>
      <c r="D89" s="3"/>
      <c r="E89" s="3">
        <v>6</v>
      </c>
      <c r="F89" s="4" t="str">
        <f>HYPERLINK("http://141.218.60.56/~jnz1568/getInfo.php?workbook=18_16.xlsx&amp;sheet=U0&amp;row=89&amp;col=6&amp;number=4&amp;sourceID=37","4")</f>
        <v>4</v>
      </c>
      <c r="G89" s="4" t="str">
        <f>HYPERLINK("http://141.218.60.56/~jnz1568/getInfo.php?workbook=18_16.xlsx&amp;sheet=U0&amp;row=89&amp;col=7&amp;number=0.6462&amp;sourceID=37","0.6462")</f>
        <v>0.6462</v>
      </c>
      <c r="H89" s="4" t="str">
        <f>HYPERLINK("http://141.218.60.56/~jnz1568/getInfo.php?workbook=18_16.xlsx&amp;sheet=U0&amp;row=89&amp;col=8&amp;number=4.954&amp;sourceID=61","4.954")</f>
        <v>4.954</v>
      </c>
      <c r="I89" s="4" t="str">
        <f>HYPERLINK("http://141.218.60.56/~jnz1568/getInfo.php?workbook=18_16.xlsx&amp;sheet=U0&amp;row=89&amp;col=9&amp;number=0.621&amp;sourceID=61","0.621")</f>
        <v>0.621</v>
      </c>
      <c r="J89" s="4" t="str">
        <f>HYPERLINK("http://141.218.60.56/~jnz1568/getInfo.php?workbook=18_16.xlsx&amp;sheet=U0&amp;row=89&amp;col=10&amp;number=4&amp;sourceID=51","4")</f>
        <v>4</v>
      </c>
      <c r="K89" s="4" t="str">
        <f>HYPERLINK("http://141.218.60.56/~jnz1568/getInfo.php?workbook=18_16.xlsx&amp;sheet=U0&amp;row=89&amp;col=11&amp;number=0.5319&amp;sourceID=51","0.5319")</f>
        <v>0.5319</v>
      </c>
    </row>
    <row r="90" spans="1:11">
      <c r="A90" s="3"/>
      <c r="B90" s="3"/>
      <c r="C90" s="3"/>
      <c r="D90" s="3"/>
      <c r="E90" s="3">
        <v>7</v>
      </c>
      <c r="F90" s="4" t="str">
        <f>HYPERLINK("http://141.218.60.56/~jnz1568/getInfo.php?workbook=18_16.xlsx&amp;sheet=U0&amp;row=90&amp;col=6&amp;number=4.041&amp;sourceID=37","4.041")</f>
        <v>4.041</v>
      </c>
      <c r="G90" s="4" t="str">
        <f>HYPERLINK("http://141.218.60.56/~jnz1568/getInfo.php?workbook=18_16.xlsx&amp;sheet=U0&amp;row=90&amp;col=7&amp;number=0.6426&amp;sourceID=37","0.6426")</f>
        <v>0.6426</v>
      </c>
      <c r="H90" s="4" t="str">
        <f>HYPERLINK("http://141.218.60.56/~jnz1568/getInfo.php?workbook=18_16.xlsx&amp;sheet=U0&amp;row=90&amp;col=8&amp;number=5.255&amp;sourceID=61","5.255")</f>
        <v>5.255</v>
      </c>
      <c r="I90" s="4" t="str">
        <f>HYPERLINK("http://141.218.60.56/~jnz1568/getInfo.php?workbook=18_16.xlsx&amp;sheet=U0&amp;row=90&amp;col=9&amp;number=0.516&amp;sourceID=61","0.516")</f>
        <v>0.516</v>
      </c>
      <c r="J90" s="4" t="str">
        <f>HYPERLINK("http://141.218.60.56/~jnz1568/getInfo.php?workbook=18_16.xlsx&amp;sheet=U0&amp;row=90&amp;col=10&amp;number=4.2&amp;sourceID=51","4.2")</f>
        <v>4.2</v>
      </c>
      <c r="K90" s="4" t="str">
        <f>HYPERLINK("http://141.218.60.56/~jnz1568/getInfo.php?workbook=18_16.xlsx&amp;sheet=U0&amp;row=90&amp;col=11&amp;number=0.5237&amp;sourceID=51","0.5237")</f>
        <v>0.5237</v>
      </c>
    </row>
    <row r="91" spans="1:11">
      <c r="A91" s="3"/>
      <c r="B91" s="3"/>
      <c r="C91" s="3"/>
      <c r="D91" s="3"/>
      <c r="E91" s="3">
        <v>8</v>
      </c>
      <c r="F91" s="4" t="str">
        <f>HYPERLINK("http://141.218.60.56/~jnz1568/getInfo.php?workbook=18_16.xlsx&amp;sheet=U0&amp;row=91&amp;col=6&amp;number=4.079&amp;sourceID=37","4.079")</f>
        <v>4.079</v>
      </c>
      <c r="G91" s="4" t="str">
        <f>HYPERLINK("http://141.218.60.56/~jnz1568/getInfo.php?workbook=18_16.xlsx&amp;sheet=U0&amp;row=91&amp;col=7&amp;number=0.6388&amp;sourceID=37","0.6388")</f>
        <v>0.6388</v>
      </c>
      <c r="H91" s="4" t="str">
        <f>HYPERLINK("http://141.218.60.56/~jnz1568/getInfo.php?workbook=18_16.xlsx&amp;sheet=U0&amp;row=91&amp;col=8&amp;number=5.653&amp;sourceID=61","5.653")</f>
        <v>5.653</v>
      </c>
      <c r="I91" s="4" t="str">
        <f>HYPERLINK("http://141.218.60.56/~jnz1568/getInfo.php?workbook=18_16.xlsx&amp;sheet=U0&amp;row=91&amp;col=9&amp;number=0.315&amp;sourceID=61","0.315")</f>
        <v>0.315</v>
      </c>
      <c r="J91" s="4" t="str">
        <f>HYPERLINK("http://141.218.60.56/~jnz1568/getInfo.php?workbook=18_16.xlsx&amp;sheet=U0&amp;row=91&amp;col=10&amp;number=4.4&amp;sourceID=51","4.4")</f>
        <v>4.4</v>
      </c>
      <c r="K91" s="4" t="str">
        <f>HYPERLINK("http://141.218.60.56/~jnz1568/getInfo.php?workbook=18_16.xlsx&amp;sheet=U0&amp;row=91&amp;col=11&amp;number=0.5192&amp;sourceID=51","0.5192")</f>
        <v>0.5192</v>
      </c>
    </row>
    <row r="92" spans="1:11">
      <c r="A92" s="3"/>
      <c r="B92" s="3"/>
      <c r="C92" s="3"/>
      <c r="D92" s="3"/>
      <c r="E92" s="3">
        <v>9</v>
      </c>
      <c r="F92" s="4" t="str">
        <f>HYPERLINK("http://141.218.60.56/~jnz1568/getInfo.php?workbook=18_16.xlsx&amp;sheet=U0&amp;row=92&amp;col=6&amp;number=4.114&amp;sourceID=37","4.114")</f>
        <v>4.114</v>
      </c>
      <c r="G92" s="4" t="str">
        <f>HYPERLINK("http://141.218.60.56/~jnz1568/getInfo.php?workbook=18_16.xlsx&amp;sheet=U0&amp;row=92&amp;col=7&amp;number=0.6349&amp;sourceID=37","0.6349")</f>
        <v>0.6349</v>
      </c>
      <c r="H92" s="4" t="str">
        <f>HYPERLINK("http://141.218.60.56/~jnz1568/getInfo.php?workbook=18_16.xlsx&amp;sheet=U0&amp;row=92&amp;col=8&amp;number=5.954&amp;sourceID=61","5.954")</f>
        <v>5.954</v>
      </c>
      <c r="I92" s="4" t="str">
        <f>HYPERLINK("http://141.218.60.56/~jnz1568/getInfo.php?workbook=18_16.xlsx&amp;sheet=U0&amp;row=92&amp;col=9&amp;number=0.193&amp;sourceID=61","0.193")</f>
        <v>0.193</v>
      </c>
      <c r="J92" s="4" t="str">
        <f>HYPERLINK("http://141.218.60.56/~jnz1568/getInfo.php?workbook=18_16.xlsx&amp;sheet=U0&amp;row=92&amp;col=10&amp;number=4.6&amp;sourceID=51","4.6")</f>
        <v>4.6</v>
      </c>
      <c r="K92" s="4" t="str">
        <f>HYPERLINK("http://141.218.60.56/~jnz1568/getInfo.php?workbook=18_16.xlsx&amp;sheet=U0&amp;row=92&amp;col=11&amp;number=0.5183&amp;sourceID=51","0.5183")</f>
        <v>0.5183</v>
      </c>
    </row>
    <row r="93" spans="1:11">
      <c r="A93" s="3"/>
      <c r="B93" s="3"/>
      <c r="C93" s="3"/>
      <c r="D93" s="3"/>
      <c r="E93" s="3">
        <v>10</v>
      </c>
      <c r="F93" s="4" t="str">
        <f>HYPERLINK("http://141.218.60.56/~jnz1568/getInfo.php?workbook=18_16.xlsx&amp;sheet=U0&amp;row=93&amp;col=6&amp;number=4.146&amp;sourceID=37","4.146")</f>
        <v>4.146</v>
      </c>
      <c r="G93" s="4" t="str">
        <f>HYPERLINK("http://141.218.60.56/~jnz1568/getInfo.php?workbook=18_16.xlsx&amp;sheet=U0&amp;row=93&amp;col=7&amp;number=0.631&amp;sourceID=37","0.631")</f>
        <v>0.631</v>
      </c>
      <c r="H93" s="4" t="str">
        <f>HYPERLINK("http://141.218.60.56/~jnz1568/getInfo.php?workbook=18_16.xlsx&amp;sheet=U0&amp;row=93&amp;col=8&amp;number=6.255&amp;sourceID=61","6.255")</f>
        <v>6.255</v>
      </c>
      <c r="I93" s="4" t="str">
        <f>HYPERLINK("http://141.218.60.56/~jnz1568/getInfo.php?workbook=18_16.xlsx&amp;sheet=U0&amp;row=93&amp;col=9&amp;number=0.112&amp;sourceID=61","0.112")</f>
        <v>0.112</v>
      </c>
      <c r="J93" s="4" t="str">
        <f>HYPERLINK("http://141.218.60.56/~jnz1568/getInfo.php?workbook=18_16.xlsx&amp;sheet=U0&amp;row=93&amp;col=10&amp;number=4.8&amp;sourceID=51","4.8")</f>
        <v>4.8</v>
      </c>
      <c r="K93" s="4" t="str">
        <f>HYPERLINK("http://141.218.60.56/~jnz1568/getInfo.php?workbook=18_16.xlsx&amp;sheet=U0&amp;row=93&amp;col=11&amp;number=0.5062&amp;sourceID=51","0.5062")</f>
        <v>0.5062</v>
      </c>
    </row>
    <row r="94" spans="1:11">
      <c r="A94" s="3"/>
      <c r="B94" s="3"/>
      <c r="C94" s="3"/>
      <c r="D94" s="3"/>
      <c r="E94" s="3">
        <v>11</v>
      </c>
      <c r="F94" s="4" t="str">
        <f>HYPERLINK("http://141.218.60.56/~jnz1568/getInfo.php?workbook=18_16.xlsx&amp;sheet=U0&amp;row=94&amp;col=6&amp;number=4.176&amp;sourceID=37","4.176")</f>
        <v>4.176</v>
      </c>
      <c r="G94" s="4" t="str">
        <f>HYPERLINK("http://141.218.60.56/~jnz1568/getInfo.php?workbook=18_16.xlsx&amp;sheet=U0&amp;row=94&amp;col=7&amp;number=0.6271&amp;sourceID=37","0.6271")</f>
        <v>0.6271</v>
      </c>
      <c r="H94" s="4" t="str">
        <f>HYPERLINK("http://141.218.60.56/~jnz1568/getInfo.php?workbook=18_16.xlsx&amp;sheet=U0&amp;row=94&amp;col=8&amp;number=6.653&amp;sourceID=61","6.653")</f>
        <v>6.653</v>
      </c>
      <c r="I94" s="4" t="str">
        <f>HYPERLINK("http://141.218.60.56/~jnz1568/getInfo.php?workbook=18_16.xlsx&amp;sheet=U0&amp;row=94&amp;col=9&amp;number=0.052&amp;sourceID=61","0.052")</f>
        <v>0.052</v>
      </c>
      <c r="J94" s="4" t="str">
        <f>HYPERLINK("http://141.218.60.56/~jnz1568/getInfo.php?workbook=18_16.xlsx&amp;sheet=U0&amp;row=94&amp;col=10&amp;number=5&amp;sourceID=51","5")</f>
        <v>5</v>
      </c>
      <c r="K94" s="4" t="str">
        <f>HYPERLINK("http://141.218.60.56/~jnz1568/getInfo.php?workbook=18_16.xlsx&amp;sheet=U0&amp;row=94&amp;col=11&amp;number=0.465&amp;sourceID=51","0.465")</f>
        <v>0.465</v>
      </c>
    </row>
    <row r="95" spans="1:11">
      <c r="A95" s="3"/>
      <c r="B95" s="3"/>
      <c r="C95" s="3"/>
      <c r="D95" s="3"/>
      <c r="E95" s="3">
        <v>12</v>
      </c>
      <c r="F95" s="4" t="str">
        <f>HYPERLINK("http://141.218.60.56/~jnz1568/getInfo.php?workbook=18_16.xlsx&amp;sheet=U0&amp;row=95&amp;col=6&amp;number=4.204&amp;sourceID=37","4.204")</f>
        <v>4.204</v>
      </c>
      <c r="G95" s="4" t="str">
        <f>HYPERLINK("http://141.218.60.56/~jnz1568/getInfo.php?workbook=18_16.xlsx&amp;sheet=U0&amp;row=95&amp;col=7&amp;number=0.6231&amp;sourceID=37","0.6231")</f>
        <v>0.6231</v>
      </c>
      <c r="H95" s="4" t="str">
        <f>HYPERLINK("http://141.218.60.56/~jnz1568/getInfo.php?workbook=18_16.xlsx&amp;sheet=U0&amp;row=95&amp;col=8&amp;number=6.954&amp;sourceID=61","6.954")</f>
        <v>6.954</v>
      </c>
      <c r="I95" s="4" t="str">
        <f>HYPERLINK("http://141.218.60.56/~jnz1568/getInfo.php?workbook=18_16.xlsx&amp;sheet=U0&amp;row=95&amp;col=9&amp;number=0.029&amp;sourceID=61","0.029")</f>
        <v>0.029</v>
      </c>
      <c r="J95" s="4" t="str">
        <f>HYPERLINK("http://141.218.60.56/~jnz1568/getInfo.php?workbook=18_16.xlsx&amp;sheet=U0&amp;row=95&amp;col=10&amp;number=&amp;sourceID=51","")</f>
        <v/>
      </c>
      <c r="K95" s="4" t="str">
        <f>HYPERLINK("http://141.218.60.56/~jnz1568/getInfo.php?workbook=18_16.xlsx&amp;sheet=U0&amp;row=95&amp;col=11&amp;number=&amp;sourceID=51","")</f>
        <v/>
      </c>
    </row>
    <row r="96" spans="1:11">
      <c r="A96" s="3"/>
      <c r="B96" s="3"/>
      <c r="C96" s="3"/>
      <c r="D96" s="3"/>
      <c r="E96" s="3">
        <v>13</v>
      </c>
      <c r="F96" s="4" t="str">
        <f>HYPERLINK("http://141.218.60.56/~jnz1568/getInfo.php?workbook=18_16.xlsx&amp;sheet=U0&amp;row=96&amp;col=6&amp;number=4.23&amp;sourceID=37","4.23")</f>
        <v>4.23</v>
      </c>
      <c r="G96" s="4" t="str">
        <f>HYPERLINK("http://141.218.60.56/~jnz1568/getInfo.php?workbook=18_16.xlsx&amp;sheet=U0&amp;row=96&amp;col=7&amp;number=0.6192&amp;sourceID=37","0.6192")</f>
        <v>0.6192</v>
      </c>
      <c r="H96" s="4" t="str">
        <f>HYPERLINK("http://141.218.60.56/~jnz1568/getInfo.php?workbook=18_16.xlsx&amp;sheet=U0&amp;row=96&amp;col=8&amp;number=7.255&amp;sourceID=61","7.255")</f>
        <v>7.255</v>
      </c>
      <c r="I96" s="4" t="str">
        <f>HYPERLINK("http://141.218.60.56/~jnz1568/getInfo.php?workbook=18_16.xlsx&amp;sheet=U0&amp;row=96&amp;col=9&amp;number=0.016&amp;sourceID=61","0.016")</f>
        <v>0.016</v>
      </c>
      <c r="J96" s="4" t="str">
        <f>HYPERLINK("http://141.218.60.56/~jnz1568/getInfo.php?workbook=18_16.xlsx&amp;sheet=U0&amp;row=96&amp;col=10&amp;number=&amp;sourceID=51","")</f>
        <v/>
      </c>
      <c r="K96" s="4" t="str">
        <f>HYPERLINK("http://141.218.60.56/~jnz1568/getInfo.php?workbook=18_16.xlsx&amp;sheet=U0&amp;row=96&amp;col=11&amp;number=&amp;sourceID=51","")</f>
        <v/>
      </c>
    </row>
    <row r="97" spans="1:11">
      <c r="A97" s="3"/>
      <c r="B97" s="3"/>
      <c r="C97" s="3"/>
      <c r="D97" s="3"/>
      <c r="E97" s="3">
        <v>14</v>
      </c>
      <c r="F97" s="4" t="str">
        <f>HYPERLINK("http://141.218.60.56/~jnz1568/getInfo.php?workbook=18_16.xlsx&amp;sheet=U0&amp;row=97&amp;col=6&amp;number=4.255&amp;sourceID=37","4.255")</f>
        <v>4.255</v>
      </c>
      <c r="G97" s="4" t="str">
        <f>HYPERLINK("http://141.218.60.56/~jnz1568/getInfo.php?workbook=18_16.xlsx&amp;sheet=U0&amp;row=97&amp;col=7&amp;number=0.6153&amp;sourceID=37","0.6153")</f>
        <v>0.6153</v>
      </c>
      <c r="H97" s="4" t="str">
        <f>HYPERLINK("http://141.218.60.56/~jnz1568/getInfo.php?workbook=18_16.xlsx&amp;sheet=U0&amp;row=97&amp;col=8&amp;number=&amp;sourceID=61","")</f>
        <v/>
      </c>
      <c r="I97" s="4" t="str">
        <f>HYPERLINK("http://141.218.60.56/~jnz1568/getInfo.php?workbook=18_16.xlsx&amp;sheet=U0&amp;row=97&amp;col=9&amp;number=&amp;sourceID=61","")</f>
        <v/>
      </c>
      <c r="J97" s="4" t="str">
        <f>HYPERLINK("http://141.218.60.56/~jnz1568/getInfo.php?workbook=18_16.xlsx&amp;sheet=U0&amp;row=97&amp;col=10&amp;number=&amp;sourceID=51","")</f>
        <v/>
      </c>
      <c r="K97" s="4" t="str">
        <f>HYPERLINK("http://141.218.60.56/~jnz1568/getInfo.php?workbook=18_16.xlsx&amp;sheet=U0&amp;row=97&amp;col=11&amp;number=&amp;sourceID=51","")</f>
        <v/>
      </c>
    </row>
    <row r="98" spans="1:11">
      <c r="A98" s="3"/>
      <c r="B98" s="3"/>
      <c r="C98" s="3"/>
      <c r="D98" s="3"/>
      <c r="E98" s="3">
        <v>15</v>
      </c>
      <c r="F98" s="4" t="str">
        <f>HYPERLINK("http://141.218.60.56/~jnz1568/getInfo.php?workbook=18_16.xlsx&amp;sheet=U0&amp;row=98&amp;col=6&amp;number=4.279&amp;sourceID=37","4.279")</f>
        <v>4.279</v>
      </c>
      <c r="G98" s="4" t="str">
        <f>HYPERLINK("http://141.218.60.56/~jnz1568/getInfo.php?workbook=18_16.xlsx&amp;sheet=U0&amp;row=98&amp;col=7&amp;number=0.6114&amp;sourceID=37","0.6114")</f>
        <v>0.6114</v>
      </c>
      <c r="H98" s="4" t="str">
        <f>HYPERLINK("http://141.218.60.56/~jnz1568/getInfo.php?workbook=18_16.xlsx&amp;sheet=U0&amp;row=98&amp;col=8&amp;number=&amp;sourceID=61","")</f>
        <v/>
      </c>
      <c r="I98" s="4" t="str">
        <f>HYPERLINK("http://141.218.60.56/~jnz1568/getInfo.php?workbook=18_16.xlsx&amp;sheet=U0&amp;row=98&amp;col=9&amp;number=&amp;sourceID=61","")</f>
        <v/>
      </c>
      <c r="J98" s="4" t="str">
        <f>HYPERLINK("http://141.218.60.56/~jnz1568/getInfo.php?workbook=18_16.xlsx&amp;sheet=U0&amp;row=98&amp;col=10&amp;number=&amp;sourceID=51","")</f>
        <v/>
      </c>
      <c r="K98" s="4" t="str">
        <f>HYPERLINK("http://141.218.60.56/~jnz1568/getInfo.php?workbook=18_16.xlsx&amp;sheet=U0&amp;row=98&amp;col=11&amp;number=&amp;sourceID=51","")</f>
        <v/>
      </c>
    </row>
    <row r="99" spans="1:11">
      <c r="A99" s="3"/>
      <c r="B99" s="3"/>
      <c r="C99" s="3"/>
      <c r="D99" s="3"/>
      <c r="E99" s="3">
        <v>16</v>
      </c>
      <c r="F99" s="4" t="str">
        <f>HYPERLINK("http://141.218.60.56/~jnz1568/getInfo.php?workbook=18_16.xlsx&amp;sheet=U0&amp;row=99&amp;col=6&amp;number=4.301&amp;sourceID=37","4.301")</f>
        <v>4.301</v>
      </c>
      <c r="G99" s="4" t="str">
        <f>HYPERLINK("http://141.218.60.56/~jnz1568/getInfo.php?workbook=18_16.xlsx&amp;sheet=U0&amp;row=99&amp;col=7&amp;number=0.6077&amp;sourceID=37","0.6077")</f>
        <v>0.6077</v>
      </c>
      <c r="H99" s="4" t="str">
        <f>HYPERLINK("http://141.218.60.56/~jnz1568/getInfo.php?workbook=18_16.xlsx&amp;sheet=U0&amp;row=99&amp;col=8&amp;number=&amp;sourceID=61","")</f>
        <v/>
      </c>
      <c r="I99" s="4" t="str">
        <f>HYPERLINK("http://141.218.60.56/~jnz1568/getInfo.php?workbook=18_16.xlsx&amp;sheet=U0&amp;row=99&amp;col=9&amp;number=&amp;sourceID=61","")</f>
        <v/>
      </c>
      <c r="J99" s="4" t="str">
        <f>HYPERLINK("http://141.218.60.56/~jnz1568/getInfo.php?workbook=18_16.xlsx&amp;sheet=U0&amp;row=99&amp;col=10&amp;number=&amp;sourceID=51","")</f>
        <v/>
      </c>
      <c r="K99" s="4" t="str">
        <f>HYPERLINK("http://141.218.60.56/~jnz1568/getInfo.php?workbook=18_16.xlsx&amp;sheet=U0&amp;row=99&amp;col=11&amp;number=&amp;sourceID=51","")</f>
        <v/>
      </c>
    </row>
    <row r="100" spans="1:11">
      <c r="A100" s="3">
        <v>18</v>
      </c>
      <c r="B100" s="3">
        <v>16</v>
      </c>
      <c r="C100" s="3">
        <v>5</v>
      </c>
      <c r="D100" s="3">
        <v>1</v>
      </c>
      <c r="E100" s="3">
        <v>1</v>
      </c>
      <c r="F100" s="4" t="str">
        <f>HYPERLINK("http://141.218.60.56/~jnz1568/getInfo.php?workbook=18_16.xlsx&amp;sheet=U0&amp;row=100&amp;col=6&amp;number=3.699&amp;sourceID=37","3.699")</f>
        <v>3.699</v>
      </c>
      <c r="G100" s="4" t="str">
        <f>HYPERLINK("http://141.218.60.56/~jnz1568/getInfo.php?workbook=18_16.xlsx&amp;sheet=U0&amp;row=100&amp;col=7&amp;number=0.4434&amp;sourceID=37","0.4434")</f>
        <v>0.4434</v>
      </c>
      <c r="H100" s="4" t="str">
        <f>HYPERLINK("http://141.218.60.56/~jnz1568/getInfo.php?workbook=18_16.xlsx&amp;sheet=U0&amp;row=100&amp;col=8&amp;number=3.255&amp;sourceID=61","3.255")</f>
        <v>3.255</v>
      </c>
      <c r="I100" s="4" t="str">
        <f>HYPERLINK("http://141.218.60.56/~jnz1568/getInfo.php?workbook=18_16.xlsx&amp;sheet=U0&amp;row=100&amp;col=9&amp;number=0.307&amp;sourceID=61","0.307")</f>
        <v>0.307</v>
      </c>
      <c r="J100" s="4" t="str">
        <f>HYPERLINK("http://141.218.60.56/~jnz1568/getInfo.php?workbook=18_16.xlsx&amp;sheet=U0&amp;row=100&amp;col=10&amp;number=3&amp;sourceID=51","3")</f>
        <v>3</v>
      </c>
      <c r="K100" s="4" t="str">
        <f>HYPERLINK("http://141.218.60.56/~jnz1568/getInfo.php?workbook=18_16.xlsx&amp;sheet=U0&amp;row=100&amp;col=11&amp;number=0.473&amp;sourceID=51","0.473")</f>
        <v>0.473</v>
      </c>
    </row>
    <row r="101" spans="1:11">
      <c r="A101" s="3"/>
      <c r="B101" s="3"/>
      <c r="C101" s="3"/>
      <c r="D101" s="3"/>
      <c r="E101" s="3">
        <v>2</v>
      </c>
      <c r="F101" s="4" t="str">
        <f>HYPERLINK("http://141.218.60.56/~jnz1568/getInfo.php?workbook=18_16.xlsx&amp;sheet=U0&amp;row=101&amp;col=6&amp;number=3.778&amp;sourceID=37","3.778")</f>
        <v>3.778</v>
      </c>
      <c r="G101" s="4" t="str">
        <f>HYPERLINK("http://141.218.60.56/~jnz1568/getInfo.php?workbook=18_16.xlsx&amp;sheet=U0&amp;row=101&amp;col=7&amp;number=0.4395&amp;sourceID=37","0.4395")</f>
        <v>0.4395</v>
      </c>
      <c r="H101" s="4" t="str">
        <f>HYPERLINK("http://141.218.60.56/~jnz1568/getInfo.php?workbook=18_16.xlsx&amp;sheet=U0&amp;row=101&amp;col=8&amp;number=3.653&amp;sourceID=61","3.653")</f>
        <v>3.653</v>
      </c>
      <c r="I101" s="4" t="str">
        <f>HYPERLINK("http://141.218.60.56/~jnz1568/getInfo.php?workbook=18_16.xlsx&amp;sheet=U0&amp;row=101&amp;col=9&amp;number=0.299&amp;sourceID=61","0.299")</f>
        <v>0.299</v>
      </c>
      <c r="J101" s="4" t="str">
        <f>HYPERLINK("http://141.218.60.56/~jnz1568/getInfo.php?workbook=18_16.xlsx&amp;sheet=U0&amp;row=101&amp;col=10&amp;number=3.2&amp;sourceID=51","3.2")</f>
        <v>3.2</v>
      </c>
      <c r="K101" s="4" t="str">
        <f>HYPERLINK("http://141.218.60.56/~jnz1568/getInfo.php?workbook=18_16.xlsx&amp;sheet=U0&amp;row=101&amp;col=11&amp;number=0.4932&amp;sourceID=51","0.4932")</f>
        <v>0.4932</v>
      </c>
    </row>
    <row r="102" spans="1:11">
      <c r="A102" s="3"/>
      <c r="B102" s="3"/>
      <c r="C102" s="3"/>
      <c r="D102" s="3"/>
      <c r="E102" s="3">
        <v>3</v>
      </c>
      <c r="F102" s="4" t="str">
        <f>HYPERLINK("http://141.218.60.56/~jnz1568/getInfo.php?workbook=18_16.xlsx&amp;sheet=U0&amp;row=102&amp;col=6&amp;number=3.845&amp;sourceID=37","3.845")</f>
        <v>3.845</v>
      </c>
      <c r="G102" s="4" t="str">
        <f>HYPERLINK("http://141.218.60.56/~jnz1568/getInfo.php?workbook=18_16.xlsx&amp;sheet=U0&amp;row=102&amp;col=7&amp;number=0.4353&amp;sourceID=37","0.4353")</f>
        <v>0.4353</v>
      </c>
      <c r="H102" s="4" t="str">
        <f>HYPERLINK("http://141.218.60.56/~jnz1568/getInfo.php?workbook=18_16.xlsx&amp;sheet=U0&amp;row=102&amp;col=8&amp;number=3.954&amp;sourceID=61","3.954")</f>
        <v>3.954</v>
      </c>
      <c r="I102" s="4" t="str">
        <f>HYPERLINK("http://141.218.60.56/~jnz1568/getInfo.php?workbook=18_16.xlsx&amp;sheet=U0&amp;row=102&amp;col=9&amp;number=0.354&amp;sourceID=61","0.354")</f>
        <v>0.354</v>
      </c>
      <c r="J102" s="4" t="str">
        <f>HYPERLINK("http://141.218.60.56/~jnz1568/getInfo.php?workbook=18_16.xlsx&amp;sheet=U0&amp;row=102&amp;col=10&amp;number=3.4&amp;sourceID=51","3.4")</f>
        <v>3.4</v>
      </c>
      <c r="K102" s="4" t="str">
        <f>HYPERLINK("http://141.218.60.56/~jnz1568/getInfo.php?workbook=18_16.xlsx&amp;sheet=U0&amp;row=102&amp;col=11&amp;number=0.4929&amp;sourceID=51","0.4929")</f>
        <v>0.4929</v>
      </c>
    </row>
    <row r="103" spans="1:11">
      <c r="A103" s="3"/>
      <c r="B103" s="3"/>
      <c r="C103" s="3"/>
      <c r="D103" s="3"/>
      <c r="E103" s="3">
        <v>4</v>
      </c>
      <c r="F103" s="4" t="str">
        <f>HYPERLINK("http://141.218.60.56/~jnz1568/getInfo.php?workbook=18_16.xlsx&amp;sheet=U0&amp;row=103&amp;col=6&amp;number=3.903&amp;sourceID=37","3.903")</f>
        <v>3.903</v>
      </c>
      <c r="G103" s="4" t="str">
        <f>HYPERLINK("http://141.218.60.56/~jnz1568/getInfo.php?workbook=18_16.xlsx&amp;sheet=U0&amp;row=103&amp;col=7&amp;number=0.4309&amp;sourceID=37","0.4309")</f>
        <v>0.4309</v>
      </c>
      <c r="H103" s="4" t="str">
        <f>HYPERLINK("http://141.218.60.56/~jnz1568/getInfo.php?workbook=18_16.xlsx&amp;sheet=U0&amp;row=103&amp;col=8&amp;number=4.255&amp;sourceID=61","4.255")</f>
        <v>4.255</v>
      </c>
      <c r="I103" s="4" t="str">
        <f>HYPERLINK("http://141.218.60.56/~jnz1568/getInfo.php?workbook=18_16.xlsx&amp;sheet=U0&amp;row=103&amp;col=9&amp;number=0.421&amp;sourceID=61","0.421")</f>
        <v>0.421</v>
      </c>
      <c r="J103" s="4" t="str">
        <f>HYPERLINK("http://141.218.60.56/~jnz1568/getInfo.php?workbook=18_16.xlsx&amp;sheet=U0&amp;row=103&amp;col=10&amp;number=3.6&amp;sourceID=51","3.6")</f>
        <v>3.6</v>
      </c>
      <c r="K103" s="4" t="str">
        <f>HYPERLINK("http://141.218.60.56/~jnz1568/getInfo.php?workbook=18_16.xlsx&amp;sheet=U0&amp;row=103&amp;col=11&amp;number=0.4822&amp;sourceID=51","0.4822")</f>
        <v>0.4822</v>
      </c>
    </row>
    <row r="104" spans="1:11">
      <c r="A104" s="3"/>
      <c r="B104" s="3"/>
      <c r="C104" s="3"/>
      <c r="D104" s="3"/>
      <c r="E104" s="3">
        <v>5</v>
      </c>
      <c r="F104" s="4" t="str">
        <f>HYPERLINK("http://141.218.60.56/~jnz1568/getInfo.php?workbook=18_16.xlsx&amp;sheet=U0&amp;row=104&amp;col=6&amp;number=3.954&amp;sourceID=37","3.954")</f>
        <v>3.954</v>
      </c>
      <c r="G104" s="4" t="str">
        <f>HYPERLINK("http://141.218.60.56/~jnz1568/getInfo.php?workbook=18_16.xlsx&amp;sheet=U0&amp;row=104&amp;col=7&amp;number=0.4266&amp;sourceID=37","0.4266")</f>
        <v>0.4266</v>
      </c>
      <c r="H104" s="4" t="str">
        <f>HYPERLINK("http://141.218.60.56/~jnz1568/getInfo.php?workbook=18_16.xlsx&amp;sheet=U0&amp;row=104&amp;col=8&amp;number=4.653&amp;sourceID=61","4.653")</f>
        <v>4.653</v>
      </c>
      <c r="I104" s="4" t="str">
        <f>HYPERLINK("http://141.218.60.56/~jnz1568/getInfo.php?workbook=18_16.xlsx&amp;sheet=U0&amp;row=104&amp;col=9&amp;number=0.478&amp;sourceID=61","0.478")</f>
        <v>0.478</v>
      </c>
      <c r="J104" s="4" t="str">
        <f>HYPERLINK("http://141.218.60.56/~jnz1568/getInfo.php?workbook=18_16.xlsx&amp;sheet=U0&amp;row=104&amp;col=10&amp;number=3.8&amp;sourceID=51","3.8")</f>
        <v>3.8</v>
      </c>
      <c r="K104" s="4" t="str">
        <f>HYPERLINK("http://141.218.60.56/~jnz1568/getInfo.php?workbook=18_16.xlsx&amp;sheet=U0&amp;row=104&amp;col=11&amp;number=0.471&amp;sourceID=51","0.471")</f>
        <v>0.471</v>
      </c>
    </row>
    <row r="105" spans="1:11">
      <c r="A105" s="3"/>
      <c r="B105" s="3"/>
      <c r="C105" s="3"/>
      <c r="D105" s="3"/>
      <c r="E105" s="3">
        <v>6</v>
      </c>
      <c r="F105" s="4" t="str">
        <f>HYPERLINK("http://141.218.60.56/~jnz1568/getInfo.php?workbook=18_16.xlsx&amp;sheet=U0&amp;row=105&amp;col=6&amp;number=4&amp;sourceID=37","4")</f>
        <v>4</v>
      </c>
      <c r="G105" s="4" t="str">
        <f>HYPERLINK("http://141.218.60.56/~jnz1568/getInfo.php?workbook=18_16.xlsx&amp;sheet=U0&amp;row=105&amp;col=7&amp;number=0.4223&amp;sourceID=37","0.4223")</f>
        <v>0.4223</v>
      </c>
      <c r="H105" s="4" t="str">
        <f>HYPERLINK("http://141.218.60.56/~jnz1568/getInfo.php?workbook=18_16.xlsx&amp;sheet=U0&amp;row=105&amp;col=8&amp;number=4.954&amp;sourceID=61","4.954")</f>
        <v>4.954</v>
      </c>
      <c r="I105" s="4" t="str">
        <f>HYPERLINK("http://141.218.60.56/~jnz1568/getInfo.php?workbook=18_16.xlsx&amp;sheet=U0&amp;row=105&amp;col=9&amp;number=0.467&amp;sourceID=61","0.467")</f>
        <v>0.467</v>
      </c>
      <c r="J105" s="4" t="str">
        <f>HYPERLINK("http://141.218.60.56/~jnz1568/getInfo.php?workbook=18_16.xlsx&amp;sheet=U0&amp;row=105&amp;col=10&amp;number=4&amp;sourceID=51","4")</f>
        <v>4</v>
      </c>
      <c r="K105" s="4" t="str">
        <f>HYPERLINK("http://141.218.60.56/~jnz1568/getInfo.php?workbook=18_16.xlsx&amp;sheet=U0&amp;row=105&amp;col=11&amp;number=0.4634&amp;sourceID=51","0.4634")</f>
        <v>0.4634</v>
      </c>
    </row>
    <row r="106" spans="1:11">
      <c r="A106" s="3"/>
      <c r="B106" s="3"/>
      <c r="C106" s="3"/>
      <c r="D106" s="3"/>
      <c r="E106" s="3">
        <v>7</v>
      </c>
      <c r="F106" s="4" t="str">
        <f>HYPERLINK("http://141.218.60.56/~jnz1568/getInfo.php?workbook=18_16.xlsx&amp;sheet=U0&amp;row=106&amp;col=6&amp;number=4.041&amp;sourceID=37","4.041")</f>
        <v>4.041</v>
      </c>
      <c r="G106" s="4" t="str">
        <f>HYPERLINK("http://141.218.60.56/~jnz1568/getInfo.php?workbook=18_16.xlsx&amp;sheet=U0&amp;row=106&amp;col=7&amp;number=0.4183&amp;sourceID=37","0.4183")</f>
        <v>0.4183</v>
      </c>
      <c r="H106" s="4" t="str">
        <f>HYPERLINK("http://141.218.60.56/~jnz1568/getInfo.php?workbook=18_16.xlsx&amp;sheet=U0&amp;row=106&amp;col=8&amp;number=5.255&amp;sourceID=61","5.255")</f>
        <v>5.255</v>
      </c>
      <c r="I106" s="4" t="str">
        <f>HYPERLINK("http://141.218.60.56/~jnz1568/getInfo.php?workbook=18_16.xlsx&amp;sheet=U0&amp;row=106&amp;col=9&amp;number=0.378&amp;sourceID=61","0.378")</f>
        <v>0.378</v>
      </c>
      <c r="J106" s="4" t="str">
        <f>HYPERLINK("http://141.218.60.56/~jnz1568/getInfo.php?workbook=18_16.xlsx&amp;sheet=U0&amp;row=106&amp;col=10&amp;number=4.2&amp;sourceID=51","4.2")</f>
        <v>4.2</v>
      </c>
      <c r="K106" s="4" t="str">
        <f>HYPERLINK("http://141.218.60.56/~jnz1568/getInfo.php?workbook=18_16.xlsx&amp;sheet=U0&amp;row=106&amp;col=11&amp;number=0.4578&amp;sourceID=51","0.4578")</f>
        <v>0.4578</v>
      </c>
    </row>
    <row r="107" spans="1:11">
      <c r="A107" s="3"/>
      <c r="B107" s="3"/>
      <c r="C107" s="3"/>
      <c r="D107" s="3"/>
      <c r="E107" s="3">
        <v>8</v>
      </c>
      <c r="F107" s="4" t="str">
        <f>HYPERLINK("http://141.218.60.56/~jnz1568/getInfo.php?workbook=18_16.xlsx&amp;sheet=U0&amp;row=107&amp;col=6&amp;number=4.079&amp;sourceID=37","4.079")</f>
        <v>4.079</v>
      </c>
      <c r="G107" s="4" t="str">
        <f>HYPERLINK("http://141.218.60.56/~jnz1568/getInfo.php?workbook=18_16.xlsx&amp;sheet=U0&amp;row=107&amp;col=7&amp;number=0.4146&amp;sourceID=37","0.4146")</f>
        <v>0.4146</v>
      </c>
      <c r="H107" s="4" t="str">
        <f>HYPERLINK("http://141.218.60.56/~jnz1568/getInfo.php?workbook=18_16.xlsx&amp;sheet=U0&amp;row=107&amp;col=8&amp;number=5.653&amp;sourceID=61","5.653")</f>
        <v>5.653</v>
      </c>
      <c r="I107" s="4" t="str">
        <f>HYPERLINK("http://141.218.60.56/~jnz1568/getInfo.php?workbook=18_16.xlsx&amp;sheet=U0&amp;row=107&amp;col=9&amp;number=0.223&amp;sourceID=61","0.223")</f>
        <v>0.223</v>
      </c>
      <c r="J107" s="4" t="str">
        <f>HYPERLINK("http://141.218.60.56/~jnz1568/getInfo.php?workbook=18_16.xlsx&amp;sheet=U0&amp;row=107&amp;col=10&amp;number=4.4&amp;sourceID=51","4.4")</f>
        <v>4.4</v>
      </c>
      <c r="K107" s="4" t="str">
        <f>HYPERLINK("http://141.218.60.56/~jnz1568/getInfo.php?workbook=18_16.xlsx&amp;sheet=U0&amp;row=107&amp;col=11&amp;number=0.4516&amp;sourceID=51","0.4516")</f>
        <v>0.4516</v>
      </c>
    </row>
    <row r="108" spans="1:11">
      <c r="A108" s="3"/>
      <c r="B108" s="3"/>
      <c r="C108" s="3"/>
      <c r="D108" s="3"/>
      <c r="E108" s="3">
        <v>9</v>
      </c>
      <c r="F108" s="4" t="str">
        <f>HYPERLINK("http://141.218.60.56/~jnz1568/getInfo.php?workbook=18_16.xlsx&amp;sheet=U0&amp;row=108&amp;col=6&amp;number=4.114&amp;sourceID=37","4.114")</f>
        <v>4.114</v>
      </c>
      <c r="G108" s="4" t="str">
        <f>HYPERLINK("http://141.218.60.56/~jnz1568/getInfo.php?workbook=18_16.xlsx&amp;sheet=U0&amp;row=108&amp;col=7&amp;number=0.4113&amp;sourceID=37","0.4113")</f>
        <v>0.4113</v>
      </c>
      <c r="H108" s="4" t="str">
        <f>HYPERLINK("http://141.218.60.56/~jnz1568/getInfo.php?workbook=18_16.xlsx&amp;sheet=U0&amp;row=108&amp;col=8&amp;number=5.954&amp;sourceID=61","5.954")</f>
        <v>5.954</v>
      </c>
      <c r="I108" s="4" t="str">
        <f>HYPERLINK("http://141.218.60.56/~jnz1568/getInfo.php?workbook=18_16.xlsx&amp;sheet=U0&amp;row=108&amp;col=9&amp;number=0.133&amp;sourceID=61","0.133")</f>
        <v>0.133</v>
      </c>
      <c r="J108" s="4" t="str">
        <f>HYPERLINK("http://141.218.60.56/~jnz1568/getInfo.php?workbook=18_16.xlsx&amp;sheet=U0&amp;row=108&amp;col=10&amp;number=4.6&amp;sourceID=51","4.6")</f>
        <v>4.6</v>
      </c>
      <c r="K108" s="4" t="str">
        <f>HYPERLINK("http://141.218.60.56/~jnz1568/getInfo.php?workbook=18_16.xlsx&amp;sheet=U0&amp;row=108&amp;col=11&amp;number=0.4437&amp;sourceID=51","0.4437")</f>
        <v>0.4437</v>
      </c>
    </row>
    <row r="109" spans="1:11">
      <c r="A109" s="3"/>
      <c r="B109" s="3"/>
      <c r="C109" s="3"/>
      <c r="D109" s="3"/>
      <c r="E109" s="3">
        <v>10</v>
      </c>
      <c r="F109" s="4" t="str">
        <f>HYPERLINK("http://141.218.60.56/~jnz1568/getInfo.php?workbook=18_16.xlsx&amp;sheet=U0&amp;row=109&amp;col=6&amp;number=4.146&amp;sourceID=37","4.146")</f>
        <v>4.146</v>
      </c>
      <c r="G109" s="4" t="str">
        <f>HYPERLINK("http://141.218.60.56/~jnz1568/getInfo.php?workbook=18_16.xlsx&amp;sheet=U0&amp;row=109&amp;col=7&amp;number=0.4083&amp;sourceID=37","0.4083")</f>
        <v>0.4083</v>
      </c>
      <c r="H109" s="4" t="str">
        <f>HYPERLINK("http://141.218.60.56/~jnz1568/getInfo.php?workbook=18_16.xlsx&amp;sheet=U0&amp;row=109&amp;col=8&amp;number=6.255&amp;sourceID=61","6.255")</f>
        <v>6.255</v>
      </c>
      <c r="I109" s="4" t="str">
        <f>HYPERLINK("http://141.218.60.56/~jnz1568/getInfo.php?workbook=18_16.xlsx&amp;sheet=U0&amp;row=109&amp;col=9&amp;number=0.074&amp;sourceID=61","0.074")</f>
        <v>0.074</v>
      </c>
      <c r="J109" s="4" t="str">
        <f>HYPERLINK("http://141.218.60.56/~jnz1568/getInfo.php?workbook=18_16.xlsx&amp;sheet=U0&amp;row=109&amp;col=10&amp;number=4.8&amp;sourceID=51","4.8")</f>
        <v>4.8</v>
      </c>
      <c r="K109" s="4" t="str">
        <f>HYPERLINK("http://141.218.60.56/~jnz1568/getInfo.php?workbook=18_16.xlsx&amp;sheet=U0&amp;row=109&amp;col=11&amp;number=0.4248&amp;sourceID=51","0.4248")</f>
        <v>0.4248</v>
      </c>
    </row>
    <row r="110" spans="1:11">
      <c r="A110" s="3"/>
      <c r="B110" s="3"/>
      <c r="C110" s="3"/>
      <c r="D110" s="3"/>
      <c r="E110" s="3">
        <v>11</v>
      </c>
      <c r="F110" s="4" t="str">
        <f>HYPERLINK("http://141.218.60.56/~jnz1568/getInfo.php?workbook=18_16.xlsx&amp;sheet=U0&amp;row=110&amp;col=6&amp;number=4.176&amp;sourceID=37","4.176")</f>
        <v>4.176</v>
      </c>
      <c r="G110" s="4" t="str">
        <f>HYPERLINK("http://141.218.60.56/~jnz1568/getInfo.php?workbook=18_16.xlsx&amp;sheet=U0&amp;row=110&amp;col=7&amp;number=0.4056&amp;sourceID=37","0.4056")</f>
        <v>0.4056</v>
      </c>
      <c r="H110" s="4" t="str">
        <f>HYPERLINK("http://141.218.60.56/~jnz1568/getInfo.php?workbook=18_16.xlsx&amp;sheet=U0&amp;row=110&amp;col=8&amp;number=6.653&amp;sourceID=61","6.653")</f>
        <v>6.653</v>
      </c>
      <c r="I110" s="4" t="str">
        <f>HYPERLINK("http://141.218.60.56/~jnz1568/getInfo.php?workbook=18_16.xlsx&amp;sheet=U0&amp;row=110&amp;col=9&amp;number=0.033&amp;sourceID=61","0.033")</f>
        <v>0.033</v>
      </c>
      <c r="J110" s="4" t="str">
        <f>HYPERLINK("http://141.218.60.56/~jnz1568/getInfo.php?workbook=18_16.xlsx&amp;sheet=U0&amp;row=110&amp;col=10&amp;number=5&amp;sourceID=51","5")</f>
        <v>5</v>
      </c>
      <c r="K110" s="4" t="str">
        <f>HYPERLINK("http://141.218.60.56/~jnz1568/getInfo.php?workbook=18_16.xlsx&amp;sheet=U0&amp;row=110&amp;col=11&amp;number=0.384&amp;sourceID=51","0.384")</f>
        <v>0.384</v>
      </c>
    </row>
    <row r="111" spans="1:11">
      <c r="A111" s="3"/>
      <c r="B111" s="3"/>
      <c r="C111" s="3"/>
      <c r="D111" s="3"/>
      <c r="E111" s="3">
        <v>12</v>
      </c>
      <c r="F111" s="4" t="str">
        <f>HYPERLINK("http://141.218.60.56/~jnz1568/getInfo.php?workbook=18_16.xlsx&amp;sheet=U0&amp;row=111&amp;col=6&amp;number=4.204&amp;sourceID=37","4.204")</f>
        <v>4.204</v>
      </c>
      <c r="G111" s="4" t="str">
        <f>HYPERLINK("http://141.218.60.56/~jnz1568/getInfo.php?workbook=18_16.xlsx&amp;sheet=U0&amp;row=111&amp;col=7&amp;number=0.4033&amp;sourceID=37","0.4033")</f>
        <v>0.4033</v>
      </c>
      <c r="H111" s="4" t="str">
        <f>HYPERLINK("http://141.218.60.56/~jnz1568/getInfo.php?workbook=18_16.xlsx&amp;sheet=U0&amp;row=111&amp;col=8&amp;number=6.954&amp;sourceID=61","6.954")</f>
        <v>6.954</v>
      </c>
      <c r="I111" s="4" t="str">
        <f>HYPERLINK("http://141.218.60.56/~jnz1568/getInfo.php?workbook=18_16.xlsx&amp;sheet=U0&amp;row=111&amp;col=9&amp;number=0.018&amp;sourceID=61","0.018")</f>
        <v>0.018</v>
      </c>
      <c r="J111" s="4" t="str">
        <f>HYPERLINK("http://141.218.60.56/~jnz1568/getInfo.php?workbook=18_16.xlsx&amp;sheet=U0&amp;row=111&amp;col=10&amp;number=&amp;sourceID=51","")</f>
        <v/>
      </c>
      <c r="K111" s="4" t="str">
        <f>HYPERLINK("http://141.218.60.56/~jnz1568/getInfo.php?workbook=18_16.xlsx&amp;sheet=U0&amp;row=111&amp;col=11&amp;number=&amp;sourceID=51","")</f>
        <v/>
      </c>
    </row>
    <row r="112" spans="1:11">
      <c r="A112" s="3"/>
      <c r="B112" s="3"/>
      <c r="C112" s="3"/>
      <c r="D112" s="3"/>
      <c r="E112" s="3">
        <v>13</v>
      </c>
      <c r="F112" s="4" t="str">
        <f>HYPERLINK("http://141.218.60.56/~jnz1568/getInfo.php?workbook=18_16.xlsx&amp;sheet=U0&amp;row=112&amp;col=6&amp;number=4.23&amp;sourceID=37","4.23")</f>
        <v>4.23</v>
      </c>
      <c r="G112" s="4" t="str">
        <f>HYPERLINK("http://141.218.60.56/~jnz1568/getInfo.php?workbook=18_16.xlsx&amp;sheet=U0&amp;row=112&amp;col=7&amp;number=0.4013&amp;sourceID=37","0.4013")</f>
        <v>0.4013</v>
      </c>
      <c r="H112" s="4" t="str">
        <f>HYPERLINK("http://141.218.60.56/~jnz1568/getInfo.php?workbook=18_16.xlsx&amp;sheet=U0&amp;row=112&amp;col=8&amp;number=7.255&amp;sourceID=61","7.255")</f>
        <v>7.255</v>
      </c>
      <c r="I112" s="4" t="str">
        <f>HYPERLINK("http://141.218.60.56/~jnz1568/getInfo.php?workbook=18_16.xlsx&amp;sheet=U0&amp;row=112&amp;col=9&amp;number=0.009&amp;sourceID=61","0.009")</f>
        <v>0.009</v>
      </c>
      <c r="J112" s="4" t="str">
        <f>HYPERLINK("http://141.218.60.56/~jnz1568/getInfo.php?workbook=18_16.xlsx&amp;sheet=U0&amp;row=112&amp;col=10&amp;number=&amp;sourceID=51","")</f>
        <v/>
      </c>
      <c r="K112" s="4" t="str">
        <f>HYPERLINK("http://141.218.60.56/~jnz1568/getInfo.php?workbook=18_16.xlsx&amp;sheet=U0&amp;row=112&amp;col=11&amp;number=&amp;sourceID=51","")</f>
        <v/>
      </c>
    </row>
    <row r="113" spans="1:11">
      <c r="A113" s="3"/>
      <c r="B113" s="3"/>
      <c r="C113" s="3"/>
      <c r="D113" s="3"/>
      <c r="E113" s="3">
        <v>14</v>
      </c>
      <c r="F113" s="4" t="str">
        <f>HYPERLINK("http://141.218.60.56/~jnz1568/getInfo.php?workbook=18_16.xlsx&amp;sheet=U0&amp;row=113&amp;col=6&amp;number=4.255&amp;sourceID=37","4.255")</f>
        <v>4.255</v>
      </c>
      <c r="G113" s="4" t="str">
        <f>HYPERLINK("http://141.218.60.56/~jnz1568/getInfo.php?workbook=18_16.xlsx&amp;sheet=U0&amp;row=113&amp;col=7&amp;number=0.3995&amp;sourceID=37","0.3995")</f>
        <v>0.3995</v>
      </c>
      <c r="H113" s="4" t="str">
        <f>HYPERLINK("http://141.218.60.56/~jnz1568/getInfo.php?workbook=18_16.xlsx&amp;sheet=U0&amp;row=113&amp;col=8&amp;number=&amp;sourceID=61","")</f>
        <v/>
      </c>
      <c r="I113" s="4" t="str">
        <f>HYPERLINK("http://141.218.60.56/~jnz1568/getInfo.php?workbook=18_16.xlsx&amp;sheet=U0&amp;row=113&amp;col=9&amp;number=&amp;sourceID=61","")</f>
        <v/>
      </c>
      <c r="J113" s="4" t="str">
        <f>HYPERLINK("http://141.218.60.56/~jnz1568/getInfo.php?workbook=18_16.xlsx&amp;sheet=U0&amp;row=113&amp;col=10&amp;number=&amp;sourceID=51","")</f>
        <v/>
      </c>
      <c r="K113" s="4" t="str">
        <f>HYPERLINK("http://141.218.60.56/~jnz1568/getInfo.php?workbook=18_16.xlsx&amp;sheet=U0&amp;row=113&amp;col=11&amp;number=&amp;sourceID=51","")</f>
        <v/>
      </c>
    </row>
    <row r="114" spans="1:11">
      <c r="A114" s="3"/>
      <c r="B114" s="3"/>
      <c r="C114" s="3"/>
      <c r="D114" s="3"/>
      <c r="E114" s="3">
        <v>15</v>
      </c>
      <c r="F114" s="4" t="str">
        <f>HYPERLINK("http://141.218.60.56/~jnz1568/getInfo.php?workbook=18_16.xlsx&amp;sheet=U0&amp;row=114&amp;col=6&amp;number=4.279&amp;sourceID=37","4.279")</f>
        <v>4.279</v>
      </c>
      <c r="G114" s="4" t="str">
        <f>HYPERLINK("http://141.218.60.56/~jnz1568/getInfo.php?workbook=18_16.xlsx&amp;sheet=U0&amp;row=114&amp;col=7&amp;number=0.3979&amp;sourceID=37","0.3979")</f>
        <v>0.3979</v>
      </c>
      <c r="H114" s="4" t="str">
        <f>HYPERLINK("http://141.218.60.56/~jnz1568/getInfo.php?workbook=18_16.xlsx&amp;sheet=U0&amp;row=114&amp;col=8&amp;number=&amp;sourceID=61","")</f>
        <v/>
      </c>
      <c r="I114" s="4" t="str">
        <f>HYPERLINK("http://141.218.60.56/~jnz1568/getInfo.php?workbook=18_16.xlsx&amp;sheet=U0&amp;row=114&amp;col=9&amp;number=&amp;sourceID=61","")</f>
        <v/>
      </c>
      <c r="J114" s="4" t="str">
        <f>HYPERLINK("http://141.218.60.56/~jnz1568/getInfo.php?workbook=18_16.xlsx&amp;sheet=U0&amp;row=114&amp;col=10&amp;number=&amp;sourceID=51","")</f>
        <v/>
      </c>
      <c r="K114" s="4" t="str">
        <f>HYPERLINK("http://141.218.60.56/~jnz1568/getInfo.php?workbook=18_16.xlsx&amp;sheet=U0&amp;row=114&amp;col=11&amp;number=&amp;sourceID=51","")</f>
        <v/>
      </c>
    </row>
    <row r="115" spans="1:11">
      <c r="A115" s="3"/>
      <c r="B115" s="3"/>
      <c r="C115" s="3"/>
      <c r="D115" s="3"/>
      <c r="E115" s="3">
        <v>16</v>
      </c>
      <c r="F115" s="4" t="str">
        <f>HYPERLINK("http://141.218.60.56/~jnz1568/getInfo.php?workbook=18_16.xlsx&amp;sheet=U0&amp;row=115&amp;col=6&amp;number=4.301&amp;sourceID=37","4.301")</f>
        <v>4.301</v>
      </c>
      <c r="G115" s="4" t="str">
        <f>HYPERLINK("http://141.218.60.56/~jnz1568/getInfo.php?workbook=18_16.xlsx&amp;sheet=U0&amp;row=115&amp;col=7&amp;number=0.3965&amp;sourceID=37","0.3965")</f>
        <v>0.3965</v>
      </c>
      <c r="H115" s="4" t="str">
        <f>HYPERLINK("http://141.218.60.56/~jnz1568/getInfo.php?workbook=18_16.xlsx&amp;sheet=U0&amp;row=115&amp;col=8&amp;number=&amp;sourceID=61","")</f>
        <v/>
      </c>
      <c r="I115" s="4" t="str">
        <f>HYPERLINK("http://141.218.60.56/~jnz1568/getInfo.php?workbook=18_16.xlsx&amp;sheet=U0&amp;row=115&amp;col=9&amp;number=&amp;sourceID=61","")</f>
        <v/>
      </c>
      <c r="J115" s="4" t="str">
        <f>HYPERLINK("http://141.218.60.56/~jnz1568/getInfo.php?workbook=18_16.xlsx&amp;sheet=U0&amp;row=115&amp;col=10&amp;number=&amp;sourceID=51","")</f>
        <v/>
      </c>
      <c r="K115" s="4" t="str">
        <f>HYPERLINK("http://141.218.60.56/~jnz1568/getInfo.php?workbook=18_16.xlsx&amp;sheet=U0&amp;row=115&amp;col=11&amp;number=&amp;sourceID=51","")</f>
        <v/>
      </c>
    </row>
    <row r="116" spans="1:11">
      <c r="A116" s="3">
        <v>18</v>
      </c>
      <c r="B116" s="3">
        <v>16</v>
      </c>
      <c r="C116" s="3">
        <v>5</v>
      </c>
      <c r="D116" s="3">
        <v>2</v>
      </c>
      <c r="E116" s="3">
        <v>1</v>
      </c>
      <c r="F116" s="4" t="str">
        <f>HYPERLINK("http://141.218.60.56/~jnz1568/getInfo.php?workbook=18_16.xlsx&amp;sheet=U0&amp;row=116&amp;col=6&amp;number=3.699&amp;sourceID=37","3.699")</f>
        <v>3.699</v>
      </c>
      <c r="G116" s="4" t="str">
        <f>HYPERLINK("http://141.218.60.56/~jnz1568/getInfo.php?workbook=18_16.xlsx&amp;sheet=U0&amp;row=116&amp;col=7&amp;number=0.2661&amp;sourceID=37","0.2661")</f>
        <v>0.2661</v>
      </c>
      <c r="H116" s="4" t="str">
        <f>HYPERLINK("http://141.218.60.56/~jnz1568/getInfo.php?workbook=18_16.xlsx&amp;sheet=U0&amp;row=116&amp;col=8&amp;number=3.255&amp;sourceID=61","3.255")</f>
        <v>3.255</v>
      </c>
      <c r="I116" s="4" t="str">
        <f>HYPERLINK("http://141.218.60.56/~jnz1568/getInfo.php?workbook=18_16.xlsx&amp;sheet=U0&amp;row=116&amp;col=9&amp;number=0.202&amp;sourceID=61","0.202")</f>
        <v>0.202</v>
      </c>
      <c r="J116" s="4" t="str">
        <f>HYPERLINK("http://141.218.60.56/~jnz1568/getInfo.php?workbook=18_16.xlsx&amp;sheet=U0&amp;row=116&amp;col=10&amp;number=3&amp;sourceID=51","3")</f>
        <v>3</v>
      </c>
      <c r="K116" s="4" t="str">
        <f>HYPERLINK("http://141.218.60.56/~jnz1568/getInfo.php?workbook=18_16.xlsx&amp;sheet=U0&amp;row=116&amp;col=11&amp;number=0.2838&amp;sourceID=51","0.2838")</f>
        <v>0.2838</v>
      </c>
    </row>
    <row r="117" spans="1:11">
      <c r="A117" s="3"/>
      <c r="B117" s="3"/>
      <c r="C117" s="3"/>
      <c r="D117" s="3"/>
      <c r="E117" s="3">
        <v>2</v>
      </c>
      <c r="F117" s="4" t="str">
        <f>HYPERLINK("http://141.218.60.56/~jnz1568/getInfo.php?workbook=18_16.xlsx&amp;sheet=U0&amp;row=117&amp;col=6&amp;number=3.778&amp;sourceID=37","3.778")</f>
        <v>3.778</v>
      </c>
      <c r="G117" s="4" t="str">
        <f>HYPERLINK("http://141.218.60.56/~jnz1568/getInfo.php?workbook=18_16.xlsx&amp;sheet=U0&amp;row=117&amp;col=7&amp;number=0.2637&amp;sourceID=37","0.2637")</f>
        <v>0.2637</v>
      </c>
      <c r="H117" s="4" t="str">
        <f>HYPERLINK("http://141.218.60.56/~jnz1568/getInfo.php?workbook=18_16.xlsx&amp;sheet=U0&amp;row=117&amp;col=8&amp;number=3.653&amp;sourceID=61","3.653")</f>
        <v>3.653</v>
      </c>
      <c r="I117" s="4" t="str">
        <f>HYPERLINK("http://141.218.60.56/~jnz1568/getInfo.php?workbook=18_16.xlsx&amp;sheet=U0&amp;row=117&amp;col=9&amp;number=0.192&amp;sourceID=61","0.192")</f>
        <v>0.192</v>
      </c>
      <c r="J117" s="4" t="str">
        <f>HYPERLINK("http://141.218.60.56/~jnz1568/getInfo.php?workbook=18_16.xlsx&amp;sheet=U0&amp;row=117&amp;col=10&amp;number=3.2&amp;sourceID=51","3.2")</f>
        <v>3.2</v>
      </c>
      <c r="K117" s="4" t="str">
        <f>HYPERLINK("http://141.218.60.56/~jnz1568/getInfo.php?workbook=18_16.xlsx&amp;sheet=U0&amp;row=117&amp;col=11&amp;number=0.2959&amp;sourceID=51","0.2959")</f>
        <v>0.2959</v>
      </c>
    </row>
    <row r="118" spans="1:11">
      <c r="A118" s="3"/>
      <c r="B118" s="3"/>
      <c r="C118" s="3"/>
      <c r="D118" s="3"/>
      <c r="E118" s="3">
        <v>3</v>
      </c>
      <c r="F118" s="4" t="str">
        <f>HYPERLINK("http://141.218.60.56/~jnz1568/getInfo.php?workbook=18_16.xlsx&amp;sheet=U0&amp;row=118&amp;col=6&amp;number=3.845&amp;sourceID=37","3.845")</f>
        <v>3.845</v>
      </c>
      <c r="G118" s="4" t="str">
        <f>HYPERLINK("http://141.218.60.56/~jnz1568/getInfo.php?workbook=18_16.xlsx&amp;sheet=U0&amp;row=118&amp;col=7&amp;number=0.2612&amp;sourceID=37","0.2612")</f>
        <v>0.2612</v>
      </c>
      <c r="H118" s="4" t="str">
        <f>HYPERLINK("http://141.218.60.56/~jnz1568/getInfo.php?workbook=18_16.xlsx&amp;sheet=U0&amp;row=118&amp;col=8&amp;number=3.954&amp;sourceID=61","3.954")</f>
        <v>3.954</v>
      </c>
      <c r="I118" s="4" t="str">
        <f>HYPERLINK("http://141.218.60.56/~jnz1568/getInfo.php?workbook=18_16.xlsx&amp;sheet=U0&amp;row=118&amp;col=9&amp;number=0.217&amp;sourceID=61","0.217")</f>
        <v>0.217</v>
      </c>
      <c r="J118" s="4" t="str">
        <f>HYPERLINK("http://141.218.60.56/~jnz1568/getInfo.php?workbook=18_16.xlsx&amp;sheet=U0&amp;row=118&amp;col=10&amp;number=3.4&amp;sourceID=51","3.4")</f>
        <v>3.4</v>
      </c>
      <c r="K118" s="4" t="str">
        <f>HYPERLINK("http://141.218.60.56/~jnz1568/getInfo.php?workbook=18_16.xlsx&amp;sheet=U0&amp;row=118&amp;col=11&amp;number=0.2957&amp;sourceID=51","0.2957")</f>
        <v>0.2957</v>
      </c>
    </row>
    <row r="119" spans="1:11">
      <c r="A119" s="3"/>
      <c r="B119" s="3"/>
      <c r="C119" s="3"/>
      <c r="D119" s="3"/>
      <c r="E119" s="3">
        <v>4</v>
      </c>
      <c r="F119" s="4" t="str">
        <f>HYPERLINK("http://141.218.60.56/~jnz1568/getInfo.php?workbook=18_16.xlsx&amp;sheet=U0&amp;row=119&amp;col=6&amp;number=3.903&amp;sourceID=37","3.903")</f>
        <v>3.903</v>
      </c>
      <c r="G119" s="4" t="str">
        <f>HYPERLINK("http://141.218.60.56/~jnz1568/getInfo.php?workbook=18_16.xlsx&amp;sheet=U0&amp;row=119&amp;col=7&amp;number=0.2585&amp;sourceID=37","0.2585")</f>
        <v>0.2585</v>
      </c>
      <c r="H119" s="4" t="str">
        <f>HYPERLINK("http://141.218.60.56/~jnz1568/getInfo.php?workbook=18_16.xlsx&amp;sheet=U0&amp;row=119&amp;col=8&amp;number=4.255&amp;sourceID=61","4.255")</f>
        <v>4.255</v>
      </c>
      <c r="I119" s="4" t="str">
        <f>HYPERLINK("http://141.218.60.56/~jnz1568/getInfo.php?workbook=18_16.xlsx&amp;sheet=U0&amp;row=119&amp;col=9&amp;number=0.257&amp;sourceID=61","0.257")</f>
        <v>0.257</v>
      </c>
      <c r="J119" s="4" t="str">
        <f>HYPERLINK("http://141.218.60.56/~jnz1568/getInfo.php?workbook=18_16.xlsx&amp;sheet=U0&amp;row=119&amp;col=10&amp;number=3.6&amp;sourceID=51","3.6")</f>
        <v>3.6</v>
      </c>
      <c r="K119" s="4" t="str">
        <f>HYPERLINK("http://141.218.60.56/~jnz1568/getInfo.php?workbook=18_16.xlsx&amp;sheet=U0&amp;row=119&amp;col=11&amp;number=0.2893&amp;sourceID=51","0.2893")</f>
        <v>0.2893</v>
      </c>
    </row>
    <row r="120" spans="1:11">
      <c r="A120" s="3"/>
      <c r="B120" s="3"/>
      <c r="C120" s="3"/>
      <c r="D120" s="3"/>
      <c r="E120" s="3">
        <v>5</v>
      </c>
      <c r="F120" s="4" t="str">
        <f>HYPERLINK("http://141.218.60.56/~jnz1568/getInfo.php?workbook=18_16.xlsx&amp;sheet=U0&amp;row=120&amp;col=6&amp;number=3.954&amp;sourceID=37","3.954")</f>
        <v>3.954</v>
      </c>
      <c r="G120" s="4" t="str">
        <f>HYPERLINK("http://141.218.60.56/~jnz1568/getInfo.php?workbook=18_16.xlsx&amp;sheet=U0&amp;row=120&amp;col=7&amp;number=0.2559&amp;sourceID=37","0.2559")</f>
        <v>0.2559</v>
      </c>
      <c r="H120" s="4" t="str">
        <f>HYPERLINK("http://141.218.60.56/~jnz1568/getInfo.php?workbook=18_16.xlsx&amp;sheet=U0&amp;row=120&amp;col=8&amp;number=4.653&amp;sourceID=61","4.653")</f>
        <v>4.653</v>
      </c>
      <c r="I120" s="4" t="str">
        <f>HYPERLINK("http://141.218.60.56/~jnz1568/getInfo.php?workbook=18_16.xlsx&amp;sheet=U0&amp;row=120&amp;col=9&amp;number=0.302&amp;sourceID=61","0.302")</f>
        <v>0.302</v>
      </c>
      <c r="J120" s="4" t="str">
        <f>HYPERLINK("http://141.218.60.56/~jnz1568/getInfo.php?workbook=18_16.xlsx&amp;sheet=U0&amp;row=120&amp;col=10&amp;number=3.8&amp;sourceID=51","3.8")</f>
        <v>3.8</v>
      </c>
      <c r="K120" s="4" t="str">
        <f>HYPERLINK("http://141.218.60.56/~jnz1568/getInfo.php?workbook=18_16.xlsx&amp;sheet=U0&amp;row=120&amp;col=11&amp;number=0.2826&amp;sourceID=51","0.2826")</f>
        <v>0.2826</v>
      </c>
    </row>
    <row r="121" spans="1:11">
      <c r="A121" s="3"/>
      <c r="B121" s="3"/>
      <c r="C121" s="3"/>
      <c r="D121" s="3"/>
      <c r="E121" s="3">
        <v>6</v>
      </c>
      <c r="F121" s="4" t="str">
        <f>HYPERLINK("http://141.218.60.56/~jnz1568/getInfo.php?workbook=18_16.xlsx&amp;sheet=U0&amp;row=121&amp;col=6&amp;number=4&amp;sourceID=37","4")</f>
        <v>4</v>
      </c>
      <c r="G121" s="4" t="str">
        <f>HYPERLINK("http://141.218.60.56/~jnz1568/getInfo.php?workbook=18_16.xlsx&amp;sheet=U0&amp;row=121&amp;col=7&amp;number=0.2534&amp;sourceID=37","0.2534")</f>
        <v>0.2534</v>
      </c>
      <c r="H121" s="4" t="str">
        <f>HYPERLINK("http://141.218.60.56/~jnz1568/getInfo.php?workbook=18_16.xlsx&amp;sheet=U0&amp;row=121&amp;col=8&amp;number=4.954&amp;sourceID=61","4.954")</f>
        <v>4.954</v>
      </c>
      <c r="I121" s="4" t="str">
        <f>HYPERLINK("http://141.218.60.56/~jnz1568/getInfo.php?workbook=18_16.xlsx&amp;sheet=U0&amp;row=121&amp;col=9&amp;number=0.301&amp;sourceID=61","0.301")</f>
        <v>0.301</v>
      </c>
      <c r="J121" s="4" t="str">
        <f>HYPERLINK("http://141.218.60.56/~jnz1568/getInfo.php?workbook=18_16.xlsx&amp;sheet=U0&amp;row=121&amp;col=10&amp;number=4&amp;sourceID=51","4")</f>
        <v>4</v>
      </c>
      <c r="K121" s="4" t="str">
        <f>HYPERLINK("http://141.218.60.56/~jnz1568/getInfo.php?workbook=18_16.xlsx&amp;sheet=U0&amp;row=121&amp;col=11&amp;number=0.2781&amp;sourceID=51","0.2781")</f>
        <v>0.2781</v>
      </c>
    </row>
    <row r="122" spans="1:11">
      <c r="A122" s="3"/>
      <c r="B122" s="3"/>
      <c r="C122" s="3"/>
      <c r="D122" s="3"/>
      <c r="E122" s="3">
        <v>7</v>
      </c>
      <c r="F122" s="4" t="str">
        <f>HYPERLINK("http://141.218.60.56/~jnz1568/getInfo.php?workbook=18_16.xlsx&amp;sheet=U0&amp;row=122&amp;col=6&amp;number=4.041&amp;sourceID=37","4.041")</f>
        <v>4.041</v>
      </c>
      <c r="G122" s="4" t="str">
        <f>HYPERLINK("http://141.218.60.56/~jnz1568/getInfo.php?workbook=18_16.xlsx&amp;sheet=U0&amp;row=122&amp;col=7&amp;number=0.251&amp;sourceID=37","0.251")</f>
        <v>0.251</v>
      </c>
      <c r="H122" s="4" t="str">
        <f>HYPERLINK("http://141.218.60.56/~jnz1568/getInfo.php?workbook=18_16.xlsx&amp;sheet=U0&amp;row=122&amp;col=8&amp;number=5.255&amp;sourceID=61","5.255")</f>
        <v>5.255</v>
      </c>
      <c r="I122" s="4" t="str">
        <f>HYPERLINK("http://141.218.60.56/~jnz1568/getInfo.php?workbook=18_16.xlsx&amp;sheet=U0&amp;row=122&amp;col=9&amp;number=0.245&amp;sourceID=61","0.245")</f>
        <v>0.245</v>
      </c>
      <c r="J122" s="4" t="str">
        <f>HYPERLINK("http://141.218.60.56/~jnz1568/getInfo.php?workbook=18_16.xlsx&amp;sheet=U0&amp;row=122&amp;col=10&amp;number=4.2&amp;sourceID=51","4.2")</f>
        <v>4.2</v>
      </c>
      <c r="K122" s="4" t="str">
        <f>HYPERLINK("http://141.218.60.56/~jnz1568/getInfo.php?workbook=18_16.xlsx&amp;sheet=U0&amp;row=122&amp;col=11&amp;number=0.2746&amp;sourceID=51","0.2746")</f>
        <v>0.2746</v>
      </c>
    </row>
    <row r="123" spans="1:11">
      <c r="A123" s="3"/>
      <c r="B123" s="3"/>
      <c r="C123" s="3"/>
      <c r="D123" s="3"/>
      <c r="E123" s="3">
        <v>8</v>
      </c>
      <c r="F123" s="4" t="str">
        <f>HYPERLINK("http://141.218.60.56/~jnz1568/getInfo.php?workbook=18_16.xlsx&amp;sheet=U0&amp;row=123&amp;col=6&amp;number=4.079&amp;sourceID=37","4.079")</f>
        <v>4.079</v>
      </c>
      <c r="G123" s="4" t="str">
        <f>HYPERLINK("http://141.218.60.56/~jnz1568/getInfo.php?workbook=18_16.xlsx&amp;sheet=U0&amp;row=123&amp;col=7&amp;number=0.2488&amp;sourceID=37","0.2488")</f>
        <v>0.2488</v>
      </c>
      <c r="H123" s="4" t="str">
        <f>HYPERLINK("http://141.218.60.56/~jnz1568/getInfo.php?workbook=18_16.xlsx&amp;sheet=U0&amp;row=123&amp;col=8&amp;number=5.653&amp;sourceID=61","5.653")</f>
        <v>5.653</v>
      </c>
      <c r="I123" s="4" t="str">
        <f>HYPERLINK("http://141.218.60.56/~jnz1568/getInfo.php?workbook=18_16.xlsx&amp;sheet=U0&amp;row=123&amp;col=9&amp;number=0.145&amp;sourceID=61","0.145")</f>
        <v>0.145</v>
      </c>
      <c r="J123" s="4" t="str">
        <f>HYPERLINK("http://141.218.60.56/~jnz1568/getInfo.php?workbook=18_16.xlsx&amp;sheet=U0&amp;row=123&amp;col=10&amp;number=4.4&amp;sourceID=51","4.4")</f>
        <v>4.4</v>
      </c>
      <c r="K123" s="4" t="str">
        <f>HYPERLINK("http://141.218.60.56/~jnz1568/getInfo.php?workbook=18_16.xlsx&amp;sheet=U0&amp;row=123&amp;col=11&amp;number=0.2705&amp;sourceID=51","0.2705")</f>
        <v>0.2705</v>
      </c>
    </row>
    <row r="124" spans="1:11">
      <c r="A124" s="3"/>
      <c r="B124" s="3"/>
      <c r="C124" s="3"/>
      <c r="D124" s="3"/>
      <c r="E124" s="3">
        <v>9</v>
      </c>
      <c r="F124" s="4" t="str">
        <f>HYPERLINK("http://141.218.60.56/~jnz1568/getInfo.php?workbook=18_16.xlsx&amp;sheet=U0&amp;row=124&amp;col=6&amp;number=4.114&amp;sourceID=37","4.114")</f>
        <v>4.114</v>
      </c>
      <c r="G124" s="4" t="str">
        <f>HYPERLINK("http://141.218.60.56/~jnz1568/getInfo.php?workbook=18_16.xlsx&amp;sheet=U0&amp;row=124&amp;col=7&amp;number=0.2468&amp;sourceID=37","0.2468")</f>
        <v>0.2468</v>
      </c>
      <c r="H124" s="4" t="str">
        <f>HYPERLINK("http://141.218.60.56/~jnz1568/getInfo.php?workbook=18_16.xlsx&amp;sheet=U0&amp;row=124&amp;col=8&amp;number=5.954&amp;sourceID=61","5.954")</f>
        <v>5.954</v>
      </c>
      <c r="I124" s="4" t="str">
        <f>HYPERLINK("http://141.218.60.56/~jnz1568/getInfo.php?workbook=18_16.xlsx&amp;sheet=U0&amp;row=124&amp;col=9&amp;number=0.086&amp;sourceID=61","0.086")</f>
        <v>0.086</v>
      </c>
      <c r="J124" s="4" t="str">
        <f>HYPERLINK("http://141.218.60.56/~jnz1568/getInfo.php?workbook=18_16.xlsx&amp;sheet=U0&amp;row=124&amp;col=10&amp;number=4.6&amp;sourceID=51","4.6")</f>
        <v>4.6</v>
      </c>
      <c r="K124" s="4" t="str">
        <f>HYPERLINK("http://141.218.60.56/~jnz1568/getInfo.php?workbook=18_16.xlsx&amp;sheet=U0&amp;row=124&amp;col=11&amp;number=0.264&amp;sourceID=51","0.264")</f>
        <v>0.264</v>
      </c>
    </row>
    <row r="125" spans="1:11">
      <c r="A125" s="3"/>
      <c r="B125" s="3"/>
      <c r="C125" s="3"/>
      <c r="D125" s="3"/>
      <c r="E125" s="3">
        <v>10</v>
      </c>
      <c r="F125" s="4" t="str">
        <f>HYPERLINK("http://141.218.60.56/~jnz1568/getInfo.php?workbook=18_16.xlsx&amp;sheet=U0&amp;row=125&amp;col=6&amp;number=4.146&amp;sourceID=37","4.146")</f>
        <v>4.146</v>
      </c>
      <c r="G125" s="4" t="str">
        <f>HYPERLINK("http://141.218.60.56/~jnz1568/getInfo.php?workbook=18_16.xlsx&amp;sheet=U0&amp;row=125&amp;col=7&amp;number=0.245&amp;sourceID=37","0.245")</f>
        <v>0.245</v>
      </c>
      <c r="H125" s="4" t="str">
        <f>HYPERLINK("http://141.218.60.56/~jnz1568/getInfo.php?workbook=18_16.xlsx&amp;sheet=U0&amp;row=125&amp;col=8&amp;number=6.255&amp;sourceID=61","6.255")</f>
        <v>6.255</v>
      </c>
      <c r="I125" s="4" t="str">
        <f>HYPERLINK("http://141.218.60.56/~jnz1568/getInfo.php?workbook=18_16.xlsx&amp;sheet=U0&amp;row=125&amp;col=9&amp;number=0.048&amp;sourceID=61","0.048")</f>
        <v>0.048</v>
      </c>
      <c r="J125" s="4" t="str">
        <f>HYPERLINK("http://141.218.60.56/~jnz1568/getInfo.php?workbook=18_16.xlsx&amp;sheet=U0&amp;row=125&amp;col=10&amp;number=4.8&amp;sourceID=51","4.8")</f>
        <v>4.8</v>
      </c>
      <c r="K125" s="4" t="str">
        <f>HYPERLINK("http://141.218.60.56/~jnz1568/getInfo.php?workbook=18_16.xlsx&amp;sheet=U0&amp;row=125&amp;col=11&amp;number=0.2491&amp;sourceID=51","0.2491")</f>
        <v>0.2491</v>
      </c>
    </row>
    <row r="126" spans="1:11">
      <c r="A126" s="3"/>
      <c r="B126" s="3"/>
      <c r="C126" s="3"/>
      <c r="D126" s="3"/>
      <c r="E126" s="3">
        <v>11</v>
      </c>
      <c r="F126" s="4" t="str">
        <f>HYPERLINK("http://141.218.60.56/~jnz1568/getInfo.php?workbook=18_16.xlsx&amp;sheet=U0&amp;row=126&amp;col=6&amp;number=4.176&amp;sourceID=37","4.176")</f>
        <v>4.176</v>
      </c>
      <c r="G126" s="4" t="str">
        <f>HYPERLINK("http://141.218.60.56/~jnz1568/getInfo.php?workbook=18_16.xlsx&amp;sheet=U0&amp;row=126&amp;col=7&amp;number=0.2434&amp;sourceID=37","0.2434")</f>
        <v>0.2434</v>
      </c>
      <c r="H126" s="4" t="str">
        <f>HYPERLINK("http://141.218.60.56/~jnz1568/getInfo.php?workbook=18_16.xlsx&amp;sheet=U0&amp;row=126&amp;col=8&amp;number=6.653&amp;sourceID=61","6.653")</f>
        <v>6.653</v>
      </c>
      <c r="I126" s="4" t="str">
        <f>HYPERLINK("http://141.218.60.56/~jnz1568/getInfo.php?workbook=18_16.xlsx&amp;sheet=U0&amp;row=126&amp;col=9&amp;number=0.021&amp;sourceID=61","0.021")</f>
        <v>0.021</v>
      </c>
      <c r="J126" s="4" t="str">
        <f>HYPERLINK("http://141.218.60.56/~jnz1568/getInfo.php?workbook=18_16.xlsx&amp;sheet=U0&amp;row=126&amp;col=10&amp;number=5&amp;sourceID=51","5")</f>
        <v>5</v>
      </c>
      <c r="K126" s="4" t="str">
        <f>HYPERLINK("http://141.218.60.56/~jnz1568/getInfo.php?workbook=18_16.xlsx&amp;sheet=U0&amp;row=126&amp;col=11&amp;number=0.2207&amp;sourceID=51","0.2207")</f>
        <v>0.2207</v>
      </c>
    </row>
    <row r="127" spans="1:11">
      <c r="A127" s="3"/>
      <c r="B127" s="3"/>
      <c r="C127" s="3"/>
      <c r="D127" s="3"/>
      <c r="E127" s="3">
        <v>12</v>
      </c>
      <c r="F127" s="4" t="str">
        <f>HYPERLINK("http://141.218.60.56/~jnz1568/getInfo.php?workbook=18_16.xlsx&amp;sheet=U0&amp;row=127&amp;col=6&amp;number=4.204&amp;sourceID=37","4.204")</f>
        <v>4.204</v>
      </c>
      <c r="G127" s="4" t="str">
        <f>HYPERLINK("http://141.218.60.56/~jnz1568/getInfo.php?workbook=18_16.xlsx&amp;sheet=U0&amp;row=127&amp;col=7&amp;number=0.242&amp;sourceID=37","0.242")</f>
        <v>0.242</v>
      </c>
      <c r="H127" s="4" t="str">
        <f>HYPERLINK("http://141.218.60.56/~jnz1568/getInfo.php?workbook=18_16.xlsx&amp;sheet=U0&amp;row=127&amp;col=8&amp;number=6.954&amp;sourceID=61","6.954")</f>
        <v>6.954</v>
      </c>
      <c r="I127" s="4" t="str">
        <f>HYPERLINK("http://141.218.60.56/~jnz1568/getInfo.php?workbook=18_16.xlsx&amp;sheet=U0&amp;row=127&amp;col=9&amp;number=0.011&amp;sourceID=61","0.011")</f>
        <v>0.011</v>
      </c>
      <c r="J127" s="4" t="str">
        <f>HYPERLINK("http://141.218.60.56/~jnz1568/getInfo.php?workbook=18_16.xlsx&amp;sheet=U0&amp;row=127&amp;col=10&amp;number=&amp;sourceID=51","")</f>
        <v/>
      </c>
      <c r="K127" s="4" t="str">
        <f>HYPERLINK("http://141.218.60.56/~jnz1568/getInfo.php?workbook=18_16.xlsx&amp;sheet=U0&amp;row=127&amp;col=11&amp;number=&amp;sourceID=51","")</f>
        <v/>
      </c>
    </row>
    <row r="128" spans="1:11">
      <c r="A128" s="3"/>
      <c r="B128" s="3"/>
      <c r="C128" s="3"/>
      <c r="D128" s="3"/>
      <c r="E128" s="3">
        <v>13</v>
      </c>
      <c r="F128" s="4" t="str">
        <f>HYPERLINK("http://141.218.60.56/~jnz1568/getInfo.php?workbook=18_16.xlsx&amp;sheet=U0&amp;row=128&amp;col=6&amp;number=4.23&amp;sourceID=37","4.23")</f>
        <v>4.23</v>
      </c>
      <c r="G128" s="4" t="str">
        <f>HYPERLINK("http://141.218.60.56/~jnz1568/getInfo.php?workbook=18_16.xlsx&amp;sheet=U0&amp;row=128&amp;col=7&amp;number=0.2408&amp;sourceID=37","0.2408")</f>
        <v>0.2408</v>
      </c>
      <c r="H128" s="4" t="str">
        <f>HYPERLINK("http://141.218.60.56/~jnz1568/getInfo.php?workbook=18_16.xlsx&amp;sheet=U0&amp;row=128&amp;col=8&amp;number=7.255&amp;sourceID=61","7.255")</f>
        <v>7.255</v>
      </c>
      <c r="I128" s="4" t="str">
        <f>HYPERLINK("http://141.218.60.56/~jnz1568/getInfo.php?workbook=18_16.xlsx&amp;sheet=U0&amp;row=128&amp;col=9&amp;number=0.005&amp;sourceID=61","0.005")</f>
        <v>0.005</v>
      </c>
      <c r="J128" s="4" t="str">
        <f>HYPERLINK("http://141.218.60.56/~jnz1568/getInfo.php?workbook=18_16.xlsx&amp;sheet=U0&amp;row=128&amp;col=10&amp;number=&amp;sourceID=51","")</f>
        <v/>
      </c>
      <c r="K128" s="4" t="str">
        <f>HYPERLINK("http://141.218.60.56/~jnz1568/getInfo.php?workbook=18_16.xlsx&amp;sheet=U0&amp;row=128&amp;col=11&amp;number=&amp;sourceID=51","")</f>
        <v/>
      </c>
    </row>
    <row r="129" spans="1:11">
      <c r="A129" s="3"/>
      <c r="B129" s="3"/>
      <c r="C129" s="3"/>
      <c r="D129" s="3"/>
      <c r="E129" s="3">
        <v>14</v>
      </c>
      <c r="F129" s="4" t="str">
        <f>HYPERLINK("http://141.218.60.56/~jnz1568/getInfo.php?workbook=18_16.xlsx&amp;sheet=U0&amp;row=129&amp;col=6&amp;number=4.255&amp;sourceID=37","4.255")</f>
        <v>4.255</v>
      </c>
      <c r="G129" s="4" t="str">
        <f>HYPERLINK("http://141.218.60.56/~jnz1568/getInfo.php?workbook=18_16.xlsx&amp;sheet=U0&amp;row=129&amp;col=7&amp;number=0.2397&amp;sourceID=37","0.2397")</f>
        <v>0.2397</v>
      </c>
      <c r="H129" s="4" t="str">
        <f>HYPERLINK("http://141.218.60.56/~jnz1568/getInfo.php?workbook=18_16.xlsx&amp;sheet=U0&amp;row=129&amp;col=8&amp;number=&amp;sourceID=61","")</f>
        <v/>
      </c>
      <c r="I129" s="4" t="str">
        <f>HYPERLINK("http://141.218.60.56/~jnz1568/getInfo.php?workbook=18_16.xlsx&amp;sheet=U0&amp;row=129&amp;col=9&amp;number=&amp;sourceID=61","")</f>
        <v/>
      </c>
      <c r="J129" s="4" t="str">
        <f>HYPERLINK("http://141.218.60.56/~jnz1568/getInfo.php?workbook=18_16.xlsx&amp;sheet=U0&amp;row=129&amp;col=10&amp;number=&amp;sourceID=51","")</f>
        <v/>
      </c>
      <c r="K129" s="4" t="str">
        <f>HYPERLINK("http://141.218.60.56/~jnz1568/getInfo.php?workbook=18_16.xlsx&amp;sheet=U0&amp;row=129&amp;col=11&amp;number=&amp;sourceID=51","")</f>
        <v/>
      </c>
    </row>
    <row r="130" spans="1:11">
      <c r="A130" s="3"/>
      <c r="B130" s="3"/>
      <c r="C130" s="3"/>
      <c r="D130" s="3"/>
      <c r="E130" s="3">
        <v>15</v>
      </c>
      <c r="F130" s="4" t="str">
        <f>HYPERLINK("http://141.218.60.56/~jnz1568/getInfo.php?workbook=18_16.xlsx&amp;sheet=U0&amp;row=130&amp;col=6&amp;number=4.279&amp;sourceID=37","4.279")</f>
        <v>4.279</v>
      </c>
      <c r="G130" s="4" t="str">
        <f>HYPERLINK("http://141.218.60.56/~jnz1568/getInfo.php?workbook=18_16.xlsx&amp;sheet=U0&amp;row=130&amp;col=7&amp;number=0.2387&amp;sourceID=37","0.2387")</f>
        <v>0.2387</v>
      </c>
      <c r="H130" s="4" t="str">
        <f>HYPERLINK("http://141.218.60.56/~jnz1568/getInfo.php?workbook=18_16.xlsx&amp;sheet=U0&amp;row=130&amp;col=8&amp;number=&amp;sourceID=61","")</f>
        <v/>
      </c>
      <c r="I130" s="4" t="str">
        <f>HYPERLINK("http://141.218.60.56/~jnz1568/getInfo.php?workbook=18_16.xlsx&amp;sheet=U0&amp;row=130&amp;col=9&amp;number=&amp;sourceID=61","")</f>
        <v/>
      </c>
      <c r="J130" s="4" t="str">
        <f>HYPERLINK("http://141.218.60.56/~jnz1568/getInfo.php?workbook=18_16.xlsx&amp;sheet=U0&amp;row=130&amp;col=10&amp;number=&amp;sourceID=51","")</f>
        <v/>
      </c>
      <c r="K130" s="4" t="str">
        <f>HYPERLINK("http://141.218.60.56/~jnz1568/getInfo.php?workbook=18_16.xlsx&amp;sheet=U0&amp;row=130&amp;col=11&amp;number=&amp;sourceID=51","")</f>
        <v/>
      </c>
    </row>
    <row r="131" spans="1:11">
      <c r="A131" s="3"/>
      <c r="B131" s="3"/>
      <c r="C131" s="3"/>
      <c r="D131" s="3"/>
      <c r="E131" s="3">
        <v>16</v>
      </c>
      <c r="F131" s="4" t="str">
        <f>HYPERLINK("http://141.218.60.56/~jnz1568/getInfo.php?workbook=18_16.xlsx&amp;sheet=U0&amp;row=131&amp;col=6&amp;number=4.301&amp;sourceID=37","4.301")</f>
        <v>4.301</v>
      </c>
      <c r="G131" s="4" t="str">
        <f>HYPERLINK("http://141.218.60.56/~jnz1568/getInfo.php?workbook=18_16.xlsx&amp;sheet=U0&amp;row=131&amp;col=7&amp;number=0.2379&amp;sourceID=37","0.2379")</f>
        <v>0.2379</v>
      </c>
      <c r="H131" s="4" t="str">
        <f>HYPERLINK("http://141.218.60.56/~jnz1568/getInfo.php?workbook=18_16.xlsx&amp;sheet=U0&amp;row=131&amp;col=8&amp;number=&amp;sourceID=61","")</f>
        <v/>
      </c>
      <c r="I131" s="4" t="str">
        <f>HYPERLINK("http://141.218.60.56/~jnz1568/getInfo.php?workbook=18_16.xlsx&amp;sheet=U0&amp;row=131&amp;col=9&amp;number=&amp;sourceID=61","")</f>
        <v/>
      </c>
      <c r="J131" s="4" t="str">
        <f>HYPERLINK("http://141.218.60.56/~jnz1568/getInfo.php?workbook=18_16.xlsx&amp;sheet=U0&amp;row=131&amp;col=10&amp;number=&amp;sourceID=51","")</f>
        <v/>
      </c>
      <c r="K131" s="4" t="str">
        <f>HYPERLINK("http://141.218.60.56/~jnz1568/getInfo.php?workbook=18_16.xlsx&amp;sheet=U0&amp;row=131&amp;col=11&amp;number=&amp;sourceID=51","")</f>
        <v/>
      </c>
    </row>
    <row r="132" spans="1:11">
      <c r="A132" s="3">
        <v>18</v>
      </c>
      <c r="B132" s="3">
        <v>16</v>
      </c>
      <c r="C132" s="3">
        <v>5</v>
      </c>
      <c r="D132" s="3">
        <v>3</v>
      </c>
      <c r="E132" s="3">
        <v>1</v>
      </c>
      <c r="F132" s="4" t="str">
        <f>HYPERLINK("http://141.218.60.56/~jnz1568/getInfo.php?workbook=18_16.xlsx&amp;sheet=U0&amp;row=132&amp;col=6&amp;number=3.699&amp;sourceID=37","3.699")</f>
        <v>3.699</v>
      </c>
      <c r="G132" s="4" t="str">
        <f>HYPERLINK("http://141.218.60.56/~jnz1568/getInfo.php?workbook=18_16.xlsx&amp;sheet=U0&amp;row=132&amp;col=7&amp;number=0.08869&amp;sourceID=37","0.08869")</f>
        <v>0.08869</v>
      </c>
      <c r="H132" s="4" t="str">
        <f>HYPERLINK("http://141.218.60.56/~jnz1568/getInfo.php?workbook=18_16.xlsx&amp;sheet=U0&amp;row=132&amp;col=8&amp;number=3.255&amp;sourceID=61","3.255")</f>
        <v>3.255</v>
      </c>
      <c r="I132" s="4" t="str">
        <f>HYPERLINK("http://141.218.60.56/~jnz1568/getInfo.php?workbook=18_16.xlsx&amp;sheet=U0&amp;row=132&amp;col=9&amp;number=0.069&amp;sourceID=61","0.069")</f>
        <v>0.069</v>
      </c>
      <c r="J132" s="4" t="str">
        <f>HYPERLINK("http://141.218.60.56/~jnz1568/getInfo.php?workbook=18_16.xlsx&amp;sheet=U0&amp;row=132&amp;col=10&amp;number=3&amp;sourceID=51","3")</f>
        <v>3</v>
      </c>
      <c r="K132" s="4" t="str">
        <f>HYPERLINK("http://141.218.60.56/~jnz1568/getInfo.php?workbook=18_16.xlsx&amp;sheet=U0&amp;row=132&amp;col=11&amp;number=0.09461&amp;sourceID=51","0.09461")</f>
        <v>0.09461</v>
      </c>
    </row>
    <row r="133" spans="1:11">
      <c r="A133" s="3"/>
      <c r="B133" s="3"/>
      <c r="C133" s="3"/>
      <c r="D133" s="3"/>
      <c r="E133" s="3">
        <v>2</v>
      </c>
      <c r="F133" s="4" t="str">
        <f>HYPERLINK("http://141.218.60.56/~jnz1568/getInfo.php?workbook=18_16.xlsx&amp;sheet=U0&amp;row=133&amp;col=6&amp;number=3.778&amp;sourceID=37","3.778")</f>
        <v>3.778</v>
      </c>
      <c r="G133" s="4" t="str">
        <f>HYPERLINK("http://141.218.60.56/~jnz1568/getInfo.php?workbook=18_16.xlsx&amp;sheet=U0&amp;row=133&amp;col=7&amp;number=0.0879&amp;sourceID=37","0.0879")</f>
        <v>0.0879</v>
      </c>
      <c r="H133" s="4" t="str">
        <f>HYPERLINK("http://141.218.60.56/~jnz1568/getInfo.php?workbook=18_16.xlsx&amp;sheet=U0&amp;row=133&amp;col=8&amp;number=3.653&amp;sourceID=61","3.653")</f>
        <v>3.653</v>
      </c>
      <c r="I133" s="4" t="str">
        <f>HYPERLINK("http://141.218.60.56/~jnz1568/getInfo.php?workbook=18_16.xlsx&amp;sheet=U0&amp;row=133&amp;col=9&amp;number=0.065&amp;sourceID=61","0.065")</f>
        <v>0.065</v>
      </c>
      <c r="J133" s="4" t="str">
        <f>HYPERLINK("http://141.218.60.56/~jnz1568/getInfo.php?workbook=18_16.xlsx&amp;sheet=U0&amp;row=133&amp;col=10&amp;number=3.2&amp;sourceID=51","3.2")</f>
        <v>3.2</v>
      </c>
      <c r="K133" s="4" t="str">
        <f>HYPERLINK("http://141.218.60.56/~jnz1568/getInfo.php?workbook=18_16.xlsx&amp;sheet=U0&amp;row=133&amp;col=11&amp;number=0.09865&amp;sourceID=51","0.09865")</f>
        <v>0.09865</v>
      </c>
    </row>
    <row r="134" spans="1:11">
      <c r="A134" s="3"/>
      <c r="B134" s="3"/>
      <c r="C134" s="3"/>
      <c r="D134" s="3"/>
      <c r="E134" s="3">
        <v>3</v>
      </c>
      <c r="F134" s="4" t="str">
        <f>HYPERLINK("http://141.218.60.56/~jnz1568/getInfo.php?workbook=18_16.xlsx&amp;sheet=U0&amp;row=134&amp;col=6&amp;number=3.845&amp;sourceID=37","3.845")</f>
        <v>3.845</v>
      </c>
      <c r="G134" s="4" t="str">
        <f>HYPERLINK("http://141.218.60.56/~jnz1568/getInfo.php?workbook=18_16.xlsx&amp;sheet=U0&amp;row=134&amp;col=7&amp;number=0.08705&amp;sourceID=37","0.08705")</f>
        <v>0.08705</v>
      </c>
      <c r="H134" s="4" t="str">
        <f>HYPERLINK("http://141.218.60.56/~jnz1568/getInfo.php?workbook=18_16.xlsx&amp;sheet=U0&amp;row=134&amp;col=8&amp;number=3.954&amp;sourceID=61","3.954")</f>
        <v>3.954</v>
      </c>
      <c r="I134" s="4" t="str">
        <f>HYPERLINK("http://141.218.60.56/~jnz1568/getInfo.php?workbook=18_16.xlsx&amp;sheet=U0&amp;row=134&amp;col=9&amp;number=0.072&amp;sourceID=61","0.072")</f>
        <v>0.072</v>
      </c>
      <c r="J134" s="4" t="str">
        <f>HYPERLINK("http://141.218.60.56/~jnz1568/getInfo.php?workbook=18_16.xlsx&amp;sheet=U0&amp;row=134&amp;col=10&amp;number=3.4&amp;sourceID=51","3.4")</f>
        <v>3.4</v>
      </c>
      <c r="K134" s="4" t="str">
        <f>HYPERLINK("http://141.218.60.56/~jnz1568/getInfo.php?workbook=18_16.xlsx&amp;sheet=U0&amp;row=134&amp;col=11&amp;number=0.09859&amp;sourceID=51","0.09859")</f>
        <v>0.09859</v>
      </c>
    </row>
    <row r="135" spans="1:11">
      <c r="A135" s="3"/>
      <c r="B135" s="3"/>
      <c r="C135" s="3"/>
      <c r="D135" s="3"/>
      <c r="E135" s="3">
        <v>4</v>
      </c>
      <c r="F135" s="4" t="str">
        <f>HYPERLINK("http://141.218.60.56/~jnz1568/getInfo.php?workbook=18_16.xlsx&amp;sheet=U0&amp;row=135&amp;col=6&amp;number=3.903&amp;sourceID=37","3.903")</f>
        <v>3.903</v>
      </c>
      <c r="G135" s="4" t="str">
        <f>HYPERLINK("http://141.218.60.56/~jnz1568/getInfo.php?workbook=18_16.xlsx&amp;sheet=U0&amp;row=135&amp;col=7&amp;number=0.08618&amp;sourceID=37","0.08618")</f>
        <v>0.08618</v>
      </c>
      <c r="H135" s="4" t="str">
        <f>HYPERLINK("http://141.218.60.56/~jnz1568/getInfo.php?workbook=18_16.xlsx&amp;sheet=U0&amp;row=135&amp;col=8&amp;number=4.255&amp;sourceID=61","4.255")</f>
        <v>4.255</v>
      </c>
      <c r="I135" s="4" t="str">
        <f>HYPERLINK("http://141.218.60.56/~jnz1568/getInfo.php?workbook=18_16.xlsx&amp;sheet=U0&amp;row=135&amp;col=9&amp;number=0.085&amp;sourceID=61","0.085")</f>
        <v>0.085</v>
      </c>
      <c r="J135" s="4" t="str">
        <f>HYPERLINK("http://141.218.60.56/~jnz1568/getInfo.php?workbook=18_16.xlsx&amp;sheet=U0&amp;row=135&amp;col=10&amp;number=3.6&amp;sourceID=51","3.6")</f>
        <v>3.6</v>
      </c>
      <c r="K135" s="4" t="str">
        <f>HYPERLINK("http://141.218.60.56/~jnz1568/getInfo.php?workbook=18_16.xlsx&amp;sheet=U0&amp;row=135&amp;col=11&amp;number=0.09645&amp;sourceID=51","0.09645")</f>
        <v>0.09645</v>
      </c>
    </row>
    <row r="136" spans="1:11">
      <c r="A136" s="3"/>
      <c r="B136" s="3"/>
      <c r="C136" s="3"/>
      <c r="D136" s="3"/>
      <c r="E136" s="3">
        <v>5</v>
      </c>
      <c r="F136" s="4" t="str">
        <f>HYPERLINK("http://141.218.60.56/~jnz1568/getInfo.php?workbook=18_16.xlsx&amp;sheet=U0&amp;row=136&amp;col=6&amp;number=3.954&amp;sourceID=37","3.954")</f>
        <v>3.954</v>
      </c>
      <c r="G136" s="4" t="str">
        <f>HYPERLINK("http://141.218.60.56/~jnz1568/getInfo.php?workbook=18_16.xlsx&amp;sheet=U0&amp;row=136&amp;col=7&amp;number=0.08531&amp;sourceID=37","0.08531")</f>
        <v>0.08531</v>
      </c>
      <c r="H136" s="4" t="str">
        <f>HYPERLINK("http://141.218.60.56/~jnz1568/getInfo.php?workbook=18_16.xlsx&amp;sheet=U0&amp;row=136&amp;col=8&amp;number=4.653&amp;sourceID=61","4.653")</f>
        <v>4.653</v>
      </c>
      <c r="I136" s="4" t="str">
        <f>HYPERLINK("http://141.218.60.56/~jnz1568/getInfo.php?workbook=18_16.xlsx&amp;sheet=U0&amp;row=136&amp;col=9&amp;number=0.105&amp;sourceID=61","0.105")</f>
        <v>0.105</v>
      </c>
      <c r="J136" s="4" t="str">
        <f>HYPERLINK("http://141.218.60.56/~jnz1568/getInfo.php?workbook=18_16.xlsx&amp;sheet=U0&amp;row=136&amp;col=10&amp;number=3.8&amp;sourceID=51","3.8")</f>
        <v>3.8</v>
      </c>
      <c r="K136" s="4" t="str">
        <f>HYPERLINK("http://141.218.60.56/~jnz1568/getInfo.php?workbook=18_16.xlsx&amp;sheet=U0&amp;row=136&amp;col=11&amp;number=0.09422&amp;sourceID=51","0.09422")</f>
        <v>0.09422</v>
      </c>
    </row>
    <row r="137" spans="1:11">
      <c r="A137" s="3"/>
      <c r="B137" s="3"/>
      <c r="C137" s="3"/>
      <c r="D137" s="3"/>
      <c r="E137" s="3">
        <v>6</v>
      </c>
      <c r="F137" s="4" t="str">
        <f>HYPERLINK("http://141.218.60.56/~jnz1568/getInfo.php?workbook=18_16.xlsx&amp;sheet=U0&amp;row=137&amp;col=6&amp;number=4&amp;sourceID=37","4")</f>
        <v>4</v>
      </c>
      <c r="G137" s="4" t="str">
        <f>HYPERLINK("http://141.218.60.56/~jnz1568/getInfo.php?workbook=18_16.xlsx&amp;sheet=U0&amp;row=137&amp;col=7&amp;number=0.08447&amp;sourceID=37","0.08447")</f>
        <v>0.08447</v>
      </c>
      <c r="H137" s="4" t="str">
        <f>HYPERLINK("http://141.218.60.56/~jnz1568/getInfo.php?workbook=18_16.xlsx&amp;sheet=U0&amp;row=137&amp;col=8&amp;number=4.954&amp;sourceID=61","4.954")</f>
        <v>4.954</v>
      </c>
      <c r="I137" s="4" t="str">
        <f>HYPERLINK("http://141.218.60.56/~jnz1568/getInfo.php?workbook=18_16.xlsx&amp;sheet=U0&amp;row=137&amp;col=9&amp;number=0.108&amp;sourceID=61","0.108")</f>
        <v>0.108</v>
      </c>
      <c r="J137" s="4" t="str">
        <f>HYPERLINK("http://141.218.60.56/~jnz1568/getInfo.php?workbook=18_16.xlsx&amp;sheet=U0&amp;row=137&amp;col=10&amp;number=4&amp;sourceID=51","4")</f>
        <v>4</v>
      </c>
      <c r="K137" s="4" t="str">
        <f>HYPERLINK("http://141.218.60.56/~jnz1568/getInfo.php?workbook=18_16.xlsx&amp;sheet=U0&amp;row=137&amp;col=11&amp;number=0.09269&amp;sourceID=51","0.09269")</f>
        <v>0.09269</v>
      </c>
    </row>
    <row r="138" spans="1:11">
      <c r="A138" s="3"/>
      <c r="B138" s="3"/>
      <c r="C138" s="3"/>
      <c r="D138" s="3"/>
      <c r="E138" s="3">
        <v>7</v>
      </c>
      <c r="F138" s="4" t="str">
        <f>HYPERLINK("http://141.218.60.56/~jnz1568/getInfo.php?workbook=18_16.xlsx&amp;sheet=U0&amp;row=138&amp;col=6&amp;number=4.041&amp;sourceID=37","4.041")</f>
        <v>4.041</v>
      </c>
      <c r="G138" s="4" t="str">
        <f>HYPERLINK("http://141.218.60.56/~jnz1568/getInfo.php?workbook=18_16.xlsx&amp;sheet=U0&amp;row=138&amp;col=7&amp;number=0.08367&amp;sourceID=37","0.08367")</f>
        <v>0.08367</v>
      </c>
      <c r="H138" s="4" t="str">
        <f>HYPERLINK("http://141.218.60.56/~jnz1568/getInfo.php?workbook=18_16.xlsx&amp;sheet=U0&amp;row=138&amp;col=8&amp;number=5.255&amp;sourceID=61","5.255")</f>
        <v>5.255</v>
      </c>
      <c r="I138" s="4" t="str">
        <f>HYPERLINK("http://141.218.60.56/~jnz1568/getInfo.php?workbook=18_16.xlsx&amp;sheet=U0&amp;row=138&amp;col=9&amp;number=0.089&amp;sourceID=61","0.089")</f>
        <v>0.089</v>
      </c>
      <c r="J138" s="4" t="str">
        <f>HYPERLINK("http://141.218.60.56/~jnz1568/getInfo.php?workbook=18_16.xlsx&amp;sheet=U0&amp;row=138&amp;col=10&amp;number=4.2&amp;sourceID=51","4.2")</f>
        <v>4.2</v>
      </c>
      <c r="K138" s="4" t="str">
        <f>HYPERLINK("http://141.218.60.56/~jnz1568/getInfo.php?workbook=18_16.xlsx&amp;sheet=U0&amp;row=138&amp;col=11&amp;number=0.09154&amp;sourceID=51","0.09154")</f>
        <v>0.09154</v>
      </c>
    </row>
    <row r="139" spans="1:11">
      <c r="A139" s="3"/>
      <c r="B139" s="3"/>
      <c r="C139" s="3"/>
      <c r="D139" s="3"/>
      <c r="E139" s="3">
        <v>8</v>
      </c>
      <c r="F139" s="4" t="str">
        <f>HYPERLINK("http://141.218.60.56/~jnz1568/getInfo.php?workbook=18_16.xlsx&amp;sheet=U0&amp;row=139&amp;col=6&amp;number=4.079&amp;sourceID=37","4.079")</f>
        <v>4.079</v>
      </c>
      <c r="G139" s="4" t="str">
        <f>HYPERLINK("http://141.218.60.56/~jnz1568/getInfo.php?workbook=18_16.xlsx&amp;sheet=U0&amp;row=139&amp;col=7&amp;number=0.08293&amp;sourceID=37","0.08293")</f>
        <v>0.08293</v>
      </c>
      <c r="H139" s="4" t="str">
        <f>HYPERLINK("http://141.218.60.56/~jnz1568/getInfo.php?workbook=18_16.xlsx&amp;sheet=U0&amp;row=139&amp;col=8&amp;number=5.653&amp;sourceID=61","5.653")</f>
        <v>5.653</v>
      </c>
      <c r="I139" s="4" t="str">
        <f>HYPERLINK("http://141.218.60.56/~jnz1568/getInfo.php?workbook=18_16.xlsx&amp;sheet=U0&amp;row=139&amp;col=9&amp;number=0.053&amp;sourceID=61","0.053")</f>
        <v>0.053</v>
      </c>
      <c r="J139" s="4" t="str">
        <f>HYPERLINK("http://141.218.60.56/~jnz1568/getInfo.php?workbook=18_16.xlsx&amp;sheet=U0&amp;row=139&amp;col=10&amp;number=4.4&amp;sourceID=51","4.4")</f>
        <v>4.4</v>
      </c>
      <c r="K139" s="4" t="str">
        <f>HYPERLINK("http://141.218.60.56/~jnz1568/getInfo.php?workbook=18_16.xlsx&amp;sheet=U0&amp;row=139&amp;col=11&amp;number=0.0901&amp;sourceID=51","0.0901")</f>
        <v>0.0901</v>
      </c>
    </row>
    <row r="140" spans="1:11">
      <c r="A140" s="3"/>
      <c r="B140" s="3"/>
      <c r="C140" s="3"/>
      <c r="D140" s="3"/>
      <c r="E140" s="3">
        <v>9</v>
      </c>
      <c r="F140" s="4" t="str">
        <f>HYPERLINK("http://141.218.60.56/~jnz1568/getInfo.php?workbook=18_16.xlsx&amp;sheet=U0&amp;row=140&amp;col=6&amp;number=4.114&amp;sourceID=37","4.114")</f>
        <v>4.114</v>
      </c>
      <c r="G140" s="4" t="str">
        <f>HYPERLINK("http://141.218.60.56/~jnz1568/getInfo.php?workbook=18_16.xlsx&amp;sheet=U0&amp;row=140&amp;col=7&amp;number=0.08226&amp;sourceID=37","0.08226")</f>
        <v>0.08226</v>
      </c>
      <c r="H140" s="4" t="str">
        <f>HYPERLINK("http://141.218.60.56/~jnz1568/getInfo.php?workbook=18_16.xlsx&amp;sheet=U0&amp;row=140&amp;col=8&amp;number=5.954&amp;sourceID=61","5.954")</f>
        <v>5.954</v>
      </c>
      <c r="I140" s="4" t="str">
        <f>HYPERLINK("http://141.218.60.56/~jnz1568/getInfo.php?workbook=18_16.xlsx&amp;sheet=U0&amp;row=140&amp;col=9&amp;number=0.031&amp;sourceID=61","0.031")</f>
        <v>0.031</v>
      </c>
      <c r="J140" s="4" t="str">
        <f>HYPERLINK("http://141.218.60.56/~jnz1568/getInfo.php?workbook=18_16.xlsx&amp;sheet=U0&amp;row=140&amp;col=10&amp;number=4.6&amp;sourceID=51","4.6")</f>
        <v>4.6</v>
      </c>
      <c r="K140" s="4" t="str">
        <f>HYPERLINK("http://141.218.60.56/~jnz1568/getInfo.php?workbook=18_16.xlsx&amp;sheet=U0&amp;row=140&amp;col=11&amp;number=0.08764&amp;sourceID=51","0.08764")</f>
        <v>0.08764</v>
      </c>
    </row>
    <row r="141" spans="1:11">
      <c r="A141" s="3"/>
      <c r="B141" s="3"/>
      <c r="C141" s="3"/>
      <c r="D141" s="3"/>
      <c r="E141" s="3">
        <v>10</v>
      </c>
      <c r="F141" s="4" t="str">
        <f>HYPERLINK("http://141.218.60.56/~jnz1568/getInfo.php?workbook=18_16.xlsx&amp;sheet=U0&amp;row=141&amp;col=6&amp;number=4.146&amp;sourceID=37","4.146")</f>
        <v>4.146</v>
      </c>
      <c r="G141" s="4" t="str">
        <f>HYPERLINK("http://141.218.60.56/~jnz1568/getInfo.php?workbook=18_16.xlsx&amp;sheet=U0&amp;row=141&amp;col=7&amp;number=0.08166&amp;sourceID=37","0.08166")</f>
        <v>0.08166</v>
      </c>
      <c r="H141" s="4" t="str">
        <f>HYPERLINK("http://141.218.60.56/~jnz1568/getInfo.php?workbook=18_16.xlsx&amp;sheet=U0&amp;row=141&amp;col=8&amp;number=6.255&amp;sourceID=61","6.255")</f>
        <v>6.255</v>
      </c>
      <c r="I141" s="4" t="str">
        <f>HYPERLINK("http://141.218.60.56/~jnz1568/getInfo.php?workbook=18_16.xlsx&amp;sheet=U0&amp;row=141&amp;col=9&amp;number=0.017&amp;sourceID=61","0.017")</f>
        <v>0.017</v>
      </c>
      <c r="J141" s="4" t="str">
        <f>HYPERLINK("http://141.218.60.56/~jnz1568/getInfo.php?workbook=18_16.xlsx&amp;sheet=U0&amp;row=141&amp;col=10&amp;number=4.8&amp;sourceID=51","4.8")</f>
        <v>4.8</v>
      </c>
      <c r="K141" s="4" t="str">
        <f>HYPERLINK("http://141.218.60.56/~jnz1568/getInfo.php?workbook=18_16.xlsx&amp;sheet=U0&amp;row=141&amp;col=11&amp;number=0.08206&amp;sourceID=51","0.08206")</f>
        <v>0.08206</v>
      </c>
    </row>
    <row r="142" spans="1:11">
      <c r="A142" s="3"/>
      <c r="B142" s="3"/>
      <c r="C142" s="3"/>
      <c r="D142" s="3"/>
      <c r="E142" s="3">
        <v>11</v>
      </c>
      <c r="F142" s="4" t="str">
        <f>HYPERLINK("http://141.218.60.56/~jnz1568/getInfo.php?workbook=18_16.xlsx&amp;sheet=U0&amp;row=142&amp;col=6&amp;number=4.176&amp;sourceID=37","4.176")</f>
        <v>4.176</v>
      </c>
      <c r="G142" s="4" t="str">
        <f>HYPERLINK("http://141.218.60.56/~jnz1568/getInfo.php?workbook=18_16.xlsx&amp;sheet=U0&amp;row=142&amp;col=7&amp;number=0.08112&amp;sourceID=37","0.08112")</f>
        <v>0.08112</v>
      </c>
      <c r="H142" s="4" t="str">
        <f>HYPERLINK("http://141.218.60.56/~jnz1568/getInfo.php?workbook=18_16.xlsx&amp;sheet=U0&amp;row=142&amp;col=8&amp;number=6.653&amp;sourceID=61","6.653")</f>
        <v>6.653</v>
      </c>
      <c r="I142" s="4" t="str">
        <f>HYPERLINK("http://141.218.60.56/~jnz1568/getInfo.php?workbook=18_16.xlsx&amp;sheet=U0&amp;row=142&amp;col=9&amp;number=0.008&amp;sourceID=61","0.008")</f>
        <v>0.008</v>
      </c>
      <c r="J142" s="4" t="str">
        <f>HYPERLINK("http://141.218.60.56/~jnz1568/getInfo.php?workbook=18_16.xlsx&amp;sheet=U0&amp;row=142&amp;col=10&amp;number=5&amp;sourceID=51","5")</f>
        <v>5</v>
      </c>
      <c r="K142" s="4" t="str">
        <f>HYPERLINK("http://141.218.60.56/~jnz1568/getInfo.php?workbook=18_16.xlsx&amp;sheet=U0&amp;row=142&amp;col=11&amp;number=0.07197&amp;sourceID=51","0.07197")</f>
        <v>0.07197</v>
      </c>
    </row>
    <row r="143" spans="1:11">
      <c r="A143" s="3"/>
      <c r="B143" s="3"/>
      <c r="C143" s="3"/>
      <c r="D143" s="3"/>
      <c r="E143" s="3">
        <v>12</v>
      </c>
      <c r="F143" s="4" t="str">
        <f>HYPERLINK("http://141.218.60.56/~jnz1568/getInfo.php?workbook=18_16.xlsx&amp;sheet=U0&amp;row=143&amp;col=6&amp;number=4.204&amp;sourceID=37","4.204")</f>
        <v>4.204</v>
      </c>
      <c r="G143" s="4" t="str">
        <f>HYPERLINK("http://141.218.60.56/~jnz1568/getInfo.php?workbook=18_16.xlsx&amp;sheet=U0&amp;row=143&amp;col=7&amp;number=0.08066&amp;sourceID=37","0.08066")</f>
        <v>0.08066</v>
      </c>
      <c r="H143" s="4" t="str">
        <f>HYPERLINK("http://141.218.60.56/~jnz1568/getInfo.php?workbook=18_16.xlsx&amp;sheet=U0&amp;row=143&amp;col=8&amp;number=6.954&amp;sourceID=61","6.954")</f>
        <v>6.954</v>
      </c>
      <c r="I143" s="4" t="str">
        <f>HYPERLINK("http://141.218.60.56/~jnz1568/getInfo.php?workbook=18_16.xlsx&amp;sheet=U0&amp;row=143&amp;col=9&amp;number=0.004&amp;sourceID=61","0.004")</f>
        <v>0.004</v>
      </c>
      <c r="J143" s="4" t="str">
        <f>HYPERLINK("http://141.218.60.56/~jnz1568/getInfo.php?workbook=18_16.xlsx&amp;sheet=U0&amp;row=143&amp;col=10&amp;number=&amp;sourceID=51","")</f>
        <v/>
      </c>
      <c r="K143" s="4" t="str">
        <f>HYPERLINK("http://141.218.60.56/~jnz1568/getInfo.php?workbook=18_16.xlsx&amp;sheet=U0&amp;row=143&amp;col=11&amp;number=&amp;sourceID=51","")</f>
        <v/>
      </c>
    </row>
    <row r="144" spans="1:11">
      <c r="A144" s="3"/>
      <c r="B144" s="3"/>
      <c r="C144" s="3"/>
      <c r="D144" s="3"/>
      <c r="E144" s="3">
        <v>13</v>
      </c>
      <c r="F144" s="4" t="str">
        <f>HYPERLINK("http://141.218.60.56/~jnz1568/getInfo.php?workbook=18_16.xlsx&amp;sheet=U0&amp;row=144&amp;col=6&amp;number=4.23&amp;sourceID=37","4.23")</f>
        <v>4.23</v>
      </c>
      <c r="G144" s="4" t="str">
        <f>HYPERLINK("http://141.218.60.56/~jnz1568/getInfo.php?workbook=18_16.xlsx&amp;sheet=U0&amp;row=144&amp;col=7&amp;number=0.08025&amp;sourceID=37","0.08025")</f>
        <v>0.08025</v>
      </c>
      <c r="H144" s="4" t="str">
        <f>HYPERLINK("http://141.218.60.56/~jnz1568/getInfo.php?workbook=18_16.xlsx&amp;sheet=U0&amp;row=144&amp;col=8&amp;number=7.255&amp;sourceID=61","7.255")</f>
        <v>7.255</v>
      </c>
      <c r="I144" s="4" t="str">
        <f>HYPERLINK("http://141.218.60.56/~jnz1568/getInfo.php?workbook=18_16.xlsx&amp;sheet=U0&amp;row=144&amp;col=9&amp;number=0.002&amp;sourceID=61","0.002")</f>
        <v>0.002</v>
      </c>
      <c r="J144" s="4" t="str">
        <f>HYPERLINK("http://141.218.60.56/~jnz1568/getInfo.php?workbook=18_16.xlsx&amp;sheet=U0&amp;row=144&amp;col=10&amp;number=&amp;sourceID=51","")</f>
        <v/>
      </c>
      <c r="K144" s="4" t="str">
        <f>HYPERLINK("http://141.218.60.56/~jnz1568/getInfo.php?workbook=18_16.xlsx&amp;sheet=U0&amp;row=144&amp;col=11&amp;number=&amp;sourceID=51","")</f>
        <v/>
      </c>
    </row>
    <row r="145" spans="1:11">
      <c r="A145" s="3"/>
      <c r="B145" s="3"/>
      <c r="C145" s="3"/>
      <c r="D145" s="3"/>
      <c r="E145" s="3">
        <v>14</v>
      </c>
      <c r="F145" s="4" t="str">
        <f>HYPERLINK("http://141.218.60.56/~jnz1568/getInfo.php?workbook=18_16.xlsx&amp;sheet=U0&amp;row=145&amp;col=6&amp;number=4.255&amp;sourceID=37","4.255")</f>
        <v>4.255</v>
      </c>
      <c r="G145" s="4" t="str">
        <f>HYPERLINK("http://141.218.60.56/~jnz1568/getInfo.php?workbook=18_16.xlsx&amp;sheet=U0&amp;row=145&amp;col=7&amp;number=0.07989&amp;sourceID=37","0.07989")</f>
        <v>0.07989</v>
      </c>
      <c r="H145" s="4" t="str">
        <f>HYPERLINK("http://141.218.60.56/~jnz1568/getInfo.php?workbook=18_16.xlsx&amp;sheet=U0&amp;row=145&amp;col=8&amp;number=&amp;sourceID=61","")</f>
        <v/>
      </c>
      <c r="I145" s="4" t="str">
        <f>HYPERLINK("http://141.218.60.56/~jnz1568/getInfo.php?workbook=18_16.xlsx&amp;sheet=U0&amp;row=145&amp;col=9&amp;number=&amp;sourceID=61","")</f>
        <v/>
      </c>
      <c r="J145" s="4" t="str">
        <f>HYPERLINK("http://141.218.60.56/~jnz1568/getInfo.php?workbook=18_16.xlsx&amp;sheet=U0&amp;row=145&amp;col=10&amp;number=&amp;sourceID=51","")</f>
        <v/>
      </c>
      <c r="K145" s="4" t="str">
        <f>HYPERLINK("http://141.218.60.56/~jnz1568/getInfo.php?workbook=18_16.xlsx&amp;sheet=U0&amp;row=145&amp;col=11&amp;number=&amp;sourceID=51","")</f>
        <v/>
      </c>
    </row>
    <row r="146" spans="1:11">
      <c r="A146" s="3"/>
      <c r="B146" s="3"/>
      <c r="C146" s="3"/>
      <c r="D146" s="3"/>
      <c r="E146" s="3">
        <v>15</v>
      </c>
      <c r="F146" s="4" t="str">
        <f>HYPERLINK("http://141.218.60.56/~jnz1568/getInfo.php?workbook=18_16.xlsx&amp;sheet=U0&amp;row=146&amp;col=6&amp;number=4.279&amp;sourceID=37","4.279")</f>
        <v>4.279</v>
      </c>
      <c r="G146" s="4" t="str">
        <f>HYPERLINK("http://141.218.60.56/~jnz1568/getInfo.php?workbook=18_16.xlsx&amp;sheet=U0&amp;row=146&amp;col=7&amp;number=0.07958&amp;sourceID=37","0.07958")</f>
        <v>0.07958</v>
      </c>
      <c r="H146" s="4" t="str">
        <f>HYPERLINK("http://141.218.60.56/~jnz1568/getInfo.php?workbook=18_16.xlsx&amp;sheet=U0&amp;row=146&amp;col=8&amp;number=&amp;sourceID=61","")</f>
        <v/>
      </c>
      <c r="I146" s="4" t="str">
        <f>HYPERLINK("http://141.218.60.56/~jnz1568/getInfo.php?workbook=18_16.xlsx&amp;sheet=U0&amp;row=146&amp;col=9&amp;number=&amp;sourceID=61","")</f>
        <v/>
      </c>
      <c r="J146" s="4" t="str">
        <f>HYPERLINK("http://141.218.60.56/~jnz1568/getInfo.php?workbook=18_16.xlsx&amp;sheet=U0&amp;row=146&amp;col=10&amp;number=&amp;sourceID=51","")</f>
        <v/>
      </c>
      <c r="K146" s="4" t="str">
        <f>HYPERLINK("http://141.218.60.56/~jnz1568/getInfo.php?workbook=18_16.xlsx&amp;sheet=U0&amp;row=146&amp;col=11&amp;number=&amp;sourceID=51","")</f>
        <v/>
      </c>
    </row>
    <row r="147" spans="1:11">
      <c r="A147" s="3"/>
      <c r="B147" s="3"/>
      <c r="C147" s="3"/>
      <c r="D147" s="3"/>
      <c r="E147" s="3">
        <v>16</v>
      </c>
      <c r="F147" s="4" t="str">
        <f>HYPERLINK("http://141.218.60.56/~jnz1568/getInfo.php?workbook=18_16.xlsx&amp;sheet=U0&amp;row=147&amp;col=6&amp;number=4.301&amp;sourceID=37","4.301")</f>
        <v>4.301</v>
      </c>
      <c r="G147" s="4" t="str">
        <f>HYPERLINK("http://141.218.60.56/~jnz1568/getInfo.php?workbook=18_16.xlsx&amp;sheet=U0&amp;row=147&amp;col=7&amp;number=0.07929&amp;sourceID=37","0.07929")</f>
        <v>0.07929</v>
      </c>
      <c r="H147" s="4" t="str">
        <f>HYPERLINK("http://141.218.60.56/~jnz1568/getInfo.php?workbook=18_16.xlsx&amp;sheet=U0&amp;row=147&amp;col=8&amp;number=&amp;sourceID=61","")</f>
        <v/>
      </c>
      <c r="I147" s="4" t="str">
        <f>HYPERLINK("http://141.218.60.56/~jnz1568/getInfo.php?workbook=18_16.xlsx&amp;sheet=U0&amp;row=147&amp;col=9&amp;number=&amp;sourceID=61","")</f>
        <v/>
      </c>
      <c r="J147" s="4" t="str">
        <f>HYPERLINK("http://141.218.60.56/~jnz1568/getInfo.php?workbook=18_16.xlsx&amp;sheet=U0&amp;row=147&amp;col=10&amp;number=&amp;sourceID=51","")</f>
        <v/>
      </c>
      <c r="K147" s="4" t="str">
        <f>HYPERLINK("http://141.218.60.56/~jnz1568/getInfo.php?workbook=18_16.xlsx&amp;sheet=U0&amp;row=147&amp;col=11&amp;number=&amp;sourceID=51","")</f>
        <v/>
      </c>
    </row>
    <row r="148" spans="1:11">
      <c r="A148" s="3">
        <v>18</v>
      </c>
      <c r="B148" s="3">
        <v>16</v>
      </c>
      <c r="C148" s="3">
        <v>5</v>
      </c>
      <c r="D148" s="3">
        <v>4</v>
      </c>
      <c r="E148" s="3">
        <v>1</v>
      </c>
      <c r="F148" s="4" t="str">
        <f>HYPERLINK("http://141.218.60.56/~jnz1568/getInfo.php?workbook=18_16.xlsx&amp;sheet=U0&amp;row=148&amp;col=6&amp;number=3.699&amp;sourceID=37","3.699")</f>
        <v>3.699</v>
      </c>
      <c r="G148" s="4" t="str">
        <f>HYPERLINK("http://141.218.60.56/~jnz1568/getInfo.php?workbook=18_16.xlsx&amp;sheet=U0&amp;row=148&amp;col=7&amp;number=0.5622&amp;sourceID=37","0.5622")</f>
        <v>0.5622</v>
      </c>
      <c r="H148" s="4" t="str">
        <f>HYPERLINK("http://141.218.60.56/~jnz1568/getInfo.php?workbook=18_16.xlsx&amp;sheet=U0&amp;row=148&amp;col=8&amp;number=3.255&amp;sourceID=61","3.255")</f>
        <v>3.255</v>
      </c>
      <c r="I148" s="4" t="str">
        <f>HYPERLINK("http://141.218.60.56/~jnz1568/getInfo.php?workbook=18_16.xlsx&amp;sheet=U0&amp;row=148&amp;col=9&amp;number=0.871&amp;sourceID=61","0.871")</f>
        <v>0.871</v>
      </c>
      <c r="J148" s="4" t="str">
        <f>HYPERLINK("http://141.218.60.56/~jnz1568/getInfo.php?workbook=18_16.xlsx&amp;sheet=U0&amp;row=148&amp;col=10&amp;number=3&amp;sourceID=51","3")</f>
        <v>3</v>
      </c>
      <c r="K148" s="4" t="str">
        <f>HYPERLINK("http://141.218.60.56/~jnz1568/getInfo.php?workbook=18_16.xlsx&amp;sheet=U0&amp;row=148&amp;col=11&amp;number=1.582&amp;sourceID=51","1.582")</f>
        <v>1.582</v>
      </c>
    </row>
    <row r="149" spans="1:11">
      <c r="A149" s="3"/>
      <c r="B149" s="3"/>
      <c r="C149" s="3"/>
      <c r="D149" s="3"/>
      <c r="E149" s="3">
        <v>2</v>
      </c>
      <c r="F149" s="4" t="str">
        <f>HYPERLINK("http://141.218.60.56/~jnz1568/getInfo.php?workbook=18_16.xlsx&amp;sheet=U0&amp;row=149&amp;col=6&amp;number=3.778&amp;sourceID=37","3.778")</f>
        <v>3.778</v>
      </c>
      <c r="G149" s="4" t="str">
        <f>HYPERLINK("http://141.218.60.56/~jnz1568/getInfo.php?workbook=18_16.xlsx&amp;sheet=U0&amp;row=149&amp;col=7&amp;number=0.5618&amp;sourceID=37","0.5618")</f>
        <v>0.5618</v>
      </c>
      <c r="H149" s="4" t="str">
        <f>HYPERLINK("http://141.218.60.56/~jnz1568/getInfo.php?workbook=18_16.xlsx&amp;sheet=U0&amp;row=149&amp;col=8&amp;number=3.653&amp;sourceID=61","3.653")</f>
        <v>3.653</v>
      </c>
      <c r="I149" s="4" t="str">
        <f>HYPERLINK("http://141.218.60.56/~jnz1568/getInfo.php?workbook=18_16.xlsx&amp;sheet=U0&amp;row=149&amp;col=9&amp;number=0.995&amp;sourceID=61","0.995")</f>
        <v>0.995</v>
      </c>
      <c r="J149" s="4" t="str">
        <f>HYPERLINK("http://141.218.60.56/~jnz1568/getInfo.php?workbook=18_16.xlsx&amp;sheet=U0&amp;row=149&amp;col=10&amp;number=3.2&amp;sourceID=51","3.2")</f>
        <v>3.2</v>
      </c>
      <c r="K149" s="4" t="str">
        <f>HYPERLINK("http://141.218.60.56/~jnz1568/getInfo.php?workbook=18_16.xlsx&amp;sheet=U0&amp;row=149&amp;col=11&amp;number=1.481&amp;sourceID=51","1.481")</f>
        <v>1.481</v>
      </c>
    </row>
    <row r="150" spans="1:11">
      <c r="A150" s="3"/>
      <c r="B150" s="3"/>
      <c r="C150" s="3"/>
      <c r="D150" s="3"/>
      <c r="E150" s="3">
        <v>3</v>
      </c>
      <c r="F150" s="4" t="str">
        <f>HYPERLINK("http://141.218.60.56/~jnz1568/getInfo.php?workbook=18_16.xlsx&amp;sheet=U0&amp;row=150&amp;col=6&amp;number=3.845&amp;sourceID=37","3.845")</f>
        <v>3.845</v>
      </c>
      <c r="G150" s="4" t="str">
        <f>HYPERLINK("http://141.218.60.56/~jnz1568/getInfo.php?workbook=18_16.xlsx&amp;sheet=U0&amp;row=150&amp;col=7&amp;number=0.5618&amp;sourceID=37","0.5618")</f>
        <v>0.5618</v>
      </c>
      <c r="H150" s="4" t="str">
        <f>HYPERLINK("http://141.218.60.56/~jnz1568/getInfo.php?workbook=18_16.xlsx&amp;sheet=U0&amp;row=150&amp;col=8&amp;number=3.954&amp;sourceID=61","3.954")</f>
        <v>3.954</v>
      </c>
      <c r="I150" s="4" t="str">
        <f>HYPERLINK("http://141.218.60.56/~jnz1568/getInfo.php?workbook=18_16.xlsx&amp;sheet=U0&amp;row=150&amp;col=9&amp;number=1.16&amp;sourceID=61","1.16")</f>
        <v>1.16</v>
      </c>
      <c r="J150" s="4" t="str">
        <f>HYPERLINK("http://141.218.60.56/~jnz1568/getInfo.php?workbook=18_16.xlsx&amp;sheet=U0&amp;row=150&amp;col=10&amp;number=3.4&amp;sourceID=51","3.4")</f>
        <v>3.4</v>
      </c>
      <c r="K150" s="4" t="str">
        <f>HYPERLINK("http://141.218.60.56/~jnz1568/getInfo.php?workbook=18_16.xlsx&amp;sheet=U0&amp;row=150&amp;col=11&amp;number=1.368&amp;sourceID=51","1.368")</f>
        <v>1.368</v>
      </c>
    </row>
    <row r="151" spans="1:11">
      <c r="A151" s="3"/>
      <c r="B151" s="3"/>
      <c r="C151" s="3"/>
      <c r="D151" s="3"/>
      <c r="E151" s="3">
        <v>4</v>
      </c>
      <c r="F151" s="4" t="str">
        <f>HYPERLINK("http://141.218.60.56/~jnz1568/getInfo.php?workbook=18_16.xlsx&amp;sheet=U0&amp;row=151&amp;col=6&amp;number=3.903&amp;sourceID=37","3.903")</f>
        <v>3.903</v>
      </c>
      <c r="G151" s="4" t="str">
        <f>HYPERLINK("http://141.218.60.56/~jnz1568/getInfo.php?workbook=18_16.xlsx&amp;sheet=U0&amp;row=151&amp;col=7&amp;number=0.5625&amp;sourceID=37","0.5625")</f>
        <v>0.5625</v>
      </c>
      <c r="H151" s="4" t="str">
        <f>HYPERLINK("http://141.218.60.56/~jnz1568/getInfo.php?workbook=18_16.xlsx&amp;sheet=U0&amp;row=151&amp;col=8&amp;number=4.255&amp;sourceID=61","4.255")</f>
        <v>4.255</v>
      </c>
      <c r="I151" s="4" t="str">
        <f>HYPERLINK("http://141.218.60.56/~jnz1568/getInfo.php?workbook=18_16.xlsx&amp;sheet=U0&amp;row=151&amp;col=9&amp;number=1.24&amp;sourceID=61","1.24")</f>
        <v>1.24</v>
      </c>
      <c r="J151" s="4" t="str">
        <f>HYPERLINK("http://141.218.60.56/~jnz1568/getInfo.php?workbook=18_16.xlsx&amp;sheet=U0&amp;row=151&amp;col=10&amp;number=3.6&amp;sourceID=51","3.6")</f>
        <v>3.6</v>
      </c>
      <c r="K151" s="4" t="str">
        <f>HYPERLINK("http://141.218.60.56/~jnz1568/getInfo.php?workbook=18_16.xlsx&amp;sheet=U0&amp;row=151&amp;col=11&amp;number=1.286&amp;sourceID=51","1.286")</f>
        <v>1.286</v>
      </c>
    </row>
    <row r="152" spans="1:11">
      <c r="A152" s="3"/>
      <c r="B152" s="3"/>
      <c r="C152" s="3"/>
      <c r="D152" s="3"/>
      <c r="E152" s="3">
        <v>5</v>
      </c>
      <c r="F152" s="4" t="str">
        <f>HYPERLINK("http://141.218.60.56/~jnz1568/getInfo.php?workbook=18_16.xlsx&amp;sheet=U0&amp;row=152&amp;col=6&amp;number=3.954&amp;sourceID=37","3.954")</f>
        <v>3.954</v>
      </c>
      <c r="G152" s="4" t="str">
        <f>HYPERLINK("http://141.218.60.56/~jnz1568/getInfo.php?workbook=18_16.xlsx&amp;sheet=U0&amp;row=152&amp;col=7&amp;number=0.5639&amp;sourceID=37","0.5639")</f>
        <v>0.5639</v>
      </c>
      <c r="H152" s="4" t="str">
        <f>HYPERLINK("http://141.218.60.56/~jnz1568/getInfo.php?workbook=18_16.xlsx&amp;sheet=U0&amp;row=152&amp;col=8&amp;number=4.653&amp;sourceID=61","4.653")</f>
        <v>4.653</v>
      </c>
      <c r="I152" s="4" t="str">
        <f>HYPERLINK("http://141.218.60.56/~jnz1568/getInfo.php?workbook=18_16.xlsx&amp;sheet=U0&amp;row=152&amp;col=9&amp;number=1.34&amp;sourceID=61","1.34")</f>
        <v>1.34</v>
      </c>
      <c r="J152" s="4" t="str">
        <f>HYPERLINK("http://141.218.60.56/~jnz1568/getInfo.php?workbook=18_16.xlsx&amp;sheet=U0&amp;row=152&amp;col=10&amp;number=3.8&amp;sourceID=51","3.8")</f>
        <v>3.8</v>
      </c>
      <c r="K152" s="4" t="str">
        <f>HYPERLINK("http://141.218.60.56/~jnz1568/getInfo.php?workbook=18_16.xlsx&amp;sheet=U0&amp;row=152&amp;col=11&amp;number=1.247&amp;sourceID=51","1.247")</f>
        <v>1.247</v>
      </c>
    </row>
    <row r="153" spans="1:11">
      <c r="A153" s="3"/>
      <c r="B153" s="3"/>
      <c r="C153" s="3"/>
      <c r="D153" s="3"/>
      <c r="E153" s="3">
        <v>6</v>
      </c>
      <c r="F153" s="4" t="str">
        <f>HYPERLINK("http://141.218.60.56/~jnz1568/getInfo.php?workbook=18_16.xlsx&amp;sheet=U0&amp;row=153&amp;col=6&amp;number=4&amp;sourceID=37","4")</f>
        <v>4</v>
      </c>
      <c r="G153" s="4" t="str">
        <f>HYPERLINK("http://141.218.60.56/~jnz1568/getInfo.php?workbook=18_16.xlsx&amp;sheet=U0&amp;row=153&amp;col=7&amp;number=0.5661&amp;sourceID=37","0.5661")</f>
        <v>0.5661</v>
      </c>
      <c r="H153" s="4" t="str">
        <f>HYPERLINK("http://141.218.60.56/~jnz1568/getInfo.php?workbook=18_16.xlsx&amp;sheet=U0&amp;row=153&amp;col=8&amp;number=4.954&amp;sourceID=61","4.954")</f>
        <v>4.954</v>
      </c>
      <c r="I153" s="4" t="str">
        <f>HYPERLINK("http://141.218.60.56/~jnz1568/getInfo.php?workbook=18_16.xlsx&amp;sheet=U0&amp;row=153&amp;col=9&amp;number=1.44&amp;sourceID=61","1.44")</f>
        <v>1.44</v>
      </c>
      <c r="J153" s="4" t="str">
        <f>HYPERLINK("http://141.218.60.56/~jnz1568/getInfo.php?workbook=18_16.xlsx&amp;sheet=U0&amp;row=153&amp;col=10&amp;number=4&amp;sourceID=51","4")</f>
        <v>4</v>
      </c>
      <c r="K153" s="4" t="str">
        <f>HYPERLINK("http://141.218.60.56/~jnz1568/getInfo.php?workbook=18_16.xlsx&amp;sheet=U0&amp;row=153&amp;col=11&amp;number=1.232&amp;sourceID=51","1.232")</f>
        <v>1.232</v>
      </c>
    </row>
    <row r="154" spans="1:11">
      <c r="A154" s="3"/>
      <c r="B154" s="3"/>
      <c r="C154" s="3"/>
      <c r="D154" s="3"/>
      <c r="E154" s="3">
        <v>7</v>
      </c>
      <c r="F154" s="4" t="str">
        <f>HYPERLINK("http://141.218.60.56/~jnz1568/getInfo.php?workbook=18_16.xlsx&amp;sheet=U0&amp;row=154&amp;col=6&amp;number=4.041&amp;sourceID=37","4.041")</f>
        <v>4.041</v>
      </c>
      <c r="G154" s="4" t="str">
        <f>HYPERLINK("http://141.218.60.56/~jnz1568/getInfo.php?workbook=18_16.xlsx&amp;sheet=U0&amp;row=154&amp;col=7&amp;number=0.5691&amp;sourceID=37","0.5691")</f>
        <v>0.5691</v>
      </c>
      <c r="H154" s="4" t="str">
        <f>HYPERLINK("http://141.218.60.56/~jnz1568/getInfo.php?workbook=18_16.xlsx&amp;sheet=U0&amp;row=154&amp;col=8&amp;number=5.255&amp;sourceID=61","5.255")</f>
        <v>5.255</v>
      </c>
      <c r="I154" s="4" t="str">
        <f>HYPERLINK("http://141.218.60.56/~jnz1568/getInfo.php?workbook=18_16.xlsx&amp;sheet=U0&amp;row=154&amp;col=9&amp;number=1.45&amp;sourceID=61","1.45")</f>
        <v>1.45</v>
      </c>
      <c r="J154" s="4" t="str">
        <f>HYPERLINK("http://141.218.60.56/~jnz1568/getInfo.php?workbook=18_16.xlsx&amp;sheet=U0&amp;row=154&amp;col=10&amp;number=4.2&amp;sourceID=51","4.2")</f>
        <v>4.2</v>
      </c>
      <c r="K154" s="4" t="str">
        <f>HYPERLINK("http://141.218.60.56/~jnz1568/getInfo.php?workbook=18_16.xlsx&amp;sheet=U0&amp;row=154&amp;col=11&amp;number=1.211&amp;sourceID=51","1.211")</f>
        <v>1.211</v>
      </c>
    </row>
    <row r="155" spans="1:11">
      <c r="A155" s="3"/>
      <c r="B155" s="3"/>
      <c r="C155" s="3"/>
      <c r="D155" s="3"/>
      <c r="E155" s="3">
        <v>8</v>
      </c>
      <c r="F155" s="4" t="str">
        <f>HYPERLINK("http://141.218.60.56/~jnz1568/getInfo.php?workbook=18_16.xlsx&amp;sheet=U0&amp;row=155&amp;col=6&amp;number=4.079&amp;sourceID=37","4.079")</f>
        <v>4.079</v>
      </c>
      <c r="G155" s="4" t="str">
        <f>HYPERLINK("http://141.218.60.56/~jnz1568/getInfo.php?workbook=18_16.xlsx&amp;sheet=U0&amp;row=155&amp;col=7&amp;number=0.5729&amp;sourceID=37","0.5729")</f>
        <v>0.5729</v>
      </c>
      <c r="H155" s="4" t="str">
        <f>HYPERLINK("http://141.218.60.56/~jnz1568/getInfo.php?workbook=18_16.xlsx&amp;sheet=U0&amp;row=155&amp;col=8&amp;number=5.653&amp;sourceID=61","5.653")</f>
        <v>5.653</v>
      </c>
      <c r="I155" s="4" t="str">
        <f>HYPERLINK("http://141.218.60.56/~jnz1568/getInfo.php?workbook=18_16.xlsx&amp;sheet=U0&amp;row=155&amp;col=9&amp;number=1.38&amp;sourceID=61","1.38")</f>
        <v>1.38</v>
      </c>
      <c r="J155" s="4" t="str">
        <f>HYPERLINK("http://141.218.60.56/~jnz1568/getInfo.php?workbook=18_16.xlsx&amp;sheet=U0&amp;row=155&amp;col=10&amp;number=4.4&amp;sourceID=51","4.4")</f>
        <v>4.4</v>
      </c>
      <c r="K155" s="4" t="str">
        <f>HYPERLINK("http://141.218.60.56/~jnz1568/getInfo.php?workbook=18_16.xlsx&amp;sheet=U0&amp;row=155&amp;col=11&amp;number=1.185&amp;sourceID=51","1.185")</f>
        <v>1.185</v>
      </c>
    </row>
    <row r="156" spans="1:11">
      <c r="A156" s="3"/>
      <c r="B156" s="3"/>
      <c r="C156" s="3"/>
      <c r="D156" s="3"/>
      <c r="E156" s="3">
        <v>9</v>
      </c>
      <c r="F156" s="4" t="str">
        <f>HYPERLINK("http://141.218.60.56/~jnz1568/getInfo.php?workbook=18_16.xlsx&amp;sheet=U0&amp;row=156&amp;col=6&amp;number=4.114&amp;sourceID=37","4.114")</f>
        <v>4.114</v>
      </c>
      <c r="G156" s="4" t="str">
        <f>HYPERLINK("http://141.218.60.56/~jnz1568/getInfo.php?workbook=18_16.xlsx&amp;sheet=U0&amp;row=156&amp;col=7&amp;number=0.5773&amp;sourceID=37","0.5773")</f>
        <v>0.5773</v>
      </c>
      <c r="H156" s="4" t="str">
        <f>HYPERLINK("http://141.218.60.56/~jnz1568/getInfo.php?workbook=18_16.xlsx&amp;sheet=U0&amp;row=156&amp;col=8&amp;number=5.954&amp;sourceID=61","5.954")</f>
        <v>5.954</v>
      </c>
      <c r="I156" s="4" t="str">
        <f>HYPERLINK("http://141.218.60.56/~jnz1568/getInfo.php?workbook=18_16.xlsx&amp;sheet=U0&amp;row=156&amp;col=9&amp;number=1.37&amp;sourceID=61","1.37")</f>
        <v>1.37</v>
      </c>
      <c r="J156" s="4" t="str">
        <f>HYPERLINK("http://141.218.60.56/~jnz1568/getInfo.php?workbook=18_16.xlsx&amp;sheet=U0&amp;row=156&amp;col=10&amp;number=4.6&amp;sourceID=51","4.6")</f>
        <v>4.6</v>
      </c>
      <c r="K156" s="4" t="str">
        <f>HYPERLINK("http://141.218.60.56/~jnz1568/getInfo.php?workbook=18_16.xlsx&amp;sheet=U0&amp;row=156&amp;col=11&amp;number=1.183&amp;sourceID=51","1.183")</f>
        <v>1.183</v>
      </c>
    </row>
    <row r="157" spans="1:11">
      <c r="A157" s="3"/>
      <c r="B157" s="3"/>
      <c r="C157" s="3"/>
      <c r="D157" s="3"/>
      <c r="E157" s="3">
        <v>10</v>
      </c>
      <c r="F157" s="4" t="str">
        <f>HYPERLINK("http://141.218.60.56/~jnz1568/getInfo.php?workbook=18_16.xlsx&amp;sheet=U0&amp;row=157&amp;col=6&amp;number=4.146&amp;sourceID=37","4.146")</f>
        <v>4.146</v>
      </c>
      <c r="G157" s="4" t="str">
        <f>HYPERLINK("http://141.218.60.56/~jnz1568/getInfo.php?workbook=18_16.xlsx&amp;sheet=U0&amp;row=157&amp;col=7&amp;number=0.5823&amp;sourceID=37","0.5823")</f>
        <v>0.5823</v>
      </c>
      <c r="H157" s="4" t="str">
        <f>HYPERLINK("http://141.218.60.56/~jnz1568/getInfo.php?workbook=18_16.xlsx&amp;sheet=U0&amp;row=157&amp;col=8&amp;number=6.255&amp;sourceID=61","6.255")</f>
        <v>6.255</v>
      </c>
      <c r="I157" s="4" t="str">
        <f>HYPERLINK("http://141.218.60.56/~jnz1568/getInfo.php?workbook=18_16.xlsx&amp;sheet=U0&amp;row=157&amp;col=9&amp;number=1.41&amp;sourceID=61","1.41")</f>
        <v>1.41</v>
      </c>
      <c r="J157" s="4" t="str">
        <f>HYPERLINK("http://141.218.60.56/~jnz1568/getInfo.php?workbook=18_16.xlsx&amp;sheet=U0&amp;row=157&amp;col=10&amp;number=4.8&amp;sourceID=51","4.8")</f>
        <v>4.8</v>
      </c>
      <c r="K157" s="4" t="str">
        <f>HYPERLINK("http://141.218.60.56/~jnz1568/getInfo.php?workbook=18_16.xlsx&amp;sheet=U0&amp;row=157&amp;col=11&amp;number=1.217&amp;sourceID=51","1.217")</f>
        <v>1.217</v>
      </c>
    </row>
    <row r="158" spans="1:11">
      <c r="A158" s="3"/>
      <c r="B158" s="3"/>
      <c r="C158" s="3"/>
      <c r="D158" s="3"/>
      <c r="E158" s="3">
        <v>11</v>
      </c>
      <c r="F158" s="4" t="str">
        <f>HYPERLINK("http://141.218.60.56/~jnz1568/getInfo.php?workbook=18_16.xlsx&amp;sheet=U0&amp;row=158&amp;col=6&amp;number=4.176&amp;sourceID=37","4.176")</f>
        <v>4.176</v>
      </c>
      <c r="G158" s="4" t="str">
        <f>HYPERLINK("http://141.218.60.56/~jnz1568/getInfo.php?workbook=18_16.xlsx&amp;sheet=U0&amp;row=158&amp;col=7&amp;number=0.5876&amp;sourceID=37","0.5876")</f>
        <v>0.5876</v>
      </c>
      <c r="H158" s="4" t="str">
        <f>HYPERLINK("http://141.218.60.56/~jnz1568/getInfo.php?workbook=18_16.xlsx&amp;sheet=U0&amp;row=158&amp;col=8&amp;number=6.653&amp;sourceID=61","6.653")</f>
        <v>6.653</v>
      </c>
      <c r="I158" s="4" t="str">
        <f>HYPERLINK("http://141.218.60.56/~jnz1568/getInfo.php?workbook=18_16.xlsx&amp;sheet=U0&amp;row=158&amp;col=9&amp;number=1.51&amp;sourceID=61","1.51")</f>
        <v>1.51</v>
      </c>
      <c r="J158" s="4" t="str">
        <f>HYPERLINK("http://141.218.60.56/~jnz1568/getInfo.php?workbook=18_16.xlsx&amp;sheet=U0&amp;row=158&amp;col=10&amp;number=5&amp;sourceID=51","5")</f>
        <v>5</v>
      </c>
      <c r="K158" s="4" t="str">
        <f>HYPERLINK("http://141.218.60.56/~jnz1568/getInfo.php?workbook=18_16.xlsx&amp;sheet=U0&amp;row=158&amp;col=11&amp;number=1.249&amp;sourceID=51","1.249")</f>
        <v>1.249</v>
      </c>
    </row>
    <row r="159" spans="1:11">
      <c r="A159" s="3"/>
      <c r="B159" s="3"/>
      <c r="C159" s="3"/>
      <c r="D159" s="3"/>
      <c r="E159" s="3">
        <v>12</v>
      </c>
      <c r="F159" s="4" t="str">
        <f>HYPERLINK("http://141.218.60.56/~jnz1568/getInfo.php?workbook=18_16.xlsx&amp;sheet=U0&amp;row=159&amp;col=6&amp;number=4.204&amp;sourceID=37","4.204")</f>
        <v>4.204</v>
      </c>
      <c r="G159" s="4" t="str">
        <f>HYPERLINK("http://141.218.60.56/~jnz1568/getInfo.php?workbook=18_16.xlsx&amp;sheet=U0&amp;row=159&amp;col=7&amp;number=0.5933&amp;sourceID=37","0.5933")</f>
        <v>0.5933</v>
      </c>
      <c r="H159" s="4" t="str">
        <f>HYPERLINK("http://141.218.60.56/~jnz1568/getInfo.php?workbook=18_16.xlsx&amp;sheet=U0&amp;row=159&amp;col=8&amp;number=6.954&amp;sourceID=61","6.954")</f>
        <v>6.954</v>
      </c>
      <c r="I159" s="4" t="str">
        <f>HYPERLINK("http://141.218.60.56/~jnz1568/getInfo.php?workbook=18_16.xlsx&amp;sheet=U0&amp;row=159&amp;col=9&amp;number=1.57&amp;sourceID=61","1.57")</f>
        <v>1.57</v>
      </c>
      <c r="J159" s="4" t="str">
        <f>HYPERLINK("http://141.218.60.56/~jnz1568/getInfo.php?workbook=18_16.xlsx&amp;sheet=U0&amp;row=159&amp;col=10&amp;number=&amp;sourceID=51","")</f>
        <v/>
      </c>
      <c r="K159" s="4" t="str">
        <f>HYPERLINK("http://141.218.60.56/~jnz1568/getInfo.php?workbook=18_16.xlsx&amp;sheet=U0&amp;row=159&amp;col=11&amp;number=&amp;sourceID=51","")</f>
        <v/>
      </c>
    </row>
    <row r="160" spans="1:11">
      <c r="A160" s="3"/>
      <c r="B160" s="3"/>
      <c r="C160" s="3"/>
      <c r="D160" s="3"/>
      <c r="E160" s="3">
        <v>13</v>
      </c>
      <c r="F160" s="4" t="str">
        <f>HYPERLINK("http://141.218.60.56/~jnz1568/getInfo.php?workbook=18_16.xlsx&amp;sheet=U0&amp;row=160&amp;col=6&amp;number=4.23&amp;sourceID=37","4.23")</f>
        <v>4.23</v>
      </c>
      <c r="G160" s="4" t="str">
        <f>HYPERLINK("http://141.218.60.56/~jnz1568/getInfo.php?workbook=18_16.xlsx&amp;sheet=U0&amp;row=160&amp;col=7&amp;number=0.5992&amp;sourceID=37","0.5992")</f>
        <v>0.5992</v>
      </c>
      <c r="H160" s="4" t="str">
        <f>HYPERLINK("http://141.218.60.56/~jnz1568/getInfo.php?workbook=18_16.xlsx&amp;sheet=U0&amp;row=160&amp;col=8&amp;number=7.255&amp;sourceID=61","7.255")</f>
        <v>7.255</v>
      </c>
      <c r="I160" s="4" t="str">
        <f>HYPERLINK("http://141.218.60.56/~jnz1568/getInfo.php?workbook=18_16.xlsx&amp;sheet=U0&amp;row=160&amp;col=9&amp;number=1.63&amp;sourceID=61","1.63")</f>
        <v>1.63</v>
      </c>
      <c r="J160" s="4" t="str">
        <f>HYPERLINK("http://141.218.60.56/~jnz1568/getInfo.php?workbook=18_16.xlsx&amp;sheet=U0&amp;row=160&amp;col=10&amp;number=&amp;sourceID=51","")</f>
        <v/>
      </c>
      <c r="K160" s="4" t="str">
        <f>HYPERLINK("http://141.218.60.56/~jnz1568/getInfo.php?workbook=18_16.xlsx&amp;sheet=U0&amp;row=160&amp;col=11&amp;number=&amp;sourceID=51","")</f>
        <v/>
      </c>
    </row>
    <row r="161" spans="1:11">
      <c r="A161" s="3"/>
      <c r="B161" s="3"/>
      <c r="C161" s="3"/>
      <c r="D161" s="3"/>
      <c r="E161" s="3">
        <v>14</v>
      </c>
      <c r="F161" s="4" t="str">
        <f>HYPERLINK("http://141.218.60.56/~jnz1568/getInfo.php?workbook=18_16.xlsx&amp;sheet=U0&amp;row=161&amp;col=6&amp;number=4.255&amp;sourceID=37","4.255")</f>
        <v>4.255</v>
      </c>
      <c r="G161" s="4" t="str">
        <f>HYPERLINK("http://141.218.60.56/~jnz1568/getInfo.php?workbook=18_16.xlsx&amp;sheet=U0&amp;row=161&amp;col=7&amp;number=0.6052&amp;sourceID=37","0.6052")</f>
        <v>0.6052</v>
      </c>
      <c r="H161" s="4" t="str">
        <f>HYPERLINK("http://141.218.60.56/~jnz1568/getInfo.php?workbook=18_16.xlsx&amp;sheet=U0&amp;row=161&amp;col=8&amp;number=&amp;sourceID=61","")</f>
        <v/>
      </c>
      <c r="I161" s="4" t="str">
        <f>HYPERLINK("http://141.218.60.56/~jnz1568/getInfo.php?workbook=18_16.xlsx&amp;sheet=U0&amp;row=161&amp;col=9&amp;number=&amp;sourceID=61","")</f>
        <v/>
      </c>
      <c r="J161" s="4" t="str">
        <f>HYPERLINK("http://141.218.60.56/~jnz1568/getInfo.php?workbook=18_16.xlsx&amp;sheet=U0&amp;row=161&amp;col=10&amp;number=&amp;sourceID=51","")</f>
        <v/>
      </c>
      <c r="K161" s="4" t="str">
        <f>HYPERLINK("http://141.218.60.56/~jnz1568/getInfo.php?workbook=18_16.xlsx&amp;sheet=U0&amp;row=161&amp;col=11&amp;number=&amp;sourceID=51","")</f>
        <v/>
      </c>
    </row>
    <row r="162" spans="1:11">
      <c r="A162" s="3"/>
      <c r="B162" s="3"/>
      <c r="C162" s="3"/>
      <c r="D162" s="3"/>
      <c r="E162" s="3">
        <v>15</v>
      </c>
      <c r="F162" s="4" t="str">
        <f>HYPERLINK("http://141.218.60.56/~jnz1568/getInfo.php?workbook=18_16.xlsx&amp;sheet=U0&amp;row=162&amp;col=6&amp;number=4.279&amp;sourceID=37","4.279")</f>
        <v>4.279</v>
      </c>
      <c r="G162" s="4" t="str">
        <f>HYPERLINK("http://141.218.60.56/~jnz1568/getInfo.php?workbook=18_16.xlsx&amp;sheet=U0&amp;row=162&amp;col=7&amp;number=0.6112&amp;sourceID=37","0.6112")</f>
        <v>0.6112</v>
      </c>
      <c r="H162" s="4" t="str">
        <f>HYPERLINK("http://141.218.60.56/~jnz1568/getInfo.php?workbook=18_16.xlsx&amp;sheet=U0&amp;row=162&amp;col=8&amp;number=&amp;sourceID=61","")</f>
        <v/>
      </c>
      <c r="I162" s="4" t="str">
        <f>HYPERLINK("http://141.218.60.56/~jnz1568/getInfo.php?workbook=18_16.xlsx&amp;sheet=U0&amp;row=162&amp;col=9&amp;number=&amp;sourceID=61","")</f>
        <v/>
      </c>
      <c r="J162" s="4" t="str">
        <f>HYPERLINK("http://141.218.60.56/~jnz1568/getInfo.php?workbook=18_16.xlsx&amp;sheet=U0&amp;row=162&amp;col=10&amp;number=&amp;sourceID=51","")</f>
        <v/>
      </c>
      <c r="K162" s="4" t="str">
        <f>HYPERLINK("http://141.218.60.56/~jnz1568/getInfo.php?workbook=18_16.xlsx&amp;sheet=U0&amp;row=162&amp;col=11&amp;number=&amp;sourceID=51","")</f>
        <v/>
      </c>
    </row>
    <row r="163" spans="1:11">
      <c r="A163" s="3"/>
      <c r="B163" s="3"/>
      <c r="C163" s="3"/>
      <c r="D163" s="3"/>
      <c r="E163" s="3">
        <v>16</v>
      </c>
      <c r="F163" s="4" t="str">
        <f>HYPERLINK("http://141.218.60.56/~jnz1568/getInfo.php?workbook=18_16.xlsx&amp;sheet=U0&amp;row=163&amp;col=6&amp;number=4.301&amp;sourceID=37","4.301")</f>
        <v>4.301</v>
      </c>
      <c r="G163" s="4" t="str">
        <f>HYPERLINK("http://141.218.60.56/~jnz1568/getInfo.php?workbook=18_16.xlsx&amp;sheet=U0&amp;row=163&amp;col=7&amp;number=0.6171&amp;sourceID=37","0.6171")</f>
        <v>0.6171</v>
      </c>
      <c r="H163" s="4" t="str">
        <f>HYPERLINK("http://141.218.60.56/~jnz1568/getInfo.php?workbook=18_16.xlsx&amp;sheet=U0&amp;row=163&amp;col=8&amp;number=&amp;sourceID=61","")</f>
        <v/>
      </c>
      <c r="I163" s="4" t="str">
        <f>HYPERLINK("http://141.218.60.56/~jnz1568/getInfo.php?workbook=18_16.xlsx&amp;sheet=U0&amp;row=163&amp;col=9&amp;number=&amp;sourceID=61","")</f>
        <v/>
      </c>
      <c r="J163" s="4" t="str">
        <f>HYPERLINK("http://141.218.60.56/~jnz1568/getInfo.php?workbook=18_16.xlsx&amp;sheet=U0&amp;row=163&amp;col=10&amp;number=&amp;sourceID=51","")</f>
        <v/>
      </c>
      <c r="K163" s="4" t="str">
        <f>HYPERLINK("http://141.218.60.56/~jnz1568/getInfo.php?workbook=18_16.xlsx&amp;sheet=U0&amp;row=163&amp;col=11&amp;number=&amp;sourceID=51","")</f>
        <v/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3.7109375" customWidth="1"/>
    <col min="2" max="2" width="3.7109375" customWidth="1"/>
    <col min="3" max="3" width="15.7109375" customWidth="1"/>
  </cols>
  <sheetData>
    <row r="1" spans="1:3">
      <c r="A1" s="1" t="s">
        <v>59</v>
      </c>
      <c r="B1" s="1"/>
      <c r="C1" s="1"/>
    </row>
    <row r="2" spans="1:3">
      <c r="A2" s="2"/>
      <c r="B2" s="2"/>
      <c r="C2" s="2" t="s">
        <v>53</v>
      </c>
    </row>
    <row r="3" spans="1:3">
      <c r="A3" s="2" t="s">
        <v>3</v>
      </c>
      <c r="B3" s="2" t="s">
        <v>4</v>
      </c>
      <c r="C3" s="2" t="s">
        <v>60</v>
      </c>
    </row>
    <row r="4" spans="1:3">
      <c r="A4" s="3">
        <v>18</v>
      </c>
      <c r="B4" s="3">
        <v>16</v>
      </c>
      <c r="C4" s="4" t="str">
        <f>HYPERLINK("http://bit.ly/19AVFt4","http://bit.ly/19AVFt4")</f>
        <v>http://bit.ly/19AVFt4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A0</vt:lpstr>
      <vt:lpstr>U0</vt:lpstr>
      <vt:lpstr>O0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2015-04-13T07:21:35Z</dcterms:created>
  <dcterms:modified xsi:type="dcterms:W3CDTF">2015-04-13T07:21:35Z</dcterms:modified>
</cp:coreProperties>
</file>